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M\DIEM\SP 18-22\"/>
    </mc:Choice>
  </mc:AlternateContent>
  <bookViews>
    <workbookView xWindow="0" yWindow="0" windowWidth="15120" windowHeight="6435" tabRatio="802" firstSheet="7" activeTab="11"/>
  </bookViews>
  <sheets>
    <sheet name="Cost projection summary (2)" sheetId="22" state="hidden" r:id="rId1"/>
    <sheet name="Summary Changes" sheetId="25" r:id="rId2"/>
    <sheet name="Cost projection summary" sheetId="18" r:id="rId3"/>
    <sheet name="GA Cost Projection" sheetId="20" r:id="rId4"/>
    <sheet name="Cost Projection" sheetId="2" state="hidden" r:id="rId5"/>
    <sheet name="Contest Plan" sheetId="21" state="hidden" r:id="rId6"/>
    <sheet name="Sale Plan &amp; KPIs" sheetId="13" state="hidden" r:id="rId7"/>
    <sheet name="2017 Comp Scheme" sheetId="1" r:id="rId8"/>
    <sheet name="Draft Scheme" sheetId="9" state="hidden" r:id="rId9"/>
    <sheet name="Validation Promotion 2017" sheetId="24" r:id="rId10"/>
    <sheet name="Validation Promotion 2016" sheetId="23" state="hidden" r:id="rId11"/>
    <sheet name="2017 Scheme &amp; cost projection" sheetId="8" r:id="rId12"/>
    <sheet name="Long term projection" sheetId="26" r:id="rId13"/>
    <sheet name="MDRT Recruitment" sheetId="17" r:id="rId14"/>
    <sheet name="Leader RSP" sheetId="19" r:id="rId15"/>
    <sheet name="Sheet2" sheetId="14" state="hidden" r:id="rId16"/>
    <sheet name="2017 Validation &amp; Promotion" sheetId="6" state="hidden" r:id="rId17"/>
    <sheet name="Income Impact Analysis" sheetId="12" state="hidden" r:id="rId18"/>
  </sheets>
  <externalReferences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xlnm._FilterDatabase" localSheetId="13" hidden="1">'MDRT Recruitment'!$A$1:$BD$150</definedName>
  </definedName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9" i="18" l="1"/>
  <c r="J49" i="18"/>
  <c r="I49" i="18"/>
  <c r="H49" i="18"/>
  <c r="G49" i="18"/>
  <c r="P9" i="18" l="1"/>
  <c r="O9" i="18"/>
  <c r="N9" i="18"/>
  <c r="M9" i="18"/>
  <c r="M18" i="18"/>
  <c r="D9" i="18"/>
  <c r="E9" i="18"/>
  <c r="F9" i="18"/>
  <c r="C9" i="18"/>
  <c r="G69" i="18"/>
  <c r="H69" i="18"/>
  <c r="I69" i="18"/>
  <c r="J69" i="18"/>
  <c r="K69" i="18"/>
  <c r="G70" i="18"/>
  <c r="H70" i="18"/>
  <c r="I70" i="18"/>
  <c r="J70" i="18"/>
  <c r="K70" i="18"/>
  <c r="Q70" i="18"/>
  <c r="R70" i="18"/>
  <c r="S70" i="18"/>
  <c r="T70" i="18"/>
  <c r="U70" i="18"/>
  <c r="Q68" i="18"/>
  <c r="R68" i="18"/>
  <c r="S68" i="18"/>
  <c r="T68" i="18"/>
  <c r="U68" i="18"/>
  <c r="K176" i="26" l="1"/>
  <c r="L176" i="26"/>
  <c r="M176" i="26"/>
  <c r="N176" i="26"/>
  <c r="K140" i="26"/>
  <c r="L140" i="26"/>
  <c r="M140" i="26"/>
  <c r="N140" i="26"/>
  <c r="H18" i="18"/>
  <c r="I18" i="18"/>
  <c r="J18" i="18"/>
  <c r="K18" i="18"/>
  <c r="G18" i="18"/>
  <c r="M95" i="26"/>
  <c r="N95" i="26" s="1"/>
  <c r="O95" i="26" s="1"/>
  <c r="M96" i="26"/>
  <c r="N96" i="26" s="1"/>
  <c r="O96" i="26" s="1"/>
  <c r="M97" i="26"/>
  <c r="N97" i="26"/>
  <c r="O97" i="26" s="1"/>
  <c r="L96" i="26"/>
  <c r="L97" i="26"/>
  <c r="L95" i="26"/>
  <c r="M254" i="26"/>
  <c r="N254" i="26" s="1"/>
  <c r="O254" i="26" s="1"/>
  <c r="M255" i="26"/>
  <c r="N255" i="26" s="1"/>
  <c r="O255" i="26" s="1"/>
  <c r="M256" i="26"/>
  <c r="N256" i="26"/>
  <c r="O256" i="26" s="1"/>
  <c r="L255" i="26"/>
  <c r="L256" i="26"/>
  <c r="L254" i="26"/>
  <c r="H28" i="18"/>
  <c r="I28" i="18"/>
  <c r="J28" i="18"/>
  <c r="K28" i="18"/>
  <c r="H29" i="18"/>
  <c r="I29" i="18"/>
  <c r="J29" i="18"/>
  <c r="K29" i="18"/>
  <c r="G29" i="18"/>
  <c r="G28" i="18"/>
  <c r="H35" i="18"/>
  <c r="I35" i="18"/>
  <c r="J35" i="18"/>
  <c r="K35" i="18"/>
  <c r="G35" i="18"/>
  <c r="Y55" i="8"/>
  <c r="Y61" i="8" s="1"/>
  <c r="Z61" i="8"/>
  <c r="AA61" i="8"/>
  <c r="X61" i="8"/>
  <c r="Z55" i="8"/>
  <c r="AA55" i="8"/>
  <c r="X55" i="8"/>
  <c r="AF303" i="8" l="1"/>
  <c r="D312" i="8"/>
  <c r="AC59" i="8"/>
  <c r="AC54" i="8"/>
  <c r="AD54" i="8"/>
  <c r="AE54" i="8"/>
  <c r="AF54" i="8"/>
  <c r="AD55" i="8"/>
  <c r="AE55" i="8"/>
  <c r="AF55" i="8"/>
  <c r="AD56" i="8"/>
  <c r="AE56" i="8"/>
  <c r="AF56" i="8"/>
  <c r="AD57" i="8"/>
  <c r="AE57" i="8"/>
  <c r="AF57" i="8"/>
  <c r="AD58" i="8"/>
  <c r="AE58" i="8"/>
  <c r="AF58" i="8"/>
  <c r="AD59" i="8"/>
  <c r="AE59" i="8"/>
  <c r="AF59" i="8"/>
  <c r="AC55" i="8"/>
  <c r="AC56" i="8"/>
  <c r="AC57" i="8"/>
  <c r="AC58" i="8"/>
  <c r="M90" i="26"/>
  <c r="N90" i="26" s="1"/>
  <c r="O90" i="26" s="1"/>
  <c r="L90" i="26"/>
  <c r="L91" i="26"/>
  <c r="M91" i="26" s="1"/>
  <c r="N91" i="26" s="1"/>
  <c r="O91" i="26" s="1"/>
  <c r="L89" i="26"/>
  <c r="M89" i="26" s="1"/>
  <c r="N89" i="26" s="1"/>
  <c r="O89" i="26" s="1"/>
  <c r="L45" i="26"/>
  <c r="M45" i="26" s="1"/>
  <c r="N45" i="26" s="1"/>
  <c r="O45" i="26" s="1"/>
  <c r="L46" i="26"/>
  <c r="M46" i="26" s="1"/>
  <c r="N46" i="26" s="1"/>
  <c r="O46" i="26" s="1"/>
  <c r="L47" i="26"/>
  <c r="M47" i="26" s="1"/>
  <c r="N47" i="26" s="1"/>
  <c r="O47" i="26" s="1"/>
  <c r="L48" i="26"/>
  <c r="M48" i="26" s="1"/>
  <c r="N48" i="26" s="1"/>
  <c r="O48" i="26" s="1"/>
  <c r="L49" i="26"/>
  <c r="M49" i="26" s="1"/>
  <c r="N49" i="26" s="1"/>
  <c r="O49" i="26" s="1"/>
  <c r="L44" i="26"/>
  <c r="M44" i="26" s="1"/>
  <c r="N44" i="26" s="1"/>
  <c r="O44" i="26" s="1"/>
  <c r="K184" i="26"/>
  <c r="L184" i="26" s="1"/>
  <c r="M184" i="26" s="1"/>
  <c r="N184" i="26" s="1"/>
  <c r="K185" i="26"/>
  <c r="L185" i="26" s="1"/>
  <c r="M185" i="26" s="1"/>
  <c r="N185" i="26" s="1"/>
  <c r="K186" i="26"/>
  <c r="L186" i="26" s="1"/>
  <c r="M186" i="26" s="1"/>
  <c r="N186" i="26" s="1"/>
  <c r="K183" i="26"/>
  <c r="L183" i="26" s="1"/>
  <c r="M183" i="26" s="1"/>
  <c r="N183" i="26" s="1"/>
  <c r="J176" i="26"/>
  <c r="K148" i="26"/>
  <c r="L148" i="26" s="1"/>
  <c r="M148" i="26" s="1"/>
  <c r="N148" i="26" s="1"/>
  <c r="K149" i="26"/>
  <c r="L149" i="26" s="1"/>
  <c r="M149" i="26" s="1"/>
  <c r="N149" i="26" s="1"/>
  <c r="K150" i="26"/>
  <c r="L150" i="26" s="1"/>
  <c r="M150" i="26" s="1"/>
  <c r="N150" i="26" s="1"/>
  <c r="L147" i="26"/>
  <c r="M147" i="26" s="1"/>
  <c r="N147" i="26" s="1"/>
  <c r="K147" i="26"/>
  <c r="AR331" i="8" l="1"/>
  <c r="AR332" i="8"/>
  <c r="AR333" i="8"/>
  <c r="AR330" i="8"/>
  <c r="Y327" i="8"/>
  <c r="Y323" i="8"/>
  <c r="N32" i="26" l="1"/>
  <c r="AH101" i="8"/>
  <c r="AI101" i="8"/>
  <c r="AG101" i="8"/>
  <c r="AE101" i="8"/>
  <c r="AF101" i="8"/>
  <c r="AD101" i="8"/>
  <c r="AB101" i="8"/>
  <c r="AC101" i="8"/>
  <c r="AA101" i="8"/>
  <c r="Y101" i="8"/>
  <c r="Z101" i="8"/>
  <c r="X101" i="8"/>
  <c r="Y100" i="8"/>
  <c r="Z100" i="8"/>
  <c r="AA100" i="8"/>
  <c r="AB100" i="8"/>
  <c r="AC100" i="8"/>
  <c r="AD100" i="8"/>
  <c r="AE100" i="8"/>
  <c r="AF100" i="8"/>
  <c r="AG100" i="8"/>
  <c r="AH100" i="8"/>
  <c r="AI100" i="8"/>
  <c r="X100" i="8"/>
  <c r="K50" i="26"/>
  <c r="L40" i="26"/>
  <c r="M40" i="26"/>
  <c r="N40" i="26"/>
  <c r="O40" i="26"/>
  <c r="K40" i="26"/>
  <c r="L54" i="26"/>
  <c r="M54" i="26" s="1"/>
  <c r="N54" i="26" s="1"/>
  <c r="O54" i="26" s="1"/>
  <c r="L55" i="26"/>
  <c r="M55" i="26" s="1"/>
  <c r="N55" i="26" s="1"/>
  <c r="O55" i="26" s="1"/>
  <c r="L56" i="26"/>
  <c r="M56" i="26" s="1"/>
  <c r="N56" i="26" s="1"/>
  <c r="O56" i="26" s="1"/>
  <c r="L57" i="26"/>
  <c r="M57" i="26" s="1"/>
  <c r="N57" i="26" s="1"/>
  <c r="O57" i="26" s="1"/>
  <c r="L58" i="26"/>
  <c r="M58" i="26" s="1"/>
  <c r="N58" i="26" s="1"/>
  <c r="O58" i="26" s="1"/>
  <c r="L53" i="26"/>
  <c r="O66" i="18"/>
  <c r="N66" i="18"/>
  <c r="M66" i="18"/>
  <c r="L231" i="26"/>
  <c r="M231" i="26" s="1"/>
  <c r="N231" i="26" s="1"/>
  <c r="O231" i="26" s="1"/>
  <c r="M270" i="8"/>
  <c r="M211" i="26"/>
  <c r="M217" i="26" s="1"/>
  <c r="L211" i="26"/>
  <c r="L217" i="26" s="1"/>
  <c r="K211" i="26"/>
  <c r="K218" i="26" s="1"/>
  <c r="M210" i="26"/>
  <c r="M213" i="26" s="1"/>
  <c r="L210" i="26"/>
  <c r="L212" i="26" s="1"/>
  <c r="K210" i="26"/>
  <c r="K212" i="26" s="1"/>
  <c r="L213" i="26" l="1"/>
  <c r="L50" i="26"/>
  <c r="N50" i="26"/>
  <c r="O50" i="26"/>
  <c r="M50" i="26"/>
  <c r="M53" i="26"/>
  <c r="K213" i="26"/>
  <c r="J36" i="18"/>
  <c r="M212" i="26"/>
  <c r="K217" i="26"/>
  <c r="K219" i="26" s="1"/>
  <c r="M218" i="26"/>
  <c r="M219" i="26" s="1"/>
  <c r="M221" i="26" s="1"/>
  <c r="I36" i="18" s="1"/>
  <c r="L218" i="26"/>
  <c r="L219" i="26" s="1"/>
  <c r="K287" i="26"/>
  <c r="AC543" i="8"/>
  <c r="Z500" i="8"/>
  <c r="K251" i="26"/>
  <c r="K349" i="26"/>
  <c r="L349" i="26"/>
  <c r="M349" i="26"/>
  <c r="N349" i="26"/>
  <c r="J349" i="26"/>
  <c r="L221" i="26" l="1"/>
  <c r="H36" i="18" s="1"/>
  <c r="N53" i="26"/>
  <c r="K221" i="26"/>
  <c r="G36" i="18" s="1"/>
  <c r="K36" i="18"/>
  <c r="M251" i="26"/>
  <c r="L251" i="26"/>
  <c r="N251" i="26" l="1"/>
  <c r="O53" i="26"/>
  <c r="O251" i="26"/>
  <c r="L32" i="26" l="1"/>
  <c r="K32" i="26"/>
  <c r="HD175" i="19" l="1"/>
  <c r="HC175" i="19"/>
  <c r="HB175" i="19"/>
  <c r="HA175" i="19"/>
  <c r="GZ175" i="19"/>
  <c r="GY175" i="19"/>
  <c r="GX175" i="19"/>
  <c r="GW175" i="19"/>
  <c r="GV175" i="19"/>
  <c r="GU175" i="19"/>
  <c r="GT175" i="19"/>
  <c r="HD174" i="19"/>
  <c r="HC174" i="19"/>
  <c r="HB174" i="19"/>
  <c r="HA174" i="19"/>
  <c r="GZ174" i="19"/>
  <c r="GY174" i="19"/>
  <c r="GX174" i="19"/>
  <c r="GW174" i="19"/>
  <c r="GV174" i="19"/>
  <c r="GU174" i="19"/>
  <c r="GT174" i="19"/>
  <c r="GS175" i="19"/>
  <c r="GS174" i="19"/>
  <c r="HD147" i="19"/>
  <c r="HC147" i="19"/>
  <c r="HB147" i="19"/>
  <c r="HC151" i="19" s="1"/>
  <c r="HA147" i="19"/>
  <c r="GZ147" i="19"/>
  <c r="GY147" i="19"/>
  <c r="GX147" i="19"/>
  <c r="GY151" i="19" s="1"/>
  <c r="GW147" i="19"/>
  <c r="GV147" i="19"/>
  <c r="GU147" i="19"/>
  <c r="GT147" i="19"/>
  <c r="GT151" i="19" s="1"/>
  <c r="GS147" i="19"/>
  <c r="HD129" i="19"/>
  <c r="HC129" i="19"/>
  <c r="HB129" i="19"/>
  <c r="HA129" i="19"/>
  <c r="GZ129" i="19"/>
  <c r="GY129" i="19"/>
  <c r="GX129" i="19"/>
  <c r="GW129" i="19"/>
  <c r="GV129" i="19"/>
  <c r="GU129" i="19"/>
  <c r="GT129" i="19"/>
  <c r="HD128" i="19"/>
  <c r="HC128" i="19"/>
  <c r="HB128" i="19"/>
  <c r="HA128" i="19"/>
  <c r="GZ128" i="19"/>
  <c r="GY128" i="19"/>
  <c r="GX128" i="19"/>
  <c r="GW128" i="19"/>
  <c r="GV128" i="19"/>
  <c r="GU128" i="19"/>
  <c r="GT128" i="19"/>
  <c r="GS129" i="19"/>
  <c r="GS128" i="19"/>
  <c r="HD101" i="19"/>
  <c r="HC101" i="19"/>
  <c r="HB101" i="19"/>
  <c r="HA101" i="19"/>
  <c r="HB105" i="19" s="1"/>
  <c r="HC106" i="19" s="1"/>
  <c r="HD107" i="19" s="1"/>
  <c r="GZ101" i="19"/>
  <c r="GY101" i="19"/>
  <c r="GX101" i="19"/>
  <c r="GW101" i="19"/>
  <c r="GW105" i="19" s="1"/>
  <c r="GV101" i="19"/>
  <c r="GU101" i="19"/>
  <c r="GT101" i="19"/>
  <c r="GS101" i="19"/>
  <c r="HD78" i="19"/>
  <c r="HC78" i="19"/>
  <c r="HB78" i="19"/>
  <c r="HA78" i="19"/>
  <c r="GZ78" i="19"/>
  <c r="GY78" i="19"/>
  <c r="GX78" i="19"/>
  <c r="GW78" i="19"/>
  <c r="GV78" i="19"/>
  <c r="GU78" i="19"/>
  <c r="GT78" i="19"/>
  <c r="GS78" i="19"/>
  <c r="HD54" i="19"/>
  <c r="HC54" i="19"/>
  <c r="HB54" i="19"/>
  <c r="HA54" i="19"/>
  <c r="HA58" i="19" s="1"/>
  <c r="HA69" i="19" s="1"/>
  <c r="GZ54" i="19"/>
  <c r="GY54" i="19"/>
  <c r="GX54" i="19"/>
  <c r="GW54" i="19"/>
  <c r="GW58" i="19" s="1"/>
  <c r="GW69" i="19" s="1"/>
  <c r="GV54" i="19"/>
  <c r="GU54" i="19"/>
  <c r="GT54" i="19"/>
  <c r="GS54" i="19"/>
  <c r="GW26" i="19"/>
  <c r="HD11" i="19"/>
  <c r="HC11" i="19"/>
  <c r="HB11" i="19"/>
  <c r="HA11" i="19"/>
  <c r="HA15" i="19" s="1"/>
  <c r="HA26" i="19" s="1"/>
  <c r="GZ11" i="19"/>
  <c r="GY11" i="19"/>
  <c r="GX11" i="19"/>
  <c r="GW11" i="19"/>
  <c r="GW15" i="19" s="1"/>
  <c r="GX16" i="19" s="1"/>
  <c r="GX27" i="19" s="1"/>
  <c r="GV11" i="19"/>
  <c r="GU11" i="19"/>
  <c r="GT11" i="19"/>
  <c r="GS11" i="19"/>
  <c r="HD7" i="19"/>
  <c r="HC7" i="19"/>
  <c r="HB7" i="19"/>
  <c r="HA7" i="19"/>
  <c r="HA50" i="19" s="1"/>
  <c r="HA97" i="19" s="1"/>
  <c r="HA143" i="19" s="1"/>
  <c r="GZ7" i="19"/>
  <c r="GY7" i="19"/>
  <c r="GX7" i="19"/>
  <c r="GW7" i="19"/>
  <c r="GW50" i="19" s="1"/>
  <c r="GW97" i="19" s="1"/>
  <c r="GW143" i="19" s="1"/>
  <c r="GV7" i="19"/>
  <c r="GU7" i="19"/>
  <c r="GT7" i="19"/>
  <c r="GS7" i="19"/>
  <c r="HD151" i="19"/>
  <c r="GZ151" i="19"/>
  <c r="GV151" i="19"/>
  <c r="GW152" i="19" s="1"/>
  <c r="GX153" i="19" s="1"/>
  <c r="GY154" i="19" s="1"/>
  <c r="GY165" i="19" s="1"/>
  <c r="GY176" i="19" s="1"/>
  <c r="GU151" i="19"/>
  <c r="HC105" i="19"/>
  <c r="HD106" i="19" s="1"/>
  <c r="GU105" i="19"/>
  <c r="GV106" i="19" s="1"/>
  <c r="GW107" i="19" s="1"/>
  <c r="GX108" i="19" s="1"/>
  <c r="GX119" i="19" s="1"/>
  <c r="GX130" i="19" s="1"/>
  <c r="HD105" i="19"/>
  <c r="GZ105" i="19"/>
  <c r="GX105" i="19"/>
  <c r="GV105" i="19"/>
  <c r="GT105" i="19"/>
  <c r="GU106" i="19" s="1"/>
  <c r="GV107" i="19" s="1"/>
  <c r="GW108" i="19" s="1"/>
  <c r="GW119" i="19" s="1"/>
  <c r="GW130" i="19" s="1"/>
  <c r="HC58" i="19"/>
  <c r="HC69" i="19" s="1"/>
  <c r="GY58" i="19"/>
  <c r="GY69" i="19" s="1"/>
  <c r="GU58" i="19"/>
  <c r="GU69" i="19" s="1"/>
  <c r="HD15" i="19"/>
  <c r="HD26" i="19" s="1"/>
  <c r="HC15" i="19"/>
  <c r="HC26" i="19" s="1"/>
  <c r="GY15" i="19"/>
  <c r="GY26" i="19" s="1"/>
  <c r="GU15" i="19"/>
  <c r="GU26" i="19" s="1"/>
  <c r="HD50" i="19"/>
  <c r="HD97" i="19" s="1"/>
  <c r="HD143" i="19" s="1"/>
  <c r="HC50" i="19"/>
  <c r="HC97" i="19" s="1"/>
  <c r="HC143" i="19" s="1"/>
  <c r="HB50" i="19"/>
  <c r="HB97" i="19" s="1"/>
  <c r="HB143" i="19" s="1"/>
  <c r="GZ50" i="19"/>
  <c r="GZ97" i="19" s="1"/>
  <c r="GZ143" i="19" s="1"/>
  <c r="GY50" i="19"/>
  <c r="GY97" i="19" s="1"/>
  <c r="GY143" i="19" s="1"/>
  <c r="GX50" i="19"/>
  <c r="GX97" i="19" s="1"/>
  <c r="GX143" i="19" s="1"/>
  <c r="GU50" i="19"/>
  <c r="GU97" i="19" s="1"/>
  <c r="GU143" i="19" s="1"/>
  <c r="GT50" i="19"/>
  <c r="GT97" i="19" s="1"/>
  <c r="GT143" i="19" s="1"/>
  <c r="GS50" i="19"/>
  <c r="GS97" i="19" s="1"/>
  <c r="GS143" i="19" s="1"/>
  <c r="GQ175" i="19"/>
  <c r="GP175" i="19"/>
  <c r="GO175" i="19"/>
  <c r="GN175" i="19"/>
  <c r="GM175" i="19"/>
  <c r="GL175" i="19"/>
  <c r="GK175" i="19"/>
  <c r="GJ175" i="19"/>
  <c r="GI175" i="19"/>
  <c r="GH175" i="19"/>
  <c r="GG175" i="19"/>
  <c r="GQ174" i="19"/>
  <c r="GP174" i="19"/>
  <c r="GO174" i="19"/>
  <c r="GN174" i="19"/>
  <c r="GM174" i="19"/>
  <c r="GL174" i="19"/>
  <c r="GK174" i="19"/>
  <c r="GJ174" i="19"/>
  <c r="GI174" i="19"/>
  <c r="GH174" i="19"/>
  <c r="GG174" i="19"/>
  <c r="GF175" i="19"/>
  <c r="GF174" i="19"/>
  <c r="GQ147" i="19"/>
  <c r="GS151" i="19" s="1"/>
  <c r="GP147" i="19"/>
  <c r="GO147" i="19"/>
  <c r="GN147" i="19"/>
  <c r="GM147" i="19"/>
  <c r="GL147" i="19"/>
  <c r="GK147" i="19"/>
  <c r="GJ147" i="19"/>
  <c r="GI147" i="19"/>
  <c r="GH147" i="19"/>
  <c r="GG147" i="19"/>
  <c r="GF147" i="19"/>
  <c r="GQ129" i="19"/>
  <c r="GP129" i="19"/>
  <c r="GO129" i="19"/>
  <c r="GN129" i="19"/>
  <c r="GM129" i="19"/>
  <c r="GL129" i="19"/>
  <c r="GK129" i="19"/>
  <c r="GJ129" i="19"/>
  <c r="GI129" i="19"/>
  <c r="GH129" i="19"/>
  <c r="GG129" i="19"/>
  <c r="GQ128" i="19"/>
  <c r="GP128" i="19"/>
  <c r="GO128" i="19"/>
  <c r="GN128" i="19"/>
  <c r="GM128" i="19"/>
  <c r="GL128" i="19"/>
  <c r="GK128" i="19"/>
  <c r="GJ128" i="19"/>
  <c r="GI128" i="19"/>
  <c r="GH128" i="19"/>
  <c r="GG128" i="19"/>
  <c r="GF129" i="19"/>
  <c r="GF128" i="19"/>
  <c r="GQ101" i="19"/>
  <c r="GP101" i="19"/>
  <c r="GO101" i="19"/>
  <c r="GN101" i="19"/>
  <c r="GM101" i="19"/>
  <c r="GL101" i="19"/>
  <c r="GK101" i="19"/>
  <c r="GJ101" i="19"/>
  <c r="GI101" i="19"/>
  <c r="GH101" i="19"/>
  <c r="GG101" i="19"/>
  <c r="GF101" i="19"/>
  <c r="GQ78" i="19"/>
  <c r="GP78" i="19"/>
  <c r="GO78" i="19"/>
  <c r="GN78" i="19"/>
  <c r="GM78" i="19"/>
  <c r="GL78" i="19"/>
  <c r="GK78" i="19"/>
  <c r="GJ78" i="19"/>
  <c r="GI78" i="19"/>
  <c r="GH78" i="19"/>
  <c r="GG78" i="19"/>
  <c r="GF78" i="19"/>
  <c r="GX151" i="19" l="1"/>
  <c r="HB151" i="19"/>
  <c r="HA151" i="19"/>
  <c r="HB152" i="19" s="1"/>
  <c r="HC153" i="19" s="1"/>
  <c r="HD154" i="19" s="1"/>
  <c r="HD165" i="19" s="1"/>
  <c r="HD176" i="19" s="1"/>
  <c r="HA105" i="19"/>
  <c r="HB15" i="19"/>
  <c r="HB26" i="19" s="1"/>
  <c r="GY17" i="19"/>
  <c r="GY28" i="19" s="1"/>
  <c r="GV16" i="19"/>
  <c r="GV27" i="19" s="1"/>
  <c r="GZ16" i="19"/>
  <c r="GZ27" i="19" s="1"/>
  <c r="HD16" i="19"/>
  <c r="HD27" i="19" s="1"/>
  <c r="GT15" i="19"/>
  <c r="GT26" i="19" s="1"/>
  <c r="GX59" i="19"/>
  <c r="GX70" i="19" s="1"/>
  <c r="GX15" i="19"/>
  <c r="GX26" i="19" s="1"/>
  <c r="HC16" i="19"/>
  <c r="HC27" i="19" s="1"/>
  <c r="HB16" i="19"/>
  <c r="HB27" i="19" s="1"/>
  <c r="GV59" i="19"/>
  <c r="GV70" i="19" s="1"/>
  <c r="GZ59" i="19"/>
  <c r="GZ70" i="19" s="1"/>
  <c r="HD59" i="19"/>
  <c r="HD70" i="19" s="1"/>
  <c r="HB106" i="19"/>
  <c r="HC107" i="19" s="1"/>
  <c r="GV58" i="19"/>
  <c r="GV69" i="19" s="1"/>
  <c r="GZ58" i="19"/>
  <c r="GZ69" i="19" s="1"/>
  <c r="HD58" i="19"/>
  <c r="HD69" i="19" s="1"/>
  <c r="GT152" i="19"/>
  <c r="GU153" i="19" s="1"/>
  <c r="GV154" i="19" s="1"/>
  <c r="GV165" i="19" s="1"/>
  <c r="GV176" i="19" s="1"/>
  <c r="HB59" i="19"/>
  <c r="HB70" i="19" s="1"/>
  <c r="GV15" i="19"/>
  <c r="GV26" i="19" s="1"/>
  <c r="GZ15" i="19"/>
  <c r="GZ26" i="19" s="1"/>
  <c r="GV50" i="19"/>
  <c r="GV97" i="19" s="1"/>
  <c r="GV143" i="19" s="1"/>
  <c r="GX109" i="19"/>
  <c r="GX120" i="19" s="1"/>
  <c r="GX106" i="19"/>
  <c r="GY107" i="19" s="1"/>
  <c r="GZ108" i="19" s="1"/>
  <c r="GZ119" i="19" s="1"/>
  <c r="GZ130" i="19" s="1"/>
  <c r="GT58" i="19"/>
  <c r="GT69" i="19" s="1"/>
  <c r="GX58" i="19"/>
  <c r="GX69" i="19" s="1"/>
  <c r="HB58" i="19"/>
  <c r="HB69" i="19" s="1"/>
  <c r="GW106" i="19"/>
  <c r="GX107" i="19" s="1"/>
  <c r="GY108" i="19" s="1"/>
  <c r="GY119" i="19" s="1"/>
  <c r="GY130" i="19" s="1"/>
  <c r="HA106" i="19"/>
  <c r="HB107" i="19" s="1"/>
  <c r="HC108" i="19" s="1"/>
  <c r="HC119" i="19" s="1"/>
  <c r="HC130" i="19" s="1"/>
  <c r="GY105" i="19"/>
  <c r="GY106" i="19"/>
  <c r="GZ107" i="19" s="1"/>
  <c r="HA108" i="19" s="1"/>
  <c r="HA119" i="19" s="1"/>
  <c r="HA130" i="19" s="1"/>
  <c r="GY109" i="19"/>
  <c r="GY120" i="19" s="1"/>
  <c r="GS105" i="19"/>
  <c r="GV152" i="19"/>
  <c r="GW153" i="19" s="1"/>
  <c r="GX154" i="19" s="1"/>
  <c r="GX165" i="19" s="1"/>
  <c r="GX176" i="19" s="1"/>
  <c r="GZ152" i="19"/>
  <c r="HA153" i="19" s="1"/>
  <c r="HB154" i="19" s="1"/>
  <c r="HB165" i="19" s="1"/>
  <c r="HB176" i="19" s="1"/>
  <c r="HD152" i="19"/>
  <c r="GZ155" i="19"/>
  <c r="GZ166" i="19" s="1"/>
  <c r="GW151" i="19"/>
  <c r="HA152" i="19"/>
  <c r="GU152" i="19"/>
  <c r="GV153" i="19" s="1"/>
  <c r="GW154" i="19" s="1"/>
  <c r="GW165" i="19" s="1"/>
  <c r="GW176" i="19" s="1"/>
  <c r="GY152" i="19"/>
  <c r="GZ153" i="19" s="1"/>
  <c r="HA154" i="19" s="1"/>
  <c r="HA165" i="19" s="1"/>
  <c r="HA176" i="19" s="1"/>
  <c r="HC152" i="19"/>
  <c r="HD153" i="19" s="1"/>
  <c r="GQ54" i="19"/>
  <c r="GS58" i="19" s="1"/>
  <c r="GS69" i="19" s="1"/>
  <c r="GP54" i="19"/>
  <c r="GO54" i="19"/>
  <c r="GN54" i="19"/>
  <c r="GO58" i="19" s="1"/>
  <c r="GO69" i="19" s="1"/>
  <c r="GM54" i="19"/>
  <c r="GL54" i="19"/>
  <c r="GK54" i="19"/>
  <c r="GJ54" i="19"/>
  <c r="GI54" i="19"/>
  <c r="GH54" i="19"/>
  <c r="GG54" i="19"/>
  <c r="GF54" i="19"/>
  <c r="GG58" i="19" s="1"/>
  <c r="GG69" i="19" s="1"/>
  <c r="GQ11" i="19"/>
  <c r="GS15" i="19" s="1"/>
  <c r="GP11" i="19"/>
  <c r="GO11" i="19"/>
  <c r="GN11" i="19"/>
  <c r="GM11" i="19"/>
  <c r="GL11" i="19"/>
  <c r="GK11" i="19"/>
  <c r="GJ11" i="19"/>
  <c r="GK15" i="19" s="1"/>
  <c r="GK26" i="19" s="1"/>
  <c r="GI11" i="19"/>
  <c r="GH11" i="19"/>
  <c r="GG11" i="19"/>
  <c r="GF11" i="19"/>
  <c r="GQ7" i="19"/>
  <c r="GP7" i="19"/>
  <c r="GP50" i="19" s="1"/>
  <c r="GP97" i="19" s="1"/>
  <c r="GP143" i="19" s="1"/>
  <c r="GO7" i="19"/>
  <c r="GO50" i="19" s="1"/>
  <c r="GO97" i="19" s="1"/>
  <c r="GO143" i="19" s="1"/>
  <c r="GN7" i="19"/>
  <c r="GN50" i="19" s="1"/>
  <c r="GN97" i="19" s="1"/>
  <c r="GN143" i="19" s="1"/>
  <c r="GM7" i="19"/>
  <c r="GL7" i="19"/>
  <c r="GK7" i="19"/>
  <c r="GK50" i="19" s="1"/>
  <c r="GK97" i="19" s="1"/>
  <c r="GK143" i="19" s="1"/>
  <c r="GJ7" i="19"/>
  <c r="GJ50" i="19" s="1"/>
  <c r="GJ97" i="19" s="1"/>
  <c r="GJ143" i="19" s="1"/>
  <c r="GI7" i="19"/>
  <c r="GH7" i="19"/>
  <c r="GG7" i="19"/>
  <c r="GF7" i="19"/>
  <c r="GQ151" i="19"/>
  <c r="GS152" i="19" s="1"/>
  <c r="GP151" i="19"/>
  <c r="GO151" i="19"/>
  <c r="GN151" i="19"/>
  <c r="GL151" i="19"/>
  <c r="GK151" i="19"/>
  <c r="GJ151" i="19"/>
  <c r="GH151" i="19"/>
  <c r="GG151" i="19"/>
  <c r="GL105" i="19"/>
  <c r="GM106" i="19" s="1"/>
  <c r="GN107" i="19" s="1"/>
  <c r="GO108" i="19" s="1"/>
  <c r="GO119" i="19" s="1"/>
  <c r="GO130" i="19" s="1"/>
  <c r="GQ105" i="19"/>
  <c r="GS106" i="19" s="1"/>
  <c r="GT107" i="19" s="1"/>
  <c r="GU108" i="19" s="1"/>
  <c r="GO105" i="19"/>
  <c r="GN105" i="19"/>
  <c r="GM105" i="19"/>
  <c r="GK105" i="19"/>
  <c r="GJ105" i="19"/>
  <c r="GI105" i="19"/>
  <c r="GG105" i="19"/>
  <c r="GM58" i="19"/>
  <c r="GM69" i="19" s="1"/>
  <c r="GQ58" i="19"/>
  <c r="GP58" i="19"/>
  <c r="GP69" i="19" s="1"/>
  <c r="GL58" i="19"/>
  <c r="GH58" i="19"/>
  <c r="GH69" i="19" s="1"/>
  <c r="GI15" i="19"/>
  <c r="GJ16" i="19" s="1"/>
  <c r="GJ27" i="19" s="1"/>
  <c r="GQ15" i="19"/>
  <c r="GH15" i="19"/>
  <c r="GH26" i="19" s="1"/>
  <c r="GQ50" i="19"/>
  <c r="GQ97" i="19" s="1"/>
  <c r="GQ143" i="19" s="1"/>
  <c r="GL50" i="19"/>
  <c r="GL97" i="19" s="1"/>
  <c r="GL143" i="19" s="1"/>
  <c r="GH50" i="19"/>
  <c r="GH97" i="19" s="1"/>
  <c r="GH143" i="19" s="1"/>
  <c r="GG50" i="19"/>
  <c r="GG97" i="19" s="1"/>
  <c r="GG143" i="19" s="1"/>
  <c r="GF50" i="19"/>
  <c r="GF97" i="19" s="1"/>
  <c r="GF143" i="19" s="1"/>
  <c r="GD175" i="19"/>
  <c r="GC175" i="19"/>
  <c r="GB175" i="19"/>
  <c r="GA175" i="19"/>
  <c r="FZ175" i="19"/>
  <c r="FY175" i="19"/>
  <c r="FX175" i="19"/>
  <c r="FW175" i="19"/>
  <c r="FV175" i="19"/>
  <c r="FU175" i="19"/>
  <c r="FT175" i="19"/>
  <c r="GD174" i="19"/>
  <c r="GC174" i="19"/>
  <c r="GB174" i="19"/>
  <c r="GA174" i="19"/>
  <c r="FZ174" i="19"/>
  <c r="FY174" i="19"/>
  <c r="FX174" i="19"/>
  <c r="FW174" i="19"/>
  <c r="FV174" i="19"/>
  <c r="FU174" i="19"/>
  <c r="FT174" i="19"/>
  <c r="FS175" i="19"/>
  <c r="FS174" i="19"/>
  <c r="GD147" i="19"/>
  <c r="GC147" i="19"/>
  <c r="GB147" i="19"/>
  <c r="GA147" i="19"/>
  <c r="FZ147" i="19"/>
  <c r="FY147" i="19"/>
  <c r="FX147" i="19"/>
  <c r="FW147" i="19"/>
  <c r="FV147" i="19"/>
  <c r="FU147" i="19"/>
  <c r="FT147" i="19"/>
  <c r="FS147" i="19"/>
  <c r="GD129" i="19"/>
  <c r="GC129" i="19"/>
  <c r="GB129" i="19"/>
  <c r="GA129" i="19"/>
  <c r="FZ129" i="19"/>
  <c r="FY129" i="19"/>
  <c r="FX129" i="19"/>
  <c r="FW129" i="19"/>
  <c r="FV129" i="19"/>
  <c r="FU129" i="19"/>
  <c r="FT129" i="19"/>
  <c r="GD128" i="19"/>
  <c r="GC128" i="19"/>
  <c r="GB128" i="19"/>
  <c r="GA128" i="19"/>
  <c r="FZ128" i="19"/>
  <c r="FY128" i="19"/>
  <c r="FX128" i="19"/>
  <c r="FW128" i="19"/>
  <c r="FV128" i="19"/>
  <c r="FU128" i="19"/>
  <c r="FT128" i="19"/>
  <c r="GD119" i="19"/>
  <c r="GD130" i="19" s="1"/>
  <c r="FS129" i="19"/>
  <c r="FS128" i="19"/>
  <c r="GD101" i="19"/>
  <c r="GC101" i="19"/>
  <c r="GD105" i="19" s="1"/>
  <c r="GF106" i="19" s="1"/>
  <c r="GG107" i="19" s="1"/>
  <c r="GH108" i="19" s="1"/>
  <c r="GH119" i="19" s="1"/>
  <c r="GH130" i="19" s="1"/>
  <c r="GB101" i="19"/>
  <c r="GA101" i="19"/>
  <c r="FZ101" i="19"/>
  <c r="FY101" i="19"/>
  <c r="FY105" i="19" s="1"/>
  <c r="FX101" i="19"/>
  <c r="FW101" i="19"/>
  <c r="FV101" i="19"/>
  <c r="FU101" i="19"/>
  <c r="FT101" i="19"/>
  <c r="FS101" i="19"/>
  <c r="FT105" i="19" s="1"/>
  <c r="GD78" i="19"/>
  <c r="GC78" i="19"/>
  <c r="GB78" i="19"/>
  <c r="GA78" i="19"/>
  <c r="FZ78" i="19"/>
  <c r="FY78" i="19"/>
  <c r="FX78" i="19"/>
  <c r="FW78" i="19"/>
  <c r="FV78" i="19"/>
  <c r="FU78" i="19"/>
  <c r="FT78" i="19"/>
  <c r="FS78" i="19"/>
  <c r="GD54" i="19"/>
  <c r="GC54" i="19"/>
  <c r="GB54" i="19"/>
  <c r="GA54" i="19"/>
  <c r="FZ54" i="19"/>
  <c r="FY54" i="19"/>
  <c r="FX54" i="19"/>
  <c r="FW54" i="19"/>
  <c r="FV54" i="19"/>
  <c r="FU54" i="19"/>
  <c r="FT54" i="19"/>
  <c r="FS54" i="19"/>
  <c r="FY26" i="19"/>
  <c r="GD11" i="19"/>
  <c r="GC11" i="19"/>
  <c r="GB11" i="19"/>
  <c r="GA11" i="19"/>
  <c r="FZ11" i="19"/>
  <c r="FY11" i="19"/>
  <c r="FX11" i="19"/>
  <c r="FW11" i="19"/>
  <c r="FX15" i="19" s="1"/>
  <c r="FX26" i="19" s="1"/>
  <c r="FV11" i="19"/>
  <c r="FU11" i="19"/>
  <c r="FT11" i="19"/>
  <c r="FS11" i="19"/>
  <c r="GD7" i="19"/>
  <c r="GC7" i="19"/>
  <c r="GB7" i="19"/>
  <c r="GA7" i="19"/>
  <c r="FZ7" i="19"/>
  <c r="FY7" i="19"/>
  <c r="FX7" i="19"/>
  <c r="FW7" i="19"/>
  <c r="FV7" i="19"/>
  <c r="FU7" i="19"/>
  <c r="FT7" i="19"/>
  <c r="FS7" i="19"/>
  <c r="FT151" i="19"/>
  <c r="FU152" i="19" s="1"/>
  <c r="FV153" i="19" s="1"/>
  <c r="FW154" i="19" s="1"/>
  <c r="FW165" i="19" s="1"/>
  <c r="FW176" i="19" s="1"/>
  <c r="GD151" i="19"/>
  <c r="GF152" i="19" s="1"/>
  <c r="GG153" i="19" s="1"/>
  <c r="GH154" i="19" s="1"/>
  <c r="GH165" i="19" s="1"/>
  <c r="GH176" i="19" s="1"/>
  <c r="GC151" i="19"/>
  <c r="FZ151" i="19"/>
  <c r="FY151" i="19"/>
  <c r="FV151" i="19"/>
  <c r="FW152" i="19" s="1"/>
  <c r="FX153" i="19" s="1"/>
  <c r="FY154" i="19" s="1"/>
  <c r="FY165" i="19" s="1"/>
  <c r="FY176" i="19" s="1"/>
  <c r="FU151" i="19"/>
  <c r="GA105" i="19"/>
  <c r="GB106" i="19" s="1"/>
  <c r="GC107" i="19" s="1"/>
  <c r="GD108" i="19" s="1"/>
  <c r="GF109" i="19" s="1"/>
  <c r="FW105" i="19"/>
  <c r="FX106" i="19" s="1"/>
  <c r="FY107" i="19" s="1"/>
  <c r="FZ108" i="19" s="1"/>
  <c r="FZ119" i="19" s="1"/>
  <c r="FZ130" i="19" s="1"/>
  <c r="GB105" i="19"/>
  <c r="FX105" i="19"/>
  <c r="GD58" i="19"/>
  <c r="GD69" i="19" s="1"/>
  <c r="GC58" i="19"/>
  <c r="GC69" i="19" s="1"/>
  <c r="FZ58" i="19"/>
  <c r="FZ69" i="19" s="1"/>
  <c r="FY58" i="19"/>
  <c r="FY69" i="19" s="1"/>
  <c r="FV58" i="19"/>
  <c r="FV69" i="19" s="1"/>
  <c r="FU58" i="19"/>
  <c r="FU69" i="19" s="1"/>
  <c r="GD15" i="19"/>
  <c r="GC15" i="19"/>
  <c r="GC26" i="19" s="1"/>
  <c r="GB15" i="19"/>
  <c r="GB26" i="19" s="1"/>
  <c r="FZ15" i="19"/>
  <c r="FY15" i="19"/>
  <c r="FV15" i="19"/>
  <c r="FU15" i="19"/>
  <c r="FU26" i="19" s="1"/>
  <c r="FT15" i="19"/>
  <c r="FT26" i="19" s="1"/>
  <c r="GD50" i="19"/>
  <c r="GD97" i="19" s="1"/>
  <c r="GD143" i="19" s="1"/>
  <c r="GC50" i="19"/>
  <c r="GC97" i="19" s="1"/>
  <c r="GC143" i="19" s="1"/>
  <c r="GB50" i="19"/>
  <c r="GB97" i="19" s="1"/>
  <c r="GB143" i="19" s="1"/>
  <c r="GA50" i="19"/>
  <c r="GA97" i="19" s="1"/>
  <c r="GA143" i="19" s="1"/>
  <c r="FZ50" i="19"/>
  <c r="FZ97" i="19" s="1"/>
  <c r="FZ143" i="19" s="1"/>
  <c r="FY50" i="19"/>
  <c r="FY97" i="19" s="1"/>
  <c r="FY143" i="19" s="1"/>
  <c r="FX50" i="19"/>
  <c r="FX97" i="19" s="1"/>
  <c r="FX143" i="19" s="1"/>
  <c r="FW50" i="19"/>
  <c r="FW97" i="19" s="1"/>
  <c r="FW143" i="19" s="1"/>
  <c r="FV50" i="19"/>
  <c r="FV97" i="19" s="1"/>
  <c r="FV143" i="19" s="1"/>
  <c r="FU50" i="19"/>
  <c r="FU97" i="19" s="1"/>
  <c r="FU143" i="19" s="1"/>
  <c r="FT50" i="19"/>
  <c r="FT97" i="19" s="1"/>
  <c r="FT143" i="19" s="1"/>
  <c r="FQ175" i="19"/>
  <c r="FP175" i="19"/>
  <c r="FO175" i="19"/>
  <c r="FN175" i="19"/>
  <c r="FM175" i="19"/>
  <c r="FL175" i="19"/>
  <c r="FK175" i="19"/>
  <c r="FJ175" i="19"/>
  <c r="FI175" i="19"/>
  <c r="FH175" i="19"/>
  <c r="FG175" i="19"/>
  <c r="FQ174" i="19"/>
  <c r="FP174" i="19"/>
  <c r="FO174" i="19"/>
  <c r="FN174" i="19"/>
  <c r="FM174" i="19"/>
  <c r="FL174" i="19"/>
  <c r="FK174" i="19"/>
  <c r="FJ174" i="19"/>
  <c r="FI174" i="19"/>
  <c r="FH174" i="19"/>
  <c r="FG174" i="19"/>
  <c r="FF175" i="19"/>
  <c r="FF174" i="19"/>
  <c r="FQ147" i="19"/>
  <c r="FS151" i="19" s="1"/>
  <c r="FT152" i="19" s="1"/>
  <c r="FP147" i="19"/>
  <c r="FO147" i="19"/>
  <c r="FN147" i="19"/>
  <c r="FO151" i="19" s="1"/>
  <c r="FM147" i="19"/>
  <c r="FL147" i="19"/>
  <c r="FK147" i="19"/>
  <c r="FJ147" i="19"/>
  <c r="FI147" i="19"/>
  <c r="FH147" i="19"/>
  <c r="FG147" i="19"/>
  <c r="FF147" i="19"/>
  <c r="FQ129" i="19"/>
  <c r="FP129" i="19"/>
  <c r="FO129" i="19"/>
  <c r="FN129" i="19"/>
  <c r="FM129" i="19"/>
  <c r="FL129" i="19"/>
  <c r="FK129" i="19"/>
  <c r="FJ129" i="19"/>
  <c r="FI129" i="19"/>
  <c r="FH129" i="19"/>
  <c r="FG129" i="19"/>
  <c r="FQ128" i="19"/>
  <c r="FP128" i="19"/>
  <c r="FO128" i="19"/>
  <c r="FN128" i="19"/>
  <c r="FM128" i="19"/>
  <c r="FL128" i="19"/>
  <c r="FK128" i="19"/>
  <c r="FJ128" i="19"/>
  <c r="FI128" i="19"/>
  <c r="FH128" i="19"/>
  <c r="FG128" i="19"/>
  <c r="FF129" i="19"/>
  <c r="FF128" i="19"/>
  <c r="FQ101" i="19"/>
  <c r="FP101" i="19"/>
  <c r="FO101" i="19"/>
  <c r="FN101" i="19"/>
  <c r="FM101" i="19"/>
  <c r="FL101" i="19"/>
  <c r="FK101" i="19"/>
  <c r="FL105" i="19" s="1"/>
  <c r="FJ101" i="19"/>
  <c r="FI101" i="19"/>
  <c r="FH101" i="19"/>
  <c r="FG101" i="19"/>
  <c r="FH105" i="19" s="1"/>
  <c r="FF101" i="19"/>
  <c r="FQ78" i="19"/>
  <c r="FP78" i="19"/>
  <c r="FO78" i="19"/>
  <c r="FN78" i="19"/>
  <c r="FM78" i="19"/>
  <c r="FL78" i="19"/>
  <c r="FK78" i="19"/>
  <c r="FJ78" i="19"/>
  <c r="FI78" i="19"/>
  <c r="FH78" i="19"/>
  <c r="FG78" i="19"/>
  <c r="FF78" i="19"/>
  <c r="FQ54" i="19"/>
  <c r="FQ58" i="19" s="1"/>
  <c r="FP54" i="19"/>
  <c r="FO54" i="19"/>
  <c r="FN54" i="19"/>
  <c r="FM54" i="19"/>
  <c r="FN58" i="19" s="1"/>
  <c r="FL54" i="19"/>
  <c r="FK54" i="19"/>
  <c r="FJ54" i="19"/>
  <c r="FI54" i="19"/>
  <c r="FJ58" i="19" s="1"/>
  <c r="FJ69" i="19" s="1"/>
  <c r="FH54" i="19"/>
  <c r="FG54" i="19"/>
  <c r="FF54" i="19"/>
  <c r="FQ11" i="19"/>
  <c r="FP11" i="19"/>
  <c r="FO11" i="19"/>
  <c r="FP15" i="19" s="1"/>
  <c r="FP26" i="19" s="1"/>
  <c r="FN11" i="19"/>
  <c r="FM11" i="19"/>
  <c r="FM15" i="19" s="1"/>
  <c r="FM26" i="19" s="1"/>
  <c r="FL11" i="19"/>
  <c r="FK11" i="19"/>
  <c r="FL15" i="19" s="1"/>
  <c r="FJ11" i="19"/>
  <c r="FI11" i="19"/>
  <c r="FI15" i="19" s="1"/>
  <c r="FI26" i="19" s="1"/>
  <c r="FH11" i="19"/>
  <c r="FG11" i="19"/>
  <c r="FG15" i="19" s="1"/>
  <c r="FG26" i="19" s="1"/>
  <c r="FF11" i="19"/>
  <c r="FQ7" i="19"/>
  <c r="FQ50" i="19" s="1"/>
  <c r="FQ97" i="19" s="1"/>
  <c r="FQ143" i="19" s="1"/>
  <c r="FP7" i="19"/>
  <c r="FO7" i="19"/>
  <c r="FO50" i="19" s="1"/>
  <c r="FO97" i="19" s="1"/>
  <c r="FO143" i="19" s="1"/>
  <c r="FN7" i="19"/>
  <c r="FN50" i="19" s="1"/>
  <c r="FN97" i="19" s="1"/>
  <c r="FN143" i="19" s="1"/>
  <c r="FM7" i="19"/>
  <c r="FM50" i="19" s="1"/>
  <c r="FM97" i="19" s="1"/>
  <c r="FM143" i="19" s="1"/>
  <c r="FL7" i="19"/>
  <c r="FK7" i="19"/>
  <c r="FK50" i="19" s="1"/>
  <c r="FK97" i="19" s="1"/>
  <c r="FK143" i="19" s="1"/>
  <c r="FJ7" i="19"/>
  <c r="FI7" i="19"/>
  <c r="FH7" i="19"/>
  <c r="FH50" i="19" s="1"/>
  <c r="FH97" i="19" s="1"/>
  <c r="FH143" i="19" s="1"/>
  <c r="FG7" i="19"/>
  <c r="FG50" i="19" s="1"/>
  <c r="FG97" i="19" s="1"/>
  <c r="FG143" i="19" s="1"/>
  <c r="FF7" i="19"/>
  <c r="FQ151" i="19"/>
  <c r="FS152" i="19" s="1"/>
  <c r="FT153" i="19" s="1"/>
  <c r="FU154" i="19" s="1"/>
  <c r="FU165" i="19" s="1"/>
  <c r="FU176" i="19" s="1"/>
  <c r="FP151" i="19"/>
  <c r="FQ152" i="19" s="1"/>
  <c r="FS153" i="19" s="1"/>
  <c r="FT154" i="19" s="1"/>
  <c r="FT165" i="19" s="1"/>
  <c r="FT176" i="19" s="1"/>
  <c r="FN151" i="19"/>
  <c r="FM151" i="19"/>
  <c r="FL151" i="19"/>
  <c r="FM152" i="19" s="1"/>
  <c r="FN153" i="19" s="1"/>
  <c r="FO154" i="19" s="1"/>
  <c r="FO165" i="19" s="1"/>
  <c r="FO176" i="19" s="1"/>
  <c r="FK151" i="19"/>
  <c r="FJ151" i="19"/>
  <c r="FI151" i="19"/>
  <c r="FH151" i="19"/>
  <c r="FI152" i="19" s="1"/>
  <c r="FJ153" i="19" s="1"/>
  <c r="FK154" i="19" s="1"/>
  <c r="FK165" i="19" s="1"/>
  <c r="FK176" i="19" s="1"/>
  <c r="FG151" i="19"/>
  <c r="FQ105" i="19"/>
  <c r="FS106" i="19" s="1"/>
  <c r="FT107" i="19" s="1"/>
  <c r="FU108" i="19" s="1"/>
  <c r="FU119" i="19" s="1"/>
  <c r="FU130" i="19" s="1"/>
  <c r="FP105" i="19"/>
  <c r="FN105" i="19"/>
  <c r="FM105" i="19"/>
  <c r="FI105" i="19"/>
  <c r="FF105" i="19"/>
  <c r="FK58" i="19"/>
  <c r="FK69" i="19" s="1"/>
  <c r="FL50" i="19"/>
  <c r="FL97" i="19" s="1"/>
  <c r="FL143" i="19" s="1"/>
  <c r="FQ15" i="19"/>
  <c r="FS16" i="19" s="1"/>
  <c r="FK15" i="19"/>
  <c r="FK26" i="19" s="1"/>
  <c r="FH15" i="19"/>
  <c r="FH26" i="19" s="1"/>
  <c r="FP50" i="19"/>
  <c r="FP97" i="19" s="1"/>
  <c r="FP143" i="19" s="1"/>
  <c r="FI50" i="19"/>
  <c r="FI97" i="19" s="1"/>
  <c r="FI143" i="19" s="1"/>
  <c r="FF50" i="19"/>
  <c r="FF97" i="19" s="1"/>
  <c r="FF143" i="19" s="1"/>
  <c r="FD175" i="19"/>
  <c r="FC175" i="19"/>
  <c r="FB175" i="19"/>
  <c r="FA175" i="19"/>
  <c r="EZ175" i="19"/>
  <c r="EY175" i="19"/>
  <c r="EX175" i="19"/>
  <c r="EW175" i="19"/>
  <c r="EV175" i="19"/>
  <c r="EU175" i="19"/>
  <c r="ET175" i="19"/>
  <c r="FD174" i="19"/>
  <c r="FC174" i="19"/>
  <c r="FB174" i="19"/>
  <c r="FA174" i="19"/>
  <c r="EZ174" i="19"/>
  <c r="EY174" i="19"/>
  <c r="EX174" i="19"/>
  <c r="EW174" i="19"/>
  <c r="EV174" i="19"/>
  <c r="EU174" i="19"/>
  <c r="ET174" i="19"/>
  <c r="ES175" i="19"/>
  <c r="ES174" i="19"/>
  <c r="FD147" i="19"/>
  <c r="FF151" i="19" s="1"/>
  <c r="FC147" i="19"/>
  <c r="FB147" i="19"/>
  <c r="FA147" i="19"/>
  <c r="EZ147" i="19"/>
  <c r="EY147" i="19"/>
  <c r="EX147" i="19"/>
  <c r="EW147" i="19"/>
  <c r="EV147" i="19"/>
  <c r="EU147" i="19"/>
  <c r="ET147" i="19"/>
  <c r="ES147" i="19"/>
  <c r="FD129" i="19"/>
  <c r="FC129" i="19"/>
  <c r="FB129" i="19"/>
  <c r="FA129" i="19"/>
  <c r="EZ129" i="19"/>
  <c r="EY129" i="19"/>
  <c r="EX129" i="19"/>
  <c r="EW129" i="19"/>
  <c r="EV129" i="19"/>
  <c r="EU129" i="19"/>
  <c r="ET129" i="19"/>
  <c r="FD128" i="19"/>
  <c r="FC128" i="19"/>
  <c r="FB128" i="19"/>
  <c r="FA128" i="19"/>
  <c r="EZ128" i="19"/>
  <c r="EY128" i="19"/>
  <c r="EX128" i="19"/>
  <c r="EW128" i="19"/>
  <c r="EV128" i="19"/>
  <c r="EU128" i="19"/>
  <c r="ET128" i="19"/>
  <c r="ES129" i="19"/>
  <c r="ES128" i="19"/>
  <c r="FD101" i="19"/>
  <c r="FC101" i="19"/>
  <c r="FB101" i="19"/>
  <c r="FA101" i="19"/>
  <c r="EZ101" i="19"/>
  <c r="EY101" i="19"/>
  <c r="EX101" i="19"/>
  <c r="EW101" i="19"/>
  <c r="EV101" i="19"/>
  <c r="EU101" i="19"/>
  <c r="ET101" i="19"/>
  <c r="ES101" i="19"/>
  <c r="FD78" i="19"/>
  <c r="FC78" i="19"/>
  <c r="FB78" i="19"/>
  <c r="FA78" i="19"/>
  <c r="EZ78" i="19"/>
  <c r="EY78" i="19"/>
  <c r="EX78" i="19"/>
  <c r="EW78" i="19"/>
  <c r="EV78" i="19"/>
  <c r="EU78" i="19"/>
  <c r="ET78" i="19"/>
  <c r="ES78" i="19"/>
  <c r="FD54" i="19"/>
  <c r="FF58" i="19" s="1"/>
  <c r="FC54" i="19"/>
  <c r="FB54" i="19"/>
  <c r="FA54" i="19"/>
  <c r="EZ54" i="19"/>
  <c r="EY54" i="19"/>
  <c r="EX54" i="19"/>
  <c r="EW54" i="19"/>
  <c r="EV54" i="19"/>
  <c r="EU54" i="19"/>
  <c r="ET54" i="19"/>
  <c r="ES54" i="19"/>
  <c r="FF69" i="19" l="1"/>
  <c r="FG59" i="19"/>
  <c r="FG70" i="19" s="1"/>
  <c r="FS59" i="19"/>
  <c r="FS70" i="19" s="1"/>
  <c r="FQ69" i="19"/>
  <c r="FG152" i="19"/>
  <c r="FH153" i="19" s="1"/>
  <c r="FI154" i="19" s="1"/>
  <c r="FO59" i="19"/>
  <c r="FO70" i="19" s="1"/>
  <c r="FN69" i="19"/>
  <c r="FM16" i="19"/>
  <c r="FM27" i="19" s="1"/>
  <c r="FL26" i="19"/>
  <c r="GT153" i="19"/>
  <c r="GU154" i="19" s="1"/>
  <c r="FM58" i="19"/>
  <c r="FM69" i="19" s="1"/>
  <c r="FZ105" i="19"/>
  <c r="GL69" i="19"/>
  <c r="GM59" i="19"/>
  <c r="GM70" i="19" s="1"/>
  <c r="GF59" i="19"/>
  <c r="GF70" i="19" s="1"/>
  <c r="FQ26" i="19"/>
  <c r="FV105" i="19"/>
  <c r="FW106" i="19" s="1"/>
  <c r="FX107" i="19" s="1"/>
  <c r="FY108" i="19" s="1"/>
  <c r="FY119" i="19" s="1"/>
  <c r="FY130" i="19" s="1"/>
  <c r="FU105" i="19"/>
  <c r="FT17" i="19"/>
  <c r="FT28" i="19" s="1"/>
  <c r="FS27" i="19"/>
  <c r="FI58" i="19"/>
  <c r="FI69" i="19" s="1"/>
  <c r="FN15" i="19"/>
  <c r="FK105" i="19"/>
  <c r="FL106" i="19" s="1"/>
  <c r="FM107" i="19" s="1"/>
  <c r="FN108" i="19" s="1"/>
  <c r="FN119" i="19" s="1"/>
  <c r="FN130" i="19" s="1"/>
  <c r="FW16" i="19"/>
  <c r="FW27" i="19" s="1"/>
  <c r="FV26" i="19"/>
  <c r="GF16" i="19"/>
  <c r="GD26" i="19"/>
  <c r="GU119" i="19"/>
  <c r="GU130" i="19" s="1"/>
  <c r="GV109" i="19"/>
  <c r="GV120" i="19" s="1"/>
  <c r="GS26" i="19"/>
  <c r="GT16" i="19"/>
  <c r="GT27" i="19" s="1"/>
  <c r="GJ58" i="19"/>
  <c r="GJ69" i="19" s="1"/>
  <c r="GK58" i="19"/>
  <c r="GK69" i="19" s="1"/>
  <c r="GA16" i="19"/>
  <c r="GA27" i="19" s="1"/>
  <c r="FZ26" i="19"/>
  <c r="GF120" i="19"/>
  <c r="GG110" i="19"/>
  <c r="GG121" i="19" s="1"/>
  <c r="GS16" i="19"/>
  <c r="GQ26" i="19"/>
  <c r="GO15" i="19"/>
  <c r="GO26" i="19" s="1"/>
  <c r="GN15" i="19"/>
  <c r="GN26" i="19" s="1"/>
  <c r="FW151" i="19"/>
  <c r="GB151" i="19"/>
  <c r="GC152" i="19" s="1"/>
  <c r="GD153" i="19" s="1"/>
  <c r="GF154" i="19" s="1"/>
  <c r="GG15" i="19"/>
  <c r="GG26" i="19" s="1"/>
  <c r="GL15" i="19"/>
  <c r="GL26" i="19" s="1"/>
  <c r="GP15" i="19"/>
  <c r="GP26" i="19" s="1"/>
  <c r="GT59" i="19"/>
  <c r="GT70" i="19" s="1"/>
  <c r="GS59" i="19"/>
  <c r="GQ69" i="19"/>
  <c r="GI26" i="19"/>
  <c r="GX152" i="19"/>
  <c r="GY155" i="19"/>
  <c r="GY166" i="19" s="1"/>
  <c r="GZ110" i="19"/>
  <c r="GZ121" i="19" s="1"/>
  <c r="HC59" i="19"/>
  <c r="HC70" i="19" s="1"/>
  <c r="GY110" i="19"/>
  <c r="GY121" i="19" s="1"/>
  <c r="GW155" i="19"/>
  <c r="GW166" i="19" s="1"/>
  <c r="HD108" i="19"/>
  <c r="HD119" i="19" s="1"/>
  <c r="HD130" i="19" s="1"/>
  <c r="GY60" i="19"/>
  <c r="GY71" i="19" s="1"/>
  <c r="HB155" i="19"/>
  <c r="HB166" i="19" s="1"/>
  <c r="HB109" i="19"/>
  <c r="HB120" i="19" s="1"/>
  <c r="HD109" i="19"/>
  <c r="HD120" i="19" s="1"/>
  <c r="GY59" i="19"/>
  <c r="GY70" i="19" s="1"/>
  <c r="HA109" i="19"/>
  <c r="HA120" i="19" s="1"/>
  <c r="HA16" i="19"/>
  <c r="HA27" i="19" s="1"/>
  <c r="HD17" i="19"/>
  <c r="HD28" i="19" s="1"/>
  <c r="GY16" i="19"/>
  <c r="GY27" i="19" s="1"/>
  <c r="GU17" i="19"/>
  <c r="GU28" i="19" s="1"/>
  <c r="HA60" i="19"/>
  <c r="HA71" i="19" s="1"/>
  <c r="HA156" i="19"/>
  <c r="HA167" i="19" s="1"/>
  <c r="HC155" i="19"/>
  <c r="HC166" i="19" s="1"/>
  <c r="GZ106" i="19"/>
  <c r="GU59" i="19"/>
  <c r="GU70" i="19" s="1"/>
  <c r="GW110" i="19"/>
  <c r="GW121" i="19" s="1"/>
  <c r="GW16" i="19"/>
  <c r="GW27" i="19" s="1"/>
  <c r="HC60" i="19"/>
  <c r="HC71" i="19" s="1"/>
  <c r="HA59" i="19"/>
  <c r="HA70" i="19" s="1"/>
  <c r="GU60" i="19"/>
  <c r="GU71" i="19" s="1"/>
  <c r="GU16" i="19"/>
  <c r="GU27" i="19" s="1"/>
  <c r="GZ18" i="19"/>
  <c r="GZ29" i="19" s="1"/>
  <c r="GT106" i="19"/>
  <c r="HC17" i="19"/>
  <c r="HC28" i="19" s="1"/>
  <c r="HA17" i="19"/>
  <c r="HA28" i="19" s="1"/>
  <c r="GX155" i="19"/>
  <c r="GX166" i="19" s="1"/>
  <c r="HB153" i="19"/>
  <c r="GZ109" i="19"/>
  <c r="GZ120" i="19" s="1"/>
  <c r="GW59" i="19"/>
  <c r="GW70" i="19" s="1"/>
  <c r="GW60" i="19"/>
  <c r="GW71" i="19" s="1"/>
  <c r="GW17" i="19"/>
  <c r="GW28" i="19" s="1"/>
  <c r="GQ59" i="19"/>
  <c r="GN58" i="19"/>
  <c r="GN69" i="19" s="1"/>
  <c r="GJ15" i="19"/>
  <c r="GJ26" i="19" s="1"/>
  <c r="GP109" i="19"/>
  <c r="GP120" i="19" s="1"/>
  <c r="GH16" i="19"/>
  <c r="GH27" i="19" s="1"/>
  <c r="GL16" i="19"/>
  <c r="GL27" i="19" s="1"/>
  <c r="GP16" i="19"/>
  <c r="GP27" i="19" s="1"/>
  <c r="GN59" i="19"/>
  <c r="GN70" i="19" s="1"/>
  <c r="GH106" i="19"/>
  <c r="GI107" i="19" s="1"/>
  <c r="GJ108" i="19" s="1"/>
  <c r="GJ119" i="19" s="1"/>
  <c r="GJ130" i="19" s="1"/>
  <c r="GL106" i="19"/>
  <c r="GM107" i="19" s="1"/>
  <c r="GN108" i="19" s="1"/>
  <c r="GN119" i="19" s="1"/>
  <c r="GN130" i="19" s="1"/>
  <c r="GP106" i="19"/>
  <c r="GQ107" i="19" s="1"/>
  <c r="GS108" i="19" s="1"/>
  <c r="GI16" i="19"/>
  <c r="GI27" i="19" s="1"/>
  <c r="GI50" i="19"/>
  <c r="GI97" i="19" s="1"/>
  <c r="GI143" i="19" s="1"/>
  <c r="GO59" i="19"/>
  <c r="GO70" i="19" s="1"/>
  <c r="GM15" i="19"/>
  <c r="GM26" i="19" s="1"/>
  <c r="GM50" i="19"/>
  <c r="GM97" i="19" s="1"/>
  <c r="GM143" i="19" s="1"/>
  <c r="GH59" i="19"/>
  <c r="GH70" i="19" s="1"/>
  <c r="GP59" i="19"/>
  <c r="GP70" i="19" s="1"/>
  <c r="GJ106" i="19"/>
  <c r="GK107" i="19" s="1"/>
  <c r="GL108" i="19" s="1"/>
  <c r="GL119" i="19" s="1"/>
  <c r="GL130" i="19" s="1"/>
  <c r="GN106" i="19"/>
  <c r="GO107" i="19" s="1"/>
  <c r="GP108" i="19" s="1"/>
  <c r="GP119" i="19" s="1"/>
  <c r="GP130" i="19" s="1"/>
  <c r="GI109" i="19"/>
  <c r="GI120" i="19" s="1"/>
  <c r="GN60" i="19"/>
  <c r="GN71" i="19" s="1"/>
  <c r="GK17" i="19"/>
  <c r="GK28" i="19" s="1"/>
  <c r="GK59" i="19"/>
  <c r="GK70" i="19" s="1"/>
  <c r="GK16" i="19"/>
  <c r="GK27" i="19" s="1"/>
  <c r="GQ16" i="19"/>
  <c r="GI58" i="19"/>
  <c r="GI69" i="19" s="1"/>
  <c r="GI59" i="19"/>
  <c r="GI70" i="19" s="1"/>
  <c r="GL152" i="19"/>
  <c r="GM153" i="19" s="1"/>
  <c r="GN154" i="19" s="1"/>
  <c r="GN165" i="19" s="1"/>
  <c r="GN176" i="19" s="1"/>
  <c r="GF15" i="19"/>
  <c r="GF26" i="19" s="1"/>
  <c r="GF58" i="19"/>
  <c r="GF69" i="19" s="1"/>
  <c r="GI155" i="19"/>
  <c r="GI166" i="19" s="1"/>
  <c r="GH152" i="19"/>
  <c r="GI153" i="19" s="1"/>
  <c r="GJ154" i="19" s="1"/>
  <c r="GJ165" i="19" s="1"/>
  <c r="GJ176" i="19" s="1"/>
  <c r="GP152" i="19"/>
  <c r="GQ153" i="19" s="1"/>
  <c r="GS154" i="19" s="1"/>
  <c r="GG60" i="19"/>
  <c r="GG71" i="19" s="1"/>
  <c r="GH105" i="19"/>
  <c r="GP105" i="19"/>
  <c r="GK106" i="19"/>
  <c r="GL107" i="19" s="1"/>
  <c r="GM108" i="19" s="1"/>
  <c r="GM119" i="19" s="1"/>
  <c r="GM130" i="19" s="1"/>
  <c r="GO106" i="19"/>
  <c r="GP107" i="19" s="1"/>
  <c r="GQ108" i="19" s="1"/>
  <c r="GF105" i="19"/>
  <c r="GI151" i="19"/>
  <c r="GI152" i="19"/>
  <c r="GJ153" i="19" s="1"/>
  <c r="GK154" i="19" s="1"/>
  <c r="GK165" i="19" s="1"/>
  <c r="GK176" i="19" s="1"/>
  <c r="GM151" i="19"/>
  <c r="GM152" i="19"/>
  <c r="GN153" i="19" s="1"/>
  <c r="GO154" i="19" s="1"/>
  <c r="GO165" i="19" s="1"/>
  <c r="GO176" i="19" s="1"/>
  <c r="GK152" i="19"/>
  <c r="GL153" i="19" s="1"/>
  <c r="GM154" i="19" s="1"/>
  <c r="GM165" i="19" s="1"/>
  <c r="GM176" i="19" s="1"/>
  <c r="GO152" i="19"/>
  <c r="GP153" i="19" s="1"/>
  <c r="GQ154" i="19" s="1"/>
  <c r="GQ152" i="19"/>
  <c r="GS153" i="19" s="1"/>
  <c r="GT154" i="19" s="1"/>
  <c r="GF151" i="19"/>
  <c r="GA151" i="19"/>
  <c r="GB152" i="19" s="1"/>
  <c r="GC105" i="19"/>
  <c r="FX17" i="19"/>
  <c r="FX28" i="19" s="1"/>
  <c r="GB17" i="19"/>
  <c r="GB28" i="19" s="1"/>
  <c r="FV16" i="19"/>
  <c r="FV27" i="19" s="1"/>
  <c r="FZ16" i="19"/>
  <c r="FZ27" i="19" s="1"/>
  <c r="GD16" i="19"/>
  <c r="FS15" i="19"/>
  <c r="FS26" i="19" s="1"/>
  <c r="FS50" i="19"/>
  <c r="FS97" i="19" s="1"/>
  <c r="FS143" i="19" s="1"/>
  <c r="FW59" i="19"/>
  <c r="FW70" i="19" s="1"/>
  <c r="GA59" i="19"/>
  <c r="GA70" i="19" s="1"/>
  <c r="FW15" i="19"/>
  <c r="FW26" i="19" s="1"/>
  <c r="FT58" i="19"/>
  <c r="FT69" i="19" s="1"/>
  <c r="FS58" i="19"/>
  <c r="FS69" i="19" s="1"/>
  <c r="FW58" i="19"/>
  <c r="FW69" i="19" s="1"/>
  <c r="FX58" i="19"/>
  <c r="FX69" i="19" s="1"/>
  <c r="GB58" i="19"/>
  <c r="GB69" i="19" s="1"/>
  <c r="GA58" i="19"/>
  <c r="GA69" i="19" s="1"/>
  <c r="FU109" i="19"/>
  <c r="FU120" i="19" s="1"/>
  <c r="GA15" i="19"/>
  <c r="GA26" i="19" s="1"/>
  <c r="FV59" i="19"/>
  <c r="FV70" i="19" s="1"/>
  <c r="FZ59" i="19"/>
  <c r="FZ70" i="19" s="1"/>
  <c r="GD59" i="19"/>
  <c r="FU16" i="19"/>
  <c r="FU27" i="19" s="1"/>
  <c r="FY16" i="19"/>
  <c r="FY27" i="19" s="1"/>
  <c r="GC16" i="19"/>
  <c r="GC27" i="19" s="1"/>
  <c r="FU18" i="19"/>
  <c r="FU29" i="19" s="1"/>
  <c r="FT60" i="19"/>
  <c r="FT71" i="19" s="1"/>
  <c r="FU106" i="19"/>
  <c r="FV107" i="19" s="1"/>
  <c r="FW108" i="19" s="1"/>
  <c r="FW119" i="19" s="1"/>
  <c r="FW130" i="19" s="1"/>
  <c r="FY106" i="19"/>
  <c r="FZ107" i="19" s="1"/>
  <c r="GA108" i="19" s="1"/>
  <c r="GA119" i="19" s="1"/>
  <c r="GA130" i="19" s="1"/>
  <c r="GC106" i="19"/>
  <c r="GD107" i="19" s="1"/>
  <c r="GF108" i="19" s="1"/>
  <c r="GF119" i="19" s="1"/>
  <c r="GF130" i="19" s="1"/>
  <c r="FV109" i="19"/>
  <c r="FV120" i="19" s="1"/>
  <c r="FV106" i="19"/>
  <c r="FW107" i="19" s="1"/>
  <c r="FX108" i="19" s="1"/>
  <c r="FX119" i="19" s="1"/>
  <c r="FX130" i="19" s="1"/>
  <c r="FZ106" i="19"/>
  <c r="GA107" i="19" s="1"/>
  <c r="GB108" i="19" s="1"/>
  <c r="GB119" i="19" s="1"/>
  <c r="GB130" i="19" s="1"/>
  <c r="GD106" i="19"/>
  <c r="GF107" i="19" s="1"/>
  <c r="GG108" i="19" s="1"/>
  <c r="GG119" i="19" s="1"/>
  <c r="GG130" i="19" s="1"/>
  <c r="FS105" i="19"/>
  <c r="FZ155" i="19"/>
  <c r="FZ166" i="19" s="1"/>
  <c r="GA109" i="19"/>
  <c r="GA120" i="19" s="1"/>
  <c r="GA106" i="19"/>
  <c r="FV155" i="19"/>
  <c r="FV166" i="19" s="1"/>
  <c r="FX152" i="19"/>
  <c r="FY153" i="19" s="1"/>
  <c r="FZ154" i="19" s="1"/>
  <c r="FZ165" i="19" s="1"/>
  <c r="FZ176" i="19" s="1"/>
  <c r="FU153" i="19"/>
  <c r="FV154" i="19" s="1"/>
  <c r="FV165" i="19" s="1"/>
  <c r="FV176" i="19" s="1"/>
  <c r="FU155" i="19"/>
  <c r="FU166" i="19" s="1"/>
  <c r="GA152" i="19"/>
  <c r="GC153" i="19"/>
  <c r="GD154" i="19" s="1"/>
  <c r="FV152" i="19"/>
  <c r="FW153" i="19" s="1"/>
  <c r="FX154" i="19" s="1"/>
  <c r="FX165" i="19" s="1"/>
  <c r="FX176" i="19" s="1"/>
  <c r="FZ152" i="19"/>
  <c r="GA153" i="19" s="1"/>
  <c r="GB154" i="19" s="1"/>
  <c r="GB165" i="19" s="1"/>
  <c r="GB176" i="19" s="1"/>
  <c r="GD152" i="19"/>
  <c r="GF153" i="19" s="1"/>
  <c r="GG154" i="19" s="1"/>
  <c r="GG165" i="19" s="1"/>
  <c r="GG176" i="19" s="1"/>
  <c r="FX151" i="19"/>
  <c r="FX155" i="19"/>
  <c r="FX166" i="19" s="1"/>
  <c r="FJ105" i="19"/>
  <c r="FN17" i="19"/>
  <c r="FO15" i="19"/>
  <c r="FO26" i="19" s="1"/>
  <c r="FJ50" i="19"/>
  <c r="FJ97" i="19" s="1"/>
  <c r="FJ143" i="19" s="1"/>
  <c r="FN16" i="19"/>
  <c r="FN27" i="19" s="1"/>
  <c r="FJ16" i="19"/>
  <c r="FJ27" i="19" s="1"/>
  <c r="FL59" i="19"/>
  <c r="FL70" i="19" s="1"/>
  <c r="FP60" i="19"/>
  <c r="FP71" i="19" s="1"/>
  <c r="FO109" i="19"/>
  <c r="FO120" i="19" s="1"/>
  <c r="FH58" i="19"/>
  <c r="FH69" i="19" s="1"/>
  <c r="FG58" i="19"/>
  <c r="FG69" i="19" s="1"/>
  <c r="FP58" i="19"/>
  <c r="FP69" i="19" s="1"/>
  <c r="FO58" i="19"/>
  <c r="FO69" i="19" s="1"/>
  <c r="FK106" i="19"/>
  <c r="FL107" i="19" s="1"/>
  <c r="FM108" i="19" s="1"/>
  <c r="FM119" i="19" s="1"/>
  <c r="FM130" i="19" s="1"/>
  <c r="FI106" i="19"/>
  <c r="FJ107" i="19" s="1"/>
  <c r="FK108" i="19" s="1"/>
  <c r="FK119" i="19" s="1"/>
  <c r="FK130" i="19" s="1"/>
  <c r="FQ106" i="19"/>
  <c r="FS107" i="19" s="1"/>
  <c r="FT108" i="19" s="1"/>
  <c r="FT119" i="19" s="1"/>
  <c r="FT130" i="19" s="1"/>
  <c r="FH16" i="19"/>
  <c r="FH27" i="19" s="1"/>
  <c r="FL16" i="19"/>
  <c r="FL27" i="19" s="1"/>
  <c r="FP16" i="19"/>
  <c r="FP27" i="19" s="1"/>
  <c r="FJ15" i="19"/>
  <c r="FJ26" i="19" s="1"/>
  <c r="FL58" i="19"/>
  <c r="FL69" i="19" s="1"/>
  <c r="FG106" i="19"/>
  <c r="FH107" i="19" s="1"/>
  <c r="FI108" i="19" s="1"/>
  <c r="FI119" i="19" s="1"/>
  <c r="FI130" i="19" s="1"/>
  <c r="FO106" i="19"/>
  <c r="FP107" i="19" s="1"/>
  <c r="FQ108" i="19" s="1"/>
  <c r="FH60" i="19"/>
  <c r="FH71" i="19" s="1"/>
  <c r="FM106" i="19"/>
  <c r="FN107" i="19" s="1"/>
  <c r="FO108" i="19" s="1"/>
  <c r="FO119" i="19" s="1"/>
  <c r="FO130" i="19" s="1"/>
  <c r="FI16" i="19"/>
  <c r="FI27" i="19" s="1"/>
  <c r="FQ16" i="19"/>
  <c r="FK59" i="19"/>
  <c r="FK70" i="19" s="1"/>
  <c r="FJ59" i="19"/>
  <c r="FJ70" i="19" s="1"/>
  <c r="FN59" i="19"/>
  <c r="FN70" i="19" s="1"/>
  <c r="FJ106" i="19"/>
  <c r="FK107" i="19" s="1"/>
  <c r="FL108" i="19" s="1"/>
  <c r="FL119" i="19" s="1"/>
  <c r="FL130" i="19" s="1"/>
  <c r="FN106" i="19"/>
  <c r="FO107" i="19" s="1"/>
  <c r="FP108" i="19" s="1"/>
  <c r="FP119" i="19" s="1"/>
  <c r="FP130" i="19" s="1"/>
  <c r="FG105" i="19"/>
  <c r="FO105" i="19"/>
  <c r="FL155" i="19"/>
  <c r="FL166" i="19" s="1"/>
  <c r="FJ152" i="19"/>
  <c r="FK153" i="19" s="1"/>
  <c r="FL154" i="19" s="1"/>
  <c r="FL165" i="19" s="1"/>
  <c r="FL176" i="19" s="1"/>
  <c r="FN152" i="19"/>
  <c r="FO153" i="19" s="1"/>
  <c r="FP154" i="19" s="1"/>
  <c r="FP165" i="19" s="1"/>
  <c r="FP176" i="19" s="1"/>
  <c r="FK152" i="19"/>
  <c r="FL153" i="19" s="1"/>
  <c r="FM154" i="19" s="1"/>
  <c r="FM165" i="19" s="1"/>
  <c r="FM176" i="19" s="1"/>
  <c r="FO152" i="19"/>
  <c r="FP153" i="19" s="1"/>
  <c r="FQ154" i="19" s="1"/>
  <c r="FH152" i="19"/>
  <c r="FL152" i="19"/>
  <c r="FM153" i="19" s="1"/>
  <c r="FN154" i="19" s="1"/>
  <c r="FN165" i="19" s="1"/>
  <c r="FN176" i="19" s="1"/>
  <c r="FP152" i="19"/>
  <c r="FP155" i="19"/>
  <c r="FP166" i="19" s="1"/>
  <c r="GG109" i="19" l="1"/>
  <c r="GG120" i="19" s="1"/>
  <c r="GD165" i="19"/>
  <c r="GD176" i="19" s="1"/>
  <c r="GF155" i="19"/>
  <c r="GH109" i="19"/>
  <c r="GH120" i="19" s="1"/>
  <c r="GH155" i="19"/>
  <c r="GH166" i="19" s="1"/>
  <c r="GM16" i="19"/>
  <c r="GM27" i="19" s="1"/>
  <c r="GS60" i="19"/>
  <c r="GQ70" i="19"/>
  <c r="GS70" i="19"/>
  <c r="GT60" i="19"/>
  <c r="GU165" i="19"/>
  <c r="GU176" i="19" s="1"/>
  <c r="GV155" i="19"/>
  <c r="FO18" i="19"/>
  <c r="FN28" i="19"/>
  <c r="GQ165" i="19"/>
  <c r="GQ176" i="19" s="1"/>
  <c r="GS155" i="19"/>
  <c r="GF60" i="19"/>
  <c r="GD70" i="19"/>
  <c r="GS109" i="19"/>
  <c r="GQ119" i="19"/>
  <c r="GQ130" i="19" s="1"/>
  <c r="GH111" i="19"/>
  <c r="GH122" i="19" s="1"/>
  <c r="GT155" i="19"/>
  <c r="GS165" i="19"/>
  <c r="GS17" i="19"/>
  <c r="GQ27" i="19"/>
  <c r="GL59" i="19"/>
  <c r="GL70" i="19" s="1"/>
  <c r="GG155" i="19"/>
  <c r="GF165" i="19"/>
  <c r="GF176" i="19" s="1"/>
  <c r="FQ27" i="19"/>
  <c r="FS17" i="19"/>
  <c r="FS109" i="19"/>
  <c r="FQ119" i="19"/>
  <c r="FQ130" i="19" s="1"/>
  <c r="FQ165" i="19"/>
  <c r="FQ176" i="19" s="1"/>
  <c r="FS155" i="19"/>
  <c r="GF17" i="19"/>
  <c r="GD27" i="19"/>
  <c r="GT165" i="19"/>
  <c r="GU155" i="19"/>
  <c r="GO16" i="19"/>
  <c r="GO27" i="19" s="1"/>
  <c r="GS119" i="19"/>
  <c r="GT109" i="19"/>
  <c r="GT17" i="19"/>
  <c r="GS27" i="19"/>
  <c r="GG17" i="19"/>
  <c r="GF27" i="19"/>
  <c r="FO16" i="19"/>
  <c r="FN26" i="19"/>
  <c r="FJ155" i="19"/>
  <c r="FI165" i="19"/>
  <c r="FI176" i="19" s="1"/>
  <c r="GX18" i="19"/>
  <c r="GX29" i="19" s="1"/>
  <c r="HC154" i="19"/>
  <c r="HC165" i="19" s="1"/>
  <c r="HC176" i="19" s="1"/>
  <c r="GY156" i="19"/>
  <c r="GY167" i="19" s="1"/>
  <c r="HB18" i="19"/>
  <c r="HB29" i="19" s="1"/>
  <c r="GU107" i="19"/>
  <c r="GV61" i="19"/>
  <c r="GV72" i="19" s="1"/>
  <c r="HD61" i="19"/>
  <c r="HD72" i="19" s="1"/>
  <c r="GX17" i="19"/>
  <c r="GX28" i="19" s="1"/>
  <c r="GV60" i="19"/>
  <c r="GV71" i="19" s="1"/>
  <c r="GZ61" i="19"/>
  <c r="GZ72" i="19" s="1"/>
  <c r="GX156" i="19"/>
  <c r="GX167" i="19" s="1"/>
  <c r="GY153" i="19"/>
  <c r="GX60" i="19"/>
  <c r="GX71" i="19" s="1"/>
  <c r="HA19" i="19"/>
  <c r="HA30" i="19" s="1"/>
  <c r="GV17" i="19"/>
  <c r="GV28" i="19" s="1"/>
  <c r="HD156" i="19"/>
  <c r="HD167" i="19" s="1"/>
  <c r="HB17" i="19"/>
  <c r="HB28" i="19" s="1"/>
  <c r="HA110" i="19"/>
  <c r="HA121" i="19" s="1"/>
  <c r="HB157" i="19"/>
  <c r="HB168" i="19" s="1"/>
  <c r="HB61" i="19"/>
  <c r="HB72" i="19" s="1"/>
  <c r="GV18" i="19"/>
  <c r="GV29" i="19" s="1"/>
  <c r="GZ60" i="19"/>
  <c r="GZ71" i="19" s="1"/>
  <c r="HC110" i="19"/>
  <c r="HC121" i="19" s="1"/>
  <c r="GZ156" i="19"/>
  <c r="GZ167" i="19" s="1"/>
  <c r="GX61" i="19"/>
  <c r="GX72" i="19" s="1"/>
  <c r="HD18" i="19"/>
  <c r="HD29" i="19" s="1"/>
  <c r="HB60" i="19"/>
  <c r="HB71" i="19" s="1"/>
  <c r="GX111" i="19"/>
  <c r="GX122" i="19" s="1"/>
  <c r="GZ17" i="19"/>
  <c r="GZ28" i="19" s="1"/>
  <c r="HC156" i="19"/>
  <c r="HC167" i="19" s="1"/>
  <c r="HA111" i="19"/>
  <c r="HA122" i="19" s="1"/>
  <c r="HA107" i="19"/>
  <c r="HB110" i="19"/>
  <c r="HB121" i="19" s="1"/>
  <c r="GZ111" i="19"/>
  <c r="GZ122" i="19" s="1"/>
  <c r="HD60" i="19"/>
  <c r="HD71" i="19" s="1"/>
  <c r="GI106" i="19"/>
  <c r="GL18" i="19"/>
  <c r="GL29" i="19" s="1"/>
  <c r="GP60" i="19"/>
  <c r="GP71" i="19" s="1"/>
  <c r="GI110" i="19"/>
  <c r="GI121" i="19" s="1"/>
  <c r="GO155" i="19"/>
  <c r="GO166" i="19" s="1"/>
  <c r="GM109" i="19"/>
  <c r="GM120" i="19" s="1"/>
  <c r="GI60" i="19"/>
  <c r="GI71" i="19" s="1"/>
  <c r="GI17" i="19"/>
  <c r="GI28" i="19" s="1"/>
  <c r="GG152" i="19"/>
  <c r="GL155" i="19"/>
  <c r="GL166" i="19" s="1"/>
  <c r="GG106" i="19"/>
  <c r="GI112" i="19"/>
  <c r="GI123" i="19" s="1"/>
  <c r="GJ60" i="19"/>
  <c r="GJ71" i="19" s="1"/>
  <c r="GL60" i="19"/>
  <c r="GL71" i="19" s="1"/>
  <c r="GJ110" i="19"/>
  <c r="GJ121" i="19" s="1"/>
  <c r="GQ109" i="19"/>
  <c r="GQ60" i="19"/>
  <c r="GO109" i="19"/>
  <c r="GO120" i="19" s="1"/>
  <c r="GO60" i="19"/>
  <c r="GO71" i="19" s="1"/>
  <c r="GQ17" i="19"/>
  <c r="GP155" i="19"/>
  <c r="GP166" i="19" s="1"/>
  <c r="GI156" i="19"/>
  <c r="GI167" i="19" s="1"/>
  <c r="GK155" i="19"/>
  <c r="GK166" i="19" s="1"/>
  <c r="GP17" i="19"/>
  <c r="GP28" i="19" s="1"/>
  <c r="GO61" i="19"/>
  <c r="GO72" i="19" s="1"/>
  <c r="GN16" i="19"/>
  <c r="GN27" i="19" s="1"/>
  <c r="GK109" i="19"/>
  <c r="GK120" i="19" s="1"/>
  <c r="GN152" i="19"/>
  <c r="GN109" i="19"/>
  <c r="GN120" i="19" s="1"/>
  <c r="GH61" i="19"/>
  <c r="GH72" i="19" s="1"/>
  <c r="GJ156" i="19"/>
  <c r="GJ167" i="19" s="1"/>
  <c r="GM17" i="19"/>
  <c r="GM28" i="19" s="1"/>
  <c r="GN155" i="19"/>
  <c r="GN166" i="19" s="1"/>
  <c r="GJ152" i="19"/>
  <c r="GH110" i="19"/>
  <c r="GH121" i="19" s="1"/>
  <c r="GQ106" i="19"/>
  <c r="GS107" i="19" s="1"/>
  <c r="GG59" i="19"/>
  <c r="GG70" i="19" s="1"/>
  <c r="GG16" i="19"/>
  <c r="GG27" i="19" s="1"/>
  <c r="GJ59" i="19"/>
  <c r="GJ70" i="19" s="1"/>
  <c r="GL17" i="19"/>
  <c r="GL28" i="19" s="1"/>
  <c r="GJ17" i="19"/>
  <c r="GJ28" i="19" s="1"/>
  <c r="GQ110" i="19"/>
  <c r="FY156" i="19"/>
  <c r="FY167" i="19" s="1"/>
  <c r="GA155" i="19"/>
  <c r="GA166" i="19" s="1"/>
  <c r="FT106" i="19"/>
  <c r="GC109" i="19"/>
  <c r="GC120" i="19" s="1"/>
  <c r="FZ17" i="19"/>
  <c r="FZ28" i="19" s="1"/>
  <c r="GA60" i="19"/>
  <c r="GA71" i="19" s="1"/>
  <c r="GB59" i="19"/>
  <c r="GB70" i="19" s="1"/>
  <c r="FT59" i="19"/>
  <c r="FT70" i="19" s="1"/>
  <c r="FZ109" i="19"/>
  <c r="FZ120" i="19" s="1"/>
  <c r="GA17" i="19"/>
  <c r="GA28" i="19" s="1"/>
  <c r="FY152" i="19"/>
  <c r="GC155" i="19"/>
  <c r="GC166" i="19" s="1"/>
  <c r="FV156" i="19"/>
  <c r="FV167" i="19" s="1"/>
  <c r="GB107" i="19"/>
  <c r="FX109" i="19"/>
  <c r="FX120" i="19" s="1"/>
  <c r="GD17" i="19"/>
  <c r="GC59" i="19"/>
  <c r="GC70" i="19" s="1"/>
  <c r="FU59" i="19"/>
  <c r="FU70" i="19" s="1"/>
  <c r="GC18" i="19"/>
  <c r="GC29" i="19" s="1"/>
  <c r="GB153" i="19"/>
  <c r="FW156" i="19"/>
  <c r="FW167" i="19" s="1"/>
  <c r="FY109" i="19"/>
  <c r="FY120" i="19" s="1"/>
  <c r="FW110" i="19"/>
  <c r="FW121" i="19" s="1"/>
  <c r="FV19" i="19"/>
  <c r="FV30" i="19" s="1"/>
  <c r="FV110" i="19"/>
  <c r="FV121" i="19" s="1"/>
  <c r="FY59" i="19"/>
  <c r="FY70" i="19" s="1"/>
  <c r="FX16" i="19"/>
  <c r="FX27" i="19" s="1"/>
  <c r="FX60" i="19"/>
  <c r="FX71" i="19" s="1"/>
  <c r="FT16" i="19"/>
  <c r="FT27" i="19" s="1"/>
  <c r="FY155" i="19"/>
  <c r="FY166" i="19" s="1"/>
  <c r="FW155" i="19"/>
  <c r="FW166" i="19" s="1"/>
  <c r="GB110" i="19"/>
  <c r="GB121" i="19" s="1"/>
  <c r="GA156" i="19"/>
  <c r="GA167" i="19" s="1"/>
  <c r="GB109" i="19"/>
  <c r="GB120" i="19" s="1"/>
  <c r="FU61" i="19"/>
  <c r="FU72" i="19" s="1"/>
  <c r="FV17" i="19"/>
  <c r="FV28" i="19" s="1"/>
  <c r="FW60" i="19"/>
  <c r="FW71" i="19" s="1"/>
  <c r="GB16" i="19"/>
  <c r="GB27" i="19" s="1"/>
  <c r="FX59" i="19"/>
  <c r="FX70" i="19" s="1"/>
  <c r="GB60" i="19"/>
  <c r="GB71" i="19" s="1"/>
  <c r="FW17" i="19"/>
  <c r="FW28" i="19" s="1"/>
  <c r="FY18" i="19"/>
  <c r="FY29" i="19" s="1"/>
  <c r="FJ17" i="19"/>
  <c r="FJ28" i="19" s="1"/>
  <c r="FI59" i="19"/>
  <c r="FI70" i="19" s="1"/>
  <c r="FQ156" i="19"/>
  <c r="FM156" i="19"/>
  <c r="FM167" i="19" s="1"/>
  <c r="FP106" i="19"/>
  <c r="FK60" i="19"/>
  <c r="FK71" i="19" s="1"/>
  <c r="FP59" i="19"/>
  <c r="FP70" i="19" s="1"/>
  <c r="FN155" i="19"/>
  <c r="FN166" i="19" s="1"/>
  <c r="FH106" i="19"/>
  <c r="FO60" i="19"/>
  <c r="FO71" i="19" s="1"/>
  <c r="FL60" i="19"/>
  <c r="FL71" i="19" s="1"/>
  <c r="FP109" i="19"/>
  <c r="FP120" i="19" s="1"/>
  <c r="FM59" i="19"/>
  <c r="FM70" i="19" s="1"/>
  <c r="FK16" i="19"/>
  <c r="FK27" i="19" s="1"/>
  <c r="FQ59" i="19"/>
  <c r="FP110" i="19"/>
  <c r="FP121" i="19" s="1"/>
  <c r="FM60" i="19"/>
  <c r="FM71" i="19" s="1"/>
  <c r="FO17" i="19"/>
  <c r="FO28" i="19" s="1"/>
  <c r="FM17" i="19"/>
  <c r="FM28" i="19" s="1"/>
  <c r="FO155" i="19"/>
  <c r="FO166" i="19" s="1"/>
  <c r="FM155" i="19"/>
  <c r="FM166" i="19" s="1"/>
  <c r="FQ109" i="19"/>
  <c r="FQ17" i="19"/>
  <c r="FQ153" i="19"/>
  <c r="FS154" i="19" s="1"/>
  <c r="FI153" i="19"/>
  <c r="FQ155" i="19"/>
  <c r="FM109" i="19"/>
  <c r="FM120" i="19" s="1"/>
  <c r="FI61" i="19"/>
  <c r="FI72" i="19" s="1"/>
  <c r="FJ109" i="19"/>
  <c r="FJ120" i="19" s="1"/>
  <c r="FI17" i="19"/>
  <c r="FI28" i="19" s="1"/>
  <c r="FL109" i="19"/>
  <c r="FL120" i="19" s="1"/>
  <c r="FN109" i="19"/>
  <c r="FN120" i="19" s="1"/>
  <c r="FH59" i="19"/>
  <c r="FQ61" i="19"/>
  <c r="FK17" i="19"/>
  <c r="FK28" i="19" s="1"/>
  <c r="GS110" i="19" l="1"/>
  <c r="GQ120" i="19"/>
  <c r="FO27" i="19"/>
  <c r="FP17" i="19"/>
  <c r="GT28" i="19"/>
  <c r="GU18" i="19"/>
  <c r="FS166" i="19"/>
  <c r="FT156" i="19"/>
  <c r="GT166" i="19"/>
  <c r="GU156" i="19"/>
  <c r="GT71" i="19"/>
  <c r="GU61" i="19"/>
  <c r="GG156" i="19"/>
  <c r="GF166" i="19"/>
  <c r="FH70" i="19"/>
  <c r="GM60" i="19"/>
  <c r="GM71" i="19" s="1"/>
  <c r="FJ166" i="19"/>
  <c r="FK156" i="19"/>
  <c r="GT120" i="19"/>
  <c r="GU110" i="19"/>
  <c r="GT176" i="19"/>
  <c r="GF71" i="19"/>
  <c r="GG61" i="19"/>
  <c r="FO29" i="19"/>
  <c r="FP19" i="19"/>
  <c r="GS18" i="19"/>
  <c r="GQ28" i="19"/>
  <c r="GU166" i="19"/>
  <c r="GV156" i="19"/>
  <c r="GD28" i="19"/>
  <c r="GF18" i="19"/>
  <c r="GS111" i="19"/>
  <c r="GQ121" i="19"/>
  <c r="GN17" i="19"/>
  <c r="GN28" i="19" s="1"/>
  <c r="GG28" i="19"/>
  <c r="GH18" i="19"/>
  <c r="GS130" i="19"/>
  <c r="GS28" i="19"/>
  <c r="GT18" i="19"/>
  <c r="GS166" i="19"/>
  <c r="GT156" i="19"/>
  <c r="GV166" i="19"/>
  <c r="GW156" i="19"/>
  <c r="FS156" i="19"/>
  <c r="FQ166" i="19"/>
  <c r="FT18" i="19"/>
  <c r="FS28" i="19"/>
  <c r="FT155" i="19"/>
  <c r="FS165" i="19"/>
  <c r="FQ120" i="19"/>
  <c r="FS110" i="19"/>
  <c r="FQ72" i="19"/>
  <c r="FS62" i="19"/>
  <c r="FS18" i="19"/>
  <c r="FQ28" i="19"/>
  <c r="FS60" i="19"/>
  <c r="FQ70" i="19"/>
  <c r="FS157" i="19"/>
  <c r="FQ167" i="19"/>
  <c r="GT108" i="19"/>
  <c r="GS61" i="19"/>
  <c r="GQ71" i="19"/>
  <c r="GG18" i="19"/>
  <c r="GF28" i="19"/>
  <c r="FS120" i="19"/>
  <c r="FT110" i="19"/>
  <c r="GG166" i="19"/>
  <c r="GH156" i="19"/>
  <c r="GS176" i="19"/>
  <c r="GS120" i="19"/>
  <c r="GT110" i="19"/>
  <c r="GS71" i="19"/>
  <c r="GT61" i="19"/>
  <c r="HC111" i="19"/>
  <c r="HC122" i="19" s="1"/>
  <c r="GY62" i="19"/>
  <c r="GY73" i="19" s="1"/>
  <c r="GZ154" i="19"/>
  <c r="GZ165" i="19" s="1"/>
  <c r="GZ176" i="19" s="1"/>
  <c r="GY157" i="19"/>
  <c r="GY168" i="19" s="1"/>
  <c r="GY18" i="19"/>
  <c r="GY29" i="19" s="1"/>
  <c r="HC19" i="19"/>
  <c r="HC30" i="19" s="1"/>
  <c r="GY19" i="19"/>
  <c r="GY30" i="19" s="1"/>
  <c r="HA112" i="19"/>
  <c r="HA123" i="19" s="1"/>
  <c r="HB108" i="19"/>
  <c r="HB119" i="19" s="1"/>
  <c r="HB130" i="19" s="1"/>
  <c r="HA18" i="19"/>
  <c r="HA29" i="19" s="1"/>
  <c r="HA61" i="19"/>
  <c r="HA72" i="19" s="1"/>
  <c r="GW19" i="19"/>
  <c r="GW30" i="19" s="1"/>
  <c r="HB20" i="19"/>
  <c r="HB31" i="19" s="1"/>
  <c r="GW62" i="19"/>
  <c r="GW73" i="19" s="1"/>
  <c r="HD155" i="19"/>
  <c r="HD166" i="19" s="1"/>
  <c r="GY112" i="19"/>
  <c r="GY123" i="19" s="1"/>
  <c r="HD111" i="19"/>
  <c r="HD122" i="19" s="1"/>
  <c r="HB111" i="19"/>
  <c r="HB122" i="19" s="1"/>
  <c r="HC18" i="19"/>
  <c r="HC29" i="19" s="1"/>
  <c r="GY61" i="19"/>
  <c r="GY72" i="19" s="1"/>
  <c r="HA62" i="19"/>
  <c r="HA73" i="19" s="1"/>
  <c r="GW61" i="19"/>
  <c r="GW72" i="19" s="1"/>
  <c r="HD157" i="19"/>
  <c r="HD168" i="19" s="1"/>
  <c r="HC61" i="19"/>
  <c r="HC72" i="19" s="1"/>
  <c r="HA157" i="19"/>
  <c r="HA168" i="19" s="1"/>
  <c r="HB112" i="19"/>
  <c r="HB123" i="19" s="1"/>
  <c r="HC62" i="19"/>
  <c r="HC73" i="19" s="1"/>
  <c r="HC158" i="19"/>
  <c r="HC169" i="19" s="1"/>
  <c r="GW18" i="19"/>
  <c r="GW29" i="19" s="1"/>
  <c r="GV108" i="19"/>
  <c r="GV119" i="19" s="1"/>
  <c r="GV130" i="19" s="1"/>
  <c r="GZ157" i="19"/>
  <c r="GZ168" i="19" s="1"/>
  <c r="GP61" i="19"/>
  <c r="GP72" i="19" s="1"/>
  <c r="GP156" i="19"/>
  <c r="GP167" i="19" s="1"/>
  <c r="GO18" i="19"/>
  <c r="GO29" i="19" s="1"/>
  <c r="GO156" i="19"/>
  <c r="GO167" i="19" s="1"/>
  <c r="GI62" i="19"/>
  <c r="GI73" i="19" s="1"/>
  <c r="GJ157" i="19"/>
  <c r="GJ168" i="19" s="1"/>
  <c r="GJ113" i="19"/>
  <c r="GJ124" i="19" s="1"/>
  <c r="GH153" i="19"/>
  <c r="GJ18" i="19"/>
  <c r="GJ29" i="19" s="1"/>
  <c r="GN110" i="19"/>
  <c r="GN121" i="19" s="1"/>
  <c r="GQ61" i="19"/>
  <c r="GJ107" i="19"/>
  <c r="GK153" i="19"/>
  <c r="GK157" i="19"/>
  <c r="GK168" i="19" s="1"/>
  <c r="GO153" i="19"/>
  <c r="GP62" i="19"/>
  <c r="GP73" i="19" s="1"/>
  <c r="GM61" i="19"/>
  <c r="GM72" i="19" s="1"/>
  <c r="GK61" i="19"/>
  <c r="GK72" i="19" s="1"/>
  <c r="GM156" i="19"/>
  <c r="GM167" i="19" s="1"/>
  <c r="GJ61" i="19"/>
  <c r="GJ72" i="19" s="1"/>
  <c r="GJ111" i="19"/>
  <c r="GJ122" i="19" s="1"/>
  <c r="GK60" i="19"/>
  <c r="GK71" i="19" s="1"/>
  <c r="GH17" i="19"/>
  <c r="GH28" i="19" s="1"/>
  <c r="GI111" i="19"/>
  <c r="GI122" i="19" s="1"/>
  <c r="GN18" i="19"/>
  <c r="GN29" i="19" s="1"/>
  <c r="GL156" i="19"/>
  <c r="GL167" i="19" s="1"/>
  <c r="GK111" i="19"/>
  <c r="GK122" i="19" s="1"/>
  <c r="GM19" i="19"/>
  <c r="GM30" i="19" s="1"/>
  <c r="GK18" i="19"/>
  <c r="GK29" i="19" s="1"/>
  <c r="GM18" i="19"/>
  <c r="GM29" i="19" s="1"/>
  <c r="GH60" i="19"/>
  <c r="GH71" i="19" s="1"/>
  <c r="GO110" i="19"/>
  <c r="GO121" i="19" s="1"/>
  <c r="GL110" i="19"/>
  <c r="GL121" i="19" s="1"/>
  <c r="GO17" i="19"/>
  <c r="GO28" i="19" s="1"/>
  <c r="GQ18" i="19"/>
  <c r="GQ156" i="19"/>
  <c r="GP110" i="19"/>
  <c r="GP121" i="19" s="1"/>
  <c r="GH107" i="19"/>
  <c r="GC111" i="19"/>
  <c r="GC122" i="19" s="1"/>
  <c r="FX156" i="19"/>
  <c r="FX167" i="19" s="1"/>
  <c r="GC61" i="19"/>
  <c r="GC72" i="19" s="1"/>
  <c r="FY60" i="19"/>
  <c r="FY71" i="19" s="1"/>
  <c r="GC110" i="19"/>
  <c r="GC121" i="19" s="1"/>
  <c r="FZ60" i="19"/>
  <c r="FZ71" i="19" s="1"/>
  <c r="GC154" i="19"/>
  <c r="GC165" i="19" s="1"/>
  <c r="GC176" i="19" s="1"/>
  <c r="FV60" i="19"/>
  <c r="FV71" i="19" s="1"/>
  <c r="FZ153" i="19"/>
  <c r="FU60" i="19"/>
  <c r="FU71" i="19" s="1"/>
  <c r="GD110" i="19"/>
  <c r="FZ19" i="19"/>
  <c r="FZ30" i="19" s="1"/>
  <c r="GC17" i="19"/>
  <c r="GC28" i="19" s="1"/>
  <c r="FW18" i="19"/>
  <c r="FW29" i="19" s="1"/>
  <c r="FV62" i="19"/>
  <c r="FV73" i="19" s="1"/>
  <c r="GB157" i="19"/>
  <c r="GB168" i="19" s="1"/>
  <c r="FZ156" i="19"/>
  <c r="FZ167" i="19" s="1"/>
  <c r="FY61" i="19"/>
  <c r="FY72" i="19" s="1"/>
  <c r="GC108" i="19"/>
  <c r="GC119" i="19" s="1"/>
  <c r="GC130" i="19" s="1"/>
  <c r="GB18" i="19"/>
  <c r="GB29" i="19" s="1"/>
  <c r="GA110" i="19"/>
  <c r="GA121" i="19" s="1"/>
  <c r="GA18" i="19"/>
  <c r="GA29" i="19" s="1"/>
  <c r="FX18" i="19"/>
  <c r="FX29" i="19" s="1"/>
  <c r="FX61" i="19"/>
  <c r="FX72" i="19" s="1"/>
  <c r="FY17" i="19"/>
  <c r="FY28" i="19" s="1"/>
  <c r="FW111" i="19"/>
  <c r="FW122" i="19" s="1"/>
  <c r="FX111" i="19"/>
  <c r="FX122" i="19" s="1"/>
  <c r="GD19" i="19"/>
  <c r="FY110" i="19"/>
  <c r="FY121" i="19" s="1"/>
  <c r="FW157" i="19"/>
  <c r="GD156" i="19"/>
  <c r="GC60" i="19"/>
  <c r="GC71" i="19" s="1"/>
  <c r="GB61" i="19"/>
  <c r="GB72" i="19" s="1"/>
  <c r="FZ157" i="19"/>
  <c r="FZ168" i="19" s="1"/>
  <c r="FU17" i="19"/>
  <c r="FU28" i="19" s="1"/>
  <c r="FW20" i="19"/>
  <c r="FW31" i="19" s="1"/>
  <c r="FZ110" i="19"/>
  <c r="FZ121" i="19" s="1"/>
  <c r="FX157" i="19"/>
  <c r="FX168" i="19" s="1"/>
  <c r="GD60" i="19"/>
  <c r="FU107" i="19"/>
  <c r="GB156" i="19"/>
  <c r="GB167" i="19" s="1"/>
  <c r="FK110" i="19"/>
  <c r="FK121" i="19" s="1"/>
  <c r="FP156" i="19"/>
  <c r="FP167" i="19" s="1"/>
  <c r="FN60" i="19"/>
  <c r="FN71" i="19" s="1"/>
  <c r="FJ18" i="19"/>
  <c r="FJ29" i="19" s="1"/>
  <c r="FN61" i="19"/>
  <c r="FN72" i="19" s="1"/>
  <c r="FM61" i="19"/>
  <c r="FM72" i="19" s="1"/>
  <c r="FQ60" i="19"/>
  <c r="FJ60" i="19"/>
  <c r="FJ71" i="19" s="1"/>
  <c r="FJ62" i="19"/>
  <c r="FJ73" i="19" s="1"/>
  <c r="FI107" i="19"/>
  <c r="FQ107" i="19"/>
  <c r="FS108" i="19" s="1"/>
  <c r="FK18" i="19"/>
  <c r="FK29" i="19" s="1"/>
  <c r="FI60" i="19"/>
  <c r="FL18" i="19"/>
  <c r="FL29" i="19" s="1"/>
  <c r="FL17" i="19"/>
  <c r="FL28" i="19" s="1"/>
  <c r="FQ110" i="19"/>
  <c r="FO110" i="19"/>
  <c r="FO121" i="19" s="1"/>
  <c r="FM110" i="19"/>
  <c r="FM121" i="19" s="1"/>
  <c r="FN110" i="19"/>
  <c r="FN121" i="19" s="1"/>
  <c r="FJ154" i="19"/>
  <c r="FJ165" i="19" s="1"/>
  <c r="FJ176" i="19" s="1"/>
  <c r="FN156" i="19"/>
  <c r="FN167" i="19" s="1"/>
  <c r="FN18" i="19"/>
  <c r="FN29" i="19" s="1"/>
  <c r="FP18" i="19"/>
  <c r="FP29" i="19" s="1"/>
  <c r="FQ111" i="19"/>
  <c r="FP61" i="19"/>
  <c r="FP72" i="19" s="1"/>
  <c r="FO156" i="19"/>
  <c r="FO167" i="19" s="1"/>
  <c r="FL61" i="19"/>
  <c r="FL72" i="19" s="1"/>
  <c r="FN157" i="19"/>
  <c r="FN168" i="19" s="1"/>
  <c r="GQ167" i="19" l="1"/>
  <c r="GS157" i="19"/>
  <c r="GT121" i="19"/>
  <c r="GU111" i="19"/>
  <c r="GT119" i="19"/>
  <c r="GU109" i="19"/>
  <c r="GG19" i="19"/>
  <c r="GF29" i="19"/>
  <c r="GU121" i="19"/>
  <c r="GV111" i="19"/>
  <c r="FP28" i="19"/>
  <c r="FQ18" i="19"/>
  <c r="GD121" i="19"/>
  <c r="GF111" i="19"/>
  <c r="GS19" i="19"/>
  <c r="GQ29" i="19"/>
  <c r="GH167" i="19"/>
  <c r="GI157" i="19"/>
  <c r="FS73" i="19"/>
  <c r="FT63" i="19"/>
  <c r="FT29" i="19"/>
  <c r="FU19" i="19"/>
  <c r="GT29" i="19"/>
  <c r="GU19" i="19"/>
  <c r="FP30" i="19"/>
  <c r="FQ20" i="19"/>
  <c r="GG167" i="19"/>
  <c r="GH157" i="19"/>
  <c r="GU167" i="19"/>
  <c r="GV157" i="19"/>
  <c r="GS62" i="19"/>
  <c r="GQ72" i="19"/>
  <c r="FT19" i="19"/>
  <c r="FS29" i="19"/>
  <c r="FI71" i="19"/>
  <c r="GF157" i="19"/>
  <c r="GD167" i="19"/>
  <c r="GT72" i="19"/>
  <c r="GU62" i="19"/>
  <c r="GG29" i="19"/>
  <c r="GH19" i="19"/>
  <c r="GS72" i="19"/>
  <c r="GT62" i="19"/>
  <c r="FS71" i="19"/>
  <c r="FT61" i="19"/>
  <c r="FS176" i="19"/>
  <c r="GH29" i="19"/>
  <c r="GI19" i="19"/>
  <c r="GS29" i="19"/>
  <c r="GT19" i="19"/>
  <c r="FK167" i="19"/>
  <c r="FL157" i="19"/>
  <c r="GU29" i="19"/>
  <c r="GV19" i="19"/>
  <c r="FW168" i="19"/>
  <c r="GW167" i="19"/>
  <c r="GX157" i="19"/>
  <c r="FS112" i="19"/>
  <c r="FQ122" i="19"/>
  <c r="FS119" i="19"/>
  <c r="FT109" i="19"/>
  <c r="FS111" i="19"/>
  <c r="FQ121" i="19"/>
  <c r="FS61" i="19"/>
  <c r="FQ71" i="19"/>
  <c r="GF61" i="19"/>
  <c r="GD71" i="19"/>
  <c r="GF20" i="19"/>
  <c r="GD30" i="19"/>
  <c r="GN61" i="19"/>
  <c r="GN72" i="19" s="1"/>
  <c r="FT121" i="19"/>
  <c r="FU111" i="19"/>
  <c r="FT158" i="19"/>
  <c r="FS168" i="19"/>
  <c r="FS121" i="19"/>
  <c r="FT111" i="19"/>
  <c r="FT166" i="19"/>
  <c r="FU156" i="19"/>
  <c r="FS167" i="19"/>
  <c r="FT157" i="19"/>
  <c r="GT167" i="19"/>
  <c r="GU157" i="19"/>
  <c r="GS122" i="19"/>
  <c r="GT112" i="19"/>
  <c r="GV167" i="19"/>
  <c r="GW157" i="19"/>
  <c r="GG72" i="19"/>
  <c r="GH62" i="19"/>
  <c r="GU72" i="19"/>
  <c r="GV62" i="19"/>
  <c r="FT167" i="19"/>
  <c r="FU157" i="19"/>
  <c r="GS121" i="19"/>
  <c r="GT111" i="19"/>
  <c r="HD62" i="19"/>
  <c r="HD73" i="19" s="1"/>
  <c r="HC109" i="19"/>
  <c r="HC120" i="19" s="1"/>
  <c r="GW109" i="19"/>
  <c r="GW120" i="19" s="1"/>
  <c r="GX19" i="19"/>
  <c r="GX30" i="19" s="1"/>
  <c r="HD63" i="19"/>
  <c r="HD74" i="19" s="1"/>
  <c r="HC113" i="19"/>
  <c r="HC124" i="19" s="1"/>
  <c r="GX62" i="19"/>
  <c r="GX73" i="19" s="1"/>
  <c r="HC112" i="19"/>
  <c r="HC123" i="19" s="1"/>
  <c r="GZ113" i="19"/>
  <c r="GZ124" i="19" s="1"/>
  <c r="GX63" i="19"/>
  <c r="GX74" i="19" s="1"/>
  <c r="GX20" i="19"/>
  <c r="GX31" i="19" s="1"/>
  <c r="HB19" i="19"/>
  <c r="HB30" i="19" s="1"/>
  <c r="GZ19" i="19"/>
  <c r="GZ30" i="19" s="1"/>
  <c r="HA155" i="19"/>
  <c r="HA166" i="19" s="1"/>
  <c r="GZ62" i="19"/>
  <c r="GZ73" i="19" s="1"/>
  <c r="HC21" i="19"/>
  <c r="HC32" i="19" s="1"/>
  <c r="HB113" i="19"/>
  <c r="HB124" i="19" s="1"/>
  <c r="HD20" i="19"/>
  <c r="HD31" i="19" s="1"/>
  <c r="GZ63" i="19"/>
  <c r="GZ74" i="19" s="1"/>
  <c r="HD159" i="19"/>
  <c r="HD170" i="19" s="1"/>
  <c r="HA158" i="19"/>
  <c r="HA169" i="19" s="1"/>
  <c r="HB158" i="19"/>
  <c r="HB169" i="19" s="1"/>
  <c r="HB63" i="19"/>
  <c r="HB74" i="19" s="1"/>
  <c r="HD19" i="19"/>
  <c r="HD30" i="19" s="1"/>
  <c r="HB62" i="19"/>
  <c r="HB73" i="19" s="1"/>
  <c r="GZ20" i="19"/>
  <c r="GZ31" i="19" s="1"/>
  <c r="GZ158" i="19"/>
  <c r="GZ169" i="19" s="1"/>
  <c r="HD112" i="19"/>
  <c r="HD123" i="19" s="1"/>
  <c r="GI108" i="19"/>
  <c r="GI119" i="19" s="1"/>
  <c r="GI130" i="19" s="1"/>
  <c r="GI18" i="19"/>
  <c r="GI29" i="19" s="1"/>
  <c r="GM157" i="19"/>
  <c r="GM168" i="19" s="1"/>
  <c r="GK112" i="19"/>
  <c r="GK123" i="19" s="1"/>
  <c r="GN62" i="19"/>
  <c r="GN73" i="19" s="1"/>
  <c r="GQ63" i="19"/>
  <c r="GL154" i="19"/>
  <c r="GL165" i="19" s="1"/>
  <c r="GL176" i="19" s="1"/>
  <c r="GO111" i="19"/>
  <c r="GO122" i="19" s="1"/>
  <c r="GI154" i="19"/>
  <c r="GI165" i="19" s="1"/>
  <c r="GI176" i="19" s="1"/>
  <c r="GK114" i="19"/>
  <c r="GK125" i="19" s="1"/>
  <c r="GK158" i="19"/>
  <c r="GK169" i="19" s="1"/>
  <c r="GJ63" i="19"/>
  <c r="GJ74" i="19" s="1"/>
  <c r="GP111" i="19"/>
  <c r="GP122" i="19" s="1"/>
  <c r="GN20" i="19"/>
  <c r="GN31" i="19" s="1"/>
  <c r="GP19" i="19"/>
  <c r="GP30" i="19" s="1"/>
  <c r="GQ157" i="19"/>
  <c r="GQ62" i="19"/>
  <c r="GO19" i="19"/>
  <c r="GO30" i="19" s="1"/>
  <c r="GK62" i="19"/>
  <c r="GK73" i="19" s="1"/>
  <c r="GQ111" i="19"/>
  <c r="GP18" i="19"/>
  <c r="GP29" i="19" s="1"/>
  <c r="GI61" i="19"/>
  <c r="GI72" i="19" s="1"/>
  <c r="GN19" i="19"/>
  <c r="GN30" i="19" s="1"/>
  <c r="GL19" i="19"/>
  <c r="GL30" i="19" s="1"/>
  <c r="GL112" i="19"/>
  <c r="GL123" i="19" s="1"/>
  <c r="GJ112" i="19"/>
  <c r="GJ123" i="19" s="1"/>
  <c r="GL61" i="19"/>
  <c r="GL72" i="19" s="1"/>
  <c r="GK108" i="19"/>
  <c r="GK119" i="19" s="1"/>
  <c r="GK130" i="19" s="1"/>
  <c r="GP157" i="19"/>
  <c r="GP168" i="19" s="1"/>
  <c r="GM111" i="19"/>
  <c r="GM122" i="19" s="1"/>
  <c r="GN157" i="19"/>
  <c r="GN168" i="19" s="1"/>
  <c r="GL62" i="19"/>
  <c r="GL73" i="19" s="1"/>
  <c r="GP154" i="19"/>
  <c r="GP165" i="19" s="1"/>
  <c r="GP176" i="19" s="1"/>
  <c r="GL158" i="19"/>
  <c r="GL169" i="19" s="1"/>
  <c r="GK19" i="19"/>
  <c r="GK30" i="19" s="1"/>
  <c r="GO62" i="19"/>
  <c r="GO73" i="19" s="1"/>
  <c r="GA111" i="19"/>
  <c r="GA122" i="19" s="1"/>
  <c r="GC62" i="19"/>
  <c r="GC73" i="19" s="1"/>
  <c r="FZ111" i="19"/>
  <c r="FZ122" i="19" s="1"/>
  <c r="FY112" i="19"/>
  <c r="FY123" i="19" s="1"/>
  <c r="GD18" i="19"/>
  <c r="GD62" i="19"/>
  <c r="GD112" i="19"/>
  <c r="FY158" i="19"/>
  <c r="FY169" i="19" s="1"/>
  <c r="GA158" i="19"/>
  <c r="GA169" i="19" s="1"/>
  <c r="GD61" i="19"/>
  <c r="GD109" i="19"/>
  <c r="GA157" i="19"/>
  <c r="GA168" i="19" s="1"/>
  <c r="FW63" i="19"/>
  <c r="FW74" i="19" s="1"/>
  <c r="GA154" i="19"/>
  <c r="GA165" i="19" s="1"/>
  <c r="GA176" i="19" s="1"/>
  <c r="FW61" i="19"/>
  <c r="FW72" i="19" s="1"/>
  <c r="GA61" i="19"/>
  <c r="GA72" i="19" s="1"/>
  <c r="FV108" i="19"/>
  <c r="FV119" i="19" s="1"/>
  <c r="FV130" i="19" s="1"/>
  <c r="GC158" i="19"/>
  <c r="GC169" i="19" s="1"/>
  <c r="FX19" i="19"/>
  <c r="FX30" i="19" s="1"/>
  <c r="GA20" i="19"/>
  <c r="GA31" i="19" s="1"/>
  <c r="GC157" i="19"/>
  <c r="GC168" i="19" s="1"/>
  <c r="FX21" i="19"/>
  <c r="FX32" i="19" s="1"/>
  <c r="FX158" i="19"/>
  <c r="FX169" i="19" s="1"/>
  <c r="FZ18" i="19"/>
  <c r="FZ29" i="19" s="1"/>
  <c r="FY19" i="19"/>
  <c r="FY30" i="19" s="1"/>
  <c r="GC19" i="19"/>
  <c r="GC30" i="19" s="1"/>
  <c r="FZ62" i="19"/>
  <c r="FZ73" i="19" s="1"/>
  <c r="FV61" i="19"/>
  <c r="GD155" i="19"/>
  <c r="FZ61" i="19"/>
  <c r="FZ72" i="19" s="1"/>
  <c r="FY157" i="19"/>
  <c r="FY168" i="19" s="1"/>
  <c r="FV18" i="19"/>
  <c r="FV29" i="19" s="1"/>
  <c r="FX112" i="19"/>
  <c r="FX123" i="19" s="1"/>
  <c r="FY62" i="19"/>
  <c r="FY73" i="19" s="1"/>
  <c r="GB19" i="19"/>
  <c r="GB30" i="19" s="1"/>
  <c r="GB111" i="19"/>
  <c r="GB122" i="19" s="1"/>
  <c r="GD111" i="19"/>
  <c r="FJ108" i="19"/>
  <c r="FJ119" i="19" s="1"/>
  <c r="FJ130" i="19" s="1"/>
  <c r="FQ19" i="19"/>
  <c r="FO111" i="19"/>
  <c r="FO122" i="19" s="1"/>
  <c r="FM62" i="19"/>
  <c r="FM73" i="19" s="1"/>
  <c r="FM18" i="19"/>
  <c r="FM29" i="19" s="1"/>
  <c r="FO62" i="19"/>
  <c r="FO73" i="19" s="1"/>
  <c r="FO157" i="19"/>
  <c r="FO168" i="19" s="1"/>
  <c r="FL19" i="19"/>
  <c r="FL30" i="19" s="1"/>
  <c r="FK63" i="19"/>
  <c r="FK74" i="19" s="1"/>
  <c r="FQ157" i="19"/>
  <c r="FO158" i="19"/>
  <c r="FO169" i="19" s="1"/>
  <c r="FQ62" i="19"/>
  <c r="FP111" i="19"/>
  <c r="FP122" i="19" s="1"/>
  <c r="FM19" i="19"/>
  <c r="FM30" i="19" s="1"/>
  <c r="FK61" i="19"/>
  <c r="FK72" i="19" s="1"/>
  <c r="FN62" i="19"/>
  <c r="FN73" i="19" s="1"/>
  <c r="FK19" i="19"/>
  <c r="FK30" i="19" s="1"/>
  <c r="FL111" i="19"/>
  <c r="FL122" i="19" s="1"/>
  <c r="FP157" i="19"/>
  <c r="FP168" i="19" s="1"/>
  <c r="FO19" i="19"/>
  <c r="FO30" i="19" s="1"/>
  <c r="FK155" i="19"/>
  <c r="FK166" i="19" s="1"/>
  <c r="FN111" i="19"/>
  <c r="FN122" i="19" s="1"/>
  <c r="FJ61" i="19"/>
  <c r="FO61" i="19"/>
  <c r="FO72" i="19" s="1"/>
  <c r="GD73" i="19" l="1"/>
  <c r="GF63" i="19"/>
  <c r="GS64" i="19"/>
  <c r="GQ74" i="19"/>
  <c r="FU122" i="19"/>
  <c r="FV112" i="19"/>
  <c r="GI30" i="19"/>
  <c r="GJ20" i="19"/>
  <c r="GS73" i="19"/>
  <c r="GT63" i="19"/>
  <c r="GH168" i="19"/>
  <c r="GI158" i="19"/>
  <c r="GU30" i="19"/>
  <c r="GV20" i="19"/>
  <c r="GU120" i="19"/>
  <c r="GV110" i="19"/>
  <c r="GT158" i="19"/>
  <c r="GS168" i="19"/>
  <c r="FS63" i="19"/>
  <c r="FQ73" i="19"/>
  <c r="GD166" i="19"/>
  <c r="GF156" i="19"/>
  <c r="FV72" i="19"/>
  <c r="GD120" i="19"/>
  <c r="GF110" i="19"/>
  <c r="GF19" i="19"/>
  <c r="GD29" i="19"/>
  <c r="GS112" i="19"/>
  <c r="GQ122" i="19"/>
  <c r="GW168" i="19"/>
  <c r="GX158" i="19"/>
  <c r="GU168" i="19"/>
  <c r="GV158" i="19"/>
  <c r="GG21" i="19"/>
  <c r="GF31" i="19"/>
  <c r="FS72" i="19"/>
  <c r="FT62" i="19"/>
  <c r="FT120" i="19"/>
  <c r="FU110" i="19"/>
  <c r="GF122" i="19"/>
  <c r="GG112" i="19"/>
  <c r="GT130" i="19"/>
  <c r="GV73" i="19"/>
  <c r="GW63" i="19"/>
  <c r="FT74" i="19"/>
  <c r="FU64" i="19"/>
  <c r="FS20" i="19"/>
  <c r="FQ30" i="19"/>
  <c r="GS63" i="19"/>
  <c r="GQ73" i="19"/>
  <c r="GT122" i="19"/>
  <c r="GU112" i="19"/>
  <c r="FU168" i="19"/>
  <c r="FV158" i="19"/>
  <c r="FU167" i="19"/>
  <c r="FV157" i="19"/>
  <c r="FS130" i="19"/>
  <c r="GT30" i="19"/>
  <c r="GU20" i="19"/>
  <c r="FT72" i="19"/>
  <c r="FU62" i="19"/>
  <c r="GH30" i="19"/>
  <c r="GI20" i="19"/>
  <c r="GG158" i="19"/>
  <c r="GF168" i="19"/>
  <c r="FT30" i="19"/>
  <c r="FU20" i="19"/>
  <c r="GV168" i="19"/>
  <c r="GW158" i="19"/>
  <c r="FQ31" i="19"/>
  <c r="FS21" i="19"/>
  <c r="FU30" i="19"/>
  <c r="FV20" i="19"/>
  <c r="GI168" i="19"/>
  <c r="GJ158" i="19"/>
  <c r="GV122" i="19"/>
  <c r="GW112" i="19"/>
  <c r="GG30" i="19"/>
  <c r="GH20" i="19"/>
  <c r="GU122" i="19"/>
  <c r="GV112" i="19"/>
  <c r="FT122" i="19"/>
  <c r="FU112" i="19"/>
  <c r="FS123" i="19"/>
  <c r="FT113" i="19"/>
  <c r="GV30" i="19"/>
  <c r="GW20" i="19"/>
  <c r="GT73" i="19"/>
  <c r="GU63" i="19"/>
  <c r="GT20" i="19"/>
  <c r="GS30" i="19"/>
  <c r="FJ72" i="19"/>
  <c r="FS158" i="19"/>
  <c r="FQ168" i="19"/>
  <c r="GF112" i="19"/>
  <c r="GD122" i="19"/>
  <c r="GD72" i="19"/>
  <c r="GF62" i="19"/>
  <c r="GD123" i="19"/>
  <c r="GF113" i="19"/>
  <c r="GS158" i="19"/>
  <c r="GQ168" i="19"/>
  <c r="GH73" i="19"/>
  <c r="GI63" i="19"/>
  <c r="GT123" i="19"/>
  <c r="GU113" i="19"/>
  <c r="FT168" i="19"/>
  <c r="FU158" i="19"/>
  <c r="FT169" i="19"/>
  <c r="FU159" i="19"/>
  <c r="GF72" i="19"/>
  <c r="GG62" i="19"/>
  <c r="FS122" i="19"/>
  <c r="FT112" i="19"/>
  <c r="GX168" i="19"/>
  <c r="GY158" i="19"/>
  <c r="FL168" i="19"/>
  <c r="FM158" i="19"/>
  <c r="GU73" i="19"/>
  <c r="GV63" i="19"/>
  <c r="FS19" i="19"/>
  <c r="FQ29" i="19"/>
  <c r="GY63" i="19"/>
  <c r="GY74" i="19" s="1"/>
  <c r="HD114" i="19"/>
  <c r="HD125" i="19" s="1"/>
  <c r="GX110" i="19"/>
  <c r="GX121" i="19" s="1"/>
  <c r="HD110" i="19"/>
  <c r="HD121" i="19" s="1"/>
  <c r="HC64" i="19"/>
  <c r="HC75" i="19" s="1"/>
  <c r="HA64" i="19"/>
  <c r="HA75" i="19" s="1"/>
  <c r="HD22" i="19"/>
  <c r="HD33" i="19" s="1"/>
  <c r="GY64" i="19"/>
  <c r="GY75" i="19" s="1"/>
  <c r="HA114" i="19"/>
  <c r="HA125" i="19" s="1"/>
  <c r="HD113" i="19"/>
  <c r="HD124" i="19" s="1"/>
  <c r="HA159" i="19"/>
  <c r="HA170" i="19" s="1"/>
  <c r="HC20" i="19"/>
  <c r="HC31" i="19" s="1"/>
  <c r="HA21" i="19"/>
  <c r="HA32" i="19" s="1"/>
  <c r="HC63" i="19"/>
  <c r="HC74" i="19" s="1"/>
  <c r="HB159" i="19"/>
  <c r="HB170" i="19" s="1"/>
  <c r="HC114" i="19"/>
  <c r="HC125" i="19" s="1"/>
  <c r="HB156" i="19"/>
  <c r="HB167" i="19" s="1"/>
  <c r="HA20" i="19"/>
  <c r="HA31" i="19" s="1"/>
  <c r="GY21" i="19"/>
  <c r="GY32" i="19" s="1"/>
  <c r="HC159" i="19"/>
  <c r="HC170" i="19" s="1"/>
  <c r="HA63" i="19"/>
  <c r="HA74" i="19" s="1"/>
  <c r="GY20" i="19"/>
  <c r="GY31" i="19" s="1"/>
  <c r="GL20" i="19"/>
  <c r="GL31" i="19" s="1"/>
  <c r="GQ19" i="19"/>
  <c r="GP20" i="19"/>
  <c r="GP31" i="19" s="1"/>
  <c r="GP63" i="19"/>
  <c r="GP74" i="19" s="1"/>
  <c r="GM159" i="19"/>
  <c r="GM170" i="19" s="1"/>
  <c r="GM63" i="19"/>
  <c r="GM74" i="19" s="1"/>
  <c r="GM62" i="19"/>
  <c r="GM73" i="19" s="1"/>
  <c r="GL63" i="19"/>
  <c r="GL74" i="19" s="1"/>
  <c r="GO63" i="19"/>
  <c r="GO74" i="19" s="1"/>
  <c r="GN158" i="19"/>
  <c r="GN169" i="19" s="1"/>
  <c r="GJ109" i="19"/>
  <c r="GJ120" i="19" s="1"/>
  <c r="GN112" i="19"/>
  <c r="GN123" i="19" s="1"/>
  <c r="GL109" i="19"/>
  <c r="GL120" i="19" s="1"/>
  <c r="GM20" i="19"/>
  <c r="GM31" i="19" s="1"/>
  <c r="GQ112" i="19"/>
  <c r="GL159" i="19"/>
  <c r="GL170" i="19" s="1"/>
  <c r="GJ155" i="19"/>
  <c r="GJ166" i="19" s="1"/>
  <c r="GM155" i="19"/>
  <c r="GM166" i="19" s="1"/>
  <c r="GO158" i="19"/>
  <c r="GO169" i="19" s="1"/>
  <c r="GQ158" i="19"/>
  <c r="GK113" i="19"/>
  <c r="GK124" i="19" s="1"/>
  <c r="GO20" i="19"/>
  <c r="GO31" i="19" s="1"/>
  <c r="GO21" i="19"/>
  <c r="GO32" i="19" s="1"/>
  <c r="GJ19" i="19"/>
  <c r="GJ30" i="19" s="1"/>
  <c r="GQ155" i="19"/>
  <c r="GM113" i="19"/>
  <c r="GM124" i="19" s="1"/>
  <c r="GJ62" i="19"/>
  <c r="GJ73" i="19" s="1"/>
  <c r="GQ20" i="19"/>
  <c r="GK64" i="19"/>
  <c r="GK75" i="19" s="1"/>
  <c r="GL115" i="19"/>
  <c r="GL126" i="19" s="1"/>
  <c r="GP112" i="19"/>
  <c r="GP123" i="19" s="1"/>
  <c r="GL113" i="19"/>
  <c r="GL124" i="19" s="1"/>
  <c r="FY113" i="19"/>
  <c r="FY124" i="19" s="1"/>
  <c r="FW19" i="19"/>
  <c r="FW30" i="19" s="1"/>
  <c r="GB159" i="19"/>
  <c r="GB170" i="19" s="1"/>
  <c r="FZ113" i="19"/>
  <c r="FZ124" i="19" s="1"/>
  <c r="GD63" i="19"/>
  <c r="FZ63" i="19"/>
  <c r="FZ74" i="19" s="1"/>
  <c r="FZ158" i="19"/>
  <c r="FZ169" i="19" s="1"/>
  <c r="FY159" i="19"/>
  <c r="FY170" i="19" s="1"/>
  <c r="GD158" i="19"/>
  <c r="FY20" i="19"/>
  <c r="FY31" i="19" s="1"/>
  <c r="GB62" i="19"/>
  <c r="GB73" i="19" s="1"/>
  <c r="FX62" i="19"/>
  <c r="FX73" i="19" s="1"/>
  <c r="FX64" i="19"/>
  <c r="FX75" i="19" s="1"/>
  <c r="GA62" i="19"/>
  <c r="GA73" i="19" s="1"/>
  <c r="GA63" i="19"/>
  <c r="GA74" i="19" s="1"/>
  <c r="GA19" i="19"/>
  <c r="GA30" i="19" s="1"/>
  <c r="FY22" i="19"/>
  <c r="FY33" i="19" s="1"/>
  <c r="GB21" i="19"/>
  <c r="GB32" i="19" s="1"/>
  <c r="GB155" i="19"/>
  <c r="GB166" i="19" s="1"/>
  <c r="GA112" i="19"/>
  <c r="GA123" i="19" s="1"/>
  <c r="GC112" i="19"/>
  <c r="GC123" i="19" s="1"/>
  <c r="GC20" i="19"/>
  <c r="GC31" i="19" s="1"/>
  <c r="FW62" i="19"/>
  <c r="GD20" i="19"/>
  <c r="FZ20" i="19"/>
  <c r="FZ31" i="19" s="1"/>
  <c r="GD159" i="19"/>
  <c r="FW109" i="19"/>
  <c r="FW120" i="19" s="1"/>
  <c r="GB158" i="19"/>
  <c r="GB169" i="19" s="1"/>
  <c r="FZ159" i="19"/>
  <c r="FZ170" i="19" s="1"/>
  <c r="GB112" i="19"/>
  <c r="GB123" i="19" s="1"/>
  <c r="FL156" i="19"/>
  <c r="FL167" i="19" s="1"/>
  <c r="FK109" i="19"/>
  <c r="FK120" i="19" s="1"/>
  <c r="FP62" i="19"/>
  <c r="FP73" i="19" s="1"/>
  <c r="FK62" i="19"/>
  <c r="FK73" i="19" s="1"/>
  <c r="FL20" i="19"/>
  <c r="FL31" i="19" s="1"/>
  <c r="FL62" i="19"/>
  <c r="FL73" i="19" s="1"/>
  <c r="FN20" i="19"/>
  <c r="FN31" i="19" s="1"/>
  <c r="FP159" i="19"/>
  <c r="FP170" i="19" s="1"/>
  <c r="FM20" i="19"/>
  <c r="FM31" i="19" s="1"/>
  <c r="FP63" i="19"/>
  <c r="FP74" i="19" s="1"/>
  <c r="FN19" i="19"/>
  <c r="FN30" i="19" s="1"/>
  <c r="FO112" i="19"/>
  <c r="FO123" i="19" s="1"/>
  <c r="FQ158" i="19"/>
  <c r="FP20" i="19"/>
  <c r="FP31" i="19" s="1"/>
  <c r="FM112" i="19"/>
  <c r="FM123" i="19" s="1"/>
  <c r="FQ112" i="19"/>
  <c r="FO63" i="19"/>
  <c r="FO74" i="19" s="1"/>
  <c r="FL64" i="19"/>
  <c r="FL75" i="19" s="1"/>
  <c r="FP158" i="19"/>
  <c r="FP169" i="19" s="1"/>
  <c r="FN63" i="19"/>
  <c r="FN74" i="19" s="1"/>
  <c r="FP112" i="19"/>
  <c r="FP123" i="19" s="1"/>
  <c r="GF64" i="19" l="1"/>
  <c r="GD74" i="19"/>
  <c r="GQ123" i="19"/>
  <c r="GS113" i="19"/>
  <c r="GY169" i="19"/>
  <c r="GZ159" i="19"/>
  <c r="GF124" i="19"/>
  <c r="GG114" i="19"/>
  <c r="GW74" i="19"/>
  <c r="GX64" i="19"/>
  <c r="GF121" i="19"/>
  <c r="GG111" i="19"/>
  <c r="GV121" i="19"/>
  <c r="GW111" i="19"/>
  <c r="GJ31" i="19"/>
  <c r="GK21" i="19"/>
  <c r="FT123" i="19"/>
  <c r="FU113" i="19"/>
  <c r="GF73" i="19"/>
  <c r="GG63" i="19"/>
  <c r="GV123" i="19"/>
  <c r="GW113" i="19"/>
  <c r="GG169" i="19"/>
  <c r="GH159" i="19"/>
  <c r="FV168" i="19"/>
  <c r="FW158" i="19"/>
  <c r="GS74" i="19"/>
  <c r="GT64" i="19"/>
  <c r="FT73" i="19"/>
  <c r="FU63" i="19"/>
  <c r="GT169" i="19"/>
  <c r="GU159" i="19"/>
  <c r="GV31" i="19"/>
  <c r="GW21" i="19"/>
  <c r="GT74" i="19"/>
  <c r="GU64" i="19"/>
  <c r="FV123" i="19"/>
  <c r="FW113" i="19"/>
  <c r="GF74" i="19"/>
  <c r="GG64" i="19"/>
  <c r="GV74" i="19"/>
  <c r="GW64" i="19"/>
  <c r="GU74" i="19"/>
  <c r="GV64" i="19"/>
  <c r="FT21" i="19"/>
  <c r="FS31" i="19"/>
  <c r="FU121" i="19"/>
  <c r="FV111" i="19"/>
  <c r="FS74" i="19"/>
  <c r="FT64" i="19"/>
  <c r="FQ169" i="19"/>
  <c r="FS159" i="19"/>
  <c r="FS113" i="19"/>
  <c r="FQ123" i="19"/>
  <c r="GD170" i="19"/>
  <c r="GF160" i="19"/>
  <c r="FW73" i="19"/>
  <c r="GD169" i="19"/>
  <c r="GF159" i="19"/>
  <c r="GS21" i="19"/>
  <c r="GQ31" i="19"/>
  <c r="GQ169" i="19"/>
  <c r="GS159" i="19"/>
  <c r="FU170" i="19"/>
  <c r="FV160" i="19"/>
  <c r="FU169" i="19"/>
  <c r="FV159" i="19"/>
  <c r="GI74" i="19"/>
  <c r="GJ64" i="19"/>
  <c r="GT159" i="19"/>
  <c r="GS169" i="19"/>
  <c r="FT159" i="19"/>
  <c r="FS169" i="19"/>
  <c r="GT31" i="19"/>
  <c r="GU21" i="19"/>
  <c r="GW31" i="19"/>
  <c r="GX21" i="19"/>
  <c r="FU123" i="19"/>
  <c r="FV113" i="19"/>
  <c r="GW123" i="19"/>
  <c r="GX113" i="19"/>
  <c r="FV31" i="19"/>
  <c r="FW21" i="19"/>
  <c r="FU31" i="19"/>
  <c r="FV21" i="19"/>
  <c r="GI31" i="19"/>
  <c r="GJ21" i="19"/>
  <c r="GU123" i="19"/>
  <c r="GV113" i="19"/>
  <c r="GG123" i="19"/>
  <c r="GH113" i="19"/>
  <c r="GV169" i="19"/>
  <c r="GW159" i="19"/>
  <c r="GG20" i="19"/>
  <c r="GF30" i="19"/>
  <c r="GW169" i="19"/>
  <c r="GX159" i="19"/>
  <c r="GG157" i="19"/>
  <c r="GF167" i="19"/>
  <c r="GI169" i="19"/>
  <c r="GJ159" i="19"/>
  <c r="GF21" i="19"/>
  <c r="GD31" i="19"/>
  <c r="GS156" i="19"/>
  <c r="GQ166" i="19"/>
  <c r="GS20" i="19"/>
  <c r="GQ30" i="19"/>
  <c r="FT20" i="19"/>
  <c r="FS30" i="19"/>
  <c r="FM169" i="19"/>
  <c r="FN159" i="19"/>
  <c r="GG73" i="19"/>
  <c r="GH63" i="19"/>
  <c r="GU124" i="19"/>
  <c r="GV114" i="19"/>
  <c r="GF123" i="19"/>
  <c r="GG113" i="19"/>
  <c r="FT124" i="19"/>
  <c r="FU114" i="19"/>
  <c r="GH31" i="19"/>
  <c r="GI21" i="19"/>
  <c r="GJ169" i="19"/>
  <c r="GK159" i="19"/>
  <c r="FT22" i="19"/>
  <c r="FS32" i="19"/>
  <c r="FU73" i="19"/>
  <c r="FV63" i="19"/>
  <c r="GU31" i="19"/>
  <c r="GV21" i="19"/>
  <c r="FV169" i="19"/>
  <c r="FW159" i="19"/>
  <c r="FU75" i="19"/>
  <c r="FV65" i="19"/>
  <c r="GG32" i="19"/>
  <c r="GH22" i="19"/>
  <c r="GX169" i="19"/>
  <c r="GY159" i="19"/>
  <c r="GS123" i="19"/>
  <c r="GT113" i="19"/>
  <c r="GS75" i="19"/>
  <c r="GT65" i="19"/>
  <c r="HB64" i="19"/>
  <c r="HB75" i="19" s="1"/>
  <c r="HC157" i="19"/>
  <c r="HC168" i="19" s="1"/>
  <c r="HD115" i="19"/>
  <c r="HD126" i="19" s="1"/>
  <c r="HD21" i="19"/>
  <c r="HD32" i="19" s="1"/>
  <c r="HB160" i="19"/>
  <c r="HB171" i="19" s="1"/>
  <c r="HB65" i="19"/>
  <c r="HB76" i="19" s="1"/>
  <c r="HD160" i="19"/>
  <c r="HD171" i="19" s="1"/>
  <c r="GZ22" i="19"/>
  <c r="GZ33" i="19" s="1"/>
  <c r="HB21" i="19"/>
  <c r="HB32" i="19" s="1"/>
  <c r="HD64" i="19"/>
  <c r="HD75" i="19" s="1"/>
  <c r="HB115" i="19"/>
  <c r="HB126" i="19" s="1"/>
  <c r="GY111" i="19"/>
  <c r="GY122" i="19" s="1"/>
  <c r="HC160" i="19"/>
  <c r="HC171" i="19" s="1"/>
  <c r="GZ64" i="19"/>
  <c r="GZ75" i="19" s="1"/>
  <c r="GZ21" i="19"/>
  <c r="GZ32" i="19" s="1"/>
  <c r="HB22" i="19"/>
  <c r="HB33" i="19" s="1"/>
  <c r="GZ65" i="19"/>
  <c r="GZ76" i="19" s="1"/>
  <c r="HD65" i="19"/>
  <c r="HD76" i="19" s="1"/>
  <c r="GP64" i="19"/>
  <c r="GP75" i="19" s="1"/>
  <c r="GK20" i="19"/>
  <c r="GK31" i="19" s="1"/>
  <c r="GM116" i="19"/>
  <c r="GM127" i="19" s="1"/>
  <c r="GN114" i="19"/>
  <c r="GN125" i="19" s="1"/>
  <c r="GP21" i="19"/>
  <c r="GP32" i="19" s="1"/>
  <c r="GM160" i="19"/>
  <c r="GM171" i="19" s="1"/>
  <c r="GM110" i="19"/>
  <c r="GM121" i="19" s="1"/>
  <c r="GN63" i="19"/>
  <c r="GN74" i="19" s="1"/>
  <c r="GN160" i="19"/>
  <c r="GN171" i="19" s="1"/>
  <c r="GL65" i="19"/>
  <c r="GL76" i="19" s="1"/>
  <c r="GP22" i="19"/>
  <c r="GP33" i="19" s="1"/>
  <c r="GL114" i="19"/>
  <c r="GL125" i="19" s="1"/>
  <c r="GK110" i="19"/>
  <c r="GK121" i="19" s="1"/>
  <c r="GM64" i="19"/>
  <c r="GM75" i="19" s="1"/>
  <c r="GM114" i="19"/>
  <c r="GM125" i="19" s="1"/>
  <c r="GN21" i="19"/>
  <c r="GN32" i="19" s="1"/>
  <c r="GO113" i="19"/>
  <c r="GO124" i="19" s="1"/>
  <c r="GQ64" i="19"/>
  <c r="GM21" i="19"/>
  <c r="GM32" i="19" s="1"/>
  <c r="GQ113" i="19"/>
  <c r="GK63" i="19"/>
  <c r="GK74" i="19" s="1"/>
  <c r="GP159" i="19"/>
  <c r="GP170" i="19" s="1"/>
  <c r="GN156" i="19"/>
  <c r="GN167" i="19" s="1"/>
  <c r="GK156" i="19"/>
  <c r="GK167" i="19" s="1"/>
  <c r="GO159" i="19"/>
  <c r="GO170" i="19" s="1"/>
  <c r="GN64" i="19"/>
  <c r="GN75" i="19" s="1"/>
  <c r="GQ21" i="19"/>
  <c r="GD113" i="19"/>
  <c r="GB113" i="19"/>
  <c r="GB124" i="19" s="1"/>
  <c r="GC22" i="19"/>
  <c r="GC33" i="19" s="1"/>
  <c r="GB20" i="19"/>
  <c r="GB31" i="19" s="1"/>
  <c r="GB63" i="19"/>
  <c r="GB74" i="19" s="1"/>
  <c r="GA114" i="19"/>
  <c r="GA125" i="19" s="1"/>
  <c r="FZ114" i="19"/>
  <c r="FZ125" i="19" s="1"/>
  <c r="GC113" i="19"/>
  <c r="GC124" i="19" s="1"/>
  <c r="FX110" i="19"/>
  <c r="FX121" i="19" s="1"/>
  <c r="GC156" i="19"/>
  <c r="GC167" i="19" s="1"/>
  <c r="GC63" i="19"/>
  <c r="GC74" i="19" s="1"/>
  <c r="FZ21" i="19"/>
  <c r="FZ32" i="19" s="1"/>
  <c r="FZ160" i="19"/>
  <c r="FZ171" i="19" s="1"/>
  <c r="GA159" i="19"/>
  <c r="GA170" i="19" s="1"/>
  <c r="GA64" i="19"/>
  <c r="GA75" i="19" s="1"/>
  <c r="GA160" i="19"/>
  <c r="GA171" i="19" s="1"/>
  <c r="GD21" i="19"/>
  <c r="FZ23" i="19"/>
  <c r="FZ34" i="19" s="1"/>
  <c r="GB64" i="19"/>
  <c r="GB75" i="19" s="1"/>
  <c r="FY63" i="19"/>
  <c r="FY74" i="19" s="1"/>
  <c r="FX20" i="19"/>
  <c r="FX31" i="19" s="1"/>
  <c r="GC159" i="19"/>
  <c r="GC170" i="19" s="1"/>
  <c r="GA21" i="19"/>
  <c r="GA32" i="19" s="1"/>
  <c r="FX63" i="19"/>
  <c r="FY65" i="19"/>
  <c r="FY76" i="19" s="1"/>
  <c r="GC160" i="19"/>
  <c r="GC171" i="19" s="1"/>
  <c r="FO64" i="19"/>
  <c r="FO75" i="19" s="1"/>
  <c r="FO20" i="19"/>
  <c r="FO31" i="19" s="1"/>
  <c r="FM65" i="19"/>
  <c r="FM76" i="19" s="1"/>
  <c r="FP64" i="19"/>
  <c r="FP75" i="19" s="1"/>
  <c r="FN113" i="19"/>
  <c r="FN124" i="19" s="1"/>
  <c r="FP113" i="19"/>
  <c r="FP124" i="19" s="1"/>
  <c r="FO21" i="19"/>
  <c r="FO32" i="19" s="1"/>
  <c r="FQ159" i="19"/>
  <c r="FN21" i="19"/>
  <c r="FN32" i="19" s="1"/>
  <c r="FQ160" i="19"/>
  <c r="FM63" i="19"/>
  <c r="FM74" i="19" s="1"/>
  <c r="FQ113" i="19"/>
  <c r="FQ21" i="19"/>
  <c r="FQ64" i="19"/>
  <c r="FM21" i="19"/>
  <c r="FM32" i="19" s="1"/>
  <c r="FL63" i="19"/>
  <c r="FL74" i="19" s="1"/>
  <c r="FQ63" i="19"/>
  <c r="FL110" i="19"/>
  <c r="FL121" i="19" s="1"/>
  <c r="FM157" i="19"/>
  <c r="FM168" i="19" s="1"/>
  <c r="GT157" i="19" l="1"/>
  <c r="GS167" i="19"/>
  <c r="GG31" i="19"/>
  <c r="GH21" i="19"/>
  <c r="GS32" i="19"/>
  <c r="GT22" i="19"/>
  <c r="GH170" i="19"/>
  <c r="GI160" i="19"/>
  <c r="GW124" i="19"/>
  <c r="GX114" i="19"/>
  <c r="GW122" i="19"/>
  <c r="GX112" i="19"/>
  <c r="GZ170" i="19"/>
  <c r="HA160" i="19"/>
  <c r="FS65" i="19"/>
  <c r="FQ75" i="19"/>
  <c r="FS114" i="19"/>
  <c r="FQ124" i="19"/>
  <c r="FS161" i="19"/>
  <c r="FQ171" i="19"/>
  <c r="GT76" i="19"/>
  <c r="GU66" i="19"/>
  <c r="GU77" i="19" s="1"/>
  <c r="FU125" i="19"/>
  <c r="FV115" i="19"/>
  <c r="GV125" i="19"/>
  <c r="GW115" i="19"/>
  <c r="GT21" i="19"/>
  <c r="GS31" i="19"/>
  <c r="GV124" i="19"/>
  <c r="GW114" i="19"/>
  <c r="FV32" i="19"/>
  <c r="FW22" i="19"/>
  <c r="GX124" i="19"/>
  <c r="GY114" i="19"/>
  <c r="FV170" i="19"/>
  <c r="FW160" i="19"/>
  <c r="GS170" i="19"/>
  <c r="GT160" i="19"/>
  <c r="GG160" i="19"/>
  <c r="GF170" i="19"/>
  <c r="GG161" i="19"/>
  <c r="GF171" i="19"/>
  <c r="FS170" i="19"/>
  <c r="FT160" i="19"/>
  <c r="FT32" i="19"/>
  <c r="FU22" i="19"/>
  <c r="GW75" i="19"/>
  <c r="GX65" i="19"/>
  <c r="FW124" i="19"/>
  <c r="FX114" i="19"/>
  <c r="GW32" i="19"/>
  <c r="GX22" i="19"/>
  <c r="FU74" i="19"/>
  <c r="FV64" i="19"/>
  <c r="GT75" i="19"/>
  <c r="GU65" i="19"/>
  <c r="GK32" i="19"/>
  <c r="GL22" i="19"/>
  <c r="GF75" i="19"/>
  <c r="GG65" i="19"/>
  <c r="GD32" i="19"/>
  <c r="GF22" i="19"/>
  <c r="GS22" i="19"/>
  <c r="GQ32" i="19"/>
  <c r="GU32" i="19"/>
  <c r="GV22" i="19"/>
  <c r="FS160" i="19"/>
  <c r="FQ170" i="19"/>
  <c r="FX74" i="19"/>
  <c r="GD124" i="19"/>
  <c r="GF114" i="19"/>
  <c r="GS65" i="19"/>
  <c r="GQ75" i="19"/>
  <c r="GU114" i="19"/>
  <c r="GT124" i="19"/>
  <c r="GH33" i="19"/>
  <c r="GI23" i="19"/>
  <c r="GI34" i="19" s="1"/>
  <c r="FW170" i="19"/>
  <c r="FX160" i="19"/>
  <c r="FN170" i="19"/>
  <c r="FO160" i="19"/>
  <c r="FT31" i="19"/>
  <c r="FU21" i="19"/>
  <c r="GG22" i="19"/>
  <c r="GF32" i="19"/>
  <c r="GX170" i="19"/>
  <c r="GY160" i="19"/>
  <c r="GW170" i="19"/>
  <c r="GX160" i="19"/>
  <c r="GH124" i="19"/>
  <c r="GI114" i="19"/>
  <c r="GJ32" i="19"/>
  <c r="GK22" i="19"/>
  <c r="GX32" i="19"/>
  <c r="GY22" i="19"/>
  <c r="GT170" i="19"/>
  <c r="GU160" i="19"/>
  <c r="FV122" i="19"/>
  <c r="FW112" i="19"/>
  <c r="GG74" i="19"/>
  <c r="GH64" i="19"/>
  <c r="GX75" i="19"/>
  <c r="GY65" i="19"/>
  <c r="GG125" i="19"/>
  <c r="GH115" i="19"/>
  <c r="GS124" i="19"/>
  <c r="GT114" i="19"/>
  <c r="FS64" i="19"/>
  <c r="FQ74" i="19"/>
  <c r="GS114" i="19"/>
  <c r="GQ124" i="19"/>
  <c r="GY170" i="19"/>
  <c r="GZ160" i="19"/>
  <c r="FV76" i="19"/>
  <c r="FW66" i="19"/>
  <c r="FW77" i="19" s="1"/>
  <c r="GV32" i="19"/>
  <c r="GW22" i="19"/>
  <c r="GK170" i="19"/>
  <c r="GL160" i="19"/>
  <c r="GH74" i="19"/>
  <c r="GI64" i="19"/>
  <c r="FT170" i="19"/>
  <c r="FU160" i="19"/>
  <c r="FS124" i="19"/>
  <c r="FT114" i="19"/>
  <c r="FQ32" i="19"/>
  <c r="FS22" i="19"/>
  <c r="FV74" i="19"/>
  <c r="FW64" i="19"/>
  <c r="FT33" i="19"/>
  <c r="FU23" i="19"/>
  <c r="FU34" i="19" s="1"/>
  <c r="GI32" i="19"/>
  <c r="GJ22" i="19"/>
  <c r="GG124" i="19"/>
  <c r="GH114" i="19"/>
  <c r="GJ170" i="19"/>
  <c r="GK160" i="19"/>
  <c r="GG168" i="19"/>
  <c r="GH158" i="19"/>
  <c r="FW32" i="19"/>
  <c r="FX22" i="19"/>
  <c r="FV124" i="19"/>
  <c r="FW114" i="19"/>
  <c r="GJ75" i="19"/>
  <c r="GK65" i="19"/>
  <c r="FV171" i="19"/>
  <c r="FW161" i="19"/>
  <c r="FT75" i="19"/>
  <c r="FU65" i="19"/>
  <c r="GV75" i="19"/>
  <c r="GW65" i="19"/>
  <c r="GG75" i="19"/>
  <c r="GH65" i="19"/>
  <c r="GU75" i="19"/>
  <c r="GV65" i="19"/>
  <c r="GU170" i="19"/>
  <c r="GV160" i="19"/>
  <c r="FW169" i="19"/>
  <c r="FX159" i="19"/>
  <c r="FU124" i="19"/>
  <c r="FV114" i="19"/>
  <c r="GG122" i="19"/>
  <c r="GH112" i="19"/>
  <c r="HA66" i="19"/>
  <c r="HA77" i="19" s="1"/>
  <c r="HA22" i="19"/>
  <c r="HA33" i="19" s="1"/>
  <c r="HC65" i="19"/>
  <c r="HC76" i="19" s="1"/>
  <c r="HC23" i="19"/>
  <c r="HC34" i="19" s="1"/>
  <c r="HA65" i="19"/>
  <c r="HA76" i="19" s="1"/>
  <c r="HC66" i="19"/>
  <c r="HC77" i="19" s="1"/>
  <c r="HC161" i="19"/>
  <c r="GZ112" i="19"/>
  <c r="GZ123" i="19" s="1"/>
  <c r="HC116" i="19"/>
  <c r="HC127" i="19" s="1"/>
  <c r="HA23" i="19"/>
  <c r="HA34" i="19" s="1"/>
  <c r="HD158" i="19"/>
  <c r="HD169" i="19" s="1"/>
  <c r="HD161" i="19"/>
  <c r="HD172" i="19" s="1"/>
  <c r="HC22" i="19"/>
  <c r="HC33" i="19" s="1"/>
  <c r="GO65" i="19"/>
  <c r="GO76" i="19" s="1"/>
  <c r="GQ160" i="19"/>
  <c r="GL64" i="19"/>
  <c r="GL75" i="19" s="1"/>
  <c r="GP114" i="19"/>
  <c r="GP125" i="19" s="1"/>
  <c r="GO22" i="19"/>
  <c r="GO33" i="19" s="1"/>
  <c r="GM66" i="19"/>
  <c r="GM77" i="19" s="1"/>
  <c r="GO161" i="19"/>
  <c r="GO172" i="19" s="1"/>
  <c r="GL21" i="19"/>
  <c r="GL32" i="19" s="1"/>
  <c r="GN115" i="19"/>
  <c r="GN126" i="19" s="1"/>
  <c r="GM115" i="19"/>
  <c r="GM126" i="19" s="1"/>
  <c r="GN111" i="19"/>
  <c r="GN122" i="19" s="1"/>
  <c r="GN161" i="19"/>
  <c r="GN172" i="19" s="1"/>
  <c r="GQ65" i="19"/>
  <c r="GO157" i="19"/>
  <c r="GO168" i="19" s="1"/>
  <c r="GL111" i="19"/>
  <c r="GL122" i="19" s="1"/>
  <c r="GO64" i="19"/>
  <c r="GO75" i="19" s="1"/>
  <c r="GQ22" i="19"/>
  <c r="GP160" i="19"/>
  <c r="GP171" i="19" s="1"/>
  <c r="GL157" i="19"/>
  <c r="GL168" i="19" s="1"/>
  <c r="GN22" i="19"/>
  <c r="GN33" i="19" s="1"/>
  <c r="GN65" i="19"/>
  <c r="GN76" i="19" s="1"/>
  <c r="GQ23" i="19"/>
  <c r="GQ34" i="19" s="1"/>
  <c r="GO115" i="19"/>
  <c r="GO126" i="19" s="1"/>
  <c r="GA161" i="19"/>
  <c r="GA172" i="19" s="1"/>
  <c r="GD64" i="19"/>
  <c r="GD157" i="19"/>
  <c r="GD114" i="19"/>
  <c r="GA115" i="19"/>
  <c r="GA126" i="19" s="1"/>
  <c r="GB115" i="19"/>
  <c r="GB126" i="19" s="1"/>
  <c r="GD161" i="19"/>
  <c r="FZ64" i="19"/>
  <c r="FZ75" i="19" s="1"/>
  <c r="GB161" i="19"/>
  <c r="GB172" i="19" s="1"/>
  <c r="GB160" i="19"/>
  <c r="GB171" i="19" s="1"/>
  <c r="GC64" i="19"/>
  <c r="GC75" i="19" s="1"/>
  <c r="GC21" i="19"/>
  <c r="GC32" i="19" s="1"/>
  <c r="FY64" i="19"/>
  <c r="FY75" i="19" s="1"/>
  <c r="GD160" i="19"/>
  <c r="FY21" i="19"/>
  <c r="FY32" i="19" s="1"/>
  <c r="GC65" i="19"/>
  <c r="GC76" i="19" s="1"/>
  <c r="GB65" i="19"/>
  <c r="GB76" i="19" s="1"/>
  <c r="GA22" i="19"/>
  <c r="GA33" i="19" s="1"/>
  <c r="FY111" i="19"/>
  <c r="FY122" i="19" s="1"/>
  <c r="GC114" i="19"/>
  <c r="GC125" i="19" s="1"/>
  <c r="FZ66" i="19"/>
  <c r="FZ77" i="19" s="1"/>
  <c r="GB22" i="19"/>
  <c r="GB33" i="19" s="1"/>
  <c r="GD23" i="19"/>
  <c r="GD34" i="19" s="1"/>
  <c r="FM111" i="19"/>
  <c r="FM122" i="19" s="1"/>
  <c r="FM64" i="19"/>
  <c r="FM75" i="19" s="1"/>
  <c r="FN64" i="19"/>
  <c r="FN75" i="19" s="1"/>
  <c r="FQ65" i="19"/>
  <c r="FP65" i="19"/>
  <c r="FP76" i="19" s="1"/>
  <c r="FO22" i="19"/>
  <c r="FO33" i="19" s="1"/>
  <c r="FP22" i="19"/>
  <c r="FP33" i="19" s="1"/>
  <c r="FO114" i="19"/>
  <c r="FO125" i="19" s="1"/>
  <c r="FP21" i="19"/>
  <c r="FP32" i="19" s="1"/>
  <c r="FN158" i="19"/>
  <c r="FN169" i="19" s="1"/>
  <c r="FN22" i="19"/>
  <c r="FN33" i="19" s="1"/>
  <c r="FQ114" i="19"/>
  <c r="FN66" i="19"/>
  <c r="FN77" i="19" s="1"/>
  <c r="GF161" i="19" l="1"/>
  <c r="GD171" i="19"/>
  <c r="GF65" i="19"/>
  <c r="GD75" i="19"/>
  <c r="GI75" i="19"/>
  <c r="GJ65" i="19"/>
  <c r="GY33" i="19"/>
  <c r="GZ23" i="19"/>
  <c r="GY10" i="19"/>
  <c r="GG33" i="19"/>
  <c r="GH23" i="19"/>
  <c r="GH34" i="19" s="1"/>
  <c r="FO171" i="19"/>
  <c r="FP161" i="19"/>
  <c r="GU125" i="19"/>
  <c r="GV115" i="19"/>
  <c r="GL33" i="19"/>
  <c r="GM23" i="19"/>
  <c r="GM34" i="19" s="1"/>
  <c r="GX33" i="19"/>
  <c r="GY23" i="19"/>
  <c r="GY34" i="19" s="1"/>
  <c r="GX76" i="19"/>
  <c r="GX79" i="19" s="1"/>
  <c r="GX80" i="19" s="1"/>
  <c r="GY66" i="19"/>
  <c r="GY77" i="19" s="1"/>
  <c r="GT32" i="19"/>
  <c r="GU22" i="19"/>
  <c r="GX125" i="19"/>
  <c r="GY115" i="19"/>
  <c r="GH32" i="19"/>
  <c r="GI22" i="19"/>
  <c r="GH10" i="19"/>
  <c r="GT168" i="19"/>
  <c r="GU158" i="19"/>
  <c r="FS115" i="19"/>
  <c r="FQ125" i="19"/>
  <c r="FQ76" i="19"/>
  <c r="FS66" i="19"/>
  <c r="FS77" i="19" s="1"/>
  <c r="GQ12" i="19"/>
  <c r="GQ13" i="19" s="1"/>
  <c r="GS23" i="19"/>
  <c r="GQ33" i="19"/>
  <c r="GS66" i="19"/>
  <c r="GQ76" i="19"/>
  <c r="HC172" i="19"/>
  <c r="GV76" i="19"/>
  <c r="GW66" i="19"/>
  <c r="GW77" i="19" s="1"/>
  <c r="GW76" i="19"/>
  <c r="GX66" i="19"/>
  <c r="GX77" i="19" s="1"/>
  <c r="GK171" i="19"/>
  <c r="GL161" i="19"/>
  <c r="FU171" i="19"/>
  <c r="FV161" i="19"/>
  <c r="GW33" i="19"/>
  <c r="GX23" i="19"/>
  <c r="GX34" i="19" s="1"/>
  <c r="GX12" i="19" s="1"/>
  <c r="GX13" i="19" s="1"/>
  <c r="GZ171" i="19"/>
  <c r="HA161" i="19"/>
  <c r="GU115" i="19"/>
  <c r="GT125" i="19"/>
  <c r="GY76" i="19"/>
  <c r="GY53" i="19"/>
  <c r="GZ66" i="19"/>
  <c r="GU171" i="19"/>
  <c r="GV161" i="19"/>
  <c r="GX36" i="19"/>
  <c r="GI125" i="19"/>
  <c r="GJ115" i="19"/>
  <c r="GV33" i="19"/>
  <c r="GW23" i="19"/>
  <c r="GW34" i="19" s="1"/>
  <c r="FT171" i="19"/>
  <c r="FU161" i="19"/>
  <c r="FW171" i="19"/>
  <c r="FX161" i="19"/>
  <c r="GW126" i="19"/>
  <c r="GX116" i="19"/>
  <c r="GX127" i="19" s="1"/>
  <c r="FT162" i="19"/>
  <c r="FT173" i="19" s="1"/>
  <c r="FS172" i="19"/>
  <c r="FT66" i="19"/>
  <c r="FT77" i="19" s="1"/>
  <c r="FS76" i="19"/>
  <c r="GT33" i="19"/>
  <c r="GU23" i="19"/>
  <c r="FX170" i="19"/>
  <c r="FY160" i="19"/>
  <c r="FW172" i="19"/>
  <c r="FX162" i="19"/>
  <c r="FX173" i="19" s="1"/>
  <c r="FW125" i="19"/>
  <c r="FX115" i="19"/>
  <c r="GH125" i="19"/>
  <c r="GI115" i="19"/>
  <c r="GS125" i="19"/>
  <c r="GT115" i="19"/>
  <c r="GH75" i="19"/>
  <c r="GH55" i="19" s="1"/>
  <c r="GH56" i="19" s="1"/>
  <c r="GI65" i="19"/>
  <c r="GG172" i="19"/>
  <c r="GH162" i="19"/>
  <c r="GH173" i="19" s="1"/>
  <c r="GD125" i="19"/>
  <c r="GF115" i="19"/>
  <c r="FV125" i="19"/>
  <c r="FW115" i="19"/>
  <c r="FU76" i="19"/>
  <c r="FV66" i="19"/>
  <c r="GK76" i="19"/>
  <c r="GL66" i="19"/>
  <c r="GL77" i="19" s="1"/>
  <c r="GL55" i="19" s="1"/>
  <c r="GL56" i="19" s="1"/>
  <c r="FX33" i="19"/>
  <c r="FY23" i="19"/>
  <c r="FY34" i="19" s="1"/>
  <c r="FT125" i="19"/>
  <c r="FU115" i="19"/>
  <c r="GL171" i="19"/>
  <c r="GM161" i="19"/>
  <c r="FS75" i="19"/>
  <c r="FT65" i="19"/>
  <c r="FS53" i="19"/>
  <c r="GX53" i="19"/>
  <c r="FU32" i="19"/>
  <c r="FV22" i="19"/>
  <c r="FU10" i="19"/>
  <c r="FX171" i="19"/>
  <c r="FY161" i="19"/>
  <c r="GS76" i="19"/>
  <c r="GT66" i="19"/>
  <c r="GS33" i="19"/>
  <c r="GT23" i="19"/>
  <c r="FV75" i="19"/>
  <c r="FW65" i="19"/>
  <c r="FW53" i="19" s="1"/>
  <c r="FX125" i="19"/>
  <c r="FY115" i="19"/>
  <c r="FU33" i="19"/>
  <c r="FV23" i="19"/>
  <c r="FV34" i="19" s="1"/>
  <c r="GG171" i="19"/>
  <c r="GH161" i="19"/>
  <c r="FW33" i="19"/>
  <c r="FX23" i="19"/>
  <c r="GX123" i="19"/>
  <c r="GY113" i="19"/>
  <c r="GX100" i="19"/>
  <c r="GI171" i="19"/>
  <c r="GJ161" i="19"/>
  <c r="GQ171" i="19"/>
  <c r="GS161" i="19"/>
  <c r="FW75" i="19"/>
  <c r="FX65" i="19"/>
  <c r="FS171" i="19"/>
  <c r="FT161" i="19"/>
  <c r="GU76" i="19"/>
  <c r="GU55" i="19" s="1"/>
  <c r="GU56" i="19" s="1"/>
  <c r="GV66" i="19"/>
  <c r="GV77" i="19" s="1"/>
  <c r="GV79" i="19" s="1"/>
  <c r="GU53" i="19"/>
  <c r="GW125" i="19"/>
  <c r="GX115" i="19"/>
  <c r="GF162" i="19"/>
  <c r="GF173" i="19" s="1"/>
  <c r="GD172" i="19"/>
  <c r="GF158" i="19"/>
  <c r="GD168" i="19"/>
  <c r="GH123" i="19"/>
  <c r="GI113" i="19"/>
  <c r="GV171" i="19"/>
  <c r="GW161" i="19"/>
  <c r="GH76" i="19"/>
  <c r="GI66" i="19"/>
  <c r="GI77" i="19" s="1"/>
  <c r="GH169" i="19"/>
  <c r="GI159" i="19"/>
  <c r="GJ33" i="19"/>
  <c r="GK23" i="19"/>
  <c r="FT23" i="19"/>
  <c r="FS33" i="19"/>
  <c r="GH53" i="19"/>
  <c r="GH126" i="19"/>
  <c r="GI116" i="19"/>
  <c r="GI127" i="19" s="1"/>
  <c r="FW123" i="19"/>
  <c r="FX113" i="19"/>
  <c r="GX10" i="19"/>
  <c r="GK33" i="19"/>
  <c r="GL23" i="19"/>
  <c r="GL34" i="19" s="1"/>
  <c r="GX171" i="19"/>
  <c r="GY161" i="19"/>
  <c r="GY171" i="19"/>
  <c r="GZ161" i="19"/>
  <c r="GF125" i="19"/>
  <c r="GG115" i="19"/>
  <c r="GG23" i="19"/>
  <c r="GG34" i="19" s="1"/>
  <c r="GG12" i="19" s="1"/>
  <c r="GG13" i="19" s="1"/>
  <c r="GF33" i="19"/>
  <c r="GG76" i="19"/>
  <c r="GH66" i="19"/>
  <c r="GH77" i="19" s="1"/>
  <c r="GT171" i="19"/>
  <c r="GU161" i="19"/>
  <c r="GY125" i="19"/>
  <c r="GZ115" i="19"/>
  <c r="FV126" i="19"/>
  <c r="FW116" i="19"/>
  <c r="FW127" i="19" s="1"/>
  <c r="FS125" i="19"/>
  <c r="FT115" i="19"/>
  <c r="HA171" i="19"/>
  <c r="HB161" i="19"/>
  <c r="HA113" i="19"/>
  <c r="HA124" i="19" s="1"/>
  <c r="HD23" i="19"/>
  <c r="HD34" i="19" s="1"/>
  <c r="HD162" i="19"/>
  <c r="HD173" i="19" s="1"/>
  <c r="HD66" i="19"/>
  <c r="HD77" i="19" s="1"/>
  <c r="HC55" i="19"/>
  <c r="HC56" i="19" s="1"/>
  <c r="HC53" i="19"/>
  <c r="HB66" i="19"/>
  <c r="HB77" i="19" s="1"/>
  <c r="HA53" i="19"/>
  <c r="HC10" i="19"/>
  <c r="HB23" i="19"/>
  <c r="HB34" i="19" s="1"/>
  <c r="HA10" i="19"/>
  <c r="GM158" i="19"/>
  <c r="GM169" i="19" s="1"/>
  <c r="GP158" i="19"/>
  <c r="GP169" i="19" s="1"/>
  <c r="GO162" i="19"/>
  <c r="GO173" i="19" s="1"/>
  <c r="GN116" i="19"/>
  <c r="GN127" i="19" s="1"/>
  <c r="GP23" i="19"/>
  <c r="GP34" i="19" s="1"/>
  <c r="GM65" i="19"/>
  <c r="GM76" i="19" s="1"/>
  <c r="GQ10" i="19"/>
  <c r="GO23" i="19"/>
  <c r="GO34" i="19" s="1"/>
  <c r="GO66" i="19"/>
  <c r="GO77" i="19" s="1"/>
  <c r="GQ161" i="19"/>
  <c r="GP65" i="19"/>
  <c r="GP76" i="19" s="1"/>
  <c r="GM22" i="19"/>
  <c r="GM33" i="19" s="1"/>
  <c r="GL10" i="19"/>
  <c r="GQ36" i="19"/>
  <c r="GQ115" i="19"/>
  <c r="GM112" i="19"/>
  <c r="GM123" i="19" s="1"/>
  <c r="GP162" i="19"/>
  <c r="GP173" i="19" s="1"/>
  <c r="GP66" i="19"/>
  <c r="GP77" i="19" s="1"/>
  <c r="GP116" i="19"/>
  <c r="GP127" i="19" s="1"/>
  <c r="GO112" i="19"/>
  <c r="GO123" i="19" s="1"/>
  <c r="GO116" i="19"/>
  <c r="GO127" i="19" s="1"/>
  <c r="GB23" i="19"/>
  <c r="GB34" i="19" s="1"/>
  <c r="GC66" i="19"/>
  <c r="GC77" i="19" s="1"/>
  <c r="FZ22" i="19"/>
  <c r="FZ33" i="19" s="1"/>
  <c r="FY10" i="19"/>
  <c r="GC161" i="19"/>
  <c r="GC172" i="19" s="1"/>
  <c r="GC162" i="19"/>
  <c r="GC173" i="19" s="1"/>
  <c r="GB116" i="19"/>
  <c r="GB127" i="19" s="1"/>
  <c r="GD115" i="19"/>
  <c r="FZ112" i="19"/>
  <c r="FZ123" i="19" s="1"/>
  <c r="GD22" i="19"/>
  <c r="GA65" i="19"/>
  <c r="GA76" i="19" s="1"/>
  <c r="GC116" i="19"/>
  <c r="GC127" i="19" s="1"/>
  <c r="GC23" i="19"/>
  <c r="GC34" i="19" s="1"/>
  <c r="GD10" i="19"/>
  <c r="GD66" i="19"/>
  <c r="GD77" i="19" s="1"/>
  <c r="FZ65" i="19"/>
  <c r="FZ76" i="19" s="1"/>
  <c r="GD65" i="19"/>
  <c r="GB162" i="19"/>
  <c r="GB173" i="19" s="1"/>
  <c r="FO23" i="19"/>
  <c r="FO34" i="19" s="1"/>
  <c r="FP115" i="19"/>
  <c r="FP126" i="19" s="1"/>
  <c r="FO65" i="19"/>
  <c r="FO76" i="19" s="1"/>
  <c r="FN112" i="19"/>
  <c r="FN123" i="19" s="1"/>
  <c r="FQ23" i="19"/>
  <c r="FQ34" i="19" s="1"/>
  <c r="FO159" i="19"/>
  <c r="FO170" i="19" s="1"/>
  <c r="FQ22" i="19"/>
  <c r="FN65" i="19"/>
  <c r="FN76" i="19" s="1"/>
  <c r="FP23" i="19"/>
  <c r="FP34" i="19" s="1"/>
  <c r="FQ66" i="19"/>
  <c r="GV80" i="19" l="1"/>
  <c r="GH57" i="19"/>
  <c r="GH184" i="19"/>
  <c r="GX14" i="19"/>
  <c r="GX183" i="19"/>
  <c r="GG14" i="19"/>
  <c r="GG183" i="19"/>
  <c r="GL57" i="19"/>
  <c r="GL184" i="19"/>
  <c r="GU100" i="19"/>
  <c r="GZ172" i="19"/>
  <c r="HA162" i="19"/>
  <c r="GU34" i="19"/>
  <c r="GU10" i="19"/>
  <c r="GV172" i="19"/>
  <c r="GW162" i="19"/>
  <c r="GW173" i="19" s="1"/>
  <c r="GQ14" i="19"/>
  <c r="GQ183" i="19"/>
  <c r="FP172" i="19"/>
  <c r="FQ162" i="19"/>
  <c r="FQ173" i="19" s="1"/>
  <c r="GI53" i="19"/>
  <c r="GF76" i="19"/>
  <c r="GG66" i="19"/>
  <c r="GD33" i="19"/>
  <c r="GD12" i="19" s="1"/>
  <c r="GD13" i="19" s="1"/>
  <c r="GF23" i="19"/>
  <c r="GF116" i="19"/>
  <c r="GD126" i="19"/>
  <c r="GL53" i="19"/>
  <c r="FT126" i="19"/>
  <c r="FU116" i="19"/>
  <c r="FU127" i="19" s="1"/>
  <c r="GK34" i="19"/>
  <c r="GK10" i="19"/>
  <c r="GI124" i="19"/>
  <c r="GJ114" i="19"/>
  <c r="GI100" i="19"/>
  <c r="GX126" i="19"/>
  <c r="GY116" i="19"/>
  <c r="GY127" i="19" s="1"/>
  <c r="GU57" i="19"/>
  <c r="GU184" i="19"/>
  <c r="GY124" i="19"/>
  <c r="GZ114" i="19"/>
  <c r="GY100" i="19"/>
  <c r="FV33" i="19"/>
  <c r="FW23" i="19"/>
  <c r="FV10" i="19"/>
  <c r="FT178" i="19"/>
  <c r="GV55" i="19"/>
  <c r="GV56" i="19" s="1"/>
  <c r="FW126" i="19"/>
  <c r="FW132" i="19" s="1"/>
  <c r="FW133" i="19" s="1"/>
  <c r="FX116" i="19"/>
  <c r="FX127" i="19" s="1"/>
  <c r="FX172" i="19"/>
  <c r="FY162" i="19"/>
  <c r="FY173" i="19" s="1"/>
  <c r="GW53" i="19"/>
  <c r="GW10" i="19"/>
  <c r="GH79" i="19"/>
  <c r="GH80" i="19" s="1"/>
  <c r="GS77" i="19"/>
  <c r="GS55" i="19" s="1"/>
  <c r="GS56" i="19" s="1"/>
  <c r="GS53" i="19"/>
  <c r="GI33" i="19"/>
  <c r="GJ23" i="19"/>
  <c r="GI10" i="19"/>
  <c r="GU33" i="19"/>
  <c r="GV23" i="19"/>
  <c r="GZ34" i="19"/>
  <c r="GZ10" i="19"/>
  <c r="GJ76" i="19"/>
  <c r="GK66" i="19"/>
  <c r="GZ126" i="19"/>
  <c r="HA116" i="19"/>
  <c r="HA127" i="19" s="1"/>
  <c r="FX124" i="19"/>
  <c r="FY114" i="19"/>
  <c r="FX100" i="19"/>
  <c r="GI170" i="19"/>
  <c r="GJ160" i="19"/>
  <c r="GG159" i="19"/>
  <c r="GF169" i="19"/>
  <c r="GF146" i="19"/>
  <c r="GT162" i="19"/>
  <c r="GT173" i="19" s="1"/>
  <c r="GS172" i="19"/>
  <c r="FX34" i="19"/>
  <c r="FX10" i="19"/>
  <c r="GT77" i="19"/>
  <c r="GT53" i="19"/>
  <c r="GS116" i="19"/>
  <c r="GS127" i="19" s="1"/>
  <c r="GQ126" i="19"/>
  <c r="HC57" i="19"/>
  <c r="HC184" i="19"/>
  <c r="GU172" i="19"/>
  <c r="GV162" i="19"/>
  <c r="GV173" i="19" s="1"/>
  <c r="GG126" i="19"/>
  <c r="GH116" i="19"/>
  <c r="GY172" i="19"/>
  <c r="GZ162" i="19"/>
  <c r="GZ173" i="19" s="1"/>
  <c r="GZ178" i="19" s="1"/>
  <c r="GX55" i="19"/>
  <c r="GX56" i="19" s="1"/>
  <c r="GW172" i="19"/>
  <c r="GX162" i="19"/>
  <c r="GX173" i="19" s="1"/>
  <c r="GJ172" i="19"/>
  <c r="GK162" i="19"/>
  <c r="GK173" i="19" s="1"/>
  <c r="GX132" i="19"/>
  <c r="GX133" i="19" s="1"/>
  <c r="GX102" i="19"/>
  <c r="GX103" i="19" s="1"/>
  <c r="GH172" i="19"/>
  <c r="GI162" i="19"/>
  <c r="GI173" i="19" s="1"/>
  <c r="FY126" i="19"/>
  <c r="FZ116" i="19"/>
  <c r="FZ127" i="19" s="1"/>
  <c r="GT34" i="19"/>
  <c r="GT10" i="19"/>
  <c r="FY172" i="19"/>
  <c r="FZ162" i="19"/>
  <c r="FZ173" i="19" s="1"/>
  <c r="FU12" i="19"/>
  <c r="FU13" i="19" s="1"/>
  <c r="FU36" i="19"/>
  <c r="FU37" i="19" s="1"/>
  <c r="GU116" i="19"/>
  <c r="GU127" i="19" s="1"/>
  <c r="GT126" i="19"/>
  <c r="FX126" i="19"/>
  <c r="FY116" i="19"/>
  <c r="FY127" i="19" s="1"/>
  <c r="FX146" i="19"/>
  <c r="GG36" i="19"/>
  <c r="GX37" i="19"/>
  <c r="GZ77" i="19"/>
  <c r="GZ53" i="19"/>
  <c r="GU126" i="19"/>
  <c r="GV116" i="19"/>
  <c r="GV127" i="19" s="1"/>
  <c r="GW79" i="19"/>
  <c r="GW55" i="19"/>
  <c r="GW56" i="19" s="1"/>
  <c r="GU169" i="19"/>
  <c r="GV159" i="19"/>
  <c r="GH12" i="19"/>
  <c r="GH13" i="19" s="1"/>
  <c r="GH36" i="19"/>
  <c r="GH37" i="19" s="1"/>
  <c r="GT36" i="19"/>
  <c r="GT37" i="19" s="1"/>
  <c r="GT12" i="19"/>
  <c r="GT13" i="19" s="1"/>
  <c r="GV126" i="19"/>
  <c r="GW116" i="19"/>
  <c r="GV100" i="19"/>
  <c r="GY36" i="19"/>
  <c r="GY37" i="19" s="1"/>
  <c r="GY12" i="19"/>
  <c r="GY13" i="19" s="1"/>
  <c r="GG162" i="19"/>
  <c r="GG173" i="19" s="1"/>
  <c r="GF172" i="19"/>
  <c r="GB146" i="19"/>
  <c r="FW76" i="19"/>
  <c r="FW55" i="19" s="1"/>
  <c r="FW56" i="19" s="1"/>
  <c r="FX66" i="19"/>
  <c r="FX77" i="19" s="1"/>
  <c r="FS55" i="19"/>
  <c r="FS56" i="19" s="1"/>
  <c r="FS79" i="19"/>
  <c r="FS80" i="19" s="1"/>
  <c r="FU126" i="19"/>
  <c r="FV116" i="19"/>
  <c r="FU100" i="19"/>
  <c r="GI126" i="19"/>
  <c r="GJ116" i="19"/>
  <c r="GJ127" i="19" s="1"/>
  <c r="FX148" i="19"/>
  <c r="FX149" i="19" s="1"/>
  <c r="FX178" i="19"/>
  <c r="GJ126" i="19"/>
  <c r="GK116" i="19"/>
  <c r="GK127" i="19" s="1"/>
  <c r="GY79" i="19"/>
  <c r="GY80" i="19" s="1"/>
  <c r="GY55" i="19"/>
  <c r="GY56" i="19" s="1"/>
  <c r="FS126" i="19"/>
  <c r="FT116" i="19"/>
  <c r="FT127" i="19" s="1"/>
  <c r="FT132" i="19" s="1"/>
  <c r="FQ79" i="19"/>
  <c r="FQ77" i="19"/>
  <c r="GD76" i="19"/>
  <c r="GD79" i="19" s="1"/>
  <c r="GD80" i="19" s="1"/>
  <c r="GF66" i="19"/>
  <c r="GF77" i="19" s="1"/>
  <c r="FS23" i="19"/>
  <c r="FQ33" i="19"/>
  <c r="GQ37" i="19"/>
  <c r="GS162" i="19"/>
  <c r="GS173" i="19" s="1"/>
  <c r="GQ172" i="19"/>
  <c r="GG10" i="19"/>
  <c r="HB172" i="19"/>
  <c r="HC162" i="19"/>
  <c r="FW100" i="19"/>
  <c r="FT34" i="19"/>
  <c r="FT10" i="19"/>
  <c r="FU162" i="19"/>
  <c r="FT172" i="19"/>
  <c r="FT148" i="19" s="1"/>
  <c r="FT149" i="19" s="1"/>
  <c r="FT146" i="19"/>
  <c r="FX76" i="19"/>
  <c r="FY66" i="19"/>
  <c r="FX53" i="19"/>
  <c r="FT76" i="19"/>
  <c r="FU66" i="19"/>
  <c r="FT53" i="19"/>
  <c r="GM172" i="19"/>
  <c r="GN162" i="19"/>
  <c r="GN173" i="19" s="1"/>
  <c r="FV77" i="19"/>
  <c r="FV55" i="19" s="1"/>
  <c r="FV56" i="19" s="1"/>
  <c r="FV53" i="19"/>
  <c r="GF126" i="19"/>
  <c r="GG116" i="19"/>
  <c r="GG127" i="19" s="1"/>
  <c r="GI76" i="19"/>
  <c r="GI55" i="19" s="1"/>
  <c r="GI56" i="19" s="1"/>
  <c r="GJ66" i="19"/>
  <c r="GJ77" i="19" s="1"/>
  <c r="FY171" i="19"/>
  <c r="FY146" i="19"/>
  <c r="FZ161" i="19"/>
  <c r="FU172" i="19"/>
  <c r="FV162" i="19"/>
  <c r="FV173" i="19" s="1"/>
  <c r="HA172" i="19"/>
  <c r="HB162" i="19"/>
  <c r="HB173" i="19" s="1"/>
  <c r="GW12" i="19"/>
  <c r="GW13" i="19" s="1"/>
  <c r="GW36" i="19"/>
  <c r="GW37" i="19" s="1"/>
  <c r="FV172" i="19"/>
  <c r="FW162" i="19"/>
  <c r="GL172" i="19"/>
  <c r="GM162" i="19"/>
  <c r="GM173" i="19" s="1"/>
  <c r="GV53" i="19"/>
  <c r="GS34" i="19"/>
  <c r="GS10" i="19"/>
  <c r="GY126" i="19"/>
  <c r="GZ116" i="19"/>
  <c r="GZ127" i="19" s="1"/>
  <c r="GU132" i="19"/>
  <c r="GU102" i="19"/>
  <c r="GU103" i="19" s="1"/>
  <c r="GU79" i="19"/>
  <c r="GU80" i="19" s="1"/>
  <c r="HD10" i="19"/>
  <c r="HC79" i="19"/>
  <c r="HC80" i="19" s="1"/>
  <c r="HD53" i="19"/>
  <c r="HB114" i="19"/>
  <c r="HB125" i="19" s="1"/>
  <c r="HB53" i="19"/>
  <c r="HB10" i="19"/>
  <c r="HA36" i="19"/>
  <c r="HA37" i="19" s="1"/>
  <c r="HA12" i="19"/>
  <c r="HA13" i="19" s="1"/>
  <c r="HA55" i="19"/>
  <c r="HA56" i="19" s="1"/>
  <c r="HA79" i="19"/>
  <c r="HA80" i="19" s="1"/>
  <c r="HD146" i="19"/>
  <c r="HC12" i="19"/>
  <c r="HC13" i="19" s="1"/>
  <c r="HC36" i="19"/>
  <c r="HC37" i="19" s="1"/>
  <c r="GO53" i="19"/>
  <c r="GO36" i="19"/>
  <c r="GO10" i="19"/>
  <c r="GQ159" i="19"/>
  <c r="GL79" i="19"/>
  <c r="GL80" i="19" s="1"/>
  <c r="GN113" i="19"/>
  <c r="GN124" i="19" s="1"/>
  <c r="GM100" i="19"/>
  <c r="GN23" i="19"/>
  <c r="GN34" i="19" s="1"/>
  <c r="GM10" i="19"/>
  <c r="GQ66" i="19"/>
  <c r="GQ77" i="19" s="1"/>
  <c r="GP10" i="19"/>
  <c r="GP113" i="19"/>
  <c r="GP124" i="19" s="1"/>
  <c r="GN159" i="19"/>
  <c r="GN170" i="19" s="1"/>
  <c r="GM146" i="19"/>
  <c r="GP79" i="19"/>
  <c r="GP53" i="19"/>
  <c r="GL36" i="19"/>
  <c r="GL37" i="19" s="1"/>
  <c r="GL12" i="19"/>
  <c r="GL13" i="19" s="1"/>
  <c r="GO79" i="19"/>
  <c r="GO55" i="19"/>
  <c r="GO56" i="19" s="1"/>
  <c r="GN66" i="19"/>
  <c r="GN77" i="19" s="1"/>
  <c r="GM53" i="19"/>
  <c r="GD53" i="19"/>
  <c r="GC12" i="19"/>
  <c r="GC13" i="19" s="1"/>
  <c r="GA113" i="19"/>
  <c r="GA124" i="19" s="1"/>
  <c r="GB36" i="19"/>
  <c r="GB10" i="19"/>
  <c r="FZ55" i="19"/>
  <c r="FZ56" i="19" s="1"/>
  <c r="GA66" i="19"/>
  <c r="GA77" i="19" s="1"/>
  <c r="GD36" i="19"/>
  <c r="GD37" i="19" s="1"/>
  <c r="GB148" i="19"/>
  <c r="GB149" i="19" s="1"/>
  <c r="GB178" i="19"/>
  <c r="GB179" i="19" s="1"/>
  <c r="FZ53" i="19"/>
  <c r="GD55" i="19"/>
  <c r="GD56" i="19" s="1"/>
  <c r="GC36" i="19"/>
  <c r="GB66" i="19"/>
  <c r="GB77" i="19" s="1"/>
  <c r="GD162" i="19"/>
  <c r="GD173" i="19" s="1"/>
  <c r="GC146" i="19"/>
  <c r="GC53" i="19"/>
  <c r="GA23" i="19"/>
  <c r="GA34" i="19" s="1"/>
  <c r="FZ10" i="19"/>
  <c r="GC10" i="19"/>
  <c r="FY12" i="19"/>
  <c r="FY13" i="19" s="1"/>
  <c r="FY36" i="19"/>
  <c r="FY37" i="19" s="1"/>
  <c r="FQ53" i="19"/>
  <c r="FQ55" i="19"/>
  <c r="FQ56" i="19" s="1"/>
  <c r="FP10" i="19"/>
  <c r="FP66" i="19"/>
  <c r="FP77" i="19" s="1"/>
  <c r="FO36" i="19"/>
  <c r="FO10" i="19"/>
  <c r="FP36" i="19"/>
  <c r="FP12" i="19"/>
  <c r="FP13" i="19" s="1"/>
  <c r="FN79" i="19"/>
  <c r="FO66" i="19"/>
  <c r="FQ10" i="19"/>
  <c r="FQ80" i="19"/>
  <c r="FP160" i="19"/>
  <c r="FP171" i="19" s="1"/>
  <c r="FO113" i="19"/>
  <c r="FO124" i="19" s="1"/>
  <c r="FN53" i="19"/>
  <c r="FQ116" i="19"/>
  <c r="FQ127" i="19" s="1"/>
  <c r="FW57" i="19" l="1"/>
  <c r="FW184" i="19"/>
  <c r="GD14" i="19"/>
  <c r="GD183" i="19"/>
  <c r="GI57" i="19"/>
  <c r="GI184" i="19"/>
  <c r="FV57" i="19"/>
  <c r="FV184" i="19"/>
  <c r="FT150" i="19"/>
  <c r="FT186" i="19"/>
  <c r="FY14" i="19"/>
  <c r="FY183" i="19"/>
  <c r="GC14" i="19"/>
  <c r="GC183" i="19"/>
  <c r="FT79" i="19"/>
  <c r="FT80" i="19" s="1"/>
  <c r="FT55" i="19"/>
  <c r="FT56" i="19" s="1"/>
  <c r="FT12" i="19"/>
  <c r="FT13" i="19" s="1"/>
  <c r="FT36" i="19"/>
  <c r="FT37" i="19" s="1"/>
  <c r="GW57" i="19"/>
  <c r="GW184" i="19"/>
  <c r="GG102" i="19"/>
  <c r="GG103" i="19" s="1"/>
  <c r="GG132" i="19"/>
  <c r="GS57" i="19"/>
  <c r="GS184" i="19"/>
  <c r="FN80" i="19"/>
  <c r="FQ57" i="19"/>
  <c r="FQ184" i="19"/>
  <c r="HC14" i="19"/>
  <c r="HC183" i="19"/>
  <c r="HA14" i="19"/>
  <c r="HA183" i="19"/>
  <c r="GZ148" i="19"/>
  <c r="GZ149" i="19" s="1"/>
  <c r="GS12" i="19"/>
  <c r="GS13" i="19" s="1"/>
  <c r="GS36" i="19"/>
  <c r="GS37" i="19" s="1"/>
  <c r="FV146" i="19"/>
  <c r="GW14" i="19"/>
  <c r="GW183" i="19"/>
  <c r="FV127" i="19"/>
  <c r="FV100" i="19"/>
  <c r="GT14" i="19"/>
  <c r="GT183" i="19"/>
  <c r="GW80" i="19"/>
  <c r="GZ79" i="19"/>
  <c r="GZ80" i="19" s="1"/>
  <c r="GZ55" i="19"/>
  <c r="GZ56" i="19" s="1"/>
  <c r="FX36" i="19"/>
  <c r="FX37" i="19" s="1"/>
  <c r="FX12" i="19"/>
  <c r="FX13" i="19" s="1"/>
  <c r="FY125" i="19"/>
  <c r="FZ115" i="19"/>
  <c r="FY100" i="19"/>
  <c r="GJ53" i="19"/>
  <c r="GZ12" i="19"/>
  <c r="GZ13" i="19" s="1"/>
  <c r="GZ36" i="19"/>
  <c r="GZ37" i="19" s="1"/>
  <c r="GJ34" i="19"/>
  <c r="GJ10" i="19"/>
  <c r="FV79" i="19"/>
  <c r="FV80" i="19" s="1"/>
  <c r="GV57" i="19"/>
  <c r="GV184" i="19"/>
  <c r="GS79" i="19"/>
  <c r="GS80" i="19" s="1"/>
  <c r="GZ125" i="19"/>
  <c r="HA115" i="19"/>
  <c r="GZ100" i="19"/>
  <c r="GI132" i="19"/>
  <c r="GI133" i="19" s="1"/>
  <c r="GI102" i="19"/>
  <c r="GI103" i="19" s="1"/>
  <c r="GK12" i="19"/>
  <c r="GK13" i="19" s="1"/>
  <c r="GK36" i="19"/>
  <c r="GK37" i="19" s="1"/>
  <c r="GF53" i="19"/>
  <c r="FW79" i="19"/>
  <c r="FW80" i="19" s="1"/>
  <c r="FO79" i="19"/>
  <c r="FO80" i="19" s="1"/>
  <c r="FO77" i="19"/>
  <c r="GS160" i="19"/>
  <c r="GQ170" i="19"/>
  <c r="FY178" i="19"/>
  <c r="FY179" i="19" s="1"/>
  <c r="FY148" i="19"/>
  <c r="FY149" i="19" s="1"/>
  <c r="GY14" i="19"/>
  <c r="GY183" i="19"/>
  <c r="GV132" i="19"/>
  <c r="GV133" i="19" s="1"/>
  <c r="GV102" i="19"/>
  <c r="GV103" i="19" s="1"/>
  <c r="GG170" i="19"/>
  <c r="GH160" i="19"/>
  <c r="GG146" i="19"/>
  <c r="FV12" i="19"/>
  <c r="FV13" i="19" s="1"/>
  <c r="FV36" i="19"/>
  <c r="FV37" i="19" s="1"/>
  <c r="HA173" i="19"/>
  <c r="HA178" i="19" s="1"/>
  <c r="HA179" i="19" s="1"/>
  <c r="HA146" i="19"/>
  <c r="FP14" i="19"/>
  <c r="FP183" i="19"/>
  <c r="GL14" i="19"/>
  <c r="GL183" i="19"/>
  <c r="GU104" i="19"/>
  <c r="GU185" i="19"/>
  <c r="FW173" i="19"/>
  <c r="FW146" i="19"/>
  <c r="FZ172" i="19"/>
  <c r="FZ146" i="19"/>
  <c r="GA162" i="19"/>
  <c r="FY77" i="19"/>
  <c r="FY53" i="19"/>
  <c r="FU173" i="19"/>
  <c r="FU148" i="19" s="1"/>
  <c r="FU149" i="19" s="1"/>
  <c r="FU146" i="19"/>
  <c r="GF132" i="19"/>
  <c r="GF133" i="19" s="1"/>
  <c r="HC173" i="19"/>
  <c r="HC146" i="19"/>
  <c r="FS34" i="19"/>
  <c r="FS10" i="19"/>
  <c r="GY57" i="19"/>
  <c r="GY184" i="19"/>
  <c r="FX179" i="19"/>
  <c r="FU102" i="19"/>
  <c r="FU103" i="19" s="1"/>
  <c r="FU132" i="19"/>
  <c r="FU133" i="19" s="1"/>
  <c r="GI79" i="19"/>
  <c r="GI80" i="19" s="1"/>
  <c r="GV170" i="19"/>
  <c r="GW160" i="19"/>
  <c r="GV146" i="19"/>
  <c r="GX57" i="19"/>
  <c r="GX184" i="19"/>
  <c r="GG100" i="19"/>
  <c r="GG133" i="19" s="1"/>
  <c r="GJ171" i="19"/>
  <c r="GK161" i="19"/>
  <c r="FX102" i="19"/>
  <c r="FX103" i="19" s="1"/>
  <c r="FX132" i="19"/>
  <c r="FX133" i="19" s="1"/>
  <c r="GK77" i="19"/>
  <c r="GK53" i="19"/>
  <c r="GV34" i="19"/>
  <c r="GV10" i="19"/>
  <c r="GI36" i="19"/>
  <c r="GI37" i="19" s="1"/>
  <c r="GI12" i="19"/>
  <c r="GI13" i="19" s="1"/>
  <c r="FT102" i="19"/>
  <c r="FT103" i="19" s="1"/>
  <c r="GY132" i="19"/>
  <c r="GY133" i="19" s="1"/>
  <c r="GY102" i="19"/>
  <c r="GY103" i="19" s="1"/>
  <c r="FW102" i="19"/>
  <c r="FW103" i="19" s="1"/>
  <c r="GF127" i="19"/>
  <c r="GF102" i="19" s="1"/>
  <c r="GF103" i="19" s="1"/>
  <c r="GF100" i="19"/>
  <c r="GG77" i="19"/>
  <c r="GG53" i="19"/>
  <c r="GD57" i="19"/>
  <c r="GD184" i="19"/>
  <c r="GO57" i="19"/>
  <c r="GO184" i="19"/>
  <c r="HA57" i="19"/>
  <c r="HA184" i="19"/>
  <c r="HB148" i="19"/>
  <c r="HB149" i="19" s="1"/>
  <c r="HB178" i="19"/>
  <c r="FS57" i="19"/>
  <c r="FS184" i="19"/>
  <c r="GH14" i="19"/>
  <c r="GH183" i="19"/>
  <c r="GX104" i="19"/>
  <c r="GX185" i="19"/>
  <c r="FT179" i="19"/>
  <c r="GJ125" i="19"/>
  <c r="GK115" i="19"/>
  <c r="GJ100" i="19"/>
  <c r="FO53" i="19"/>
  <c r="GB150" i="19"/>
  <c r="GB186" i="19"/>
  <c r="FZ57" i="19"/>
  <c r="FZ184" i="19"/>
  <c r="GU133" i="19"/>
  <c r="FV178" i="19"/>
  <c r="FV179" i="19" s="1"/>
  <c r="FV148" i="19"/>
  <c r="FV149" i="19" s="1"/>
  <c r="HA148" i="19"/>
  <c r="HA149" i="19" s="1"/>
  <c r="FT100" i="19"/>
  <c r="FT133" i="19" s="1"/>
  <c r="FU77" i="19"/>
  <c r="FU53" i="19"/>
  <c r="FX55" i="19"/>
  <c r="FX56" i="19" s="1"/>
  <c r="FX79" i="19"/>
  <c r="FX80" i="19" s="1"/>
  <c r="HB146" i="19"/>
  <c r="GF79" i="19"/>
  <c r="GF80" i="19" s="1"/>
  <c r="GF55" i="19"/>
  <c r="GF56" i="19" s="1"/>
  <c r="FX150" i="19"/>
  <c r="FX186" i="19"/>
  <c r="GW127" i="19"/>
  <c r="GW100" i="19"/>
  <c r="GG37" i="19"/>
  <c r="FU14" i="19"/>
  <c r="FU183" i="19"/>
  <c r="GH127" i="19"/>
  <c r="GH100" i="19"/>
  <c r="GT79" i="19"/>
  <c r="GT80" i="19" s="1"/>
  <c r="GT55" i="19"/>
  <c r="GT56" i="19" s="1"/>
  <c r="GF148" i="19"/>
  <c r="GF149" i="19" s="1"/>
  <c r="GF178" i="19"/>
  <c r="GF179" i="19" s="1"/>
  <c r="GJ55" i="19"/>
  <c r="GJ56" i="19" s="1"/>
  <c r="GJ79" i="19"/>
  <c r="GJ80" i="19" s="1"/>
  <c r="GU12" i="19"/>
  <c r="GU13" i="19" s="1"/>
  <c r="GU36" i="19"/>
  <c r="GU37" i="19" s="1"/>
  <c r="FW34" i="19"/>
  <c r="FW10" i="19"/>
  <c r="GF34" i="19"/>
  <c r="GF10" i="19"/>
  <c r="GZ146" i="19"/>
  <c r="GZ179" i="19" s="1"/>
  <c r="HD178" i="19"/>
  <c r="HD179" i="19" s="1"/>
  <c r="HD148" i="19"/>
  <c r="HD149" i="19" s="1"/>
  <c r="HB79" i="19"/>
  <c r="HB80" i="19" s="1"/>
  <c r="HB55" i="19"/>
  <c r="HB56" i="19" s="1"/>
  <c r="HD55" i="19"/>
  <c r="HD56" i="19" s="1"/>
  <c r="HD79" i="19"/>
  <c r="HD80" i="19" s="1"/>
  <c r="HB36" i="19"/>
  <c r="HB37" i="19" s="1"/>
  <c r="HB12" i="19"/>
  <c r="HB13" i="19" s="1"/>
  <c r="HC115" i="19"/>
  <c r="HC126" i="19" s="1"/>
  <c r="HD12" i="19"/>
  <c r="HD13" i="19" s="1"/>
  <c r="HD36" i="19"/>
  <c r="HD37" i="19" s="1"/>
  <c r="GO80" i="19"/>
  <c r="GO37" i="19"/>
  <c r="GP36" i="19"/>
  <c r="GP37" i="19" s="1"/>
  <c r="GP12" i="19"/>
  <c r="GP13" i="19" s="1"/>
  <c r="GO114" i="19"/>
  <c r="GO125" i="19" s="1"/>
  <c r="GN100" i="19"/>
  <c r="GO160" i="19"/>
  <c r="GO171" i="19" s="1"/>
  <c r="GN146" i="19"/>
  <c r="GQ53" i="19"/>
  <c r="GN10" i="19"/>
  <c r="GO12" i="19"/>
  <c r="GO13" i="19" s="1"/>
  <c r="GM102" i="19"/>
  <c r="GM103" i="19" s="1"/>
  <c r="GM132" i="19"/>
  <c r="GM133" i="19" s="1"/>
  <c r="GM178" i="19"/>
  <c r="GM179" i="19" s="1"/>
  <c r="GM148" i="19"/>
  <c r="GM149" i="19" s="1"/>
  <c r="GQ114" i="19"/>
  <c r="GM12" i="19"/>
  <c r="GM13" i="19" s="1"/>
  <c r="GM36" i="19"/>
  <c r="GM37" i="19" s="1"/>
  <c r="GM79" i="19"/>
  <c r="GM80" i="19" s="1"/>
  <c r="GM55" i="19"/>
  <c r="GM56" i="19" s="1"/>
  <c r="GN53" i="19"/>
  <c r="GP80" i="19"/>
  <c r="GP55" i="19"/>
  <c r="GP56" i="19" s="1"/>
  <c r="FZ79" i="19"/>
  <c r="FZ80" i="19" s="1"/>
  <c r="GD146" i="19"/>
  <c r="GB53" i="19"/>
  <c r="GA10" i="19"/>
  <c r="GC79" i="19"/>
  <c r="GC80" i="19" s="1"/>
  <c r="GC55" i="19"/>
  <c r="GC56" i="19" s="1"/>
  <c r="GC37" i="19"/>
  <c r="GA53" i="19"/>
  <c r="GB12" i="19"/>
  <c r="GB13" i="19" s="1"/>
  <c r="GC148" i="19"/>
  <c r="GC149" i="19" s="1"/>
  <c r="GC178" i="19"/>
  <c r="GC179" i="19" s="1"/>
  <c r="GB114" i="19"/>
  <c r="GB125" i="19" s="1"/>
  <c r="GB37" i="19"/>
  <c r="FZ36" i="19"/>
  <c r="FZ37" i="19" s="1"/>
  <c r="FZ12" i="19"/>
  <c r="FZ13" i="19" s="1"/>
  <c r="FN55" i="19"/>
  <c r="FN56" i="19" s="1"/>
  <c r="FP37" i="19"/>
  <c r="FQ161" i="19"/>
  <c r="FQ12" i="19"/>
  <c r="FQ13" i="19" s="1"/>
  <c r="FQ36" i="19"/>
  <c r="FQ37" i="19" s="1"/>
  <c r="FP114" i="19"/>
  <c r="FP125" i="19" s="1"/>
  <c r="FO55" i="19"/>
  <c r="FO56" i="19" s="1"/>
  <c r="FP53" i="19"/>
  <c r="FO37" i="19"/>
  <c r="FO12" i="19"/>
  <c r="FO13" i="19" s="1"/>
  <c r="GF104" i="19" l="1"/>
  <c r="GF185" i="19"/>
  <c r="FZ14" i="19"/>
  <c r="FZ183" i="19"/>
  <c r="GP57" i="19"/>
  <c r="GP184" i="19"/>
  <c r="GO14" i="19"/>
  <c r="GO183" i="19"/>
  <c r="GU14" i="19"/>
  <c r="GU183" i="19"/>
  <c r="HA150" i="19"/>
  <c r="HA186" i="19"/>
  <c r="GI104" i="19"/>
  <c r="GI185" i="19"/>
  <c r="GZ132" i="19"/>
  <c r="GZ133" i="19" s="1"/>
  <c r="GZ102" i="19"/>
  <c r="GZ103" i="19" s="1"/>
  <c r="FY132" i="19"/>
  <c r="FY133" i="19" s="1"/>
  <c r="FY102" i="19"/>
  <c r="FY103" i="19" s="1"/>
  <c r="GZ150" i="19"/>
  <c r="GZ186" i="19"/>
  <c r="FO14" i="19"/>
  <c r="FO183" i="19"/>
  <c r="FQ172" i="19"/>
  <c r="FS162" i="19"/>
  <c r="FN57" i="19"/>
  <c r="FN184" i="19"/>
  <c r="HB57" i="19"/>
  <c r="HB184" i="19"/>
  <c r="GW102" i="19"/>
  <c r="GW103" i="19" s="1"/>
  <c r="GW132" i="19"/>
  <c r="GW133" i="19" s="1"/>
  <c r="FV150" i="19"/>
  <c r="FV186" i="19"/>
  <c r="GG55" i="19"/>
  <c r="GG56" i="19" s="1"/>
  <c r="GG79" i="19"/>
  <c r="GG80" i="19" s="1"/>
  <c r="GY104" i="19"/>
  <c r="GY185" i="19"/>
  <c r="GK55" i="19"/>
  <c r="GK56" i="19" s="1"/>
  <c r="GK79" i="19"/>
  <c r="GK80" i="19" s="1"/>
  <c r="GK172" i="19"/>
  <c r="GL162" i="19"/>
  <c r="GK146" i="19"/>
  <c r="GV178" i="19"/>
  <c r="GV179" i="19" s="1"/>
  <c r="GV148" i="19"/>
  <c r="GV149" i="19" s="1"/>
  <c r="FS36" i="19"/>
  <c r="FS37" i="19" s="1"/>
  <c r="FS12" i="19"/>
  <c r="FS13" i="19" s="1"/>
  <c r="GA173" i="19"/>
  <c r="GA146" i="19"/>
  <c r="FW148" i="19"/>
  <c r="FW149" i="19" s="1"/>
  <c r="FW178" i="19"/>
  <c r="FW179" i="19" s="1"/>
  <c r="GH171" i="19"/>
  <c r="GI161" i="19"/>
  <c r="GH146" i="19"/>
  <c r="FX14" i="19"/>
  <c r="FX183" i="19"/>
  <c r="FV102" i="19"/>
  <c r="FV103" i="19" s="1"/>
  <c r="FV132" i="19"/>
  <c r="FV133" i="19" s="1"/>
  <c r="FT14" i="19"/>
  <c r="FT183" i="19"/>
  <c r="HD14" i="19"/>
  <c r="HD183" i="19"/>
  <c r="GF57" i="19"/>
  <c r="GF184" i="19"/>
  <c r="FW104" i="19"/>
  <c r="FW185" i="19"/>
  <c r="FU104" i="19"/>
  <c r="FU185" i="19"/>
  <c r="FY79" i="19"/>
  <c r="FY80" i="19" s="1"/>
  <c r="FY55" i="19"/>
  <c r="FY56" i="19" s="1"/>
  <c r="GZ14" i="19"/>
  <c r="GZ183" i="19"/>
  <c r="GC57" i="19"/>
  <c r="GC184" i="19"/>
  <c r="GM14" i="19"/>
  <c r="GM183" i="19"/>
  <c r="FW12" i="19"/>
  <c r="FW13" i="19" s="1"/>
  <c r="FW36" i="19"/>
  <c r="FW37" i="19" s="1"/>
  <c r="GJ57" i="19"/>
  <c r="GJ184" i="19"/>
  <c r="GF150" i="19"/>
  <c r="GF186" i="19"/>
  <c r="GH102" i="19"/>
  <c r="GH103" i="19" s="1"/>
  <c r="GH132" i="19"/>
  <c r="GH133" i="19" s="1"/>
  <c r="FU55" i="19"/>
  <c r="FU56" i="19" s="1"/>
  <c r="FU79" i="19"/>
  <c r="FU80" i="19" s="1"/>
  <c r="GK126" i="19"/>
  <c r="GL116" i="19"/>
  <c r="GK100" i="19"/>
  <c r="FU150" i="19"/>
  <c r="FU186" i="19"/>
  <c r="GG178" i="19"/>
  <c r="GG179" i="19" s="1"/>
  <c r="GG148" i="19"/>
  <c r="GG149" i="19" s="1"/>
  <c r="GT161" i="19"/>
  <c r="GS171" i="19"/>
  <c r="GS146" i="19"/>
  <c r="GJ36" i="19"/>
  <c r="GJ37" i="19" s="1"/>
  <c r="GJ12" i="19"/>
  <c r="GJ13" i="19" s="1"/>
  <c r="FT57" i="19"/>
  <c r="FT184" i="19"/>
  <c r="FU178" i="19"/>
  <c r="FU179" i="19" s="1"/>
  <c r="GM150" i="19"/>
  <c r="GM186" i="19"/>
  <c r="HD57" i="19"/>
  <c r="HD184" i="19"/>
  <c r="GF12" i="19"/>
  <c r="GF13" i="19" s="1"/>
  <c r="GF36" i="19"/>
  <c r="GF37" i="19" s="1"/>
  <c r="FX57" i="19"/>
  <c r="FX184" i="19"/>
  <c r="HB150" i="19"/>
  <c r="HB186" i="19"/>
  <c r="GI14" i="19"/>
  <c r="GI183" i="19"/>
  <c r="GW171" i="19"/>
  <c r="GX161" i="19"/>
  <c r="GW146" i="19"/>
  <c r="FO57" i="19"/>
  <c r="FO184" i="19"/>
  <c r="GC150" i="19"/>
  <c r="GC186" i="19"/>
  <c r="FQ14" i="19"/>
  <c r="FQ183" i="19"/>
  <c r="GB14" i="19"/>
  <c r="GB183" i="19"/>
  <c r="GM57" i="19"/>
  <c r="GM184" i="19"/>
  <c r="GS115" i="19"/>
  <c r="GQ125" i="19"/>
  <c r="GM104" i="19"/>
  <c r="GM185" i="19"/>
  <c r="GP14" i="19"/>
  <c r="GP183" i="19"/>
  <c r="HB14" i="19"/>
  <c r="HB183" i="19"/>
  <c r="HD150" i="19"/>
  <c r="HD186" i="19"/>
  <c r="GT57" i="19"/>
  <c r="GT184" i="19"/>
  <c r="GJ102" i="19"/>
  <c r="GJ103" i="19" s="1"/>
  <c r="GJ132" i="19"/>
  <c r="GJ133" i="19" s="1"/>
  <c r="HB179" i="19"/>
  <c r="FT104" i="19"/>
  <c r="FT185" i="19"/>
  <c r="GV36" i="19"/>
  <c r="GV37" i="19" s="1"/>
  <c r="GV12" i="19"/>
  <c r="GV13" i="19" s="1"/>
  <c r="FX104" i="19"/>
  <c r="FX185" i="19"/>
  <c r="HC178" i="19"/>
  <c r="HC179" i="19" s="1"/>
  <c r="HC148" i="19"/>
  <c r="HC149" i="19" s="1"/>
  <c r="FZ178" i="19"/>
  <c r="FZ179" i="19" s="1"/>
  <c r="FZ148" i="19"/>
  <c r="FZ149" i="19" s="1"/>
  <c r="FV14" i="19"/>
  <c r="FV183" i="19"/>
  <c r="GV104" i="19"/>
  <c r="GV185" i="19"/>
  <c r="FY150" i="19"/>
  <c r="FY186" i="19"/>
  <c r="GK14" i="19"/>
  <c r="GK183" i="19"/>
  <c r="HA126" i="19"/>
  <c r="HB116" i="19"/>
  <c r="HA100" i="19"/>
  <c r="FZ126" i="19"/>
  <c r="GA116" i="19"/>
  <c r="FZ100" i="19"/>
  <c r="GZ57" i="19"/>
  <c r="GZ184" i="19"/>
  <c r="GS14" i="19"/>
  <c r="GS183" i="19"/>
  <c r="GG104" i="19"/>
  <c r="GG185" i="19"/>
  <c r="HD116" i="19"/>
  <c r="HD127" i="19" s="1"/>
  <c r="HC100" i="19"/>
  <c r="GN36" i="19"/>
  <c r="GN37" i="19" s="1"/>
  <c r="GN12" i="19"/>
  <c r="GN13" i="19" s="1"/>
  <c r="GN148" i="19"/>
  <c r="GN149" i="19" s="1"/>
  <c r="GN178" i="19"/>
  <c r="GN179" i="19" s="1"/>
  <c r="GN132" i="19"/>
  <c r="GN133" i="19" s="1"/>
  <c r="GN102" i="19"/>
  <c r="GN103" i="19" s="1"/>
  <c r="GP161" i="19"/>
  <c r="GP172" i="19" s="1"/>
  <c r="GO146" i="19"/>
  <c r="GP115" i="19"/>
  <c r="GP126" i="19" s="1"/>
  <c r="GO100" i="19"/>
  <c r="GN79" i="19"/>
  <c r="GN80" i="19" s="1"/>
  <c r="GN55" i="19"/>
  <c r="GN56" i="19" s="1"/>
  <c r="GQ55" i="19"/>
  <c r="GQ56" i="19" s="1"/>
  <c r="GQ79" i="19"/>
  <c r="GQ80" i="19" s="1"/>
  <c r="GA79" i="19"/>
  <c r="GA80" i="19" s="1"/>
  <c r="GA55" i="19"/>
  <c r="GA56" i="19" s="1"/>
  <c r="GB79" i="19"/>
  <c r="GB80" i="19" s="1"/>
  <c r="GB55" i="19"/>
  <c r="GB56" i="19" s="1"/>
  <c r="GA36" i="19"/>
  <c r="GA37" i="19" s="1"/>
  <c r="GA12" i="19"/>
  <c r="GA13" i="19" s="1"/>
  <c r="GC115" i="19"/>
  <c r="GC126" i="19" s="1"/>
  <c r="GB100" i="19"/>
  <c r="GD148" i="19"/>
  <c r="GD149" i="19" s="1"/>
  <c r="GD178" i="19"/>
  <c r="GD179" i="19" s="1"/>
  <c r="FQ146" i="19"/>
  <c r="FP79" i="19"/>
  <c r="FP80" i="19" s="1"/>
  <c r="FP55" i="19"/>
  <c r="FP56" i="19" s="1"/>
  <c r="FQ115" i="19"/>
  <c r="HA132" i="19" l="1"/>
  <c r="HA133" i="19" s="1"/>
  <c r="HA102" i="19"/>
  <c r="HA103" i="19" s="1"/>
  <c r="GX172" i="19"/>
  <c r="GY162" i="19"/>
  <c r="GX146" i="19"/>
  <c r="GK57" i="19"/>
  <c r="GK184" i="19"/>
  <c r="GW104" i="19"/>
  <c r="GW185" i="19"/>
  <c r="FS116" i="19"/>
  <c r="FQ126" i="19"/>
  <c r="GB57" i="19"/>
  <c r="GB184" i="19"/>
  <c r="GN104" i="19"/>
  <c r="GN185" i="19"/>
  <c r="GN14" i="19"/>
  <c r="GN183" i="19"/>
  <c r="FZ132" i="19"/>
  <c r="FZ133" i="19" s="1"/>
  <c r="FZ102" i="19"/>
  <c r="FZ103" i="19" s="1"/>
  <c r="FZ150" i="19"/>
  <c r="FZ186" i="19"/>
  <c r="GW148" i="19"/>
  <c r="GW149" i="19" s="1"/>
  <c r="GW178" i="19"/>
  <c r="GW179" i="19" s="1"/>
  <c r="GF14" i="19"/>
  <c r="GF183" i="19"/>
  <c r="GF187" i="19" s="1"/>
  <c r="GK132" i="19"/>
  <c r="GK133" i="19" s="1"/>
  <c r="GK102" i="19"/>
  <c r="GK103" i="19" s="1"/>
  <c r="GH104" i="19"/>
  <c r="GH185" i="19"/>
  <c r="FT187" i="19"/>
  <c r="FV104" i="19"/>
  <c r="FV185" i="19"/>
  <c r="FW150" i="19"/>
  <c r="FW186" i="19"/>
  <c r="GL173" i="19"/>
  <c r="GL146" i="19"/>
  <c r="FS173" i="19"/>
  <c r="FS146" i="19"/>
  <c r="FY104" i="19"/>
  <c r="FY185" i="19"/>
  <c r="GA127" i="19"/>
  <c r="GA100" i="19"/>
  <c r="GG150" i="19"/>
  <c r="GG186" i="19"/>
  <c r="GL127" i="19"/>
  <c r="GL100" i="19"/>
  <c r="GM187" i="19"/>
  <c r="FS14" i="19"/>
  <c r="FS183" i="19"/>
  <c r="GD150" i="19"/>
  <c r="GD186" i="19"/>
  <c r="GQ57" i="19"/>
  <c r="GQ184" i="19"/>
  <c r="GJ104" i="19"/>
  <c r="GJ185" i="19"/>
  <c r="GS148" i="19"/>
  <c r="GS149" i="19" s="1"/>
  <c r="GS178" i="19"/>
  <c r="GS179" i="19" s="1"/>
  <c r="FX187" i="19"/>
  <c r="GI172" i="19"/>
  <c r="GJ162" i="19"/>
  <c r="GI146" i="19"/>
  <c r="GV150" i="19"/>
  <c r="GV186" i="19"/>
  <c r="GK148" i="19"/>
  <c r="GK149" i="19" s="1"/>
  <c r="GK178" i="19"/>
  <c r="GK179" i="19" s="1"/>
  <c r="GN150" i="19"/>
  <c r="GN186" i="19"/>
  <c r="GG57" i="19"/>
  <c r="GG184" i="19"/>
  <c r="GG187" i="19" s="1"/>
  <c r="FP57" i="19"/>
  <c r="FP184" i="19"/>
  <c r="GA14" i="19"/>
  <c r="GA183" i="19"/>
  <c r="GA57" i="19"/>
  <c r="GA184" i="19"/>
  <c r="GN57" i="19"/>
  <c r="GN184" i="19"/>
  <c r="HB127" i="19"/>
  <c r="HB100" i="19"/>
  <c r="FV187" i="19"/>
  <c r="HC150" i="19"/>
  <c r="HC186" i="19"/>
  <c r="GV14" i="19"/>
  <c r="GV183" i="19"/>
  <c r="GV187" i="19" s="1"/>
  <c r="GS126" i="19"/>
  <c r="GT116" i="19"/>
  <c r="GS100" i="19"/>
  <c r="GJ14" i="19"/>
  <c r="GJ183" i="19"/>
  <c r="GT172" i="19"/>
  <c r="GU162" i="19"/>
  <c r="GT146" i="19"/>
  <c r="FU57" i="19"/>
  <c r="FU184" i="19"/>
  <c r="FU187" i="19" s="1"/>
  <c r="FW14" i="19"/>
  <c r="FW183" i="19"/>
  <c r="FW187" i="19" s="1"/>
  <c r="FY57" i="19"/>
  <c r="FY184" i="19"/>
  <c r="FY187" i="19" s="1"/>
  <c r="GH178" i="19"/>
  <c r="GH179" i="19" s="1"/>
  <c r="GH148" i="19"/>
  <c r="GH149" i="19" s="1"/>
  <c r="GA178" i="19"/>
  <c r="GA179" i="19" s="1"/>
  <c r="GA148" i="19"/>
  <c r="GA149" i="19" s="1"/>
  <c r="GZ104" i="19"/>
  <c r="GZ185" i="19"/>
  <c r="GZ187" i="19" s="1"/>
  <c r="HC132" i="19"/>
  <c r="HC133" i="19" s="1"/>
  <c r="HC102" i="19"/>
  <c r="HC103" i="19" s="1"/>
  <c r="HD100" i="19"/>
  <c r="GO178" i="19"/>
  <c r="GO179" i="19" s="1"/>
  <c r="GO148" i="19"/>
  <c r="GO149" i="19" s="1"/>
  <c r="GQ116" i="19"/>
  <c r="GQ127" i="19" s="1"/>
  <c r="GP100" i="19"/>
  <c r="GO132" i="19"/>
  <c r="GO133" i="19" s="1"/>
  <c r="GO102" i="19"/>
  <c r="GO103" i="19" s="1"/>
  <c r="GQ162" i="19"/>
  <c r="GQ173" i="19" s="1"/>
  <c r="GP146" i="19"/>
  <c r="GD116" i="19"/>
  <c r="GD127" i="19" s="1"/>
  <c r="GC100" i="19"/>
  <c r="GB132" i="19"/>
  <c r="GB133" i="19" s="1"/>
  <c r="GB102" i="19"/>
  <c r="GB103" i="19" s="1"/>
  <c r="FQ178" i="19"/>
  <c r="FQ179" i="19" s="1"/>
  <c r="FQ148" i="19"/>
  <c r="FQ149" i="19" s="1"/>
  <c r="FQ100" i="19"/>
  <c r="GL102" i="19" l="1"/>
  <c r="GL103" i="19" s="1"/>
  <c r="GL132" i="19"/>
  <c r="GL133" i="19" s="1"/>
  <c r="GK104" i="19"/>
  <c r="GK185" i="19"/>
  <c r="GK187" i="19" s="1"/>
  <c r="GB104" i="19"/>
  <c r="GB185" i="19"/>
  <c r="GB187" i="19" s="1"/>
  <c r="GA150" i="19"/>
  <c r="GA186" i="19"/>
  <c r="GU173" i="19"/>
  <c r="GU146" i="19"/>
  <c r="GK150" i="19"/>
  <c r="GK186" i="19"/>
  <c r="GJ173" i="19"/>
  <c r="GJ146" i="19"/>
  <c r="GS150" i="19"/>
  <c r="GS186" i="19"/>
  <c r="FS148" i="19"/>
  <c r="FS149" i="19" s="1"/>
  <c r="FS178" i="19"/>
  <c r="FS179" i="19" s="1"/>
  <c r="GW150" i="19"/>
  <c r="GW186" i="19"/>
  <c r="FZ104" i="19"/>
  <c r="FZ185" i="19"/>
  <c r="FZ187" i="19" s="1"/>
  <c r="GY173" i="19"/>
  <c r="GY146" i="19"/>
  <c r="GA102" i="19"/>
  <c r="GA103" i="19" s="1"/>
  <c r="GA132" i="19"/>
  <c r="GA133" i="19" s="1"/>
  <c r="HA104" i="19"/>
  <c r="HA185" i="19"/>
  <c r="HA187" i="19" s="1"/>
  <c r="HC104" i="19"/>
  <c r="HC185" i="19"/>
  <c r="HC187" i="19" s="1"/>
  <c r="GT178" i="19"/>
  <c r="GT179" i="19" s="1"/>
  <c r="GT148" i="19"/>
  <c r="GT149" i="19" s="1"/>
  <c r="GT127" i="19"/>
  <c r="GT100" i="19"/>
  <c r="HB132" i="19"/>
  <c r="HB133" i="19" s="1"/>
  <c r="HB102" i="19"/>
  <c r="HB103" i="19" s="1"/>
  <c r="GI148" i="19"/>
  <c r="GI149" i="19" s="1"/>
  <c r="GI178" i="19"/>
  <c r="GI179" i="19" s="1"/>
  <c r="FS127" i="19"/>
  <c r="FS100" i="19"/>
  <c r="GX148" i="19"/>
  <c r="GX149" i="19" s="1"/>
  <c r="GX178" i="19"/>
  <c r="GX179" i="19" s="1"/>
  <c r="FQ150" i="19"/>
  <c r="FQ186" i="19"/>
  <c r="GO104" i="19"/>
  <c r="GO185" i="19"/>
  <c r="GO187" i="19" s="1"/>
  <c r="GO150" i="19"/>
  <c r="GO186" i="19"/>
  <c r="GH150" i="19"/>
  <c r="GH186" i="19"/>
  <c r="GH187" i="19" s="1"/>
  <c r="GS102" i="19"/>
  <c r="GS103" i="19" s="1"/>
  <c r="GS132" i="19"/>
  <c r="GS133" i="19" s="1"/>
  <c r="GL148" i="19"/>
  <c r="GL149" i="19" s="1"/>
  <c r="GL178" i="19"/>
  <c r="GL179" i="19" s="1"/>
  <c r="GN187" i="19"/>
  <c r="GW187" i="19"/>
  <c r="HD102" i="19"/>
  <c r="HD103" i="19" s="1"/>
  <c r="HD132" i="19"/>
  <c r="HD133" i="19" s="1"/>
  <c r="GP148" i="19"/>
  <c r="GP149" i="19" s="1"/>
  <c r="GP178" i="19"/>
  <c r="GP179" i="19" s="1"/>
  <c r="GQ100" i="19"/>
  <c r="GP132" i="19"/>
  <c r="GP133" i="19" s="1"/>
  <c r="GP102" i="19"/>
  <c r="GP103" i="19" s="1"/>
  <c r="GQ146" i="19"/>
  <c r="GC132" i="19"/>
  <c r="GC133" i="19" s="1"/>
  <c r="GC102" i="19"/>
  <c r="GC103" i="19" s="1"/>
  <c r="GD100" i="19"/>
  <c r="FQ102" i="19"/>
  <c r="FQ103" i="19" s="1"/>
  <c r="FQ132" i="19"/>
  <c r="FQ133" i="19" s="1"/>
  <c r="FS132" i="19" l="1"/>
  <c r="FS133" i="19" s="1"/>
  <c r="FS102" i="19"/>
  <c r="FS103" i="19" s="1"/>
  <c r="GP104" i="19"/>
  <c r="GP185" i="19"/>
  <c r="GP150" i="19"/>
  <c r="GP186" i="19"/>
  <c r="HB104" i="19"/>
  <c r="HB185" i="19"/>
  <c r="HB187" i="19" s="1"/>
  <c r="GT150" i="19"/>
  <c r="GT186" i="19"/>
  <c r="FS186" i="19"/>
  <c r="FS150" i="19"/>
  <c r="GJ148" i="19"/>
  <c r="GJ149" i="19" s="1"/>
  <c r="GJ178" i="19"/>
  <c r="GJ179" i="19" s="1"/>
  <c r="FQ104" i="19"/>
  <c r="FQ185" i="19"/>
  <c r="FQ187" i="19" s="1"/>
  <c r="GA104" i="19"/>
  <c r="GA185" i="19"/>
  <c r="GA187" i="19" s="1"/>
  <c r="GS104" i="19"/>
  <c r="GS185" i="19"/>
  <c r="GS187" i="19" s="1"/>
  <c r="GX150" i="19"/>
  <c r="GX186" i="19"/>
  <c r="GX187" i="19" s="1"/>
  <c r="GI150" i="19"/>
  <c r="GI186" i="19"/>
  <c r="GI187" i="19" s="1"/>
  <c r="GT102" i="19"/>
  <c r="GT103" i="19" s="1"/>
  <c r="GT132" i="19"/>
  <c r="GT133" i="19" s="1"/>
  <c r="GC104" i="19"/>
  <c r="GC185" i="19"/>
  <c r="GC187" i="19" s="1"/>
  <c r="HD104" i="19"/>
  <c r="HD185" i="19"/>
  <c r="HD187" i="19" s="1"/>
  <c r="GL150" i="19"/>
  <c r="GL186" i="19"/>
  <c r="GY178" i="19"/>
  <c r="GY179" i="19" s="1"/>
  <c r="GY148" i="19"/>
  <c r="GY149" i="19" s="1"/>
  <c r="GU178" i="19"/>
  <c r="GU179" i="19" s="1"/>
  <c r="GU148" i="19"/>
  <c r="GU149" i="19" s="1"/>
  <c r="GL104" i="19"/>
  <c r="GL185" i="19"/>
  <c r="GL187" i="19" s="1"/>
  <c r="GQ178" i="19"/>
  <c r="GQ179" i="19" s="1"/>
  <c r="GQ148" i="19"/>
  <c r="GQ149" i="19" s="1"/>
  <c r="GQ132" i="19"/>
  <c r="GQ133" i="19" s="1"/>
  <c r="GQ102" i="19"/>
  <c r="GQ103" i="19" s="1"/>
  <c r="GD132" i="19"/>
  <c r="GD133" i="19" s="1"/>
  <c r="GD102" i="19"/>
  <c r="GD103" i="19" s="1"/>
  <c r="GQ104" i="19" l="1"/>
  <c r="GQ185" i="19"/>
  <c r="GY150" i="19"/>
  <c r="GY186" i="19"/>
  <c r="GY187" i="19" s="1"/>
  <c r="FS104" i="19"/>
  <c r="FS185" i="19"/>
  <c r="FS187" i="19" s="1"/>
  <c r="GT104" i="19"/>
  <c r="GT185" i="19"/>
  <c r="GT187" i="19" s="1"/>
  <c r="GJ150" i="19"/>
  <c r="GJ186" i="19"/>
  <c r="GJ187" i="19" s="1"/>
  <c r="GD104" i="19"/>
  <c r="GD185" i="19"/>
  <c r="GD187" i="19" s="1"/>
  <c r="GQ150" i="19"/>
  <c r="GQ186" i="19"/>
  <c r="GU150" i="19"/>
  <c r="GU186" i="19"/>
  <c r="GU187" i="19" s="1"/>
  <c r="HD188" i="19"/>
  <c r="K46" i="18" s="1"/>
  <c r="GP187" i="19"/>
  <c r="FD7" i="19"/>
  <c r="FC7" i="19"/>
  <c r="FB7" i="19"/>
  <c r="FA7" i="19"/>
  <c r="FA50" i="19" s="1"/>
  <c r="FA97" i="19" s="1"/>
  <c r="FA143" i="19" s="1"/>
  <c r="EZ7" i="19"/>
  <c r="EZ50" i="19" s="1"/>
  <c r="EZ97" i="19" s="1"/>
  <c r="EZ143" i="19" s="1"/>
  <c r="EY7" i="19"/>
  <c r="EX7" i="19"/>
  <c r="EW7" i="19"/>
  <c r="EV7" i="19"/>
  <c r="EU7" i="19"/>
  <c r="ET7" i="19"/>
  <c r="ES7" i="19"/>
  <c r="ES50" i="19" s="1"/>
  <c r="ES97" i="19" s="1"/>
  <c r="ES143" i="19" s="1"/>
  <c r="CY176" i="19"/>
  <c r="CZ176" i="19" s="1"/>
  <c r="DA176" i="19" s="1"/>
  <c r="DB176" i="19" s="1"/>
  <c r="DC176" i="19" s="1"/>
  <c r="DD176" i="19" s="1"/>
  <c r="DE176" i="19" s="1"/>
  <c r="DF176" i="19" s="1"/>
  <c r="DG176" i="19" s="1"/>
  <c r="DH176" i="19" s="1"/>
  <c r="DI176" i="19" s="1"/>
  <c r="CY175" i="19"/>
  <c r="CZ175" i="19" s="1"/>
  <c r="DA175" i="19" s="1"/>
  <c r="DB175" i="19" s="1"/>
  <c r="DC175" i="19" s="1"/>
  <c r="DD175" i="19" s="1"/>
  <c r="DE175" i="19" s="1"/>
  <c r="DF175" i="19" s="1"/>
  <c r="DG175" i="19" s="1"/>
  <c r="DH175" i="19" s="1"/>
  <c r="DI175" i="19" s="1"/>
  <c r="CZ174" i="19"/>
  <c r="DA174" i="19" s="1"/>
  <c r="DB174" i="19" s="1"/>
  <c r="DC174" i="19" s="1"/>
  <c r="DD174" i="19" s="1"/>
  <c r="DE174" i="19" s="1"/>
  <c r="DF174" i="19" s="1"/>
  <c r="DG174" i="19" s="1"/>
  <c r="DH174" i="19" s="1"/>
  <c r="DI174" i="19" s="1"/>
  <c r="CY174" i="19"/>
  <c r="CY173" i="19"/>
  <c r="CZ173" i="19" s="1"/>
  <c r="DA173" i="19" s="1"/>
  <c r="DB173" i="19" s="1"/>
  <c r="DC173" i="19" s="1"/>
  <c r="DD173" i="19" s="1"/>
  <c r="DE173" i="19" s="1"/>
  <c r="DF173" i="19" s="1"/>
  <c r="DG173" i="19" s="1"/>
  <c r="DH173" i="19" s="1"/>
  <c r="DI173" i="19" s="1"/>
  <c r="DB172" i="19"/>
  <c r="DC172" i="19" s="1"/>
  <c r="DD172" i="19" s="1"/>
  <c r="DE172" i="19" s="1"/>
  <c r="DF172" i="19" s="1"/>
  <c r="DG172" i="19" s="1"/>
  <c r="DH172" i="19" s="1"/>
  <c r="DI172" i="19" s="1"/>
  <c r="CY172" i="19"/>
  <c r="CZ172" i="19" s="1"/>
  <c r="DA172" i="19" s="1"/>
  <c r="DA171" i="19"/>
  <c r="DB171" i="19" s="1"/>
  <c r="DC171" i="19" s="1"/>
  <c r="DD171" i="19" s="1"/>
  <c r="DE171" i="19" s="1"/>
  <c r="DF171" i="19" s="1"/>
  <c r="DG171" i="19" s="1"/>
  <c r="DH171" i="19" s="1"/>
  <c r="DI171" i="19" s="1"/>
  <c r="CY171" i="19"/>
  <c r="CZ171" i="19" s="1"/>
  <c r="CZ170" i="19"/>
  <c r="DA170" i="19" s="1"/>
  <c r="DB170" i="19" s="1"/>
  <c r="DC170" i="19" s="1"/>
  <c r="DD170" i="19" s="1"/>
  <c r="DE170" i="19" s="1"/>
  <c r="DF170" i="19" s="1"/>
  <c r="DG170" i="19" s="1"/>
  <c r="DH170" i="19" s="1"/>
  <c r="DI170" i="19" s="1"/>
  <c r="CY170" i="19"/>
  <c r="CY169" i="19"/>
  <c r="CZ169" i="19" s="1"/>
  <c r="DA169" i="19" s="1"/>
  <c r="DB169" i="19" s="1"/>
  <c r="DC169" i="19" s="1"/>
  <c r="DD169" i="19" s="1"/>
  <c r="DE169" i="19" s="1"/>
  <c r="DF169" i="19" s="1"/>
  <c r="DG169" i="19" s="1"/>
  <c r="DH169" i="19" s="1"/>
  <c r="DI169" i="19" s="1"/>
  <c r="DB168" i="19"/>
  <c r="DC168" i="19" s="1"/>
  <c r="DD168" i="19" s="1"/>
  <c r="DE168" i="19" s="1"/>
  <c r="DF168" i="19" s="1"/>
  <c r="DG168" i="19" s="1"/>
  <c r="DH168" i="19" s="1"/>
  <c r="DI168" i="19" s="1"/>
  <c r="CY168" i="19"/>
  <c r="CZ168" i="19" s="1"/>
  <c r="DA168" i="19" s="1"/>
  <c r="DA167" i="19"/>
  <c r="DB167" i="19" s="1"/>
  <c r="DC167" i="19" s="1"/>
  <c r="DD167" i="19" s="1"/>
  <c r="DE167" i="19" s="1"/>
  <c r="DF167" i="19" s="1"/>
  <c r="DG167" i="19" s="1"/>
  <c r="DH167" i="19" s="1"/>
  <c r="DI167" i="19" s="1"/>
  <c r="CY167" i="19"/>
  <c r="CZ167" i="19" s="1"/>
  <c r="CZ166" i="19"/>
  <c r="DA166" i="19" s="1"/>
  <c r="DB166" i="19" s="1"/>
  <c r="DC166" i="19" s="1"/>
  <c r="DD166" i="19" s="1"/>
  <c r="DE166" i="19" s="1"/>
  <c r="DF166" i="19" s="1"/>
  <c r="DG166" i="19" s="1"/>
  <c r="DH166" i="19" s="1"/>
  <c r="DI166" i="19" s="1"/>
  <c r="CY166" i="19"/>
  <c r="CY165" i="19"/>
  <c r="CZ165" i="19" s="1"/>
  <c r="DA165" i="19" s="1"/>
  <c r="DB165" i="19" s="1"/>
  <c r="DC165" i="19" s="1"/>
  <c r="DD165" i="19" s="1"/>
  <c r="DE165" i="19" s="1"/>
  <c r="DF165" i="19" s="1"/>
  <c r="DG165" i="19" s="1"/>
  <c r="DH165" i="19" s="1"/>
  <c r="DI165" i="19" s="1"/>
  <c r="DB130" i="19"/>
  <c r="DC130" i="19" s="1"/>
  <c r="DD130" i="19" s="1"/>
  <c r="DE130" i="19" s="1"/>
  <c r="DF130" i="19" s="1"/>
  <c r="DG130" i="19" s="1"/>
  <c r="DH130" i="19" s="1"/>
  <c r="DI130" i="19" s="1"/>
  <c r="CY130" i="19"/>
  <c r="CZ130" i="19" s="1"/>
  <c r="DA130" i="19" s="1"/>
  <c r="DA129" i="19"/>
  <c r="DB129" i="19" s="1"/>
  <c r="DC129" i="19" s="1"/>
  <c r="DD129" i="19" s="1"/>
  <c r="DE129" i="19" s="1"/>
  <c r="DF129" i="19" s="1"/>
  <c r="DG129" i="19" s="1"/>
  <c r="DH129" i="19" s="1"/>
  <c r="DI129" i="19" s="1"/>
  <c r="CY129" i="19"/>
  <c r="CZ129" i="19" s="1"/>
  <c r="CZ128" i="19"/>
  <c r="DA128" i="19" s="1"/>
  <c r="DB128" i="19" s="1"/>
  <c r="DC128" i="19" s="1"/>
  <c r="DD128" i="19" s="1"/>
  <c r="DE128" i="19" s="1"/>
  <c r="DF128" i="19" s="1"/>
  <c r="DG128" i="19" s="1"/>
  <c r="DH128" i="19" s="1"/>
  <c r="DI128" i="19" s="1"/>
  <c r="CY128" i="19"/>
  <c r="CY127" i="19"/>
  <c r="CZ127" i="19" s="1"/>
  <c r="DA127" i="19" s="1"/>
  <c r="DB127" i="19" s="1"/>
  <c r="DC127" i="19" s="1"/>
  <c r="DD127" i="19" s="1"/>
  <c r="DE127" i="19" s="1"/>
  <c r="DF127" i="19" s="1"/>
  <c r="DG127" i="19" s="1"/>
  <c r="DH127" i="19" s="1"/>
  <c r="DI127" i="19" s="1"/>
  <c r="DB126" i="19"/>
  <c r="DC126" i="19" s="1"/>
  <c r="DD126" i="19" s="1"/>
  <c r="DE126" i="19" s="1"/>
  <c r="DF126" i="19" s="1"/>
  <c r="DG126" i="19" s="1"/>
  <c r="DH126" i="19" s="1"/>
  <c r="DI126" i="19" s="1"/>
  <c r="CY126" i="19"/>
  <c r="CZ126" i="19" s="1"/>
  <c r="DA126" i="19" s="1"/>
  <c r="DA125" i="19"/>
  <c r="DB125" i="19" s="1"/>
  <c r="DC125" i="19" s="1"/>
  <c r="DD125" i="19" s="1"/>
  <c r="DE125" i="19" s="1"/>
  <c r="DF125" i="19" s="1"/>
  <c r="DG125" i="19" s="1"/>
  <c r="DH125" i="19" s="1"/>
  <c r="DI125" i="19" s="1"/>
  <c r="CZ125" i="19"/>
  <c r="CY125" i="19"/>
  <c r="DD124" i="19"/>
  <c r="DE124" i="19" s="1"/>
  <c r="DF124" i="19" s="1"/>
  <c r="DG124" i="19" s="1"/>
  <c r="DH124" i="19" s="1"/>
  <c r="DI124" i="19" s="1"/>
  <c r="CZ124" i="19"/>
  <c r="DA124" i="19" s="1"/>
  <c r="DB124" i="19" s="1"/>
  <c r="DC124" i="19" s="1"/>
  <c r="CY124" i="19"/>
  <c r="DC123" i="19"/>
  <c r="DD123" i="19" s="1"/>
  <c r="DE123" i="19" s="1"/>
  <c r="DF123" i="19" s="1"/>
  <c r="DG123" i="19" s="1"/>
  <c r="DH123" i="19" s="1"/>
  <c r="DI123" i="19" s="1"/>
  <c r="CY123" i="19"/>
  <c r="CZ123" i="19" s="1"/>
  <c r="DA123" i="19" s="1"/>
  <c r="DB123" i="19" s="1"/>
  <c r="CY122" i="19"/>
  <c r="CZ122" i="19" s="1"/>
  <c r="DA122" i="19" s="1"/>
  <c r="DB122" i="19" s="1"/>
  <c r="DC122" i="19" s="1"/>
  <c r="DD122" i="19" s="1"/>
  <c r="DE122" i="19" s="1"/>
  <c r="DF122" i="19" s="1"/>
  <c r="DG122" i="19" s="1"/>
  <c r="DH122" i="19" s="1"/>
  <c r="DI122" i="19" s="1"/>
  <c r="DE121" i="19"/>
  <c r="DF121" i="19" s="1"/>
  <c r="DG121" i="19" s="1"/>
  <c r="DH121" i="19" s="1"/>
  <c r="DI121" i="19" s="1"/>
  <c r="DA121" i="19"/>
  <c r="DB121" i="19" s="1"/>
  <c r="DC121" i="19" s="1"/>
  <c r="DD121" i="19" s="1"/>
  <c r="CZ121" i="19"/>
  <c r="CY121" i="19"/>
  <c r="CZ120" i="19"/>
  <c r="DA120" i="19" s="1"/>
  <c r="DB120" i="19" s="1"/>
  <c r="DC120" i="19" s="1"/>
  <c r="DD120" i="19" s="1"/>
  <c r="DE120" i="19" s="1"/>
  <c r="DF120" i="19" s="1"/>
  <c r="DG120" i="19" s="1"/>
  <c r="DH120" i="19" s="1"/>
  <c r="DI120" i="19" s="1"/>
  <c r="CY120" i="19"/>
  <c r="CY119" i="19"/>
  <c r="CZ119" i="19" s="1"/>
  <c r="DA119" i="19" s="1"/>
  <c r="DB119" i="19" s="1"/>
  <c r="DC119" i="19" s="1"/>
  <c r="DD119" i="19" s="1"/>
  <c r="DE119" i="19" s="1"/>
  <c r="DF119" i="19" s="1"/>
  <c r="DG119" i="19" s="1"/>
  <c r="DH119" i="19" s="1"/>
  <c r="DI119" i="19" s="1"/>
  <c r="DB77" i="19"/>
  <c r="DC77" i="19" s="1"/>
  <c r="DD77" i="19" s="1"/>
  <c r="DE77" i="19" s="1"/>
  <c r="DF77" i="19" s="1"/>
  <c r="DG77" i="19" s="1"/>
  <c r="DH77" i="19" s="1"/>
  <c r="DI77" i="19" s="1"/>
  <c r="CY77" i="19"/>
  <c r="CZ77" i="19" s="1"/>
  <c r="DA77" i="19" s="1"/>
  <c r="DA76" i="19"/>
  <c r="DB76" i="19" s="1"/>
  <c r="DC76" i="19" s="1"/>
  <c r="DD76" i="19" s="1"/>
  <c r="DE76" i="19" s="1"/>
  <c r="DF76" i="19" s="1"/>
  <c r="DG76" i="19" s="1"/>
  <c r="DH76" i="19" s="1"/>
  <c r="DI76" i="19" s="1"/>
  <c r="CZ76" i="19"/>
  <c r="CY76" i="19"/>
  <c r="DD75" i="19"/>
  <c r="DE75" i="19" s="1"/>
  <c r="DF75" i="19" s="1"/>
  <c r="DG75" i="19" s="1"/>
  <c r="DH75" i="19" s="1"/>
  <c r="DI75" i="19" s="1"/>
  <c r="CZ75" i="19"/>
  <c r="DA75" i="19" s="1"/>
  <c r="DB75" i="19" s="1"/>
  <c r="DC75" i="19" s="1"/>
  <c r="CY75" i="19"/>
  <c r="DC74" i="19"/>
  <c r="DD74" i="19" s="1"/>
  <c r="DE74" i="19" s="1"/>
  <c r="DF74" i="19" s="1"/>
  <c r="DG74" i="19" s="1"/>
  <c r="DH74" i="19" s="1"/>
  <c r="DI74" i="19" s="1"/>
  <c r="CY74" i="19"/>
  <c r="CZ74" i="19" s="1"/>
  <c r="DA74" i="19" s="1"/>
  <c r="DB74" i="19" s="1"/>
  <c r="CY73" i="19"/>
  <c r="CZ73" i="19" s="1"/>
  <c r="DA73" i="19" s="1"/>
  <c r="DB73" i="19" s="1"/>
  <c r="DC73" i="19" s="1"/>
  <c r="DD73" i="19" s="1"/>
  <c r="DE73" i="19" s="1"/>
  <c r="DF73" i="19" s="1"/>
  <c r="DG73" i="19" s="1"/>
  <c r="DH73" i="19" s="1"/>
  <c r="DI73" i="19" s="1"/>
  <c r="DE72" i="19"/>
  <c r="DF72" i="19" s="1"/>
  <c r="DG72" i="19" s="1"/>
  <c r="DH72" i="19" s="1"/>
  <c r="DI72" i="19" s="1"/>
  <c r="DA72" i="19"/>
  <c r="DB72" i="19" s="1"/>
  <c r="DC72" i="19" s="1"/>
  <c r="DD72" i="19" s="1"/>
  <c r="CZ72" i="19"/>
  <c r="CY72" i="19"/>
  <c r="CZ71" i="19"/>
  <c r="DA71" i="19" s="1"/>
  <c r="DB71" i="19" s="1"/>
  <c r="DC71" i="19" s="1"/>
  <c r="DD71" i="19" s="1"/>
  <c r="DE71" i="19" s="1"/>
  <c r="DF71" i="19" s="1"/>
  <c r="DG71" i="19" s="1"/>
  <c r="DH71" i="19" s="1"/>
  <c r="DI71" i="19" s="1"/>
  <c r="CY71" i="19"/>
  <c r="CY70" i="19"/>
  <c r="CZ70" i="19" s="1"/>
  <c r="DA70" i="19" s="1"/>
  <c r="DB70" i="19" s="1"/>
  <c r="DC70" i="19" s="1"/>
  <c r="DD70" i="19" s="1"/>
  <c r="DE70" i="19" s="1"/>
  <c r="DF70" i="19" s="1"/>
  <c r="DG70" i="19" s="1"/>
  <c r="DH70" i="19" s="1"/>
  <c r="DI70" i="19" s="1"/>
  <c r="DB69" i="19"/>
  <c r="DC69" i="19" s="1"/>
  <c r="DD69" i="19" s="1"/>
  <c r="DE69" i="19" s="1"/>
  <c r="DF69" i="19" s="1"/>
  <c r="DG69" i="19" s="1"/>
  <c r="DH69" i="19" s="1"/>
  <c r="DI69" i="19" s="1"/>
  <c r="CY69" i="19"/>
  <c r="CZ69" i="19" s="1"/>
  <c r="DA69" i="19" s="1"/>
  <c r="CZ34" i="19"/>
  <c r="DA34" i="19" s="1"/>
  <c r="DB34" i="19" s="1"/>
  <c r="DC34" i="19" s="1"/>
  <c r="DD34" i="19" s="1"/>
  <c r="DE34" i="19" s="1"/>
  <c r="DF34" i="19" s="1"/>
  <c r="DG34" i="19" s="1"/>
  <c r="DH34" i="19" s="1"/>
  <c r="DI34" i="19" s="1"/>
  <c r="CY34" i="19"/>
  <c r="CZ33" i="19"/>
  <c r="DA33" i="19" s="1"/>
  <c r="DB33" i="19" s="1"/>
  <c r="DC33" i="19" s="1"/>
  <c r="DD33" i="19" s="1"/>
  <c r="DE33" i="19" s="1"/>
  <c r="DF33" i="19" s="1"/>
  <c r="DG33" i="19" s="1"/>
  <c r="DH33" i="19" s="1"/>
  <c r="DI33" i="19" s="1"/>
  <c r="CY33" i="19"/>
  <c r="CY32" i="19"/>
  <c r="CZ32" i="19" s="1"/>
  <c r="DA32" i="19" s="1"/>
  <c r="DB32" i="19" s="1"/>
  <c r="DC32" i="19" s="1"/>
  <c r="DD32" i="19" s="1"/>
  <c r="DE32" i="19" s="1"/>
  <c r="DF32" i="19" s="1"/>
  <c r="DG32" i="19" s="1"/>
  <c r="DH32" i="19" s="1"/>
  <c r="DI32" i="19" s="1"/>
  <c r="CZ31" i="19"/>
  <c r="DA31" i="19" s="1"/>
  <c r="DB31" i="19" s="1"/>
  <c r="DC31" i="19" s="1"/>
  <c r="DD31" i="19" s="1"/>
  <c r="DE31" i="19" s="1"/>
  <c r="DF31" i="19" s="1"/>
  <c r="DG31" i="19" s="1"/>
  <c r="DH31" i="19" s="1"/>
  <c r="DI31" i="19" s="1"/>
  <c r="CY31" i="19"/>
  <c r="CY30" i="19"/>
  <c r="CZ30" i="19" s="1"/>
  <c r="DA30" i="19" s="1"/>
  <c r="DB30" i="19" s="1"/>
  <c r="DC30" i="19" s="1"/>
  <c r="DD30" i="19" s="1"/>
  <c r="DE30" i="19" s="1"/>
  <c r="DF30" i="19" s="1"/>
  <c r="DG30" i="19" s="1"/>
  <c r="DH30" i="19" s="1"/>
  <c r="DI30" i="19" s="1"/>
  <c r="CZ29" i="19"/>
  <c r="DA29" i="19" s="1"/>
  <c r="DB29" i="19" s="1"/>
  <c r="DC29" i="19" s="1"/>
  <c r="DD29" i="19" s="1"/>
  <c r="DE29" i="19" s="1"/>
  <c r="DF29" i="19" s="1"/>
  <c r="DG29" i="19" s="1"/>
  <c r="DH29" i="19" s="1"/>
  <c r="DI29" i="19" s="1"/>
  <c r="CY29" i="19"/>
  <c r="CY28" i="19"/>
  <c r="CZ28" i="19" s="1"/>
  <c r="DA28" i="19" s="1"/>
  <c r="DB28" i="19" s="1"/>
  <c r="DC28" i="19" s="1"/>
  <c r="DD28" i="19" s="1"/>
  <c r="DE28" i="19" s="1"/>
  <c r="DF28" i="19" s="1"/>
  <c r="DG28" i="19" s="1"/>
  <c r="DH28" i="19" s="1"/>
  <c r="DI28" i="19" s="1"/>
  <c r="CZ27" i="19"/>
  <c r="DA27" i="19" s="1"/>
  <c r="DB27" i="19" s="1"/>
  <c r="DC27" i="19" s="1"/>
  <c r="DD27" i="19" s="1"/>
  <c r="DE27" i="19" s="1"/>
  <c r="DF27" i="19" s="1"/>
  <c r="DG27" i="19" s="1"/>
  <c r="DH27" i="19" s="1"/>
  <c r="DI27" i="19" s="1"/>
  <c r="CY27" i="19"/>
  <c r="CY26" i="19"/>
  <c r="CZ26" i="19" s="1"/>
  <c r="DA26" i="19" s="1"/>
  <c r="DB26" i="19" s="1"/>
  <c r="DC26" i="19" s="1"/>
  <c r="DD26" i="19" s="1"/>
  <c r="DE26" i="19" s="1"/>
  <c r="DF26" i="19" s="1"/>
  <c r="DG26" i="19" s="1"/>
  <c r="DH26" i="19" s="1"/>
  <c r="DI26" i="19" s="1"/>
  <c r="CM176" i="19"/>
  <c r="CN176" i="19" s="1"/>
  <c r="CO176" i="19" s="1"/>
  <c r="CP176" i="19" s="1"/>
  <c r="CQ176" i="19" s="1"/>
  <c r="CR176" i="19" s="1"/>
  <c r="CS176" i="19" s="1"/>
  <c r="CT176" i="19" s="1"/>
  <c r="CU176" i="19" s="1"/>
  <c r="CV176" i="19" s="1"/>
  <c r="CW176" i="19" s="1"/>
  <c r="CM175" i="19"/>
  <c r="CN175" i="19" s="1"/>
  <c r="CO175" i="19" s="1"/>
  <c r="CP175" i="19" s="1"/>
  <c r="CQ175" i="19" s="1"/>
  <c r="CR175" i="19" s="1"/>
  <c r="CS175" i="19" s="1"/>
  <c r="CT175" i="19" s="1"/>
  <c r="CU175" i="19" s="1"/>
  <c r="CV175" i="19" s="1"/>
  <c r="CW175" i="19" s="1"/>
  <c r="CM174" i="19"/>
  <c r="CN174" i="19" s="1"/>
  <c r="CO174" i="19" s="1"/>
  <c r="CP174" i="19" s="1"/>
  <c r="CQ174" i="19" s="1"/>
  <c r="CR174" i="19" s="1"/>
  <c r="CS174" i="19" s="1"/>
  <c r="CT174" i="19" s="1"/>
  <c r="CU174" i="19" s="1"/>
  <c r="CV174" i="19" s="1"/>
  <c r="CW174" i="19" s="1"/>
  <c r="CN173" i="19"/>
  <c r="CO173" i="19" s="1"/>
  <c r="CP173" i="19" s="1"/>
  <c r="CQ173" i="19" s="1"/>
  <c r="CR173" i="19" s="1"/>
  <c r="CS173" i="19" s="1"/>
  <c r="CT173" i="19" s="1"/>
  <c r="CU173" i="19" s="1"/>
  <c r="CV173" i="19" s="1"/>
  <c r="CW173" i="19" s="1"/>
  <c r="CM173" i="19"/>
  <c r="CM172" i="19"/>
  <c r="CN172" i="19" s="1"/>
  <c r="CO172" i="19" s="1"/>
  <c r="CP172" i="19" s="1"/>
  <c r="CQ172" i="19" s="1"/>
  <c r="CR172" i="19" s="1"/>
  <c r="CS172" i="19" s="1"/>
  <c r="CT172" i="19" s="1"/>
  <c r="CU172" i="19" s="1"/>
  <c r="CV172" i="19" s="1"/>
  <c r="CW172" i="19" s="1"/>
  <c r="CM171" i="19"/>
  <c r="CN171" i="19" s="1"/>
  <c r="CO171" i="19" s="1"/>
  <c r="CP171" i="19" s="1"/>
  <c r="CQ171" i="19" s="1"/>
  <c r="CR171" i="19" s="1"/>
  <c r="CS171" i="19" s="1"/>
  <c r="CT171" i="19" s="1"/>
  <c r="CU171" i="19" s="1"/>
  <c r="CV171" i="19" s="1"/>
  <c r="CW171" i="19" s="1"/>
  <c r="CM170" i="19"/>
  <c r="CN170" i="19" s="1"/>
  <c r="CO170" i="19" s="1"/>
  <c r="CP170" i="19" s="1"/>
  <c r="CQ170" i="19" s="1"/>
  <c r="CR170" i="19" s="1"/>
  <c r="CS170" i="19" s="1"/>
  <c r="CT170" i="19" s="1"/>
  <c r="CU170" i="19" s="1"/>
  <c r="CV170" i="19" s="1"/>
  <c r="CW170" i="19" s="1"/>
  <c r="CM169" i="19"/>
  <c r="CN169" i="19" s="1"/>
  <c r="CO169" i="19" s="1"/>
  <c r="CP169" i="19" s="1"/>
  <c r="CQ169" i="19" s="1"/>
  <c r="CR169" i="19" s="1"/>
  <c r="CS169" i="19" s="1"/>
  <c r="CT169" i="19" s="1"/>
  <c r="CU169" i="19" s="1"/>
  <c r="CV169" i="19" s="1"/>
  <c r="CW169" i="19" s="1"/>
  <c r="CM168" i="19"/>
  <c r="CN168" i="19" s="1"/>
  <c r="CO168" i="19" s="1"/>
  <c r="CP168" i="19" s="1"/>
  <c r="CQ168" i="19" s="1"/>
  <c r="CR168" i="19" s="1"/>
  <c r="CS168" i="19" s="1"/>
  <c r="CT168" i="19" s="1"/>
  <c r="CU168" i="19" s="1"/>
  <c r="CV168" i="19" s="1"/>
  <c r="CW168" i="19" s="1"/>
  <c r="CM167" i="19"/>
  <c r="CN167" i="19" s="1"/>
  <c r="CO167" i="19" s="1"/>
  <c r="CP167" i="19" s="1"/>
  <c r="CQ167" i="19" s="1"/>
  <c r="CR167" i="19" s="1"/>
  <c r="CS167" i="19" s="1"/>
  <c r="CT167" i="19" s="1"/>
  <c r="CU167" i="19" s="1"/>
  <c r="CV167" i="19" s="1"/>
  <c r="CW167" i="19" s="1"/>
  <c r="CM166" i="19"/>
  <c r="CN166" i="19" s="1"/>
  <c r="CO166" i="19" s="1"/>
  <c r="CP166" i="19" s="1"/>
  <c r="CQ166" i="19" s="1"/>
  <c r="CR166" i="19" s="1"/>
  <c r="CS166" i="19" s="1"/>
  <c r="CT166" i="19" s="1"/>
  <c r="CU166" i="19" s="1"/>
  <c r="CV166" i="19" s="1"/>
  <c r="CW166" i="19" s="1"/>
  <c r="CM165" i="19"/>
  <c r="CN165" i="19" s="1"/>
  <c r="CO165" i="19" s="1"/>
  <c r="CP165" i="19" s="1"/>
  <c r="CQ165" i="19" s="1"/>
  <c r="CR165" i="19" s="1"/>
  <c r="CS165" i="19" s="1"/>
  <c r="CT165" i="19" s="1"/>
  <c r="CU165" i="19" s="1"/>
  <c r="CV165" i="19" s="1"/>
  <c r="CW165" i="19" s="1"/>
  <c r="CM130" i="19"/>
  <c r="CN130" i="19" s="1"/>
  <c r="CO130" i="19" s="1"/>
  <c r="CP130" i="19" s="1"/>
  <c r="CQ130" i="19" s="1"/>
  <c r="CR130" i="19" s="1"/>
  <c r="CS130" i="19" s="1"/>
  <c r="CT130" i="19" s="1"/>
  <c r="CU130" i="19" s="1"/>
  <c r="CV130" i="19" s="1"/>
  <c r="CW130" i="19" s="1"/>
  <c r="CM129" i="19"/>
  <c r="CN129" i="19" s="1"/>
  <c r="CO129" i="19" s="1"/>
  <c r="CP129" i="19" s="1"/>
  <c r="CQ129" i="19" s="1"/>
  <c r="CR129" i="19" s="1"/>
  <c r="CS129" i="19" s="1"/>
  <c r="CT129" i="19" s="1"/>
  <c r="CU129" i="19" s="1"/>
  <c r="CV129" i="19" s="1"/>
  <c r="CW129" i="19" s="1"/>
  <c r="CM128" i="19"/>
  <c r="CN128" i="19" s="1"/>
  <c r="CO128" i="19" s="1"/>
  <c r="CP128" i="19" s="1"/>
  <c r="CQ128" i="19" s="1"/>
  <c r="CR128" i="19" s="1"/>
  <c r="CS128" i="19" s="1"/>
  <c r="CT128" i="19" s="1"/>
  <c r="CU128" i="19" s="1"/>
  <c r="CV128" i="19" s="1"/>
  <c r="CW128" i="19" s="1"/>
  <c r="CM127" i="19"/>
  <c r="CN127" i="19" s="1"/>
  <c r="CO127" i="19" s="1"/>
  <c r="CP127" i="19" s="1"/>
  <c r="CQ127" i="19" s="1"/>
  <c r="CR127" i="19" s="1"/>
  <c r="CS127" i="19" s="1"/>
  <c r="CT127" i="19" s="1"/>
  <c r="CU127" i="19" s="1"/>
  <c r="CV127" i="19" s="1"/>
  <c r="CW127" i="19" s="1"/>
  <c r="CM126" i="19"/>
  <c r="CN126" i="19" s="1"/>
  <c r="CO126" i="19" s="1"/>
  <c r="CP126" i="19" s="1"/>
  <c r="CQ126" i="19" s="1"/>
  <c r="CR126" i="19" s="1"/>
  <c r="CS126" i="19" s="1"/>
  <c r="CT126" i="19" s="1"/>
  <c r="CU126" i="19" s="1"/>
  <c r="CV126" i="19" s="1"/>
  <c r="CW126" i="19" s="1"/>
  <c r="CM125" i="19"/>
  <c r="CN125" i="19" s="1"/>
  <c r="CO125" i="19" s="1"/>
  <c r="CP125" i="19" s="1"/>
  <c r="CQ125" i="19" s="1"/>
  <c r="CR125" i="19" s="1"/>
  <c r="CS125" i="19" s="1"/>
  <c r="CT125" i="19" s="1"/>
  <c r="CU125" i="19" s="1"/>
  <c r="CV125" i="19" s="1"/>
  <c r="CW125" i="19" s="1"/>
  <c r="CM124" i="19"/>
  <c r="CN124" i="19" s="1"/>
  <c r="CO124" i="19" s="1"/>
  <c r="CP124" i="19" s="1"/>
  <c r="CQ124" i="19" s="1"/>
  <c r="CR124" i="19" s="1"/>
  <c r="CS124" i="19" s="1"/>
  <c r="CT124" i="19" s="1"/>
  <c r="CU124" i="19" s="1"/>
  <c r="CV124" i="19" s="1"/>
  <c r="CW124" i="19" s="1"/>
  <c r="CM123" i="19"/>
  <c r="CN123" i="19" s="1"/>
  <c r="CO123" i="19" s="1"/>
  <c r="CP123" i="19" s="1"/>
  <c r="CQ123" i="19" s="1"/>
  <c r="CR123" i="19" s="1"/>
  <c r="CS123" i="19" s="1"/>
  <c r="CT123" i="19" s="1"/>
  <c r="CU123" i="19" s="1"/>
  <c r="CV123" i="19" s="1"/>
  <c r="CW123" i="19" s="1"/>
  <c r="CM122" i="19"/>
  <c r="CN122" i="19" s="1"/>
  <c r="CO122" i="19" s="1"/>
  <c r="CP122" i="19" s="1"/>
  <c r="CQ122" i="19" s="1"/>
  <c r="CR122" i="19" s="1"/>
  <c r="CS122" i="19" s="1"/>
  <c r="CT122" i="19" s="1"/>
  <c r="CU122" i="19" s="1"/>
  <c r="CV122" i="19" s="1"/>
  <c r="CW122" i="19" s="1"/>
  <c r="CM121" i="19"/>
  <c r="CN121" i="19" s="1"/>
  <c r="CO121" i="19" s="1"/>
  <c r="CP121" i="19" s="1"/>
  <c r="CQ121" i="19" s="1"/>
  <c r="CR121" i="19" s="1"/>
  <c r="CS121" i="19" s="1"/>
  <c r="CT121" i="19" s="1"/>
  <c r="CU121" i="19" s="1"/>
  <c r="CV121" i="19" s="1"/>
  <c r="CW121" i="19" s="1"/>
  <c r="CM120" i="19"/>
  <c r="CN120" i="19" s="1"/>
  <c r="CO120" i="19" s="1"/>
  <c r="CP120" i="19" s="1"/>
  <c r="CQ120" i="19" s="1"/>
  <c r="CR120" i="19" s="1"/>
  <c r="CS120" i="19" s="1"/>
  <c r="CT120" i="19" s="1"/>
  <c r="CU120" i="19" s="1"/>
  <c r="CV120" i="19" s="1"/>
  <c r="CW120" i="19" s="1"/>
  <c r="CM119" i="19"/>
  <c r="CN119" i="19" s="1"/>
  <c r="CO119" i="19" s="1"/>
  <c r="CP119" i="19" s="1"/>
  <c r="CQ119" i="19" s="1"/>
  <c r="CR119" i="19" s="1"/>
  <c r="CS119" i="19" s="1"/>
  <c r="CT119" i="19" s="1"/>
  <c r="CU119" i="19" s="1"/>
  <c r="CV119" i="19" s="1"/>
  <c r="CW119" i="19" s="1"/>
  <c r="CM77" i="19"/>
  <c r="CN77" i="19" s="1"/>
  <c r="CO77" i="19" s="1"/>
  <c r="CP77" i="19" s="1"/>
  <c r="CQ77" i="19" s="1"/>
  <c r="CR77" i="19" s="1"/>
  <c r="CS77" i="19" s="1"/>
  <c r="CT77" i="19" s="1"/>
  <c r="CU77" i="19" s="1"/>
  <c r="CV77" i="19" s="1"/>
  <c r="CW77" i="19" s="1"/>
  <c r="CM76" i="19"/>
  <c r="CN76" i="19" s="1"/>
  <c r="CO76" i="19" s="1"/>
  <c r="CP76" i="19" s="1"/>
  <c r="CQ76" i="19" s="1"/>
  <c r="CR76" i="19" s="1"/>
  <c r="CS76" i="19" s="1"/>
  <c r="CT76" i="19" s="1"/>
  <c r="CU76" i="19" s="1"/>
  <c r="CV76" i="19" s="1"/>
  <c r="CW76" i="19" s="1"/>
  <c r="CM75" i="19"/>
  <c r="CN75" i="19" s="1"/>
  <c r="CO75" i="19" s="1"/>
  <c r="CP75" i="19" s="1"/>
  <c r="CQ75" i="19" s="1"/>
  <c r="CR75" i="19" s="1"/>
  <c r="CS75" i="19" s="1"/>
  <c r="CT75" i="19" s="1"/>
  <c r="CU75" i="19" s="1"/>
  <c r="CV75" i="19" s="1"/>
  <c r="CW75" i="19" s="1"/>
  <c r="CM74" i="19"/>
  <c r="CN74" i="19" s="1"/>
  <c r="CO74" i="19" s="1"/>
  <c r="CP74" i="19" s="1"/>
  <c r="CQ74" i="19" s="1"/>
  <c r="CR74" i="19" s="1"/>
  <c r="CS74" i="19" s="1"/>
  <c r="CT74" i="19" s="1"/>
  <c r="CU74" i="19" s="1"/>
  <c r="CV74" i="19" s="1"/>
  <c r="CW74" i="19" s="1"/>
  <c r="CM73" i="19"/>
  <c r="CN73" i="19" s="1"/>
  <c r="CO73" i="19" s="1"/>
  <c r="CP73" i="19" s="1"/>
  <c r="CQ73" i="19" s="1"/>
  <c r="CR73" i="19" s="1"/>
  <c r="CS73" i="19" s="1"/>
  <c r="CT73" i="19" s="1"/>
  <c r="CU73" i="19" s="1"/>
  <c r="CV73" i="19" s="1"/>
  <c r="CW73" i="19" s="1"/>
  <c r="CM72" i="19"/>
  <c r="CN72" i="19" s="1"/>
  <c r="CO72" i="19" s="1"/>
  <c r="CP72" i="19" s="1"/>
  <c r="CQ72" i="19" s="1"/>
  <c r="CR72" i="19" s="1"/>
  <c r="CS72" i="19" s="1"/>
  <c r="CT72" i="19" s="1"/>
  <c r="CU72" i="19" s="1"/>
  <c r="CV72" i="19" s="1"/>
  <c r="CW72" i="19" s="1"/>
  <c r="CM71" i="19"/>
  <c r="CN71" i="19" s="1"/>
  <c r="CO71" i="19" s="1"/>
  <c r="CP71" i="19" s="1"/>
  <c r="CQ71" i="19" s="1"/>
  <c r="CR71" i="19" s="1"/>
  <c r="CS71" i="19" s="1"/>
  <c r="CT71" i="19" s="1"/>
  <c r="CU71" i="19" s="1"/>
  <c r="CV71" i="19" s="1"/>
  <c r="CW71" i="19" s="1"/>
  <c r="CM70" i="19"/>
  <c r="CN70" i="19" s="1"/>
  <c r="CO70" i="19" s="1"/>
  <c r="CP70" i="19" s="1"/>
  <c r="CQ70" i="19" s="1"/>
  <c r="CR70" i="19" s="1"/>
  <c r="CS70" i="19" s="1"/>
  <c r="CT70" i="19" s="1"/>
  <c r="CU70" i="19" s="1"/>
  <c r="CV70" i="19" s="1"/>
  <c r="CW70" i="19" s="1"/>
  <c r="CM69" i="19"/>
  <c r="CN69" i="19" s="1"/>
  <c r="CO69" i="19" s="1"/>
  <c r="CP69" i="19" s="1"/>
  <c r="CQ69" i="19" s="1"/>
  <c r="CR69" i="19" s="1"/>
  <c r="CS69" i="19" s="1"/>
  <c r="CT69" i="19" s="1"/>
  <c r="CU69" i="19" s="1"/>
  <c r="CV69" i="19" s="1"/>
  <c r="CW69" i="19" s="1"/>
  <c r="CM34" i="19"/>
  <c r="CN34" i="19" s="1"/>
  <c r="CO34" i="19" s="1"/>
  <c r="CP34" i="19" s="1"/>
  <c r="CQ34" i="19" s="1"/>
  <c r="CR34" i="19" s="1"/>
  <c r="CS34" i="19" s="1"/>
  <c r="CT34" i="19" s="1"/>
  <c r="CU34" i="19" s="1"/>
  <c r="CV34" i="19" s="1"/>
  <c r="CW34" i="19" s="1"/>
  <c r="CM33" i="19"/>
  <c r="CN33" i="19" s="1"/>
  <c r="CO33" i="19" s="1"/>
  <c r="CP33" i="19" s="1"/>
  <c r="CQ33" i="19" s="1"/>
  <c r="CR33" i="19" s="1"/>
  <c r="CS33" i="19" s="1"/>
  <c r="CT33" i="19" s="1"/>
  <c r="CU33" i="19" s="1"/>
  <c r="CV33" i="19" s="1"/>
  <c r="CW33" i="19" s="1"/>
  <c r="CM32" i="19"/>
  <c r="CN32" i="19" s="1"/>
  <c r="CO32" i="19" s="1"/>
  <c r="CP32" i="19" s="1"/>
  <c r="CQ32" i="19" s="1"/>
  <c r="CR32" i="19" s="1"/>
  <c r="CS32" i="19" s="1"/>
  <c r="CT32" i="19" s="1"/>
  <c r="CU32" i="19" s="1"/>
  <c r="CV32" i="19" s="1"/>
  <c r="CW32" i="19" s="1"/>
  <c r="CM31" i="19"/>
  <c r="CN31" i="19" s="1"/>
  <c r="CO31" i="19" s="1"/>
  <c r="CP31" i="19" s="1"/>
  <c r="CQ31" i="19" s="1"/>
  <c r="CR31" i="19" s="1"/>
  <c r="CS31" i="19" s="1"/>
  <c r="CT31" i="19" s="1"/>
  <c r="CU31" i="19" s="1"/>
  <c r="CV31" i="19" s="1"/>
  <c r="CW31" i="19" s="1"/>
  <c r="CM30" i="19"/>
  <c r="CN30" i="19" s="1"/>
  <c r="CO30" i="19" s="1"/>
  <c r="CP30" i="19" s="1"/>
  <c r="CQ30" i="19" s="1"/>
  <c r="CR30" i="19" s="1"/>
  <c r="CS30" i="19" s="1"/>
  <c r="CT30" i="19" s="1"/>
  <c r="CU30" i="19" s="1"/>
  <c r="CV30" i="19" s="1"/>
  <c r="CW30" i="19" s="1"/>
  <c r="CM29" i="19"/>
  <c r="CN29" i="19" s="1"/>
  <c r="CO29" i="19" s="1"/>
  <c r="CP29" i="19" s="1"/>
  <c r="CQ29" i="19" s="1"/>
  <c r="CR29" i="19" s="1"/>
  <c r="CS29" i="19" s="1"/>
  <c r="CT29" i="19" s="1"/>
  <c r="CU29" i="19" s="1"/>
  <c r="CV29" i="19" s="1"/>
  <c r="CW29" i="19" s="1"/>
  <c r="CM28" i="19"/>
  <c r="CN28" i="19" s="1"/>
  <c r="CO28" i="19" s="1"/>
  <c r="CP28" i="19" s="1"/>
  <c r="CQ28" i="19" s="1"/>
  <c r="CR28" i="19" s="1"/>
  <c r="CS28" i="19" s="1"/>
  <c r="CT28" i="19" s="1"/>
  <c r="CU28" i="19" s="1"/>
  <c r="CV28" i="19" s="1"/>
  <c r="CW28" i="19" s="1"/>
  <c r="CM27" i="19"/>
  <c r="CN27" i="19" s="1"/>
  <c r="CO27" i="19" s="1"/>
  <c r="CP27" i="19" s="1"/>
  <c r="CQ27" i="19" s="1"/>
  <c r="CR27" i="19" s="1"/>
  <c r="CS27" i="19" s="1"/>
  <c r="CT27" i="19" s="1"/>
  <c r="CU27" i="19" s="1"/>
  <c r="CV27" i="19" s="1"/>
  <c r="CW27" i="19" s="1"/>
  <c r="CM26" i="19"/>
  <c r="CN26" i="19" s="1"/>
  <c r="CO26" i="19" s="1"/>
  <c r="CP26" i="19" s="1"/>
  <c r="CQ26" i="19" s="1"/>
  <c r="CR26" i="19" s="1"/>
  <c r="CS26" i="19" s="1"/>
  <c r="CT26" i="19" s="1"/>
  <c r="CU26" i="19" s="1"/>
  <c r="CV26" i="19" s="1"/>
  <c r="CW26" i="19" s="1"/>
  <c r="CA176" i="19"/>
  <c r="CB176" i="19" s="1"/>
  <c r="CC176" i="19" s="1"/>
  <c r="CD176" i="19" s="1"/>
  <c r="CE176" i="19" s="1"/>
  <c r="CF176" i="19" s="1"/>
  <c r="CG176" i="19" s="1"/>
  <c r="CH176" i="19" s="1"/>
  <c r="CI176" i="19" s="1"/>
  <c r="CJ176" i="19" s="1"/>
  <c r="CK176" i="19" s="1"/>
  <c r="CA175" i="19"/>
  <c r="CB175" i="19" s="1"/>
  <c r="CC175" i="19" s="1"/>
  <c r="CD175" i="19" s="1"/>
  <c r="CE175" i="19" s="1"/>
  <c r="CF175" i="19" s="1"/>
  <c r="CG175" i="19" s="1"/>
  <c r="CH175" i="19" s="1"/>
  <c r="CI175" i="19" s="1"/>
  <c r="CJ175" i="19" s="1"/>
  <c r="CK175" i="19" s="1"/>
  <c r="CA174" i="19"/>
  <c r="CB174" i="19" s="1"/>
  <c r="CC174" i="19" s="1"/>
  <c r="CD174" i="19" s="1"/>
  <c r="CE174" i="19" s="1"/>
  <c r="CF174" i="19" s="1"/>
  <c r="CG174" i="19" s="1"/>
  <c r="CH174" i="19" s="1"/>
  <c r="CI174" i="19" s="1"/>
  <c r="CJ174" i="19" s="1"/>
  <c r="CK174" i="19" s="1"/>
  <c r="CA173" i="19"/>
  <c r="CB173" i="19" s="1"/>
  <c r="CC173" i="19" s="1"/>
  <c r="CD173" i="19" s="1"/>
  <c r="CE173" i="19" s="1"/>
  <c r="CF173" i="19" s="1"/>
  <c r="CG173" i="19" s="1"/>
  <c r="CH173" i="19" s="1"/>
  <c r="CI173" i="19" s="1"/>
  <c r="CJ173" i="19" s="1"/>
  <c r="CK173" i="19" s="1"/>
  <c r="CA172" i="19"/>
  <c r="CB172" i="19" s="1"/>
  <c r="CC172" i="19" s="1"/>
  <c r="CD172" i="19" s="1"/>
  <c r="CE172" i="19" s="1"/>
  <c r="CF172" i="19" s="1"/>
  <c r="CG172" i="19" s="1"/>
  <c r="CH172" i="19" s="1"/>
  <c r="CI172" i="19" s="1"/>
  <c r="CJ172" i="19" s="1"/>
  <c r="CK172" i="19" s="1"/>
  <c r="CA171" i="19"/>
  <c r="CB171" i="19" s="1"/>
  <c r="CC171" i="19" s="1"/>
  <c r="CD171" i="19" s="1"/>
  <c r="CE171" i="19" s="1"/>
  <c r="CF171" i="19" s="1"/>
  <c r="CG171" i="19" s="1"/>
  <c r="CH171" i="19" s="1"/>
  <c r="CI171" i="19" s="1"/>
  <c r="CJ171" i="19" s="1"/>
  <c r="CK171" i="19" s="1"/>
  <c r="CA170" i="19"/>
  <c r="CB170" i="19" s="1"/>
  <c r="CC170" i="19" s="1"/>
  <c r="CD170" i="19" s="1"/>
  <c r="CE170" i="19" s="1"/>
  <c r="CF170" i="19" s="1"/>
  <c r="CG170" i="19" s="1"/>
  <c r="CH170" i="19" s="1"/>
  <c r="CI170" i="19" s="1"/>
  <c r="CJ170" i="19" s="1"/>
  <c r="CK170" i="19" s="1"/>
  <c r="CA169" i="19"/>
  <c r="CB169" i="19" s="1"/>
  <c r="CC169" i="19" s="1"/>
  <c r="CD169" i="19" s="1"/>
  <c r="CE169" i="19" s="1"/>
  <c r="CF169" i="19" s="1"/>
  <c r="CG169" i="19" s="1"/>
  <c r="CH169" i="19" s="1"/>
  <c r="CI169" i="19" s="1"/>
  <c r="CJ169" i="19" s="1"/>
  <c r="CK169" i="19" s="1"/>
  <c r="CD168" i="19"/>
  <c r="CE168" i="19" s="1"/>
  <c r="CF168" i="19" s="1"/>
  <c r="CG168" i="19" s="1"/>
  <c r="CH168" i="19" s="1"/>
  <c r="CI168" i="19" s="1"/>
  <c r="CJ168" i="19" s="1"/>
  <c r="CK168" i="19" s="1"/>
  <c r="CA168" i="19"/>
  <c r="CB168" i="19" s="1"/>
  <c r="CC168" i="19" s="1"/>
  <c r="CA167" i="19"/>
  <c r="CB167" i="19" s="1"/>
  <c r="CC167" i="19" s="1"/>
  <c r="CD167" i="19" s="1"/>
  <c r="CE167" i="19" s="1"/>
  <c r="CF167" i="19" s="1"/>
  <c r="CG167" i="19" s="1"/>
  <c r="CH167" i="19" s="1"/>
  <c r="CI167" i="19" s="1"/>
  <c r="CJ167" i="19" s="1"/>
  <c r="CK167" i="19" s="1"/>
  <c r="CA166" i="19"/>
  <c r="CB166" i="19" s="1"/>
  <c r="CC166" i="19" s="1"/>
  <c r="CD166" i="19" s="1"/>
  <c r="CE166" i="19" s="1"/>
  <c r="CF166" i="19" s="1"/>
  <c r="CG166" i="19" s="1"/>
  <c r="CH166" i="19" s="1"/>
  <c r="CI166" i="19" s="1"/>
  <c r="CJ166" i="19" s="1"/>
  <c r="CK166" i="19" s="1"/>
  <c r="CA165" i="19"/>
  <c r="CB165" i="19" s="1"/>
  <c r="CC165" i="19" s="1"/>
  <c r="CD165" i="19" s="1"/>
  <c r="CE165" i="19" s="1"/>
  <c r="CF165" i="19" s="1"/>
  <c r="CG165" i="19" s="1"/>
  <c r="CH165" i="19" s="1"/>
  <c r="CI165" i="19" s="1"/>
  <c r="CJ165" i="19" s="1"/>
  <c r="CK165" i="19" s="1"/>
  <c r="CA130" i="19"/>
  <c r="CB130" i="19" s="1"/>
  <c r="CC130" i="19" s="1"/>
  <c r="CD130" i="19" s="1"/>
  <c r="CE130" i="19" s="1"/>
  <c r="CF130" i="19" s="1"/>
  <c r="CG130" i="19" s="1"/>
  <c r="CH130" i="19" s="1"/>
  <c r="CI130" i="19" s="1"/>
  <c r="CJ130" i="19" s="1"/>
  <c r="CK130" i="19" s="1"/>
  <c r="CA129" i="19"/>
  <c r="CB129" i="19" s="1"/>
  <c r="CC129" i="19" s="1"/>
  <c r="CD129" i="19" s="1"/>
  <c r="CE129" i="19" s="1"/>
  <c r="CF129" i="19" s="1"/>
  <c r="CG129" i="19" s="1"/>
  <c r="CH129" i="19" s="1"/>
  <c r="CI129" i="19" s="1"/>
  <c r="CJ129" i="19" s="1"/>
  <c r="CK129" i="19" s="1"/>
  <c r="CA128" i="19"/>
  <c r="CB128" i="19" s="1"/>
  <c r="CC128" i="19" s="1"/>
  <c r="CD128" i="19" s="1"/>
  <c r="CE128" i="19" s="1"/>
  <c r="CF128" i="19" s="1"/>
  <c r="CG128" i="19" s="1"/>
  <c r="CH128" i="19" s="1"/>
  <c r="CI128" i="19" s="1"/>
  <c r="CJ128" i="19" s="1"/>
  <c r="CK128" i="19" s="1"/>
  <c r="CA127" i="19"/>
  <c r="CB127" i="19" s="1"/>
  <c r="CC127" i="19" s="1"/>
  <c r="CD127" i="19" s="1"/>
  <c r="CE127" i="19" s="1"/>
  <c r="CF127" i="19" s="1"/>
  <c r="CG127" i="19" s="1"/>
  <c r="CH127" i="19" s="1"/>
  <c r="CI127" i="19" s="1"/>
  <c r="CJ127" i="19" s="1"/>
  <c r="CK127" i="19" s="1"/>
  <c r="CA126" i="19"/>
  <c r="CB126" i="19" s="1"/>
  <c r="CC126" i="19" s="1"/>
  <c r="CD126" i="19" s="1"/>
  <c r="CE126" i="19" s="1"/>
  <c r="CF126" i="19" s="1"/>
  <c r="CG126" i="19" s="1"/>
  <c r="CH126" i="19" s="1"/>
  <c r="CI126" i="19" s="1"/>
  <c r="CJ126" i="19" s="1"/>
  <c r="CK126" i="19" s="1"/>
  <c r="CA125" i="19"/>
  <c r="CB125" i="19" s="1"/>
  <c r="CC125" i="19" s="1"/>
  <c r="CD125" i="19" s="1"/>
  <c r="CE125" i="19" s="1"/>
  <c r="CF125" i="19" s="1"/>
  <c r="CG125" i="19" s="1"/>
  <c r="CH125" i="19" s="1"/>
  <c r="CI125" i="19" s="1"/>
  <c r="CJ125" i="19" s="1"/>
  <c r="CK125" i="19" s="1"/>
  <c r="CA124" i="19"/>
  <c r="CB124" i="19" s="1"/>
  <c r="CC124" i="19" s="1"/>
  <c r="CD124" i="19" s="1"/>
  <c r="CE124" i="19" s="1"/>
  <c r="CF124" i="19" s="1"/>
  <c r="CG124" i="19" s="1"/>
  <c r="CH124" i="19" s="1"/>
  <c r="CI124" i="19" s="1"/>
  <c r="CJ124" i="19" s="1"/>
  <c r="CK124" i="19" s="1"/>
  <c r="CA123" i="19"/>
  <c r="CB123" i="19" s="1"/>
  <c r="CC123" i="19" s="1"/>
  <c r="CD123" i="19" s="1"/>
  <c r="CE123" i="19" s="1"/>
  <c r="CF123" i="19" s="1"/>
  <c r="CG123" i="19" s="1"/>
  <c r="CH123" i="19" s="1"/>
  <c r="CI123" i="19" s="1"/>
  <c r="CJ123" i="19" s="1"/>
  <c r="CK123" i="19" s="1"/>
  <c r="CA122" i="19"/>
  <c r="CB122" i="19" s="1"/>
  <c r="CC122" i="19" s="1"/>
  <c r="CD122" i="19" s="1"/>
  <c r="CE122" i="19" s="1"/>
  <c r="CF122" i="19" s="1"/>
  <c r="CG122" i="19" s="1"/>
  <c r="CH122" i="19" s="1"/>
  <c r="CI122" i="19" s="1"/>
  <c r="CJ122" i="19" s="1"/>
  <c r="CK122" i="19" s="1"/>
  <c r="CA121" i="19"/>
  <c r="CB121" i="19" s="1"/>
  <c r="CC121" i="19" s="1"/>
  <c r="CD121" i="19" s="1"/>
  <c r="CE121" i="19" s="1"/>
  <c r="CF121" i="19" s="1"/>
  <c r="CG121" i="19" s="1"/>
  <c r="CH121" i="19" s="1"/>
  <c r="CI121" i="19" s="1"/>
  <c r="CJ121" i="19" s="1"/>
  <c r="CK121" i="19" s="1"/>
  <c r="CA120" i="19"/>
  <c r="CB120" i="19" s="1"/>
  <c r="CC120" i="19" s="1"/>
  <c r="CD120" i="19" s="1"/>
  <c r="CE120" i="19" s="1"/>
  <c r="CF120" i="19" s="1"/>
  <c r="CG120" i="19" s="1"/>
  <c r="CH120" i="19" s="1"/>
  <c r="CI120" i="19" s="1"/>
  <c r="CJ120" i="19" s="1"/>
  <c r="CK120" i="19" s="1"/>
  <c r="CA119" i="19"/>
  <c r="CB119" i="19" s="1"/>
  <c r="CC119" i="19" s="1"/>
  <c r="CD119" i="19" s="1"/>
  <c r="CE119" i="19" s="1"/>
  <c r="CF119" i="19" s="1"/>
  <c r="CG119" i="19" s="1"/>
  <c r="CH119" i="19" s="1"/>
  <c r="CI119" i="19" s="1"/>
  <c r="CJ119" i="19" s="1"/>
  <c r="CK119" i="19" s="1"/>
  <c r="CA77" i="19"/>
  <c r="CB77" i="19" s="1"/>
  <c r="CC77" i="19" s="1"/>
  <c r="CD77" i="19" s="1"/>
  <c r="CE77" i="19" s="1"/>
  <c r="CF77" i="19" s="1"/>
  <c r="CG77" i="19" s="1"/>
  <c r="CH77" i="19" s="1"/>
  <c r="CI77" i="19" s="1"/>
  <c r="CJ77" i="19" s="1"/>
  <c r="CK77" i="19" s="1"/>
  <c r="CA76" i="19"/>
  <c r="CB76" i="19" s="1"/>
  <c r="CC76" i="19" s="1"/>
  <c r="CD76" i="19" s="1"/>
  <c r="CE76" i="19" s="1"/>
  <c r="CF76" i="19" s="1"/>
  <c r="CG76" i="19" s="1"/>
  <c r="CH76" i="19" s="1"/>
  <c r="CI76" i="19" s="1"/>
  <c r="CJ76" i="19" s="1"/>
  <c r="CK76" i="19" s="1"/>
  <c r="CA75" i="19"/>
  <c r="CB75" i="19" s="1"/>
  <c r="CC75" i="19" s="1"/>
  <c r="CD75" i="19" s="1"/>
  <c r="CE75" i="19" s="1"/>
  <c r="CF75" i="19" s="1"/>
  <c r="CG75" i="19" s="1"/>
  <c r="CH75" i="19" s="1"/>
  <c r="CI75" i="19" s="1"/>
  <c r="CJ75" i="19" s="1"/>
  <c r="CK75" i="19" s="1"/>
  <c r="CA74" i="19"/>
  <c r="CB74" i="19" s="1"/>
  <c r="CC74" i="19" s="1"/>
  <c r="CD74" i="19" s="1"/>
  <c r="CE74" i="19" s="1"/>
  <c r="CF74" i="19" s="1"/>
  <c r="CG74" i="19" s="1"/>
  <c r="CH74" i="19" s="1"/>
  <c r="CI74" i="19" s="1"/>
  <c r="CJ74" i="19" s="1"/>
  <c r="CK74" i="19" s="1"/>
  <c r="CA73" i="19"/>
  <c r="CB73" i="19" s="1"/>
  <c r="CC73" i="19" s="1"/>
  <c r="CD73" i="19" s="1"/>
  <c r="CE73" i="19" s="1"/>
  <c r="CF73" i="19" s="1"/>
  <c r="CG73" i="19" s="1"/>
  <c r="CH73" i="19" s="1"/>
  <c r="CI73" i="19" s="1"/>
  <c r="CJ73" i="19" s="1"/>
  <c r="CK73" i="19" s="1"/>
  <c r="CA72" i="19"/>
  <c r="CB72" i="19" s="1"/>
  <c r="CC72" i="19" s="1"/>
  <c r="CD72" i="19" s="1"/>
  <c r="CE72" i="19" s="1"/>
  <c r="CF72" i="19" s="1"/>
  <c r="CG72" i="19" s="1"/>
  <c r="CH72" i="19" s="1"/>
  <c r="CI72" i="19" s="1"/>
  <c r="CJ72" i="19" s="1"/>
  <c r="CK72" i="19" s="1"/>
  <c r="CA71" i="19"/>
  <c r="CB71" i="19" s="1"/>
  <c r="CC71" i="19" s="1"/>
  <c r="CD71" i="19" s="1"/>
  <c r="CE71" i="19" s="1"/>
  <c r="CF71" i="19" s="1"/>
  <c r="CG71" i="19" s="1"/>
  <c r="CH71" i="19" s="1"/>
  <c r="CI71" i="19" s="1"/>
  <c r="CJ71" i="19" s="1"/>
  <c r="CK71" i="19" s="1"/>
  <c r="CA70" i="19"/>
  <c r="CB70" i="19" s="1"/>
  <c r="CC70" i="19" s="1"/>
  <c r="CD70" i="19" s="1"/>
  <c r="CE70" i="19" s="1"/>
  <c r="CF70" i="19" s="1"/>
  <c r="CG70" i="19" s="1"/>
  <c r="CH70" i="19" s="1"/>
  <c r="CI70" i="19" s="1"/>
  <c r="CJ70" i="19" s="1"/>
  <c r="CK70" i="19" s="1"/>
  <c r="CA69" i="19"/>
  <c r="CB69" i="19" s="1"/>
  <c r="CC69" i="19" s="1"/>
  <c r="CD69" i="19" s="1"/>
  <c r="CE69" i="19" s="1"/>
  <c r="CF69" i="19" s="1"/>
  <c r="CG69" i="19" s="1"/>
  <c r="CH69" i="19" s="1"/>
  <c r="CI69" i="19" s="1"/>
  <c r="CJ69" i="19" s="1"/>
  <c r="CK69" i="19" s="1"/>
  <c r="CA34" i="19"/>
  <c r="CB34" i="19" s="1"/>
  <c r="CC34" i="19" s="1"/>
  <c r="CD34" i="19" s="1"/>
  <c r="CE34" i="19" s="1"/>
  <c r="CF34" i="19" s="1"/>
  <c r="CG34" i="19" s="1"/>
  <c r="CH34" i="19" s="1"/>
  <c r="CI34" i="19" s="1"/>
  <c r="CJ34" i="19" s="1"/>
  <c r="CK34" i="19" s="1"/>
  <c r="CA33" i="19"/>
  <c r="CB33" i="19" s="1"/>
  <c r="CC33" i="19" s="1"/>
  <c r="CD33" i="19" s="1"/>
  <c r="CE33" i="19" s="1"/>
  <c r="CF33" i="19" s="1"/>
  <c r="CG33" i="19" s="1"/>
  <c r="CH33" i="19" s="1"/>
  <c r="CI33" i="19" s="1"/>
  <c r="CJ33" i="19" s="1"/>
  <c r="CK33" i="19" s="1"/>
  <c r="CA32" i="19"/>
  <c r="CB32" i="19" s="1"/>
  <c r="CC32" i="19" s="1"/>
  <c r="CD32" i="19" s="1"/>
  <c r="CE32" i="19" s="1"/>
  <c r="CF32" i="19" s="1"/>
  <c r="CG32" i="19" s="1"/>
  <c r="CH32" i="19" s="1"/>
  <c r="CI32" i="19" s="1"/>
  <c r="CJ32" i="19" s="1"/>
  <c r="CK32" i="19" s="1"/>
  <c r="CA31" i="19"/>
  <c r="CB31" i="19" s="1"/>
  <c r="CC31" i="19" s="1"/>
  <c r="CD31" i="19" s="1"/>
  <c r="CE31" i="19" s="1"/>
  <c r="CF31" i="19" s="1"/>
  <c r="CG31" i="19" s="1"/>
  <c r="CH31" i="19" s="1"/>
  <c r="CI31" i="19" s="1"/>
  <c r="CJ31" i="19" s="1"/>
  <c r="CK31" i="19" s="1"/>
  <c r="CA30" i="19"/>
  <c r="CB30" i="19" s="1"/>
  <c r="CC30" i="19" s="1"/>
  <c r="CD30" i="19" s="1"/>
  <c r="CE30" i="19" s="1"/>
  <c r="CF30" i="19" s="1"/>
  <c r="CG30" i="19" s="1"/>
  <c r="CH30" i="19" s="1"/>
  <c r="CI30" i="19" s="1"/>
  <c r="CJ30" i="19" s="1"/>
  <c r="CK30" i="19" s="1"/>
  <c r="CA29" i="19"/>
  <c r="CB29" i="19" s="1"/>
  <c r="CC29" i="19" s="1"/>
  <c r="CD29" i="19" s="1"/>
  <c r="CE29" i="19" s="1"/>
  <c r="CF29" i="19" s="1"/>
  <c r="CG29" i="19" s="1"/>
  <c r="CH29" i="19" s="1"/>
  <c r="CI29" i="19" s="1"/>
  <c r="CJ29" i="19" s="1"/>
  <c r="CK29" i="19" s="1"/>
  <c r="CA28" i="19"/>
  <c r="CB28" i="19" s="1"/>
  <c r="CC28" i="19" s="1"/>
  <c r="CD28" i="19" s="1"/>
  <c r="CE28" i="19" s="1"/>
  <c r="CF28" i="19" s="1"/>
  <c r="CG28" i="19" s="1"/>
  <c r="CH28" i="19" s="1"/>
  <c r="CI28" i="19" s="1"/>
  <c r="CJ28" i="19" s="1"/>
  <c r="CK28" i="19" s="1"/>
  <c r="CA27" i="19"/>
  <c r="CB27" i="19" s="1"/>
  <c r="CC27" i="19" s="1"/>
  <c r="CD27" i="19" s="1"/>
  <c r="CE27" i="19" s="1"/>
  <c r="CF27" i="19" s="1"/>
  <c r="CG27" i="19" s="1"/>
  <c r="CH27" i="19" s="1"/>
  <c r="CI27" i="19" s="1"/>
  <c r="CJ27" i="19" s="1"/>
  <c r="CK27" i="19" s="1"/>
  <c r="CA26" i="19"/>
  <c r="CB26" i="19" s="1"/>
  <c r="CC26" i="19" s="1"/>
  <c r="CD26" i="19" s="1"/>
  <c r="CE26" i="19" s="1"/>
  <c r="CF26" i="19" s="1"/>
  <c r="CG26" i="19" s="1"/>
  <c r="CH26" i="19" s="1"/>
  <c r="CI26" i="19" s="1"/>
  <c r="CJ26" i="19" s="1"/>
  <c r="CK26" i="19" s="1"/>
  <c r="BO176" i="19"/>
  <c r="BP176" i="19" s="1"/>
  <c r="BQ176" i="19" s="1"/>
  <c r="BR176" i="19" s="1"/>
  <c r="BS176" i="19" s="1"/>
  <c r="BT176" i="19" s="1"/>
  <c r="BU176" i="19" s="1"/>
  <c r="BV176" i="19" s="1"/>
  <c r="BW176" i="19" s="1"/>
  <c r="BX176" i="19" s="1"/>
  <c r="BY176" i="19" s="1"/>
  <c r="BO175" i="19"/>
  <c r="BP175" i="19" s="1"/>
  <c r="BQ175" i="19" s="1"/>
  <c r="BR175" i="19" s="1"/>
  <c r="BS175" i="19" s="1"/>
  <c r="BT175" i="19" s="1"/>
  <c r="BU175" i="19" s="1"/>
  <c r="BV175" i="19" s="1"/>
  <c r="BW175" i="19" s="1"/>
  <c r="BX175" i="19" s="1"/>
  <c r="BY175" i="19" s="1"/>
  <c r="BO174" i="19"/>
  <c r="BP174" i="19" s="1"/>
  <c r="BQ174" i="19" s="1"/>
  <c r="BR174" i="19" s="1"/>
  <c r="BS174" i="19" s="1"/>
  <c r="BT174" i="19" s="1"/>
  <c r="BU174" i="19" s="1"/>
  <c r="BV174" i="19" s="1"/>
  <c r="BW174" i="19" s="1"/>
  <c r="BX174" i="19" s="1"/>
  <c r="BY174" i="19" s="1"/>
  <c r="BO173" i="19"/>
  <c r="BP173" i="19" s="1"/>
  <c r="BQ173" i="19" s="1"/>
  <c r="BR173" i="19" s="1"/>
  <c r="BS173" i="19" s="1"/>
  <c r="BT173" i="19" s="1"/>
  <c r="BU173" i="19" s="1"/>
  <c r="BV173" i="19" s="1"/>
  <c r="BW173" i="19" s="1"/>
  <c r="BX173" i="19" s="1"/>
  <c r="BY173" i="19" s="1"/>
  <c r="BO172" i="19"/>
  <c r="BP172" i="19" s="1"/>
  <c r="BQ172" i="19" s="1"/>
  <c r="BR172" i="19" s="1"/>
  <c r="BS172" i="19" s="1"/>
  <c r="BT172" i="19" s="1"/>
  <c r="BU172" i="19" s="1"/>
  <c r="BV172" i="19" s="1"/>
  <c r="BW172" i="19" s="1"/>
  <c r="BX172" i="19" s="1"/>
  <c r="BY172" i="19" s="1"/>
  <c r="BO171" i="19"/>
  <c r="BP171" i="19" s="1"/>
  <c r="BQ171" i="19" s="1"/>
  <c r="BR171" i="19" s="1"/>
  <c r="BS171" i="19" s="1"/>
  <c r="BT171" i="19" s="1"/>
  <c r="BU171" i="19" s="1"/>
  <c r="BV171" i="19" s="1"/>
  <c r="BW171" i="19" s="1"/>
  <c r="BX171" i="19" s="1"/>
  <c r="BY171" i="19" s="1"/>
  <c r="BO170" i="19"/>
  <c r="BP170" i="19" s="1"/>
  <c r="BQ170" i="19" s="1"/>
  <c r="BR170" i="19" s="1"/>
  <c r="BS170" i="19" s="1"/>
  <c r="BT170" i="19" s="1"/>
  <c r="BU170" i="19" s="1"/>
  <c r="BV170" i="19" s="1"/>
  <c r="BW170" i="19" s="1"/>
  <c r="BX170" i="19" s="1"/>
  <c r="BY170" i="19" s="1"/>
  <c r="BO169" i="19"/>
  <c r="BP169" i="19" s="1"/>
  <c r="BQ169" i="19" s="1"/>
  <c r="BR169" i="19" s="1"/>
  <c r="BS169" i="19" s="1"/>
  <c r="BT169" i="19" s="1"/>
  <c r="BU169" i="19" s="1"/>
  <c r="BV169" i="19" s="1"/>
  <c r="BW169" i="19" s="1"/>
  <c r="BX169" i="19" s="1"/>
  <c r="BY169" i="19" s="1"/>
  <c r="BO168" i="19"/>
  <c r="BP168" i="19" s="1"/>
  <c r="BQ168" i="19" s="1"/>
  <c r="BR168" i="19" s="1"/>
  <c r="BS168" i="19" s="1"/>
  <c r="BT168" i="19" s="1"/>
  <c r="BU168" i="19" s="1"/>
  <c r="BV168" i="19" s="1"/>
  <c r="BW168" i="19" s="1"/>
  <c r="BX168" i="19" s="1"/>
  <c r="BY168" i="19" s="1"/>
  <c r="BO167" i="19"/>
  <c r="BP167" i="19" s="1"/>
  <c r="BQ167" i="19" s="1"/>
  <c r="BR167" i="19" s="1"/>
  <c r="BS167" i="19" s="1"/>
  <c r="BT167" i="19" s="1"/>
  <c r="BU167" i="19" s="1"/>
  <c r="BV167" i="19" s="1"/>
  <c r="BW167" i="19" s="1"/>
  <c r="BX167" i="19" s="1"/>
  <c r="BY167" i="19" s="1"/>
  <c r="BO166" i="19"/>
  <c r="BP166" i="19" s="1"/>
  <c r="BQ166" i="19" s="1"/>
  <c r="BR166" i="19" s="1"/>
  <c r="BS166" i="19" s="1"/>
  <c r="BT166" i="19" s="1"/>
  <c r="BU166" i="19" s="1"/>
  <c r="BV166" i="19" s="1"/>
  <c r="BW166" i="19" s="1"/>
  <c r="BX166" i="19" s="1"/>
  <c r="BY166" i="19" s="1"/>
  <c r="BO165" i="19"/>
  <c r="BP165" i="19" s="1"/>
  <c r="BQ165" i="19" s="1"/>
  <c r="BR165" i="19" s="1"/>
  <c r="BS165" i="19" s="1"/>
  <c r="BT165" i="19" s="1"/>
  <c r="BU165" i="19" s="1"/>
  <c r="BV165" i="19" s="1"/>
  <c r="BW165" i="19" s="1"/>
  <c r="BX165" i="19" s="1"/>
  <c r="BY165" i="19" s="1"/>
  <c r="BO130" i="19"/>
  <c r="BP130" i="19" s="1"/>
  <c r="BQ130" i="19" s="1"/>
  <c r="BR130" i="19" s="1"/>
  <c r="BS130" i="19" s="1"/>
  <c r="BT130" i="19" s="1"/>
  <c r="BU130" i="19" s="1"/>
  <c r="BV130" i="19" s="1"/>
  <c r="BW130" i="19" s="1"/>
  <c r="BX130" i="19" s="1"/>
  <c r="BY130" i="19" s="1"/>
  <c r="BO129" i="19"/>
  <c r="BP129" i="19" s="1"/>
  <c r="BQ129" i="19" s="1"/>
  <c r="BR129" i="19" s="1"/>
  <c r="BS129" i="19" s="1"/>
  <c r="BT129" i="19" s="1"/>
  <c r="BU129" i="19" s="1"/>
  <c r="BV129" i="19" s="1"/>
  <c r="BW129" i="19" s="1"/>
  <c r="BX129" i="19" s="1"/>
  <c r="BY129" i="19" s="1"/>
  <c r="BO128" i="19"/>
  <c r="BP128" i="19" s="1"/>
  <c r="BQ128" i="19" s="1"/>
  <c r="BR128" i="19" s="1"/>
  <c r="BS128" i="19" s="1"/>
  <c r="BT128" i="19" s="1"/>
  <c r="BU128" i="19" s="1"/>
  <c r="BV128" i="19" s="1"/>
  <c r="BW128" i="19" s="1"/>
  <c r="BX128" i="19" s="1"/>
  <c r="BY128" i="19" s="1"/>
  <c r="BO127" i="19"/>
  <c r="BP127" i="19" s="1"/>
  <c r="BQ127" i="19" s="1"/>
  <c r="BR127" i="19" s="1"/>
  <c r="BS127" i="19" s="1"/>
  <c r="BT127" i="19" s="1"/>
  <c r="BU127" i="19" s="1"/>
  <c r="BV127" i="19" s="1"/>
  <c r="BW127" i="19" s="1"/>
  <c r="BX127" i="19" s="1"/>
  <c r="BY127" i="19" s="1"/>
  <c r="BO126" i="19"/>
  <c r="BP126" i="19" s="1"/>
  <c r="BQ126" i="19" s="1"/>
  <c r="BR126" i="19" s="1"/>
  <c r="BS126" i="19" s="1"/>
  <c r="BT126" i="19" s="1"/>
  <c r="BU126" i="19" s="1"/>
  <c r="BV126" i="19" s="1"/>
  <c r="BW126" i="19" s="1"/>
  <c r="BX126" i="19" s="1"/>
  <c r="BY126" i="19" s="1"/>
  <c r="BO125" i="19"/>
  <c r="BP125" i="19" s="1"/>
  <c r="BQ125" i="19" s="1"/>
  <c r="BR125" i="19" s="1"/>
  <c r="BS125" i="19" s="1"/>
  <c r="BT125" i="19" s="1"/>
  <c r="BU125" i="19" s="1"/>
  <c r="BV125" i="19" s="1"/>
  <c r="BW125" i="19" s="1"/>
  <c r="BX125" i="19" s="1"/>
  <c r="BY125" i="19" s="1"/>
  <c r="BO124" i="19"/>
  <c r="BP124" i="19" s="1"/>
  <c r="BQ124" i="19" s="1"/>
  <c r="BR124" i="19" s="1"/>
  <c r="BS124" i="19" s="1"/>
  <c r="BT124" i="19" s="1"/>
  <c r="BU124" i="19" s="1"/>
  <c r="BV124" i="19" s="1"/>
  <c r="BW124" i="19" s="1"/>
  <c r="BX124" i="19" s="1"/>
  <c r="BY124" i="19" s="1"/>
  <c r="BO123" i="19"/>
  <c r="BP123" i="19" s="1"/>
  <c r="BQ123" i="19" s="1"/>
  <c r="BR123" i="19" s="1"/>
  <c r="BS123" i="19" s="1"/>
  <c r="BT123" i="19" s="1"/>
  <c r="BU123" i="19" s="1"/>
  <c r="BV123" i="19" s="1"/>
  <c r="BW123" i="19" s="1"/>
  <c r="BX123" i="19" s="1"/>
  <c r="BY123" i="19" s="1"/>
  <c r="BO122" i="19"/>
  <c r="BP122" i="19" s="1"/>
  <c r="BQ122" i="19" s="1"/>
  <c r="BR122" i="19" s="1"/>
  <c r="BS122" i="19" s="1"/>
  <c r="BT122" i="19" s="1"/>
  <c r="BU122" i="19" s="1"/>
  <c r="BV122" i="19" s="1"/>
  <c r="BW122" i="19" s="1"/>
  <c r="BX122" i="19" s="1"/>
  <c r="BY122" i="19" s="1"/>
  <c r="BO121" i="19"/>
  <c r="BP121" i="19" s="1"/>
  <c r="BQ121" i="19" s="1"/>
  <c r="BR121" i="19" s="1"/>
  <c r="BS121" i="19" s="1"/>
  <c r="BT121" i="19" s="1"/>
  <c r="BU121" i="19" s="1"/>
  <c r="BV121" i="19" s="1"/>
  <c r="BW121" i="19" s="1"/>
  <c r="BX121" i="19" s="1"/>
  <c r="BY121" i="19" s="1"/>
  <c r="BO120" i="19"/>
  <c r="BP120" i="19" s="1"/>
  <c r="BQ120" i="19" s="1"/>
  <c r="BR120" i="19" s="1"/>
  <c r="BS120" i="19" s="1"/>
  <c r="BT120" i="19" s="1"/>
  <c r="BU120" i="19" s="1"/>
  <c r="BV120" i="19" s="1"/>
  <c r="BW120" i="19" s="1"/>
  <c r="BX120" i="19" s="1"/>
  <c r="BY120" i="19" s="1"/>
  <c r="BO119" i="19"/>
  <c r="BP119" i="19" s="1"/>
  <c r="BQ119" i="19" s="1"/>
  <c r="BR119" i="19" s="1"/>
  <c r="BS119" i="19" s="1"/>
  <c r="BT119" i="19" s="1"/>
  <c r="BU119" i="19" s="1"/>
  <c r="BV119" i="19" s="1"/>
  <c r="BW119" i="19" s="1"/>
  <c r="BX119" i="19" s="1"/>
  <c r="BY119" i="19" s="1"/>
  <c r="BO77" i="19"/>
  <c r="BP77" i="19" s="1"/>
  <c r="BQ77" i="19" s="1"/>
  <c r="BR77" i="19" s="1"/>
  <c r="BS77" i="19" s="1"/>
  <c r="BT77" i="19" s="1"/>
  <c r="BU77" i="19" s="1"/>
  <c r="BV77" i="19" s="1"/>
  <c r="BW77" i="19" s="1"/>
  <c r="BX77" i="19" s="1"/>
  <c r="BY77" i="19" s="1"/>
  <c r="BO76" i="19"/>
  <c r="BP76" i="19" s="1"/>
  <c r="BQ76" i="19" s="1"/>
  <c r="BR76" i="19" s="1"/>
  <c r="BS76" i="19" s="1"/>
  <c r="BT76" i="19" s="1"/>
  <c r="BU76" i="19" s="1"/>
  <c r="BV76" i="19" s="1"/>
  <c r="BW76" i="19" s="1"/>
  <c r="BX76" i="19" s="1"/>
  <c r="BY76" i="19" s="1"/>
  <c r="BO75" i="19"/>
  <c r="BP75" i="19" s="1"/>
  <c r="BQ75" i="19" s="1"/>
  <c r="BR75" i="19" s="1"/>
  <c r="BS75" i="19" s="1"/>
  <c r="BT75" i="19" s="1"/>
  <c r="BU75" i="19" s="1"/>
  <c r="BV75" i="19" s="1"/>
  <c r="BW75" i="19" s="1"/>
  <c r="BX75" i="19" s="1"/>
  <c r="BY75" i="19" s="1"/>
  <c r="BO74" i="19"/>
  <c r="BP74" i="19" s="1"/>
  <c r="BQ74" i="19" s="1"/>
  <c r="BR74" i="19" s="1"/>
  <c r="BS74" i="19" s="1"/>
  <c r="BT74" i="19" s="1"/>
  <c r="BU74" i="19" s="1"/>
  <c r="BV74" i="19" s="1"/>
  <c r="BW74" i="19" s="1"/>
  <c r="BX74" i="19" s="1"/>
  <c r="BY74" i="19" s="1"/>
  <c r="BO73" i="19"/>
  <c r="BP73" i="19" s="1"/>
  <c r="BQ73" i="19" s="1"/>
  <c r="BR73" i="19" s="1"/>
  <c r="BS73" i="19" s="1"/>
  <c r="BT73" i="19" s="1"/>
  <c r="BU73" i="19" s="1"/>
  <c r="BV73" i="19" s="1"/>
  <c r="BW73" i="19" s="1"/>
  <c r="BX73" i="19" s="1"/>
  <c r="BY73" i="19" s="1"/>
  <c r="BO72" i="19"/>
  <c r="BP72" i="19" s="1"/>
  <c r="BQ72" i="19" s="1"/>
  <c r="BR72" i="19" s="1"/>
  <c r="BS72" i="19" s="1"/>
  <c r="BT72" i="19" s="1"/>
  <c r="BU72" i="19" s="1"/>
  <c r="BV72" i="19" s="1"/>
  <c r="BW72" i="19" s="1"/>
  <c r="BX72" i="19" s="1"/>
  <c r="BY72" i="19" s="1"/>
  <c r="BO71" i="19"/>
  <c r="BP71" i="19" s="1"/>
  <c r="BQ71" i="19" s="1"/>
  <c r="BR71" i="19" s="1"/>
  <c r="BS71" i="19" s="1"/>
  <c r="BT71" i="19" s="1"/>
  <c r="BU71" i="19" s="1"/>
  <c r="BV71" i="19" s="1"/>
  <c r="BW71" i="19" s="1"/>
  <c r="BX71" i="19" s="1"/>
  <c r="BY71" i="19" s="1"/>
  <c r="BO70" i="19"/>
  <c r="BP70" i="19" s="1"/>
  <c r="BQ70" i="19" s="1"/>
  <c r="BR70" i="19" s="1"/>
  <c r="BS70" i="19" s="1"/>
  <c r="BT70" i="19" s="1"/>
  <c r="BU70" i="19" s="1"/>
  <c r="BV70" i="19" s="1"/>
  <c r="BW70" i="19" s="1"/>
  <c r="BX70" i="19" s="1"/>
  <c r="BY70" i="19" s="1"/>
  <c r="BO69" i="19"/>
  <c r="BP69" i="19" s="1"/>
  <c r="BQ69" i="19" s="1"/>
  <c r="BR69" i="19" s="1"/>
  <c r="BS69" i="19" s="1"/>
  <c r="BT69" i="19" s="1"/>
  <c r="BU69" i="19" s="1"/>
  <c r="BV69" i="19" s="1"/>
  <c r="BW69" i="19" s="1"/>
  <c r="BX69" i="19" s="1"/>
  <c r="BY69" i="19" s="1"/>
  <c r="BO34" i="19"/>
  <c r="BP34" i="19" s="1"/>
  <c r="BQ34" i="19" s="1"/>
  <c r="BR34" i="19" s="1"/>
  <c r="BS34" i="19" s="1"/>
  <c r="BT34" i="19" s="1"/>
  <c r="BU34" i="19" s="1"/>
  <c r="BV34" i="19" s="1"/>
  <c r="BW34" i="19" s="1"/>
  <c r="BX34" i="19" s="1"/>
  <c r="BY34" i="19" s="1"/>
  <c r="BO33" i="19"/>
  <c r="BP33" i="19" s="1"/>
  <c r="BQ33" i="19" s="1"/>
  <c r="BR33" i="19" s="1"/>
  <c r="BS33" i="19" s="1"/>
  <c r="BT33" i="19" s="1"/>
  <c r="BU33" i="19" s="1"/>
  <c r="BV33" i="19" s="1"/>
  <c r="BW33" i="19" s="1"/>
  <c r="BX33" i="19" s="1"/>
  <c r="BY33" i="19" s="1"/>
  <c r="BO32" i="19"/>
  <c r="BP32" i="19" s="1"/>
  <c r="BQ32" i="19" s="1"/>
  <c r="BR32" i="19" s="1"/>
  <c r="BS32" i="19" s="1"/>
  <c r="BT32" i="19" s="1"/>
  <c r="BU32" i="19" s="1"/>
  <c r="BV32" i="19" s="1"/>
  <c r="BW32" i="19" s="1"/>
  <c r="BX32" i="19" s="1"/>
  <c r="BY32" i="19" s="1"/>
  <c r="BO31" i="19"/>
  <c r="BP31" i="19" s="1"/>
  <c r="BQ31" i="19" s="1"/>
  <c r="BR31" i="19" s="1"/>
  <c r="BS31" i="19" s="1"/>
  <c r="BT31" i="19" s="1"/>
  <c r="BU31" i="19" s="1"/>
  <c r="BV31" i="19" s="1"/>
  <c r="BW31" i="19" s="1"/>
  <c r="BX31" i="19" s="1"/>
  <c r="BY31" i="19" s="1"/>
  <c r="BO30" i="19"/>
  <c r="BP30" i="19" s="1"/>
  <c r="BQ30" i="19" s="1"/>
  <c r="BR30" i="19" s="1"/>
  <c r="BS30" i="19" s="1"/>
  <c r="BT30" i="19" s="1"/>
  <c r="BU30" i="19" s="1"/>
  <c r="BV30" i="19" s="1"/>
  <c r="BW30" i="19" s="1"/>
  <c r="BX30" i="19" s="1"/>
  <c r="BY30" i="19" s="1"/>
  <c r="BO29" i="19"/>
  <c r="BP29" i="19" s="1"/>
  <c r="BQ29" i="19" s="1"/>
  <c r="BR29" i="19" s="1"/>
  <c r="BS29" i="19" s="1"/>
  <c r="BT29" i="19" s="1"/>
  <c r="BU29" i="19" s="1"/>
  <c r="BV29" i="19" s="1"/>
  <c r="BW29" i="19" s="1"/>
  <c r="BX29" i="19" s="1"/>
  <c r="BY29" i="19" s="1"/>
  <c r="BO28" i="19"/>
  <c r="BP28" i="19" s="1"/>
  <c r="BQ28" i="19" s="1"/>
  <c r="BR28" i="19" s="1"/>
  <c r="BS28" i="19" s="1"/>
  <c r="BT28" i="19" s="1"/>
  <c r="BU28" i="19" s="1"/>
  <c r="BV28" i="19" s="1"/>
  <c r="BW28" i="19" s="1"/>
  <c r="BX28" i="19" s="1"/>
  <c r="BY28" i="19" s="1"/>
  <c r="BO27" i="19"/>
  <c r="BP27" i="19" s="1"/>
  <c r="BQ27" i="19" s="1"/>
  <c r="BR27" i="19" s="1"/>
  <c r="BS27" i="19" s="1"/>
  <c r="BT27" i="19" s="1"/>
  <c r="BU27" i="19" s="1"/>
  <c r="BV27" i="19" s="1"/>
  <c r="BW27" i="19" s="1"/>
  <c r="BX27" i="19" s="1"/>
  <c r="BY27" i="19" s="1"/>
  <c r="BP26" i="19"/>
  <c r="BQ26" i="19" s="1"/>
  <c r="BR26" i="19" s="1"/>
  <c r="BS26" i="19" s="1"/>
  <c r="BT26" i="19" s="1"/>
  <c r="BU26" i="19" s="1"/>
  <c r="BV26" i="19" s="1"/>
  <c r="BW26" i="19" s="1"/>
  <c r="BX26" i="19" s="1"/>
  <c r="BY26" i="19" s="1"/>
  <c r="BO26" i="19"/>
  <c r="BC176" i="19"/>
  <c r="BD176" i="19" s="1"/>
  <c r="BE176" i="19" s="1"/>
  <c r="BF176" i="19" s="1"/>
  <c r="BG176" i="19" s="1"/>
  <c r="BH176" i="19" s="1"/>
  <c r="BI176" i="19" s="1"/>
  <c r="BJ176" i="19" s="1"/>
  <c r="BK176" i="19" s="1"/>
  <c r="BL176" i="19" s="1"/>
  <c r="BM176" i="19" s="1"/>
  <c r="BC175" i="19"/>
  <c r="BD175" i="19" s="1"/>
  <c r="BE175" i="19" s="1"/>
  <c r="BF175" i="19" s="1"/>
  <c r="BG175" i="19" s="1"/>
  <c r="BH175" i="19" s="1"/>
  <c r="BI175" i="19" s="1"/>
  <c r="BJ175" i="19" s="1"/>
  <c r="BK175" i="19" s="1"/>
  <c r="BL175" i="19" s="1"/>
  <c r="BM175" i="19" s="1"/>
  <c r="BC174" i="19"/>
  <c r="BD174" i="19" s="1"/>
  <c r="BE174" i="19" s="1"/>
  <c r="BF174" i="19" s="1"/>
  <c r="BG174" i="19" s="1"/>
  <c r="BH174" i="19" s="1"/>
  <c r="BI174" i="19" s="1"/>
  <c r="BJ174" i="19" s="1"/>
  <c r="BK174" i="19" s="1"/>
  <c r="BL174" i="19" s="1"/>
  <c r="BM174" i="19" s="1"/>
  <c r="BC173" i="19"/>
  <c r="BD173" i="19" s="1"/>
  <c r="BE173" i="19" s="1"/>
  <c r="BF173" i="19" s="1"/>
  <c r="BG173" i="19" s="1"/>
  <c r="BH173" i="19" s="1"/>
  <c r="BI173" i="19" s="1"/>
  <c r="BJ173" i="19" s="1"/>
  <c r="BK173" i="19" s="1"/>
  <c r="BL173" i="19" s="1"/>
  <c r="BM173" i="19" s="1"/>
  <c r="BC172" i="19"/>
  <c r="BD172" i="19" s="1"/>
  <c r="BE172" i="19" s="1"/>
  <c r="BF172" i="19" s="1"/>
  <c r="BG172" i="19" s="1"/>
  <c r="BH172" i="19" s="1"/>
  <c r="BI172" i="19" s="1"/>
  <c r="BJ172" i="19" s="1"/>
  <c r="BK172" i="19" s="1"/>
  <c r="BL172" i="19" s="1"/>
  <c r="BM172" i="19" s="1"/>
  <c r="BC171" i="19"/>
  <c r="BD171" i="19" s="1"/>
  <c r="BE171" i="19" s="1"/>
  <c r="BF171" i="19" s="1"/>
  <c r="BG171" i="19" s="1"/>
  <c r="BH171" i="19" s="1"/>
  <c r="BI171" i="19" s="1"/>
  <c r="BJ171" i="19" s="1"/>
  <c r="BK171" i="19" s="1"/>
  <c r="BL171" i="19" s="1"/>
  <c r="BM171" i="19" s="1"/>
  <c r="BC170" i="19"/>
  <c r="BD170" i="19" s="1"/>
  <c r="BE170" i="19" s="1"/>
  <c r="BF170" i="19" s="1"/>
  <c r="BG170" i="19" s="1"/>
  <c r="BH170" i="19" s="1"/>
  <c r="BI170" i="19" s="1"/>
  <c r="BJ170" i="19" s="1"/>
  <c r="BK170" i="19" s="1"/>
  <c r="BL170" i="19" s="1"/>
  <c r="BM170" i="19" s="1"/>
  <c r="BC169" i="19"/>
  <c r="BD169" i="19" s="1"/>
  <c r="BE169" i="19" s="1"/>
  <c r="BF169" i="19" s="1"/>
  <c r="BG169" i="19" s="1"/>
  <c r="BH169" i="19" s="1"/>
  <c r="BI169" i="19" s="1"/>
  <c r="BJ169" i="19" s="1"/>
  <c r="BK169" i="19" s="1"/>
  <c r="BL169" i="19" s="1"/>
  <c r="BM169" i="19" s="1"/>
  <c r="BC168" i="19"/>
  <c r="BD168" i="19" s="1"/>
  <c r="BE168" i="19" s="1"/>
  <c r="BF168" i="19" s="1"/>
  <c r="BG168" i="19" s="1"/>
  <c r="BH168" i="19" s="1"/>
  <c r="BI168" i="19" s="1"/>
  <c r="BJ168" i="19" s="1"/>
  <c r="BK168" i="19" s="1"/>
  <c r="BL168" i="19" s="1"/>
  <c r="BM168" i="19" s="1"/>
  <c r="BC167" i="19"/>
  <c r="BD167" i="19" s="1"/>
  <c r="BE167" i="19" s="1"/>
  <c r="BF167" i="19" s="1"/>
  <c r="BG167" i="19" s="1"/>
  <c r="BH167" i="19" s="1"/>
  <c r="BI167" i="19" s="1"/>
  <c r="BJ167" i="19" s="1"/>
  <c r="BK167" i="19" s="1"/>
  <c r="BL167" i="19" s="1"/>
  <c r="BM167" i="19" s="1"/>
  <c r="BC166" i="19"/>
  <c r="BD166" i="19" s="1"/>
  <c r="BE166" i="19" s="1"/>
  <c r="BF166" i="19" s="1"/>
  <c r="BG166" i="19" s="1"/>
  <c r="BH166" i="19" s="1"/>
  <c r="BI166" i="19" s="1"/>
  <c r="BJ166" i="19" s="1"/>
  <c r="BK166" i="19" s="1"/>
  <c r="BL166" i="19" s="1"/>
  <c r="BM166" i="19" s="1"/>
  <c r="BC165" i="19"/>
  <c r="BD165" i="19" s="1"/>
  <c r="BE165" i="19" s="1"/>
  <c r="BF165" i="19" s="1"/>
  <c r="BG165" i="19" s="1"/>
  <c r="BH165" i="19" s="1"/>
  <c r="BI165" i="19" s="1"/>
  <c r="BJ165" i="19" s="1"/>
  <c r="BK165" i="19" s="1"/>
  <c r="BL165" i="19" s="1"/>
  <c r="BM165" i="19" s="1"/>
  <c r="BC130" i="19"/>
  <c r="BD130" i="19" s="1"/>
  <c r="BE130" i="19" s="1"/>
  <c r="BF130" i="19" s="1"/>
  <c r="BG130" i="19" s="1"/>
  <c r="BH130" i="19" s="1"/>
  <c r="BI130" i="19" s="1"/>
  <c r="BJ130" i="19" s="1"/>
  <c r="BK130" i="19" s="1"/>
  <c r="BL130" i="19" s="1"/>
  <c r="BM130" i="19" s="1"/>
  <c r="BC129" i="19"/>
  <c r="BD129" i="19" s="1"/>
  <c r="BE129" i="19" s="1"/>
  <c r="BF129" i="19" s="1"/>
  <c r="BG129" i="19" s="1"/>
  <c r="BH129" i="19" s="1"/>
  <c r="BI129" i="19" s="1"/>
  <c r="BJ129" i="19" s="1"/>
  <c r="BK129" i="19" s="1"/>
  <c r="BL129" i="19" s="1"/>
  <c r="BM129" i="19" s="1"/>
  <c r="BC128" i="19"/>
  <c r="BD128" i="19" s="1"/>
  <c r="BE128" i="19" s="1"/>
  <c r="BF128" i="19" s="1"/>
  <c r="BG128" i="19" s="1"/>
  <c r="BH128" i="19" s="1"/>
  <c r="BI128" i="19" s="1"/>
  <c r="BJ128" i="19" s="1"/>
  <c r="BK128" i="19" s="1"/>
  <c r="BL128" i="19" s="1"/>
  <c r="BM128" i="19" s="1"/>
  <c r="BC127" i="19"/>
  <c r="BD127" i="19" s="1"/>
  <c r="BE127" i="19" s="1"/>
  <c r="BF127" i="19" s="1"/>
  <c r="BG127" i="19" s="1"/>
  <c r="BH127" i="19" s="1"/>
  <c r="BI127" i="19" s="1"/>
  <c r="BJ127" i="19" s="1"/>
  <c r="BK127" i="19" s="1"/>
  <c r="BL127" i="19" s="1"/>
  <c r="BM127" i="19" s="1"/>
  <c r="BC126" i="19"/>
  <c r="BD126" i="19" s="1"/>
  <c r="BE126" i="19" s="1"/>
  <c r="BF126" i="19" s="1"/>
  <c r="BG126" i="19" s="1"/>
  <c r="BH126" i="19" s="1"/>
  <c r="BI126" i="19" s="1"/>
  <c r="BJ126" i="19" s="1"/>
  <c r="BK126" i="19" s="1"/>
  <c r="BL126" i="19" s="1"/>
  <c r="BM126" i="19" s="1"/>
  <c r="BC125" i="19"/>
  <c r="BD125" i="19" s="1"/>
  <c r="BE125" i="19" s="1"/>
  <c r="BF125" i="19" s="1"/>
  <c r="BG125" i="19" s="1"/>
  <c r="BH125" i="19" s="1"/>
  <c r="BI125" i="19" s="1"/>
  <c r="BJ125" i="19" s="1"/>
  <c r="BK125" i="19" s="1"/>
  <c r="BL125" i="19" s="1"/>
  <c r="BM125" i="19" s="1"/>
  <c r="BC124" i="19"/>
  <c r="BD124" i="19" s="1"/>
  <c r="BE124" i="19" s="1"/>
  <c r="BF124" i="19" s="1"/>
  <c r="BG124" i="19" s="1"/>
  <c r="BH124" i="19" s="1"/>
  <c r="BI124" i="19" s="1"/>
  <c r="BJ124" i="19" s="1"/>
  <c r="BK124" i="19" s="1"/>
  <c r="BL124" i="19" s="1"/>
  <c r="BM124" i="19" s="1"/>
  <c r="BC123" i="19"/>
  <c r="BD123" i="19" s="1"/>
  <c r="BE123" i="19" s="1"/>
  <c r="BF123" i="19" s="1"/>
  <c r="BG123" i="19" s="1"/>
  <c r="BH123" i="19" s="1"/>
  <c r="BI123" i="19" s="1"/>
  <c r="BJ123" i="19" s="1"/>
  <c r="BK123" i="19" s="1"/>
  <c r="BL123" i="19" s="1"/>
  <c r="BM123" i="19" s="1"/>
  <c r="BC122" i="19"/>
  <c r="BD122" i="19" s="1"/>
  <c r="BE122" i="19" s="1"/>
  <c r="BF122" i="19" s="1"/>
  <c r="BG122" i="19" s="1"/>
  <c r="BH122" i="19" s="1"/>
  <c r="BI122" i="19" s="1"/>
  <c r="BJ122" i="19" s="1"/>
  <c r="BK122" i="19" s="1"/>
  <c r="BL122" i="19" s="1"/>
  <c r="BM122" i="19" s="1"/>
  <c r="BC121" i="19"/>
  <c r="BD121" i="19" s="1"/>
  <c r="BE121" i="19" s="1"/>
  <c r="BF121" i="19" s="1"/>
  <c r="BG121" i="19" s="1"/>
  <c r="BH121" i="19" s="1"/>
  <c r="BI121" i="19" s="1"/>
  <c r="BJ121" i="19" s="1"/>
  <c r="BK121" i="19" s="1"/>
  <c r="BL121" i="19" s="1"/>
  <c r="BM121" i="19" s="1"/>
  <c r="BC120" i="19"/>
  <c r="BD120" i="19" s="1"/>
  <c r="BE120" i="19" s="1"/>
  <c r="BF120" i="19" s="1"/>
  <c r="BG120" i="19" s="1"/>
  <c r="BH120" i="19" s="1"/>
  <c r="BI120" i="19" s="1"/>
  <c r="BJ120" i="19" s="1"/>
  <c r="BK120" i="19" s="1"/>
  <c r="BL120" i="19" s="1"/>
  <c r="BM120" i="19" s="1"/>
  <c r="BC119" i="19"/>
  <c r="BD119" i="19" s="1"/>
  <c r="BE119" i="19" s="1"/>
  <c r="BF119" i="19" s="1"/>
  <c r="BG119" i="19" s="1"/>
  <c r="BH119" i="19" s="1"/>
  <c r="BI119" i="19" s="1"/>
  <c r="BJ119" i="19" s="1"/>
  <c r="BK119" i="19" s="1"/>
  <c r="BL119" i="19" s="1"/>
  <c r="BM119" i="19" s="1"/>
  <c r="BC77" i="19"/>
  <c r="BD77" i="19" s="1"/>
  <c r="BE77" i="19" s="1"/>
  <c r="BF77" i="19" s="1"/>
  <c r="BG77" i="19" s="1"/>
  <c r="BH77" i="19" s="1"/>
  <c r="BI77" i="19" s="1"/>
  <c r="BJ77" i="19" s="1"/>
  <c r="BK77" i="19" s="1"/>
  <c r="BL77" i="19" s="1"/>
  <c r="BM77" i="19" s="1"/>
  <c r="BC76" i="19"/>
  <c r="BD76" i="19" s="1"/>
  <c r="BE76" i="19" s="1"/>
  <c r="BF76" i="19" s="1"/>
  <c r="BG76" i="19" s="1"/>
  <c r="BH76" i="19" s="1"/>
  <c r="BI76" i="19" s="1"/>
  <c r="BJ76" i="19" s="1"/>
  <c r="BK76" i="19" s="1"/>
  <c r="BL76" i="19" s="1"/>
  <c r="BM76" i="19" s="1"/>
  <c r="BC75" i="19"/>
  <c r="BD75" i="19" s="1"/>
  <c r="BE75" i="19" s="1"/>
  <c r="BF75" i="19" s="1"/>
  <c r="BG75" i="19" s="1"/>
  <c r="BH75" i="19" s="1"/>
  <c r="BI75" i="19" s="1"/>
  <c r="BJ75" i="19" s="1"/>
  <c r="BK75" i="19" s="1"/>
  <c r="BL75" i="19" s="1"/>
  <c r="BM75" i="19" s="1"/>
  <c r="BC74" i="19"/>
  <c r="BD74" i="19" s="1"/>
  <c r="BE74" i="19" s="1"/>
  <c r="BF74" i="19" s="1"/>
  <c r="BG74" i="19" s="1"/>
  <c r="BH74" i="19" s="1"/>
  <c r="BI74" i="19" s="1"/>
  <c r="BJ74" i="19" s="1"/>
  <c r="BK74" i="19" s="1"/>
  <c r="BL74" i="19" s="1"/>
  <c r="BM74" i="19" s="1"/>
  <c r="BC73" i="19"/>
  <c r="BD73" i="19" s="1"/>
  <c r="BE73" i="19" s="1"/>
  <c r="BF73" i="19" s="1"/>
  <c r="BG73" i="19" s="1"/>
  <c r="BH73" i="19" s="1"/>
  <c r="BI73" i="19" s="1"/>
  <c r="BJ73" i="19" s="1"/>
  <c r="BK73" i="19" s="1"/>
  <c r="BL73" i="19" s="1"/>
  <c r="BM73" i="19" s="1"/>
  <c r="BC72" i="19"/>
  <c r="BD72" i="19" s="1"/>
  <c r="BE72" i="19" s="1"/>
  <c r="BF72" i="19" s="1"/>
  <c r="BG72" i="19" s="1"/>
  <c r="BH72" i="19" s="1"/>
  <c r="BI72" i="19" s="1"/>
  <c r="BJ72" i="19" s="1"/>
  <c r="BK72" i="19" s="1"/>
  <c r="BL72" i="19" s="1"/>
  <c r="BM72" i="19" s="1"/>
  <c r="BC71" i="19"/>
  <c r="BD71" i="19" s="1"/>
  <c r="BE71" i="19" s="1"/>
  <c r="BF71" i="19" s="1"/>
  <c r="BG71" i="19" s="1"/>
  <c r="BH71" i="19" s="1"/>
  <c r="BI71" i="19" s="1"/>
  <c r="BJ71" i="19" s="1"/>
  <c r="BK71" i="19" s="1"/>
  <c r="BL71" i="19" s="1"/>
  <c r="BM71" i="19" s="1"/>
  <c r="BC70" i="19"/>
  <c r="BD70" i="19" s="1"/>
  <c r="BE70" i="19" s="1"/>
  <c r="BF70" i="19" s="1"/>
  <c r="BG70" i="19" s="1"/>
  <c r="BH70" i="19" s="1"/>
  <c r="BI70" i="19" s="1"/>
  <c r="BJ70" i="19" s="1"/>
  <c r="BK70" i="19" s="1"/>
  <c r="BL70" i="19" s="1"/>
  <c r="BM70" i="19" s="1"/>
  <c r="BC69" i="19"/>
  <c r="BD69" i="19" s="1"/>
  <c r="BE69" i="19" s="1"/>
  <c r="BF69" i="19" s="1"/>
  <c r="BG69" i="19" s="1"/>
  <c r="BH69" i="19" s="1"/>
  <c r="BI69" i="19" s="1"/>
  <c r="BJ69" i="19" s="1"/>
  <c r="BK69" i="19" s="1"/>
  <c r="BL69" i="19" s="1"/>
  <c r="BM69" i="19" s="1"/>
  <c r="BC34" i="19"/>
  <c r="BD34" i="19" s="1"/>
  <c r="BE34" i="19" s="1"/>
  <c r="BF34" i="19" s="1"/>
  <c r="BG34" i="19" s="1"/>
  <c r="BH34" i="19" s="1"/>
  <c r="BI34" i="19" s="1"/>
  <c r="BJ34" i="19" s="1"/>
  <c r="BK34" i="19" s="1"/>
  <c r="BL34" i="19" s="1"/>
  <c r="BM34" i="19" s="1"/>
  <c r="BC33" i="19"/>
  <c r="BD33" i="19" s="1"/>
  <c r="BE33" i="19" s="1"/>
  <c r="BF33" i="19" s="1"/>
  <c r="BG33" i="19" s="1"/>
  <c r="BH33" i="19" s="1"/>
  <c r="BI33" i="19" s="1"/>
  <c r="BJ33" i="19" s="1"/>
  <c r="BK33" i="19" s="1"/>
  <c r="BL33" i="19" s="1"/>
  <c r="BM33" i="19" s="1"/>
  <c r="BC32" i="19"/>
  <c r="BD32" i="19" s="1"/>
  <c r="BE32" i="19" s="1"/>
  <c r="BF32" i="19" s="1"/>
  <c r="BG32" i="19" s="1"/>
  <c r="BH32" i="19" s="1"/>
  <c r="BI32" i="19" s="1"/>
  <c r="BJ32" i="19" s="1"/>
  <c r="BK32" i="19" s="1"/>
  <c r="BL32" i="19" s="1"/>
  <c r="BM32" i="19" s="1"/>
  <c r="BC31" i="19"/>
  <c r="BD31" i="19" s="1"/>
  <c r="BE31" i="19" s="1"/>
  <c r="BF31" i="19" s="1"/>
  <c r="BG31" i="19" s="1"/>
  <c r="BH31" i="19" s="1"/>
  <c r="BI31" i="19" s="1"/>
  <c r="BJ31" i="19" s="1"/>
  <c r="BK31" i="19" s="1"/>
  <c r="BL31" i="19" s="1"/>
  <c r="BM31" i="19" s="1"/>
  <c r="BC30" i="19"/>
  <c r="BD30" i="19" s="1"/>
  <c r="BE30" i="19" s="1"/>
  <c r="BF30" i="19" s="1"/>
  <c r="BG30" i="19" s="1"/>
  <c r="BH30" i="19" s="1"/>
  <c r="BI30" i="19" s="1"/>
  <c r="BJ30" i="19" s="1"/>
  <c r="BK30" i="19" s="1"/>
  <c r="BL30" i="19" s="1"/>
  <c r="BM30" i="19" s="1"/>
  <c r="BC29" i="19"/>
  <c r="BD29" i="19" s="1"/>
  <c r="BE29" i="19" s="1"/>
  <c r="BF29" i="19" s="1"/>
  <c r="BG29" i="19" s="1"/>
  <c r="BH29" i="19" s="1"/>
  <c r="BI29" i="19" s="1"/>
  <c r="BJ29" i="19" s="1"/>
  <c r="BK29" i="19" s="1"/>
  <c r="BL29" i="19" s="1"/>
  <c r="BM29" i="19" s="1"/>
  <c r="BC28" i="19"/>
  <c r="BD28" i="19" s="1"/>
  <c r="BE28" i="19" s="1"/>
  <c r="BF28" i="19" s="1"/>
  <c r="BG28" i="19" s="1"/>
  <c r="BH28" i="19" s="1"/>
  <c r="BI28" i="19" s="1"/>
  <c r="BJ28" i="19" s="1"/>
  <c r="BK28" i="19" s="1"/>
  <c r="BL28" i="19" s="1"/>
  <c r="BM28" i="19" s="1"/>
  <c r="BC27" i="19"/>
  <c r="BD27" i="19" s="1"/>
  <c r="BE27" i="19" s="1"/>
  <c r="BF27" i="19" s="1"/>
  <c r="BG27" i="19" s="1"/>
  <c r="BH27" i="19" s="1"/>
  <c r="BI27" i="19" s="1"/>
  <c r="BJ27" i="19" s="1"/>
  <c r="BK27" i="19" s="1"/>
  <c r="BL27" i="19" s="1"/>
  <c r="BM27" i="19" s="1"/>
  <c r="BC26" i="19"/>
  <c r="BD26" i="19" s="1"/>
  <c r="BE26" i="19" s="1"/>
  <c r="BF26" i="19" s="1"/>
  <c r="BG26" i="19" s="1"/>
  <c r="BH26" i="19" s="1"/>
  <c r="BI26" i="19" s="1"/>
  <c r="BJ26" i="19" s="1"/>
  <c r="BK26" i="19" s="1"/>
  <c r="BL26" i="19" s="1"/>
  <c r="BM26" i="19" s="1"/>
  <c r="FC50" i="19"/>
  <c r="FC97" i="19" s="1"/>
  <c r="FC143" i="19" s="1"/>
  <c r="FB50" i="19"/>
  <c r="FB97" i="19" s="1"/>
  <c r="FB143" i="19" s="1"/>
  <c r="EY50" i="19"/>
  <c r="EY97" i="19" s="1"/>
  <c r="EY143" i="19" s="1"/>
  <c r="EX50" i="19"/>
  <c r="EX97" i="19" s="1"/>
  <c r="EX143" i="19" s="1"/>
  <c r="EU50" i="19"/>
  <c r="EU97" i="19" s="1"/>
  <c r="EU143" i="19" s="1"/>
  <c r="ET50" i="19"/>
  <c r="ET97" i="19" s="1"/>
  <c r="ET143" i="19" s="1"/>
  <c r="GD188" i="19" l="1"/>
  <c r="I46" i="18" s="1"/>
  <c r="GQ187" i="19"/>
  <c r="GQ188" i="19" s="1"/>
  <c r="J46" i="18" s="1"/>
  <c r="EW105" i="19"/>
  <c r="FA105" i="19"/>
  <c r="FB106" i="19" s="1"/>
  <c r="FC107" i="19" s="1"/>
  <c r="FD108" i="19" s="1"/>
  <c r="EV151" i="19"/>
  <c r="EZ151" i="19"/>
  <c r="FA152" i="19" s="1"/>
  <c r="FB153" i="19" s="1"/>
  <c r="FC154" i="19" s="1"/>
  <c r="FC165" i="19" s="1"/>
  <c r="FC176" i="19" s="1"/>
  <c r="FD151" i="19"/>
  <c r="FF152" i="19" s="1"/>
  <c r="EW151" i="19"/>
  <c r="FA151" i="19"/>
  <c r="FB152" i="19" s="1"/>
  <c r="FC153" i="19" s="1"/>
  <c r="FD154" i="19" s="1"/>
  <c r="EU105" i="19"/>
  <c r="EV106" i="19" s="1"/>
  <c r="EW107" i="19" s="1"/>
  <c r="EX108" i="19" s="1"/>
  <c r="EY105" i="19"/>
  <c r="EZ106" i="19" s="1"/>
  <c r="FA107" i="19" s="1"/>
  <c r="FB108" i="19" s="1"/>
  <c r="FB119" i="19" s="1"/>
  <c r="FB130" i="19" s="1"/>
  <c r="FC105" i="19"/>
  <c r="FD106" i="19" s="1"/>
  <c r="FF107" i="19" s="1"/>
  <c r="FG108" i="19" s="1"/>
  <c r="EU58" i="19"/>
  <c r="EY58" i="19"/>
  <c r="FC58" i="19"/>
  <c r="FC69" i="19" s="1"/>
  <c r="EV105" i="19"/>
  <c r="EW106" i="19" s="1"/>
  <c r="EX107" i="19" s="1"/>
  <c r="EY108" i="19" s="1"/>
  <c r="EY119" i="19" s="1"/>
  <c r="EY130" i="19" s="1"/>
  <c r="EZ105" i="19"/>
  <c r="FD105" i="19"/>
  <c r="FF106" i="19" s="1"/>
  <c r="EY151" i="19"/>
  <c r="EZ152" i="19" s="1"/>
  <c r="FA153" i="19" s="1"/>
  <c r="FB154" i="19" s="1"/>
  <c r="FB165" i="19" s="1"/>
  <c r="FB176" i="19" s="1"/>
  <c r="EV50" i="19"/>
  <c r="EV97" i="19" s="1"/>
  <c r="EV143" i="19" s="1"/>
  <c r="EV58" i="19"/>
  <c r="EV69" i="19" s="1"/>
  <c r="EZ58" i="19"/>
  <c r="EZ69" i="19" s="1"/>
  <c r="FD58" i="19"/>
  <c r="EW50" i="19"/>
  <c r="EW97" i="19" s="1"/>
  <c r="EW143" i="19" s="1"/>
  <c r="FD50" i="19"/>
  <c r="FD97" i="19" s="1"/>
  <c r="FD143" i="19" s="1"/>
  <c r="ET58" i="19"/>
  <c r="EX58" i="19"/>
  <c r="FB58" i="19"/>
  <c r="FB69" i="19" s="1"/>
  <c r="ET105" i="19"/>
  <c r="EU106" i="19" s="1"/>
  <c r="EV107" i="19" s="1"/>
  <c r="EW108" i="19" s="1"/>
  <c r="EW119" i="19" s="1"/>
  <c r="EW130" i="19" s="1"/>
  <c r="EX105" i="19"/>
  <c r="FB105" i="19"/>
  <c r="ET151" i="19"/>
  <c r="EU152" i="19" s="1"/>
  <c r="EV153" i="19" s="1"/>
  <c r="EW154" i="19" s="1"/>
  <c r="EW165" i="19" s="1"/>
  <c r="EW176" i="19" s="1"/>
  <c r="EX151" i="19"/>
  <c r="FB151" i="19"/>
  <c r="FD59" i="19"/>
  <c r="EX106" i="19"/>
  <c r="EY107" i="19" s="1"/>
  <c r="EZ108" i="19" s="1"/>
  <c r="EZ119" i="19" s="1"/>
  <c r="EZ130" i="19" s="1"/>
  <c r="EW58" i="19"/>
  <c r="EW69" i="19" s="1"/>
  <c r="FA58" i="19"/>
  <c r="FA69" i="19" s="1"/>
  <c r="EW152" i="19"/>
  <c r="EX153" i="19" s="1"/>
  <c r="EY154" i="19" s="1"/>
  <c r="EY165" i="19" s="1"/>
  <c r="EY176" i="19" s="1"/>
  <c r="EU151" i="19"/>
  <c r="FC151" i="19"/>
  <c r="FF109" i="19" l="1"/>
  <c r="FD119" i="19"/>
  <c r="FD130" i="19" s="1"/>
  <c r="FF60" i="19"/>
  <c r="FD70" i="19"/>
  <c r="EY59" i="19"/>
  <c r="EY70" i="19" s="1"/>
  <c r="EX69" i="19"/>
  <c r="FG153" i="19"/>
  <c r="EU59" i="19"/>
  <c r="EU70" i="19" s="1"/>
  <c r="ET69" i="19"/>
  <c r="FG107" i="19"/>
  <c r="EZ59" i="19"/>
  <c r="EZ70" i="19" s="1"/>
  <c r="EY69" i="19"/>
  <c r="EY109" i="19"/>
  <c r="EY120" i="19" s="1"/>
  <c r="EX119" i="19"/>
  <c r="EX130" i="19" s="1"/>
  <c r="FG119" i="19"/>
  <c r="FH109" i="19"/>
  <c r="FF59" i="19"/>
  <c r="FD69" i="19"/>
  <c r="EV59" i="19"/>
  <c r="EV70" i="19" s="1"/>
  <c r="EU69" i="19"/>
  <c r="FF155" i="19"/>
  <c r="FD165" i="19"/>
  <c r="FD176" i="19" s="1"/>
  <c r="FD155" i="19"/>
  <c r="EY152" i="19"/>
  <c r="EX152" i="19"/>
  <c r="EY153" i="19" s="1"/>
  <c r="EZ154" i="19" s="1"/>
  <c r="FC152" i="19"/>
  <c r="FD153" i="19" s="1"/>
  <c r="FF154" i="19" s="1"/>
  <c r="FA106" i="19"/>
  <c r="FC106" i="19"/>
  <c r="FD107" i="19" s="1"/>
  <c r="FF108" i="19" s="1"/>
  <c r="EW59" i="19"/>
  <c r="EW70" i="19" s="1"/>
  <c r="FC59" i="19"/>
  <c r="FC70" i="19" s="1"/>
  <c r="FA59" i="19"/>
  <c r="EY106" i="19"/>
  <c r="EX155" i="19"/>
  <c r="EX166" i="19" s="1"/>
  <c r="FD152" i="19"/>
  <c r="FF153" i="19" s="1"/>
  <c r="FG154" i="19" s="1"/>
  <c r="FC155" i="19"/>
  <c r="FC166" i="19" s="1"/>
  <c r="FB59" i="19"/>
  <c r="FB70" i="19" s="1"/>
  <c r="FA109" i="19"/>
  <c r="FA120" i="19" s="1"/>
  <c r="EW60" i="19"/>
  <c r="EW71" i="19" s="1"/>
  <c r="EZ109" i="19"/>
  <c r="EZ120" i="19" s="1"/>
  <c r="EV152" i="19"/>
  <c r="EZ155" i="19"/>
  <c r="EZ166" i="19" s="1"/>
  <c r="EX109" i="19"/>
  <c r="EX120" i="19" s="1"/>
  <c r="EX59" i="19"/>
  <c r="EX70" i="19" s="1"/>
  <c r="FA60" i="19"/>
  <c r="FA71" i="19" s="1"/>
  <c r="FC109" i="19"/>
  <c r="FC120" i="19" s="1"/>
  <c r="EZ110" i="19"/>
  <c r="EZ121" i="19" s="1"/>
  <c r="EV60" i="19"/>
  <c r="EV71" i="19" s="1"/>
  <c r="EZ60" i="19"/>
  <c r="EZ71" i="19" s="1"/>
  <c r="FA155" i="19" l="1"/>
  <c r="FA166" i="19" s="1"/>
  <c r="EZ165" i="19"/>
  <c r="EZ176" i="19" s="1"/>
  <c r="FF166" i="19"/>
  <c r="FG156" i="19"/>
  <c r="FF70" i="19"/>
  <c r="FG60" i="19"/>
  <c r="FH108" i="19"/>
  <c r="FH154" i="19"/>
  <c r="FF71" i="19"/>
  <c r="FG61" i="19"/>
  <c r="FF165" i="19"/>
  <c r="FG155" i="19"/>
  <c r="FF119" i="19"/>
  <c r="FG109" i="19"/>
  <c r="FH120" i="19"/>
  <c r="FI110" i="19"/>
  <c r="FH155" i="19"/>
  <c r="FG165" i="19"/>
  <c r="FB60" i="19"/>
  <c r="FB71" i="19" s="1"/>
  <c r="FA70" i="19"/>
  <c r="FF156" i="19"/>
  <c r="FD166" i="19"/>
  <c r="FG130" i="19"/>
  <c r="FG110" i="19"/>
  <c r="FF120" i="19"/>
  <c r="EZ153" i="19"/>
  <c r="EW153" i="19"/>
  <c r="EZ107" i="19"/>
  <c r="FB107" i="19"/>
  <c r="FD60" i="19"/>
  <c r="EX60" i="19"/>
  <c r="FB156" i="19"/>
  <c r="FB167" i="19" s="1"/>
  <c r="FA110" i="19"/>
  <c r="FA121" i="19" s="1"/>
  <c r="FC61" i="19"/>
  <c r="FC72" i="19" s="1"/>
  <c r="EX61" i="19"/>
  <c r="EX72" i="19" s="1"/>
  <c r="FB110" i="19"/>
  <c r="FB121" i="19" s="1"/>
  <c r="FC60" i="19"/>
  <c r="FC71" i="19" s="1"/>
  <c r="EY156" i="19"/>
  <c r="EY167" i="19" s="1"/>
  <c r="FA61" i="19"/>
  <c r="FA72" i="19" s="1"/>
  <c r="EW61" i="19"/>
  <c r="EW72" i="19" s="1"/>
  <c r="FD110" i="19"/>
  <c r="EY110" i="19"/>
  <c r="EY121" i="19" s="1"/>
  <c r="FD156" i="19"/>
  <c r="FB61" i="19"/>
  <c r="FB72" i="19" s="1"/>
  <c r="EY60" i="19"/>
  <c r="EY71" i="19" s="1"/>
  <c r="FA156" i="19"/>
  <c r="FA167" i="19" s="1"/>
  <c r="FA111" i="19"/>
  <c r="FA122" i="19" s="1"/>
  <c r="FH166" i="19" l="1"/>
  <c r="FI156" i="19"/>
  <c r="FF130" i="19"/>
  <c r="FH119" i="19"/>
  <c r="FI109" i="19"/>
  <c r="FH157" i="19"/>
  <c r="FG167" i="19"/>
  <c r="FF111" i="19"/>
  <c r="FD121" i="19"/>
  <c r="FI121" i="19"/>
  <c r="FJ111" i="19"/>
  <c r="FH156" i="19"/>
  <c r="FG166" i="19"/>
  <c r="FG121" i="19"/>
  <c r="FH111" i="19"/>
  <c r="FF176" i="19"/>
  <c r="FH165" i="19"/>
  <c r="FI155" i="19"/>
  <c r="FG71" i="19"/>
  <c r="FH61" i="19"/>
  <c r="FD71" i="19"/>
  <c r="FF61" i="19"/>
  <c r="FF157" i="19"/>
  <c r="FD167" i="19"/>
  <c r="EY61" i="19"/>
  <c r="EY72" i="19" s="1"/>
  <c r="EX71" i="19"/>
  <c r="FF167" i="19"/>
  <c r="FG157" i="19"/>
  <c r="FG176" i="19"/>
  <c r="FG120" i="19"/>
  <c r="FH110" i="19"/>
  <c r="FH62" i="19"/>
  <c r="FG72" i="19"/>
  <c r="FC108" i="19"/>
  <c r="FC119" i="19" s="1"/>
  <c r="FC130" i="19" s="1"/>
  <c r="EX154" i="19"/>
  <c r="EX165" i="19" s="1"/>
  <c r="EX176" i="19" s="1"/>
  <c r="FA154" i="19"/>
  <c r="FA165" i="19" s="1"/>
  <c r="FA176" i="19" s="1"/>
  <c r="FA108" i="19"/>
  <c r="FA119" i="19" s="1"/>
  <c r="FA130" i="19" s="1"/>
  <c r="FB157" i="19"/>
  <c r="FB168" i="19" s="1"/>
  <c r="FC157" i="19"/>
  <c r="FC168" i="19" s="1"/>
  <c r="EZ61" i="19"/>
  <c r="EZ72" i="19" s="1"/>
  <c r="FB62" i="19"/>
  <c r="FB73" i="19" s="1"/>
  <c r="FB111" i="19"/>
  <c r="FB122" i="19" s="1"/>
  <c r="FC111" i="19"/>
  <c r="FC122" i="19" s="1"/>
  <c r="FC62" i="19"/>
  <c r="FC73" i="19" s="1"/>
  <c r="EZ62" i="19"/>
  <c r="EZ73" i="19" s="1"/>
  <c r="EZ111" i="19"/>
  <c r="EZ122" i="19" s="1"/>
  <c r="EZ157" i="19"/>
  <c r="EZ168" i="19" s="1"/>
  <c r="EY62" i="19"/>
  <c r="EY73" i="19" s="1"/>
  <c r="FD62" i="19"/>
  <c r="FB112" i="19"/>
  <c r="FB123" i="19" s="1"/>
  <c r="EX62" i="19"/>
  <c r="EX73" i="19" s="1"/>
  <c r="FD61" i="19"/>
  <c r="FG158" i="19" l="1"/>
  <c r="FF168" i="19"/>
  <c r="FH72" i="19"/>
  <c r="FI62" i="19"/>
  <c r="FH176" i="19"/>
  <c r="FH122" i="19"/>
  <c r="FI112" i="19"/>
  <c r="FH167" i="19"/>
  <c r="FI157" i="19"/>
  <c r="FG112" i="19"/>
  <c r="FF122" i="19"/>
  <c r="FI120" i="19"/>
  <c r="FJ110" i="19"/>
  <c r="FH158" i="19"/>
  <c r="FG168" i="19"/>
  <c r="FJ156" i="19"/>
  <c r="FI166" i="19"/>
  <c r="FH73" i="19"/>
  <c r="FI63" i="19"/>
  <c r="FG62" i="19"/>
  <c r="FF72" i="19"/>
  <c r="FJ122" i="19"/>
  <c r="FK112" i="19"/>
  <c r="FH130" i="19"/>
  <c r="FI167" i="19"/>
  <c r="FJ157" i="19"/>
  <c r="FF63" i="19"/>
  <c r="FD73" i="19"/>
  <c r="FF62" i="19"/>
  <c r="FD72" i="19"/>
  <c r="FH121" i="19"/>
  <c r="FI111" i="19"/>
  <c r="FH168" i="19"/>
  <c r="FI158" i="19"/>
  <c r="FD109" i="19"/>
  <c r="FB109" i="19"/>
  <c r="FB120" i="19" s="1"/>
  <c r="EY155" i="19"/>
  <c r="EY166" i="19" s="1"/>
  <c r="FB155" i="19"/>
  <c r="FB166" i="19" s="1"/>
  <c r="EY63" i="19"/>
  <c r="EY74" i="19" s="1"/>
  <c r="FA112" i="19"/>
  <c r="FA123" i="19" s="1"/>
  <c r="FC112" i="19"/>
  <c r="FC123" i="19" s="1"/>
  <c r="FC158" i="19"/>
  <c r="FC169" i="19" s="1"/>
  <c r="FC113" i="19"/>
  <c r="FC124" i="19" s="1"/>
  <c r="FA158" i="19"/>
  <c r="FA169" i="19" s="1"/>
  <c r="FD63" i="19"/>
  <c r="EZ63" i="19"/>
  <c r="EZ74" i="19" s="1"/>
  <c r="FA63" i="19"/>
  <c r="FA74" i="19" s="1"/>
  <c r="FD112" i="19"/>
  <c r="FC63" i="19"/>
  <c r="FC74" i="19" s="1"/>
  <c r="FA62" i="19"/>
  <c r="FA73" i="19" s="1"/>
  <c r="FD158" i="19"/>
  <c r="FF159" i="19" l="1"/>
  <c r="FD169" i="19"/>
  <c r="FJ159" i="19"/>
  <c r="FI169" i="19"/>
  <c r="FF74" i="19"/>
  <c r="FG64" i="19"/>
  <c r="FH63" i="19"/>
  <c r="FG73" i="19"/>
  <c r="FG123" i="19"/>
  <c r="FH113" i="19"/>
  <c r="FI122" i="19"/>
  <c r="FJ112" i="19"/>
  <c r="FJ168" i="19"/>
  <c r="FK158" i="19"/>
  <c r="FI74" i="19"/>
  <c r="FJ64" i="19"/>
  <c r="FJ167" i="19"/>
  <c r="FK157" i="19"/>
  <c r="FJ121" i="19"/>
  <c r="FK111" i="19"/>
  <c r="FI168" i="19"/>
  <c r="FJ158" i="19"/>
  <c r="FI73" i="19"/>
  <c r="FJ63" i="19"/>
  <c r="FH159" i="19"/>
  <c r="FG169" i="19"/>
  <c r="FD120" i="19"/>
  <c r="FF110" i="19"/>
  <c r="FH169" i="19"/>
  <c r="FI159" i="19"/>
  <c r="FI123" i="19"/>
  <c r="FJ113" i="19"/>
  <c r="FD74" i="19"/>
  <c r="FF64" i="19"/>
  <c r="FD123" i="19"/>
  <c r="FF113" i="19"/>
  <c r="FF73" i="19"/>
  <c r="FG63" i="19"/>
  <c r="FK123" i="19"/>
  <c r="FL113" i="19"/>
  <c r="EZ156" i="19"/>
  <c r="EZ167" i="19" s="1"/>
  <c r="FC156" i="19"/>
  <c r="FC167" i="19" s="1"/>
  <c r="FC110" i="19"/>
  <c r="FC121" i="19" s="1"/>
  <c r="FB64" i="19"/>
  <c r="FB75" i="19" s="1"/>
  <c r="FD113" i="19"/>
  <c r="EZ64" i="19"/>
  <c r="EZ75" i="19" s="1"/>
  <c r="FB159" i="19"/>
  <c r="FB170" i="19" s="1"/>
  <c r="FD114" i="19"/>
  <c r="FD64" i="19"/>
  <c r="FA64" i="19"/>
  <c r="FA75" i="19" s="1"/>
  <c r="FD159" i="19"/>
  <c r="FB113" i="19"/>
  <c r="FB124" i="19" s="1"/>
  <c r="FB63" i="19"/>
  <c r="FB74" i="19" s="1"/>
  <c r="FG114" i="19" l="1"/>
  <c r="FF124" i="19"/>
  <c r="FH74" i="19"/>
  <c r="FI64" i="19"/>
  <c r="FJ170" i="19"/>
  <c r="FK160" i="19"/>
  <c r="FD75" i="19"/>
  <c r="FF65" i="19"/>
  <c r="FF114" i="19"/>
  <c r="FD124" i="19"/>
  <c r="FJ74" i="19"/>
  <c r="FK64" i="19"/>
  <c r="FK168" i="19"/>
  <c r="FL158" i="19"/>
  <c r="FK169" i="19"/>
  <c r="FL159" i="19"/>
  <c r="FH65" i="19"/>
  <c r="FG75" i="19"/>
  <c r="FK122" i="19"/>
  <c r="FL112" i="19"/>
  <c r="FH124" i="19"/>
  <c r="FI114" i="19"/>
  <c r="FF170" i="19"/>
  <c r="FG160" i="19"/>
  <c r="FL124" i="19"/>
  <c r="FM114" i="19"/>
  <c r="FJ124" i="19"/>
  <c r="FK114" i="19"/>
  <c r="FD125" i="19"/>
  <c r="FF115" i="19"/>
  <c r="FG74" i="19"/>
  <c r="FH64" i="19"/>
  <c r="FF75" i="19"/>
  <c r="FG65" i="19"/>
  <c r="FF160" i="19"/>
  <c r="FD170" i="19"/>
  <c r="FJ160" i="19"/>
  <c r="FI170" i="19"/>
  <c r="FF121" i="19"/>
  <c r="FG111" i="19"/>
  <c r="FH170" i="19"/>
  <c r="FI160" i="19"/>
  <c r="FJ169" i="19"/>
  <c r="FK159" i="19"/>
  <c r="FJ75" i="19"/>
  <c r="FK65" i="19"/>
  <c r="FJ123" i="19"/>
  <c r="FK113" i="19"/>
  <c r="FD111" i="19"/>
  <c r="FD157" i="19"/>
  <c r="FA157" i="19"/>
  <c r="FA168" i="19" s="1"/>
  <c r="FC114" i="19"/>
  <c r="FC125" i="19" s="1"/>
  <c r="FC64" i="19"/>
  <c r="FC75" i="19" s="1"/>
  <c r="FA65" i="19"/>
  <c r="FA76" i="19" s="1"/>
  <c r="FB65" i="19"/>
  <c r="FB76" i="19" s="1"/>
  <c r="FC160" i="19"/>
  <c r="FC171" i="19" s="1"/>
  <c r="FC65" i="19"/>
  <c r="FC76" i="19" s="1"/>
  <c r="FJ171" i="19" l="1"/>
  <c r="FK161" i="19"/>
  <c r="FM125" i="19"/>
  <c r="FN115" i="19"/>
  <c r="FI75" i="19"/>
  <c r="FJ65" i="19"/>
  <c r="FG125" i="19"/>
  <c r="FH115" i="19"/>
  <c r="FF112" i="19"/>
  <c r="FD122" i="19"/>
  <c r="FK124" i="19"/>
  <c r="FL114" i="19"/>
  <c r="FI171" i="19"/>
  <c r="FJ161" i="19"/>
  <c r="FL123" i="19"/>
  <c r="FM113" i="19"/>
  <c r="FK75" i="19"/>
  <c r="FL65" i="19"/>
  <c r="FK171" i="19"/>
  <c r="FL161" i="19"/>
  <c r="FF158" i="19"/>
  <c r="FD168" i="19"/>
  <c r="FG116" i="19"/>
  <c r="FG127" i="19" s="1"/>
  <c r="FF126" i="19"/>
  <c r="FI125" i="19"/>
  <c r="FJ115" i="19"/>
  <c r="FH75" i="19"/>
  <c r="FH79" i="19" s="1"/>
  <c r="FI65" i="19"/>
  <c r="FK125" i="19"/>
  <c r="FL115" i="19"/>
  <c r="FH161" i="19"/>
  <c r="FG171" i="19"/>
  <c r="FH76" i="19"/>
  <c r="FH55" i="19" s="1"/>
  <c r="FH56" i="19" s="1"/>
  <c r="FI66" i="19"/>
  <c r="FI77" i="19" s="1"/>
  <c r="FL169" i="19"/>
  <c r="FM159" i="19"/>
  <c r="FF125" i="19"/>
  <c r="FG115" i="19"/>
  <c r="FG122" i="19"/>
  <c r="FH112" i="19"/>
  <c r="FH66" i="19"/>
  <c r="FH77" i="19" s="1"/>
  <c r="FG76" i="19"/>
  <c r="FK76" i="19"/>
  <c r="FL66" i="19"/>
  <c r="FL77" i="19" s="1"/>
  <c r="FK170" i="19"/>
  <c r="FL160" i="19"/>
  <c r="FF171" i="19"/>
  <c r="FG161" i="19"/>
  <c r="FL170" i="19"/>
  <c r="FM160" i="19"/>
  <c r="FG66" i="19"/>
  <c r="FG77" i="19" s="1"/>
  <c r="FF76" i="19"/>
  <c r="FB158" i="19"/>
  <c r="FB169" i="19" s="1"/>
  <c r="FC66" i="19"/>
  <c r="FC77" i="19" s="1"/>
  <c r="FD65" i="19"/>
  <c r="FD66" i="19"/>
  <c r="FD77" i="19" s="1"/>
  <c r="FD115" i="19"/>
  <c r="FD161" i="19"/>
  <c r="FB66" i="19"/>
  <c r="FB77" i="19" s="1"/>
  <c r="FH57" i="19" l="1"/>
  <c r="FH184" i="19"/>
  <c r="FI76" i="19"/>
  <c r="FJ66" i="19"/>
  <c r="FJ77" i="19" s="1"/>
  <c r="FF123" i="19"/>
  <c r="FG113" i="19"/>
  <c r="FH162" i="19"/>
  <c r="FH173" i="19" s="1"/>
  <c r="FG172" i="19"/>
  <c r="FM170" i="19"/>
  <c r="FN160" i="19"/>
  <c r="FH172" i="19"/>
  <c r="FI162" i="19"/>
  <c r="FI173" i="19" s="1"/>
  <c r="FM124" i="19"/>
  <c r="FN114" i="19"/>
  <c r="FL125" i="19"/>
  <c r="FM115" i="19"/>
  <c r="FM100" i="19" s="1"/>
  <c r="FH126" i="19"/>
  <c r="FI116" i="19"/>
  <c r="FI127" i="19" s="1"/>
  <c r="FI79" i="19"/>
  <c r="FI55" i="19"/>
  <c r="FI56" i="19" s="1"/>
  <c r="FK172" i="19"/>
  <c r="FL162" i="19"/>
  <c r="FH53" i="19"/>
  <c r="FH80" i="19" s="1"/>
  <c r="FH123" i="19"/>
  <c r="FI113" i="19"/>
  <c r="FL126" i="19"/>
  <c r="FM116" i="19"/>
  <c r="FM127" i="19" s="1"/>
  <c r="FJ126" i="19"/>
  <c r="FK116" i="19"/>
  <c r="FK127" i="19" s="1"/>
  <c r="FL76" i="19"/>
  <c r="FM66" i="19"/>
  <c r="FL53" i="19"/>
  <c r="FJ172" i="19"/>
  <c r="FK162" i="19"/>
  <c r="FN126" i="19"/>
  <c r="FO116" i="19"/>
  <c r="FO127" i="19" s="1"/>
  <c r="FF116" i="19"/>
  <c r="FF127" i="19" s="1"/>
  <c r="FD126" i="19"/>
  <c r="FG126" i="19"/>
  <c r="FH116" i="19"/>
  <c r="FH127" i="19" s="1"/>
  <c r="FJ76" i="19"/>
  <c r="FK66" i="19"/>
  <c r="FJ53" i="19"/>
  <c r="FD76" i="19"/>
  <c r="FF66" i="19"/>
  <c r="FF162" i="19"/>
  <c r="FF173" i="19" s="1"/>
  <c r="FD172" i="19"/>
  <c r="FM171" i="19"/>
  <c r="FN161" i="19"/>
  <c r="FL171" i="19"/>
  <c r="FM161" i="19"/>
  <c r="FG79" i="19"/>
  <c r="FG55" i="19"/>
  <c r="FG56" i="19" s="1"/>
  <c r="FG159" i="19"/>
  <c r="FF169" i="19"/>
  <c r="FL172" i="19"/>
  <c r="FM162" i="19"/>
  <c r="FM173" i="19" s="1"/>
  <c r="FI53" i="19"/>
  <c r="FG53" i="19"/>
  <c r="FD53" i="19"/>
  <c r="FC79" i="19"/>
  <c r="FC53" i="19"/>
  <c r="FC55" i="19"/>
  <c r="FC56" i="19" s="1"/>
  <c r="FC159" i="19"/>
  <c r="FC170" i="19" s="1"/>
  <c r="FB79" i="19"/>
  <c r="FB53" i="19"/>
  <c r="FI57" i="19" l="1"/>
  <c r="FI184" i="19"/>
  <c r="FN171" i="19"/>
  <c r="FO161" i="19"/>
  <c r="FK77" i="19"/>
  <c r="FK53" i="19"/>
  <c r="FK173" i="19"/>
  <c r="FK148" i="19" s="1"/>
  <c r="FK149" i="19" s="1"/>
  <c r="FK146" i="19"/>
  <c r="FI80" i="19"/>
  <c r="FM148" i="19"/>
  <c r="FM149" i="19" s="1"/>
  <c r="FF100" i="19"/>
  <c r="FM172" i="19"/>
  <c r="FM178" i="19" s="1"/>
  <c r="FM179" i="19" s="1"/>
  <c r="FN162" i="19"/>
  <c r="FN173" i="19" s="1"/>
  <c r="FF77" i="19"/>
  <c r="FF53" i="19"/>
  <c r="FJ55" i="19"/>
  <c r="FJ56" i="19" s="1"/>
  <c r="FJ79" i="19"/>
  <c r="FJ80" i="19" s="1"/>
  <c r="FM77" i="19"/>
  <c r="FM53" i="19"/>
  <c r="FL173" i="19"/>
  <c r="FL178" i="19" s="1"/>
  <c r="FL179" i="19" s="1"/>
  <c r="FL146" i="19"/>
  <c r="FG124" i="19"/>
  <c r="FH114" i="19"/>
  <c r="FG100" i="19"/>
  <c r="FM126" i="19"/>
  <c r="FM102" i="19" s="1"/>
  <c r="FM103" i="19" s="1"/>
  <c r="FN116" i="19"/>
  <c r="FN127" i="19" s="1"/>
  <c r="FG57" i="19"/>
  <c r="FG184" i="19"/>
  <c r="FN172" i="19"/>
  <c r="FO162" i="19"/>
  <c r="FO173" i="19" s="1"/>
  <c r="FC57" i="19"/>
  <c r="FC184" i="19"/>
  <c r="FH160" i="19"/>
  <c r="FG170" i="19"/>
  <c r="FG80" i="19"/>
  <c r="FL79" i="19"/>
  <c r="FL80" i="19" s="1"/>
  <c r="FL55" i="19"/>
  <c r="FL56" i="19" s="1"/>
  <c r="FI124" i="19"/>
  <c r="FJ114" i="19"/>
  <c r="FN125" i="19"/>
  <c r="FO115" i="19"/>
  <c r="FM146" i="19"/>
  <c r="FF132" i="19"/>
  <c r="FF133" i="19" s="1"/>
  <c r="FF102" i="19"/>
  <c r="FF103" i="19" s="1"/>
  <c r="FC80" i="19"/>
  <c r="FB80" i="19"/>
  <c r="FD160" i="19"/>
  <c r="FB55" i="19"/>
  <c r="FB56" i="19" s="1"/>
  <c r="FM104" i="19" l="1"/>
  <c r="FM185" i="19"/>
  <c r="FN146" i="19"/>
  <c r="FI161" i="19"/>
  <c r="FH171" i="19"/>
  <c r="FH146" i="19"/>
  <c r="FH125" i="19"/>
  <c r="FI115" i="19"/>
  <c r="FH100" i="19"/>
  <c r="FJ57" i="19"/>
  <c r="FJ184" i="19"/>
  <c r="FK150" i="19"/>
  <c r="FK186" i="19"/>
  <c r="FO172" i="19"/>
  <c r="FP162" i="19"/>
  <c r="FO146" i="19"/>
  <c r="FK178" i="19"/>
  <c r="FK179" i="19" s="1"/>
  <c r="FL57" i="19"/>
  <c r="FL184" i="19"/>
  <c r="FF104" i="19"/>
  <c r="FF185" i="19"/>
  <c r="FJ125" i="19"/>
  <c r="FK115" i="19"/>
  <c r="FG132" i="19"/>
  <c r="FG133" i="19" s="1"/>
  <c r="FG102" i="19"/>
  <c r="FG103" i="19" s="1"/>
  <c r="FM55" i="19"/>
  <c r="FM56" i="19" s="1"/>
  <c r="FM79" i="19"/>
  <c r="FM80" i="19" s="1"/>
  <c r="FM132" i="19"/>
  <c r="FM133" i="19" s="1"/>
  <c r="FN178" i="19"/>
  <c r="FN148" i="19"/>
  <c r="FN149" i="19" s="1"/>
  <c r="FL148" i="19"/>
  <c r="FL149" i="19" s="1"/>
  <c r="FN132" i="19"/>
  <c r="FN102" i="19"/>
  <c r="FN103" i="19" s="1"/>
  <c r="FM150" i="19"/>
  <c r="FM186" i="19"/>
  <c r="FB57" i="19"/>
  <c r="FB184" i="19"/>
  <c r="FN100" i="19"/>
  <c r="FF161" i="19"/>
  <c r="FD171" i="19"/>
  <c r="FO126" i="19"/>
  <c r="FP116" i="19"/>
  <c r="FO100" i="19"/>
  <c r="FF55" i="19"/>
  <c r="FF56" i="19" s="1"/>
  <c r="FF79" i="19"/>
  <c r="FF80" i="19" s="1"/>
  <c r="FK79" i="19"/>
  <c r="FK80" i="19" s="1"/>
  <c r="FK55" i="19"/>
  <c r="FK56" i="19" s="1"/>
  <c r="ET11" i="19"/>
  <c r="ES11" i="19"/>
  <c r="FP127" i="19" l="1"/>
  <c r="FP100" i="19"/>
  <c r="FK126" i="19"/>
  <c r="FL116" i="19"/>
  <c r="FK100" i="19"/>
  <c r="FP173" i="19"/>
  <c r="FP146" i="19"/>
  <c r="FH132" i="19"/>
  <c r="FH133" i="19" s="1"/>
  <c r="FH102" i="19"/>
  <c r="FH103" i="19" s="1"/>
  <c r="FK57" i="19"/>
  <c r="FK184" i="19"/>
  <c r="FO132" i="19"/>
  <c r="FO133" i="19" s="1"/>
  <c r="FO102" i="19"/>
  <c r="FO103" i="19" s="1"/>
  <c r="FN104" i="19"/>
  <c r="FN185" i="19"/>
  <c r="FN179" i="19"/>
  <c r="FG104" i="19"/>
  <c r="FG185" i="19"/>
  <c r="FO148" i="19"/>
  <c r="FO149" i="19" s="1"/>
  <c r="FO178" i="19"/>
  <c r="FO179" i="19" s="1"/>
  <c r="FN150" i="19"/>
  <c r="FN186" i="19"/>
  <c r="FN133" i="19"/>
  <c r="FH148" i="19"/>
  <c r="FH149" i="19" s="1"/>
  <c r="FH178" i="19"/>
  <c r="FH179" i="19" s="1"/>
  <c r="FF57" i="19"/>
  <c r="FF184" i="19"/>
  <c r="FM57" i="19"/>
  <c r="FM184" i="19"/>
  <c r="ET15" i="19"/>
  <c r="ET26" i="19" s="1"/>
  <c r="FG162" i="19"/>
  <c r="FF172" i="19"/>
  <c r="FF146" i="19"/>
  <c r="FL150" i="19"/>
  <c r="FL186" i="19"/>
  <c r="FI126" i="19"/>
  <c r="FJ116" i="19"/>
  <c r="FI100" i="19"/>
  <c r="FI172" i="19"/>
  <c r="FJ162" i="19"/>
  <c r="FI146" i="19"/>
  <c r="EU16" i="19"/>
  <c r="EU27" i="19" s="1"/>
  <c r="FJ127" i="19" l="1"/>
  <c r="FJ100" i="19"/>
  <c r="FL127" i="19"/>
  <c r="FL100" i="19"/>
  <c r="FJ173" i="19"/>
  <c r="FJ146" i="19"/>
  <c r="FI102" i="19"/>
  <c r="FI103" i="19" s="1"/>
  <c r="FI132" i="19"/>
  <c r="FI133" i="19" s="1"/>
  <c r="FF148" i="19"/>
  <c r="FF149" i="19" s="1"/>
  <c r="FF178" i="19"/>
  <c r="FF179" i="19" s="1"/>
  <c r="FH150" i="19"/>
  <c r="FH186" i="19"/>
  <c r="FK102" i="19"/>
  <c r="FK103" i="19" s="1"/>
  <c r="FK132" i="19"/>
  <c r="FK133" i="19" s="1"/>
  <c r="FI178" i="19"/>
  <c r="FI179" i="19" s="1"/>
  <c r="FI148" i="19"/>
  <c r="FI149" i="19" s="1"/>
  <c r="FG173" i="19"/>
  <c r="FG146" i="19"/>
  <c r="FP148" i="19"/>
  <c r="FP149" i="19" s="1"/>
  <c r="FP178" i="19"/>
  <c r="FP179" i="19" s="1"/>
  <c r="FO150" i="19"/>
  <c r="FO186" i="19"/>
  <c r="FO104" i="19"/>
  <c r="FO185" i="19"/>
  <c r="FO187" i="19" s="1"/>
  <c r="FH104" i="19"/>
  <c r="FH185" i="19"/>
  <c r="FP102" i="19"/>
  <c r="FP103" i="19" s="1"/>
  <c r="FP132" i="19"/>
  <c r="FP133" i="19" s="1"/>
  <c r="EV17" i="19"/>
  <c r="EV28" i="19" s="1"/>
  <c r="FP150" i="19" l="1"/>
  <c r="FP186" i="19"/>
  <c r="FI104" i="19"/>
  <c r="FI185" i="19"/>
  <c r="FL102" i="19"/>
  <c r="FL103" i="19" s="1"/>
  <c r="FL132" i="19"/>
  <c r="FL133" i="19" s="1"/>
  <c r="FP104" i="19"/>
  <c r="FP185" i="19"/>
  <c r="FP187" i="19" s="1"/>
  <c r="FG178" i="19"/>
  <c r="FG179" i="19" s="1"/>
  <c r="FG148" i="19"/>
  <c r="FG149" i="19" s="1"/>
  <c r="FI150" i="19"/>
  <c r="FI186" i="19"/>
  <c r="FK104" i="19"/>
  <c r="FK185" i="19"/>
  <c r="FF150" i="19"/>
  <c r="FF186" i="19"/>
  <c r="FJ178" i="19"/>
  <c r="FJ179" i="19" s="1"/>
  <c r="FJ148" i="19"/>
  <c r="FJ149" i="19" s="1"/>
  <c r="FJ102" i="19"/>
  <c r="FJ103" i="19" s="1"/>
  <c r="FJ132" i="19"/>
  <c r="FJ133" i="19" s="1"/>
  <c r="EW18" i="19"/>
  <c r="EW29" i="19" s="1"/>
  <c r="FJ104" i="19" l="1"/>
  <c r="FJ185" i="19"/>
  <c r="FG150" i="19"/>
  <c r="FG186" i="19"/>
  <c r="FJ150" i="19"/>
  <c r="FJ186" i="19"/>
  <c r="FL104" i="19"/>
  <c r="FL185" i="19"/>
  <c r="EX19" i="19"/>
  <c r="EY20" i="19" l="1"/>
  <c r="EX30" i="19"/>
  <c r="EX11" i="19"/>
  <c r="EY11" i="19"/>
  <c r="EZ15" i="19" s="1"/>
  <c r="EZ11" i="19"/>
  <c r="FD11" i="19"/>
  <c r="FF15" i="19" s="1"/>
  <c r="FC11" i="19"/>
  <c r="FB11" i="19"/>
  <c r="FA11" i="19"/>
  <c r="EW11" i="19"/>
  <c r="EX15" i="19" s="1"/>
  <c r="EV11" i="19"/>
  <c r="EU11" i="19"/>
  <c r="FA16" i="19" l="1"/>
  <c r="EZ26" i="19"/>
  <c r="FD15" i="19"/>
  <c r="EY16" i="19"/>
  <c r="EX26" i="19"/>
  <c r="FG16" i="19"/>
  <c r="FF26" i="19"/>
  <c r="FB15" i="19"/>
  <c r="FB26" i="19" s="1"/>
  <c r="EZ21" i="19"/>
  <c r="EY31" i="19"/>
  <c r="FA15" i="19"/>
  <c r="EV15" i="19"/>
  <c r="EV26" i="19" s="1"/>
  <c r="EU15" i="19"/>
  <c r="EU26" i="19" s="1"/>
  <c r="FC16" i="19"/>
  <c r="FC27" i="19" s="1"/>
  <c r="EW15" i="19"/>
  <c r="EW26" i="19" s="1"/>
  <c r="FC15" i="19"/>
  <c r="FC26" i="19" s="1"/>
  <c r="EY15" i="19"/>
  <c r="EZ16" i="19" l="1"/>
  <c r="EY26" i="19"/>
  <c r="EZ17" i="19"/>
  <c r="EY27" i="19"/>
  <c r="FF16" i="19"/>
  <c r="FD26" i="19"/>
  <c r="FA22" i="19"/>
  <c r="EZ32" i="19"/>
  <c r="FG27" i="19"/>
  <c r="FH17" i="19"/>
  <c r="FB16" i="19"/>
  <c r="FB27" i="19" s="1"/>
  <c r="FA26" i="19"/>
  <c r="FB17" i="19"/>
  <c r="FA27" i="19"/>
  <c r="EW16" i="19"/>
  <c r="EW27" i="19" s="1"/>
  <c r="FC17" i="19"/>
  <c r="FC28" i="19" s="1"/>
  <c r="FD16" i="19"/>
  <c r="FD17" i="19"/>
  <c r="EX16" i="19"/>
  <c r="EV16" i="19"/>
  <c r="EV27" i="19" s="1"/>
  <c r="FB28" i="19" l="1"/>
  <c r="FC18" i="19"/>
  <c r="FG17" i="19"/>
  <c r="FF27" i="19"/>
  <c r="FA18" i="19"/>
  <c r="EZ28" i="19"/>
  <c r="EY17" i="19"/>
  <c r="EX27" i="19"/>
  <c r="FF18" i="19"/>
  <c r="FD28" i="19"/>
  <c r="FF17" i="19"/>
  <c r="FD27" i="19"/>
  <c r="FH28" i="19"/>
  <c r="FI18" i="19"/>
  <c r="FB23" i="19"/>
  <c r="FB34" i="19" s="1"/>
  <c r="FA33" i="19"/>
  <c r="FA17" i="19"/>
  <c r="EZ27" i="19"/>
  <c r="FD18" i="19"/>
  <c r="EW17" i="19"/>
  <c r="EW28" i="19" s="1"/>
  <c r="EX17" i="19"/>
  <c r="FB18" i="19" l="1"/>
  <c r="FA28" i="19"/>
  <c r="FI29" i="19"/>
  <c r="FJ19" i="19"/>
  <c r="FG28" i="19"/>
  <c r="FH18" i="19"/>
  <c r="FF19" i="19"/>
  <c r="FD29" i="19"/>
  <c r="FG19" i="19"/>
  <c r="FF29" i="19"/>
  <c r="FB19" i="19"/>
  <c r="FA29" i="19"/>
  <c r="EY18" i="19"/>
  <c r="EX28" i="19"/>
  <c r="FG18" i="19"/>
  <c r="FF28" i="19"/>
  <c r="EZ18" i="19"/>
  <c r="EY28" i="19"/>
  <c r="FC29" i="19"/>
  <c r="FD19" i="19"/>
  <c r="EX18" i="19"/>
  <c r="FA19" i="19" l="1"/>
  <c r="EZ29" i="19"/>
  <c r="EZ19" i="19"/>
  <c r="EY29" i="19"/>
  <c r="FG30" i="19"/>
  <c r="FH20" i="19"/>
  <c r="FG20" i="19"/>
  <c r="FF30" i="19"/>
  <c r="FJ30" i="19"/>
  <c r="FK20" i="19"/>
  <c r="FB29" i="19"/>
  <c r="FC19" i="19"/>
  <c r="EY19" i="19"/>
  <c r="EX29" i="19"/>
  <c r="FG29" i="19"/>
  <c r="FH19" i="19"/>
  <c r="FB30" i="19"/>
  <c r="FC20" i="19"/>
  <c r="FH29" i="19"/>
  <c r="FI19" i="19"/>
  <c r="FF20" i="19"/>
  <c r="FD30" i="19"/>
  <c r="FC31" i="19" l="1"/>
  <c r="FD21" i="19"/>
  <c r="FG21" i="19"/>
  <c r="FF31" i="19"/>
  <c r="EZ20" i="19"/>
  <c r="EY30" i="19"/>
  <c r="FK31" i="19"/>
  <c r="FL21" i="19"/>
  <c r="FG31" i="19"/>
  <c r="FH21" i="19"/>
  <c r="FA20" i="19"/>
  <c r="EZ30" i="19"/>
  <c r="FI30" i="19"/>
  <c r="FJ20" i="19"/>
  <c r="FH30" i="19"/>
  <c r="FI20" i="19"/>
  <c r="FC30" i="19"/>
  <c r="FD20" i="19"/>
  <c r="FH31" i="19"/>
  <c r="FI21" i="19"/>
  <c r="FB20" i="19"/>
  <c r="FA30" i="19"/>
  <c r="FI31" i="19" l="1"/>
  <c r="FJ21" i="19"/>
  <c r="FL32" i="19"/>
  <c r="FM22" i="19"/>
  <c r="FA21" i="19"/>
  <c r="EZ31" i="19"/>
  <c r="FB31" i="19"/>
  <c r="FC21" i="19"/>
  <c r="FI32" i="19"/>
  <c r="FJ22" i="19"/>
  <c r="FF21" i="19"/>
  <c r="FD31" i="19"/>
  <c r="FB21" i="19"/>
  <c r="FA31" i="19"/>
  <c r="FD32" i="19"/>
  <c r="FF22" i="19"/>
  <c r="FJ31" i="19"/>
  <c r="FK21" i="19"/>
  <c r="FH32" i="19"/>
  <c r="FI22" i="19"/>
  <c r="FH22" i="19"/>
  <c r="FG32" i="19"/>
  <c r="S90" i="26"/>
  <c r="T90" i="26" s="1"/>
  <c r="U90" i="26" s="1"/>
  <c r="V90" i="26" s="1"/>
  <c r="S91" i="26"/>
  <c r="T91" i="26" s="1"/>
  <c r="U91" i="26" s="1"/>
  <c r="V91" i="26" s="1"/>
  <c r="S89" i="26"/>
  <c r="T89" i="26" s="1"/>
  <c r="U89" i="26" s="1"/>
  <c r="V89" i="26" s="1"/>
  <c r="K92" i="26"/>
  <c r="L13" i="26"/>
  <c r="K13" i="26"/>
  <c r="J13" i="26"/>
  <c r="I13" i="26"/>
  <c r="H13" i="26"/>
  <c r="FK32" i="19" l="1"/>
  <c r="FL22" i="19"/>
  <c r="FG22" i="19"/>
  <c r="FF32" i="19"/>
  <c r="FM33" i="19"/>
  <c r="FN23" i="19"/>
  <c r="FI33" i="19"/>
  <c r="FJ23" i="19"/>
  <c r="FJ34" i="19" s="1"/>
  <c r="FJ12" i="19"/>
  <c r="FJ13" i="19" s="1"/>
  <c r="FB32" i="19"/>
  <c r="FC22" i="19"/>
  <c r="FJ33" i="19"/>
  <c r="FK23" i="19"/>
  <c r="FK34" i="19" s="1"/>
  <c r="FC32" i="19"/>
  <c r="FD22" i="19"/>
  <c r="FH33" i="19"/>
  <c r="FI23" i="19"/>
  <c r="FG23" i="19"/>
  <c r="FF33" i="19"/>
  <c r="FJ32" i="19"/>
  <c r="FJ36" i="19" s="1"/>
  <c r="FJ37" i="19" s="1"/>
  <c r="FK22" i="19"/>
  <c r="FJ10" i="19"/>
  <c r="FB10" i="19"/>
  <c r="FB22" i="19"/>
  <c r="FA32" i="19"/>
  <c r="N85" i="26"/>
  <c r="N117" i="26" s="1"/>
  <c r="N41" i="26"/>
  <c r="K85" i="26"/>
  <c r="K117" i="26" s="1"/>
  <c r="K41" i="26"/>
  <c r="O85" i="26"/>
  <c r="O119" i="26" s="1"/>
  <c r="O41" i="26"/>
  <c r="L85" i="26"/>
  <c r="S101" i="26" s="1"/>
  <c r="L41" i="26"/>
  <c r="M85" i="26"/>
  <c r="M102" i="26" s="1"/>
  <c r="M41" i="26"/>
  <c r="N119" i="26"/>
  <c r="U102" i="26"/>
  <c r="M92" i="26"/>
  <c r="L92" i="26"/>
  <c r="N92" i="26"/>
  <c r="J187" i="26"/>
  <c r="N172" i="26"/>
  <c r="M172" i="26"/>
  <c r="L172" i="26"/>
  <c r="K172" i="26"/>
  <c r="J172" i="26"/>
  <c r="L7" i="26"/>
  <c r="K7" i="26"/>
  <c r="J7" i="26"/>
  <c r="I7" i="26"/>
  <c r="H7" i="26"/>
  <c r="G7" i="26"/>
  <c r="L20" i="26"/>
  <c r="FC10" i="19" l="1"/>
  <c r="FG34" i="19"/>
  <c r="FG10" i="19"/>
  <c r="FI34" i="19"/>
  <c r="FI12" i="19" s="1"/>
  <c r="FI13" i="19" s="1"/>
  <c r="FI10" i="19"/>
  <c r="FJ14" i="19"/>
  <c r="FJ183" i="19"/>
  <c r="FJ187" i="19" s="1"/>
  <c r="FB33" i="19"/>
  <c r="FB36" i="19" s="1"/>
  <c r="FB37" i="19" s="1"/>
  <c r="FC23" i="19"/>
  <c r="FN34" i="19"/>
  <c r="FN10" i="19"/>
  <c r="FG33" i="19"/>
  <c r="FG12" i="19" s="1"/>
  <c r="FG13" i="19" s="1"/>
  <c r="FH23" i="19"/>
  <c r="FI36" i="19"/>
  <c r="FI37" i="19" s="1"/>
  <c r="FL33" i="19"/>
  <c r="FM23" i="19"/>
  <c r="FK33" i="19"/>
  <c r="FK36" i="19" s="1"/>
  <c r="FK37" i="19" s="1"/>
  <c r="FL23" i="19"/>
  <c r="FL34" i="19" s="1"/>
  <c r="FD33" i="19"/>
  <c r="FF23" i="19"/>
  <c r="FC33" i="19"/>
  <c r="FD23" i="19"/>
  <c r="FK10" i="19"/>
  <c r="O102" i="26"/>
  <c r="K119" i="26"/>
  <c r="O117" i="26"/>
  <c r="V101" i="26"/>
  <c r="U103" i="26"/>
  <c r="N103" i="26"/>
  <c r="K118" i="26"/>
  <c r="T101" i="26"/>
  <c r="L102" i="26"/>
  <c r="K103" i="26"/>
  <c r="L101" i="26"/>
  <c r="K102" i="26"/>
  <c r="T103" i="26"/>
  <c r="K232" i="26"/>
  <c r="K234" i="26" s="1"/>
  <c r="G52" i="18" s="1"/>
  <c r="M117" i="26"/>
  <c r="M119" i="26"/>
  <c r="L103" i="26"/>
  <c r="N102" i="26"/>
  <c r="M103" i="26"/>
  <c r="V103" i="26"/>
  <c r="K101" i="26"/>
  <c r="R101" i="26"/>
  <c r="M101" i="26"/>
  <c r="M104" i="26" s="1"/>
  <c r="M118" i="26"/>
  <c r="S102" i="26"/>
  <c r="U101" i="26"/>
  <c r="N118" i="26"/>
  <c r="N101" i="26"/>
  <c r="O101" i="26"/>
  <c r="R103" i="26"/>
  <c r="R102" i="26"/>
  <c r="T102" i="26"/>
  <c r="S103" i="26"/>
  <c r="L117" i="26"/>
  <c r="L118" i="26"/>
  <c r="L61" i="26"/>
  <c r="L66" i="26"/>
  <c r="L77" i="26" s="1"/>
  <c r="L64" i="26"/>
  <c r="L75" i="26" s="1"/>
  <c r="L62" i="26"/>
  <c r="L73" i="26" s="1"/>
  <c r="L63" i="26"/>
  <c r="L74" i="26" s="1"/>
  <c r="L65" i="26"/>
  <c r="L76" i="26" s="1"/>
  <c r="K64" i="26"/>
  <c r="K61" i="26"/>
  <c r="K63" i="26"/>
  <c r="K66" i="26"/>
  <c r="K62" i="26"/>
  <c r="K65" i="26"/>
  <c r="L119" i="26"/>
  <c r="M62" i="26"/>
  <c r="M73" i="26" s="1"/>
  <c r="M64" i="26"/>
  <c r="M75" i="26" s="1"/>
  <c r="M63" i="26"/>
  <c r="M74" i="26" s="1"/>
  <c r="M65" i="26"/>
  <c r="M76" i="26" s="1"/>
  <c r="M66" i="26"/>
  <c r="M77" i="26" s="1"/>
  <c r="M61" i="26"/>
  <c r="O64" i="26"/>
  <c r="O75" i="26" s="1"/>
  <c r="O66" i="26"/>
  <c r="O77" i="26" s="1"/>
  <c r="O65" i="26"/>
  <c r="O76" i="26" s="1"/>
  <c r="O62" i="26"/>
  <c r="O73" i="26" s="1"/>
  <c r="O63" i="26"/>
  <c r="O74" i="26" s="1"/>
  <c r="O61" i="26"/>
  <c r="N62" i="26"/>
  <c r="N66" i="26"/>
  <c r="N64" i="26"/>
  <c r="N63" i="26"/>
  <c r="N65" i="26"/>
  <c r="N61" i="26"/>
  <c r="L307" i="26"/>
  <c r="L309" i="26" s="1"/>
  <c r="L310" i="26" s="1"/>
  <c r="I32" i="18" s="1"/>
  <c r="M232" i="26"/>
  <c r="M234" i="26" s="1"/>
  <c r="I52" i="18" s="1"/>
  <c r="K307" i="26"/>
  <c r="K309" i="26" s="1"/>
  <c r="K310" i="26" s="1"/>
  <c r="H32" i="18" s="1"/>
  <c r="L232" i="26"/>
  <c r="L234" i="26" s="1"/>
  <c r="H52" i="18" s="1"/>
  <c r="M307" i="26"/>
  <c r="M309" i="26" s="1"/>
  <c r="M310" i="26" s="1"/>
  <c r="J32" i="18" s="1"/>
  <c r="N232" i="26"/>
  <c r="N234" i="26" s="1"/>
  <c r="J52" i="18" s="1"/>
  <c r="N307" i="26"/>
  <c r="N309" i="26" s="1"/>
  <c r="N310" i="26" s="1"/>
  <c r="K32" i="18" s="1"/>
  <c r="O232" i="26"/>
  <c r="O234" i="26" s="1"/>
  <c r="K52" i="18" s="1"/>
  <c r="J191" i="26"/>
  <c r="J307" i="26"/>
  <c r="J309" i="26" s="1"/>
  <c r="J310" i="26" s="1"/>
  <c r="G32" i="18" s="1"/>
  <c r="L136" i="26"/>
  <c r="M243" i="26" s="1"/>
  <c r="L353" i="26"/>
  <c r="L355" i="26" s="1"/>
  <c r="L356" i="26" s="1"/>
  <c r="I44" i="18" s="1"/>
  <c r="M136" i="26"/>
  <c r="N243" i="26" s="1"/>
  <c r="M353" i="26"/>
  <c r="M355" i="26" s="1"/>
  <c r="M356" i="26" s="1"/>
  <c r="J44" i="18" s="1"/>
  <c r="J136" i="26"/>
  <c r="K243" i="26" s="1"/>
  <c r="J353" i="26"/>
  <c r="J355" i="26" s="1"/>
  <c r="J356" i="26" s="1"/>
  <c r="G44" i="18" s="1"/>
  <c r="N136" i="26"/>
  <c r="O243" i="26" s="1"/>
  <c r="N353" i="26"/>
  <c r="N355" i="26" s="1"/>
  <c r="N356" i="26" s="1"/>
  <c r="K44" i="18" s="1"/>
  <c r="K136" i="26"/>
  <c r="L243" i="26" s="1"/>
  <c r="K353" i="26"/>
  <c r="K355" i="26" s="1"/>
  <c r="K356" i="26" s="1"/>
  <c r="H44" i="18" s="1"/>
  <c r="V102" i="26"/>
  <c r="O118" i="26"/>
  <c r="K120" i="26"/>
  <c r="J192" i="26"/>
  <c r="N120" i="26"/>
  <c r="J193" i="26"/>
  <c r="J190" i="26"/>
  <c r="O103" i="26"/>
  <c r="O92" i="26"/>
  <c r="K193" i="26"/>
  <c r="K192" i="26"/>
  <c r="K191" i="26"/>
  <c r="L191" i="26"/>
  <c r="L192" i="26"/>
  <c r="L190" i="26"/>
  <c r="K190" i="26"/>
  <c r="M190" i="26"/>
  <c r="N190" i="26"/>
  <c r="N193" i="26"/>
  <c r="M193" i="26"/>
  <c r="M192" i="26"/>
  <c r="N192" i="26"/>
  <c r="L193" i="26"/>
  <c r="M191" i="26"/>
  <c r="FI14" i="19" l="1"/>
  <c r="FI183" i="19"/>
  <c r="FI187" i="19" s="1"/>
  <c r="FD10" i="19"/>
  <c r="FD34" i="19"/>
  <c r="FL36" i="19"/>
  <c r="FL12" i="19"/>
  <c r="FL13" i="19" s="1"/>
  <c r="FH34" i="19"/>
  <c r="FH10" i="19"/>
  <c r="FC34" i="19"/>
  <c r="FC12" i="19" s="1"/>
  <c r="FC13" i="19" s="1"/>
  <c r="FB12" i="19"/>
  <c r="FB13" i="19" s="1"/>
  <c r="FF34" i="19"/>
  <c r="FF10" i="19"/>
  <c r="FK12" i="19"/>
  <c r="FK13" i="19" s="1"/>
  <c r="FM34" i="19"/>
  <c r="FM10" i="19"/>
  <c r="FN12" i="19"/>
  <c r="FN13" i="19" s="1"/>
  <c r="FN36" i="19"/>
  <c r="FN37" i="19" s="1"/>
  <c r="FL10" i="19"/>
  <c r="FG14" i="19"/>
  <c r="FG183" i="19"/>
  <c r="FG187" i="19" s="1"/>
  <c r="FG36" i="19"/>
  <c r="FG37" i="19" s="1"/>
  <c r="O120" i="26"/>
  <c r="R104" i="26"/>
  <c r="T104" i="26"/>
  <c r="U104" i="26"/>
  <c r="V104" i="26"/>
  <c r="K104" i="26"/>
  <c r="S104" i="26"/>
  <c r="J155" i="26"/>
  <c r="L104" i="26"/>
  <c r="M120" i="26"/>
  <c r="L120" i="26"/>
  <c r="N104" i="26"/>
  <c r="J156" i="26"/>
  <c r="K67" i="26"/>
  <c r="K68" i="26" s="1"/>
  <c r="N67" i="26"/>
  <c r="N68" i="26" s="1"/>
  <c r="M67" i="26"/>
  <c r="M68" i="26" s="1"/>
  <c r="M72" i="26"/>
  <c r="M78" i="26" s="1"/>
  <c r="O72" i="26"/>
  <c r="O78" i="26" s="1"/>
  <c r="O67" i="26"/>
  <c r="O68" i="26" s="1"/>
  <c r="L72" i="26"/>
  <c r="L78" i="26" s="1"/>
  <c r="L67" i="26"/>
  <c r="L68" i="26" s="1"/>
  <c r="M296" i="26"/>
  <c r="M294" i="26"/>
  <c r="M295" i="26"/>
  <c r="O295" i="26"/>
  <c r="O296" i="26"/>
  <c r="O294" i="26"/>
  <c r="N295" i="26"/>
  <c r="N296" i="26"/>
  <c r="N294" i="26"/>
  <c r="K156" i="26"/>
  <c r="J157" i="26"/>
  <c r="M275" i="26"/>
  <c r="M274" i="26"/>
  <c r="M261" i="26"/>
  <c r="M268" i="26" s="1"/>
  <c r="M262" i="26"/>
  <c r="M269" i="26" s="1"/>
  <c r="M260" i="26"/>
  <c r="M276" i="26"/>
  <c r="O275" i="26"/>
  <c r="O262" i="26"/>
  <c r="O260" i="26"/>
  <c r="O261" i="26"/>
  <c r="O276" i="26"/>
  <c r="O274" i="26"/>
  <c r="N276" i="26"/>
  <c r="N274" i="26"/>
  <c r="N261" i="26"/>
  <c r="N260" i="26"/>
  <c r="N275" i="26"/>
  <c r="N262" i="26"/>
  <c r="K155" i="26"/>
  <c r="K154" i="26"/>
  <c r="K157" i="26"/>
  <c r="J194" i="26"/>
  <c r="O104" i="26"/>
  <c r="N187" i="26"/>
  <c r="M187" i="26"/>
  <c r="K187" i="26"/>
  <c r="L187" i="26"/>
  <c r="K194" i="26"/>
  <c r="N191" i="26"/>
  <c r="FM12" i="19" l="1"/>
  <c r="FM13" i="19" s="1"/>
  <c r="FM36" i="19"/>
  <c r="FM37" i="19" s="1"/>
  <c r="FF12" i="19"/>
  <c r="FF13" i="19" s="1"/>
  <c r="FF36" i="19"/>
  <c r="FF37" i="19" s="1"/>
  <c r="FB14" i="19"/>
  <c r="FB183" i="19"/>
  <c r="FH36" i="19"/>
  <c r="FH37" i="19" s="1"/>
  <c r="FH12" i="19"/>
  <c r="FH13" i="19" s="1"/>
  <c r="FN14" i="19"/>
  <c r="FN183" i="19"/>
  <c r="FN187" i="19" s="1"/>
  <c r="FK14" i="19"/>
  <c r="FK183" i="19"/>
  <c r="FK187" i="19" s="1"/>
  <c r="FL14" i="19"/>
  <c r="FL183" i="19"/>
  <c r="FL187" i="19" s="1"/>
  <c r="FC14" i="19"/>
  <c r="FC183" i="19"/>
  <c r="FC36" i="19"/>
  <c r="FC37" i="19" s="1"/>
  <c r="FL37" i="19"/>
  <c r="O79" i="26"/>
  <c r="K27" i="18"/>
  <c r="L79" i="26"/>
  <c r="H27" i="18"/>
  <c r="M297" i="26"/>
  <c r="I27" i="18"/>
  <c r="M79" i="26"/>
  <c r="M277" i="26"/>
  <c r="L294" i="26"/>
  <c r="L295" i="26"/>
  <c r="L296" i="26"/>
  <c r="N297" i="26"/>
  <c r="O297" i="26"/>
  <c r="O277" i="26"/>
  <c r="K295" i="26"/>
  <c r="K296" i="26"/>
  <c r="K294" i="26"/>
  <c r="N263" i="26"/>
  <c r="L261" i="26"/>
  <c r="L268" i="26" s="1"/>
  <c r="L274" i="26"/>
  <c r="L275" i="26"/>
  <c r="L262" i="26"/>
  <c r="L269" i="26" s="1"/>
  <c r="L260" i="26"/>
  <c r="L276" i="26"/>
  <c r="K275" i="26"/>
  <c r="K262" i="26"/>
  <c r="K276" i="26"/>
  <c r="K260" i="26"/>
  <c r="K274" i="26"/>
  <c r="K261" i="26"/>
  <c r="N277" i="26"/>
  <c r="O263" i="26"/>
  <c r="M267" i="26"/>
  <c r="M270" i="26" s="1"/>
  <c r="M281" i="26"/>
  <c r="M282" i="26" s="1"/>
  <c r="M263" i="26"/>
  <c r="L194" i="26"/>
  <c r="FH14" i="19" l="1"/>
  <c r="FH183" i="19"/>
  <c r="FH187" i="19" s="1"/>
  <c r="FF14" i="19"/>
  <c r="FF183" i="19"/>
  <c r="FF187" i="19" s="1"/>
  <c r="FM14" i="19"/>
  <c r="FM183" i="19"/>
  <c r="FM187" i="19" s="1"/>
  <c r="M299" i="26"/>
  <c r="I31" i="18" s="1"/>
  <c r="K277" i="26"/>
  <c r="K297" i="26"/>
  <c r="L297" i="26"/>
  <c r="L277" i="26"/>
  <c r="K263" i="26"/>
  <c r="L267" i="26"/>
  <c r="L270" i="26" s="1"/>
  <c r="L281" i="26"/>
  <c r="L282" i="26" s="1"/>
  <c r="L263" i="26"/>
  <c r="M194" i="26"/>
  <c r="FQ188" i="19" l="1"/>
  <c r="H46" i="18" s="1"/>
  <c r="L299" i="26"/>
  <c r="H31" i="18" s="1"/>
  <c r="N194" i="26"/>
  <c r="J140" i="26" l="1"/>
  <c r="J154" i="26" s="1"/>
  <c r="E8" i="26"/>
  <c r="F8" i="26"/>
  <c r="G8" i="26"/>
  <c r="H8" i="26"/>
  <c r="I8" i="26"/>
  <c r="J8" i="26"/>
  <c r="K8" i="26"/>
  <c r="L8" i="26"/>
  <c r="E9" i="26"/>
  <c r="F9" i="26"/>
  <c r="G9" i="26"/>
  <c r="H9" i="26"/>
  <c r="I9" i="26"/>
  <c r="J9" i="26"/>
  <c r="K9" i="26"/>
  <c r="L9" i="26"/>
  <c r="E10" i="26"/>
  <c r="F10" i="26"/>
  <c r="G10" i="26"/>
  <c r="H10" i="26"/>
  <c r="I10" i="26"/>
  <c r="J10" i="26"/>
  <c r="K10" i="26"/>
  <c r="L10" i="26"/>
  <c r="E11" i="26"/>
  <c r="F11" i="26"/>
  <c r="G11" i="26"/>
  <c r="H11" i="26"/>
  <c r="J330" i="26" s="1"/>
  <c r="J348" i="26" s="1"/>
  <c r="I11" i="26"/>
  <c r="K330" i="26" s="1"/>
  <c r="K348" i="26" s="1"/>
  <c r="J11" i="26"/>
  <c r="L330" i="26" s="1"/>
  <c r="L348" i="26" s="1"/>
  <c r="K11" i="26"/>
  <c r="M330" i="26" s="1"/>
  <c r="M348" i="26" s="1"/>
  <c r="L11" i="26"/>
  <c r="N330" i="26" s="1"/>
  <c r="N348" i="26" s="1"/>
  <c r="E12" i="26"/>
  <c r="F12" i="26"/>
  <c r="G12" i="26"/>
  <c r="H12" i="26"/>
  <c r="I12" i="26"/>
  <c r="J12" i="26"/>
  <c r="K12" i="26"/>
  <c r="L12" i="26"/>
  <c r="E15" i="26"/>
  <c r="F15" i="26"/>
  <c r="G15" i="26"/>
  <c r="H15" i="26"/>
  <c r="I15" i="26"/>
  <c r="J15" i="26"/>
  <c r="K15" i="26"/>
  <c r="L15" i="26"/>
  <c r="E16" i="26"/>
  <c r="F16" i="26"/>
  <c r="G16" i="26"/>
  <c r="H16" i="26"/>
  <c r="I16" i="26"/>
  <c r="J16" i="26"/>
  <c r="K16" i="26"/>
  <c r="L16" i="26"/>
  <c r="E17" i="26"/>
  <c r="F17" i="26"/>
  <c r="G17" i="26"/>
  <c r="H17" i="26"/>
  <c r="I17" i="26"/>
  <c r="J17" i="26"/>
  <c r="K17" i="26"/>
  <c r="L17" i="26"/>
  <c r="E18" i="26"/>
  <c r="F18" i="26"/>
  <c r="G18" i="26"/>
  <c r="H18" i="26"/>
  <c r="I18" i="26"/>
  <c r="J18" i="26"/>
  <c r="K18" i="26"/>
  <c r="L18" i="26"/>
  <c r="E19" i="26"/>
  <c r="F19" i="26"/>
  <c r="G19" i="26"/>
  <c r="H19" i="26"/>
  <c r="I19" i="26"/>
  <c r="J19" i="26"/>
  <c r="K19" i="26"/>
  <c r="L19" i="26"/>
  <c r="E20" i="26"/>
  <c r="F20" i="26"/>
  <c r="G20" i="26"/>
  <c r="H20" i="26"/>
  <c r="I20" i="26"/>
  <c r="J20" i="26"/>
  <c r="K20" i="26"/>
  <c r="E21" i="26"/>
  <c r="F21" i="26"/>
  <c r="G21" i="26"/>
  <c r="G24" i="26" s="1"/>
  <c r="H21" i="26"/>
  <c r="I21" i="26"/>
  <c r="J21" i="26"/>
  <c r="K21" i="26"/>
  <c r="L21" i="26"/>
  <c r="E22" i="26"/>
  <c r="F22" i="26"/>
  <c r="G22" i="26"/>
  <c r="H22" i="26"/>
  <c r="I22" i="26"/>
  <c r="J22" i="26"/>
  <c r="K22" i="26"/>
  <c r="L22" i="26"/>
  <c r="E23" i="26"/>
  <c r="F23" i="26"/>
  <c r="G23" i="26"/>
  <c r="H23" i="26"/>
  <c r="I23" i="26"/>
  <c r="J23" i="26"/>
  <c r="K23" i="26"/>
  <c r="L23" i="26"/>
  <c r="F6" i="26"/>
  <c r="G6" i="26"/>
  <c r="H6" i="26"/>
  <c r="I6" i="26"/>
  <c r="J6" i="26"/>
  <c r="K6" i="26"/>
  <c r="L6" i="26"/>
  <c r="E6" i="26"/>
  <c r="N332" i="26" l="1"/>
  <c r="N333" i="26" s="1"/>
  <c r="N337" i="26"/>
  <c r="N338" i="26" s="1"/>
  <c r="K42" i="18" s="1"/>
  <c r="J337" i="26"/>
  <c r="J338" i="26" s="1"/>
  <c r="G42" i="18" s="1"/>
  <c r="J332" i="26"/>
  <c r="J333" i="26" s="1"/>
  <c r="M337" i="26"/>
  <c r="M338" i="26" s="1"/>
  <c r="J42" i="18" s="1"/>
  <c r="M332" i="26"/>
  <c r="M333" i="26" s="1"/>
  <c r="L337" i="26"/>
  <c r="L338" i="26" s="1"/>
  <c r="I42" i="18" s="1"/>
  <c r="L332" i="26"/>
  <c r="L333" i="26" s="1"/>
  <c r="K337" i="26"/>
  <c r="K338" i="26" s="1"/>
  <c r="H42" i="18" s="1"/>
  <c r="K332" i="26"/>
  <c r="K333" i="26" s="1"/>
  <c r="M32" i="26"/>
  <c r="J32" i="26"/>
  <c r="M135" i="26"/>
  <c r="N84" i="26"/>
  <c r="L135" i="26"/>
  <c r="M84" i="26"/>
  <c r="K135" i="26"/>
  <c r="L84" i="26"/>
  <c r="N135" i="26"/>
  <c r="O84" i="26"/>
  <c r="J135" i="26"/>
  <c r="K84" i="26"/>
  <c r="I25" i="26"/>
  <c r="J158" i="26"/>
  <c r="K25" i="26"/>
  <c r="L25" i="26"/>
  <c r="J25" i="26"/>
  <c r="H25" i="26"/>
  <c r="L242" i="26" l="1"/>
  <c r="N75" i="26"/>
  <c r="N73" i="26"/>
  <c r="N72" i="26"/>
  <c r="N77" i="26"/>
  <c r="N74" i="26"/>
  <c r="N76" i="26"/>
  <c r="K76" i="26"/>
  <c r="K73" i="26"/>
  <c r="K77" i="26"/>
  <c r="K74" i="26"/>
  <c r="K72" i="26"/>
  <c r="K75" i="26"/>
  <c r="L264" i="26"/>
  <c r="L271" i="26"/>
  <c r="L278" i="26"/>
  <c r="N171" i="26"/>
  <c r="O242" i="26"/>
  <c r="L171" i="26"/>
  <c r="M242" i="26"/>
  <c r="N281" i="26"/>
  <c r="N282" i="26" s="1"/>
  <c r="N268" i="26"/>
  <c r="N267" i="26"/>
  <c r="N269" i="26"/>
  <c r="O269" i="26"/>
  <c r="O268" i="26"/>
  <c r="O267" i="26"/>
  <c r="O281" i="26"/>
  <c r="O282" i="26" s="1"/>
  <c r="J171" i="26"/>
  <c r="K242" i="26"/>
  <c r="M171" i="26"/>
  <c r="N242" i="26"/>
  <c r="K267" i="26"/>
  <c r="K281" i="26"/>
  <c r="K282" i="26" s="1"/>
  <c r="K268" i="26"/>
  <c r="K269" i="26"/>
  <c r="I41" i="18"/>
  <c r="L350" i="26"/>
  <c r="I43" i="18" s="1"/>
  <c r="G41" i="18"/>
  <c r="J350" i="26"/>
  <c r="G43" i="18" s="1"/>
  <c r="H41" i="18"/>
  <c r="K350" i="26"/>
  <c r="H43" i="18" s="1"/>
  <c r="J41" i="18"/>
  <c r="M350" i="26"/>
  <c r="J43" i="18" s="1"/>
  <c r="K41" i="18"/>
  <c r="N350" i="26"/>
  <c r="K43" i="18" s="1"/>
  <c r="J159" i="26"/>
  <c r="M105" i="26"/>
  <c r="M121" i="26"/>
  <c r="K121" i="26"/>
  <c r="K105" i="26"/>
  <c r="L195" i="26"/>
  <c r="L121" i="26"/>
  <c r="L105" i="26"/>
  <c r="N105" i="26"/>
  <c r="N121" i="26"/>
  <c r="O121" i="26"/>
  <c r="O105" i="26"/>
  <c r="K171" i="26"/>
  <c r="K158" i="26"/>
  <c r="K159" i="26" s="1"/>
  <c r="L154" i="26"/>
  <c r="L157" i="26"/>
  <c r="L155" i="26"/>
  <c r="L156" i="26"/>
  <c r="M195" i="26" l="1"/>
  <c r="K270" i="26"/>
  <c r="K271" i="26" s="1"/>
  <c r="N195" i="26"/>
  <c r="K78" i="26"/>
  <c r="N78" i="26"/>
  <c r="J195" i="26"/>
  <c r="N270" i="26"/>
  <c r="N264" i="26"/>
  <c r="N278" i="26"/>
  <c r="M278" i="26"/>
  <c r="M264" i="26"/>
  <c r="M271" i="26"/>
  <c r="O270" i="26"/>
  <c r="K278" i="26"/>
  <c r="K264" i="26"/>
  <c r="O278" i="26"/>
  <c r="O264" i="26"/>
  <c r="K195" i="26"/>
  <c r="M155" i="26"/>
  <c r="M157" i="26"/>
  <c r="M154" i="26"/>
  <c r="L158" i="26"/>
  <c r="L159" i="26" s="1"/>
  <c r="M156" i="26"/>
  <c r="K299" i="26" l="1"/>
  <c r="G31" i="18" s="1"/>
  <c r="J27" i="18"/>
  <c r="N79" i="26"/>
  <c r="K79" i="26"/>
  <c r="G27" i="18"/>
  <c r="N271" i="26"/>
  <c r="N299" i="26"/>
  <c r="J31" i="18" s="1"/>
  <c r="O271" i="26"/>
  <c r="O299" i="26"/>
  <c r="K31" i="18" s="1"/>
  <c r="N156" i="26"/>
  <c r="N157" i="26"/>
  <c r="N155" i="26"/>
  <c r="N154" i="26" l="1"/>
  <c r="M158" i="26"/>
  <c r="M159" i="26" s="1"/>
  <c r="N158" i="26" l="1"/>
  <c r="N159" i="26" s="1"/>
  <c r="E40" i="18" l="1"/>
  <c r="D247" i="26" l="1"/>
  <c r="D246" i="26"/>
  <c r="Y555" i="8"/>
  <c r="Y556" i="8" s="1"/>
  <c r="Y557" i="8" s="1"/>
  <c r="X555" i="8"/>
  <c r="X556" i="8" s="1"/>
  <c r="X557" i="8" s="1"/>
  <c r="Z557" i="8" l="1"/>
  <c r="Q550" i="8" s="1"/>
  <c r="F32" i="18" s="1"/>
  <c r="O558" i="8" l="1"/>
  <c r="H50" i="18"/>
  <c r="G50" i="18"/>
  <c r="G34" i="21"/>
  <c r="G33" i="21"/>
  <c r="G29" i="21"/>
  <c r="G28" i="21"/>
  <c r="H28" i="21" s="1"/>
  <c r="G23" i="21"/>
  <c r="G22" i="21"/>
  <c r="H22" i="21" s="1"/>
  <c r="G18" i="21"/>
  <c r="G17" i="21"/>
  <c r="H17" i="21" s="1"/>
  <c r="H12" i="21"/>
  <c r="H11" i="21"/>
  <c r="H34" i="21"/>
  <c r="H33" i="21"/>
  <c r="H29" i="21"/>
  <c r="H23" i="21"/>
  <c r="H18" i="21"/>
  <c r="H45" i="18"/>
  <c r="G45" i="18"/>
  <c r="N162" i="17"/>
  <c r="N161" i="17"/>
  <c r="H35" i="21" l="1"/>
  <c r="K50" i="18" s="1"/>
  <c r="H30" i="21"/>
  <c r="J50" i="18" s="1"/>
  <c r="H24" i="21"/>
  <c r="I50" i="18" s="1"/>
  <c r="H19" i="21"/>
  <c r="H13" i="21"/>
  <c r="F148" i="1"/>
  <c r="AQ69" i="19" l="1"/>
  <c r="AR69" i="19" s="1"/>
  <c r="AS69" i="19" s="1"/>
  <c r="AT69" i="19" s="1"/>
  <c r="AU69" i="19" s="1"/>
  <c r="AV69" i="19" s="1"/>
  <c r="AW69" i="19" s="1"/>
  <c r="AX69" i="19" s="1"/>
  <c r="AY69" i="19" s="1"/>
  <c r="AZ69" i="19" s="1"/>
  <c r="BA69" i="19" s="1"/>
  <c r="AQ70" i="19"/>
  <c r="AR70" i="19" s="1"/>
  <c r="AS70" i="19" s="1"/>
  <c r="AT70" i="19" s="1"/>
  <c r="AU70" i="19" s="1"/>
  <c r="AV70" i="19" s="1"/>
  <c r="AW70" i="19" s="1"/>
  <c r="AX70" i="19" s="1"/>
  <c r="AY70" i="19" s="1"/>
  <c r="AZ70" i="19" s="1"/>
  <c r="BA70" i="19" s="1"/>
  <c r="AQ71" i="19"/>
  <c r="AR71" i="19" s="1"/>
  <c r="AS71" i="19" s="1"/>
  <c r="AT71" i="19" s="1"/>
  <c r="AU71" i="19" s="1"/>
  <c r="AV71" i="19" s="1"/>
  <c r="AW71" i="19" s="1"/>
  <c r="AX71" i="19" s="1"/>
  <c r="AY71" i="19" s="1"/>
  <c r="AZ71" i="19" s="1"/>
  <c r="BA71" i="19" s="1"/>
  <c r="AQ72" i="19"/>
  <c r="AR72" i="19" s="1"/>
  <c r="AS72" i="19" s="1"/>
  <c r="AT72" i="19" s="1"/>
  <c r="AU72" i="19" s="1"/>
  <c r="AV72" i="19" s="1"/>
  <c r="AW72" i="19" s="1"/>
  <c r="AX72" i="19" s="1"/>
  <c r="AY72" i="19" s="1"/>
  <c r="AZ72" i="19" s="1"/>
  <c r="BA72" i="19" s="1"/>
  <c r="AQ73" i="19"/>
  <c r="AR73" i="19" s="1"/>
  <c r="AS73" i="19" s="1"/>
  <c r="AT73" i="19" s="1"/>
  <c r="AU73" i="19" s="1"/>
  <c r="AV73" i="19" s="1"/>
  <c r="AW73" i="19" s="1"/>
  <c r="AX73" i="19" s="1"/>
  <c r="AY73" i="19" s="1"/>
  <c r="AZ73" i="19" s="1"/>
  <c r="BA73" i="19" s="1"/>
  <c r="AQ74" i="19"/>
  <c r="AR74" i="19" s="1"/>
  <c r="AS74" i="19" s="1"/>
  <c r="AT74" i="19" s="1"/>
  <c r="AU74" i="19" s="1"/>
  <c r="AV74" i="19" s="1"/>
  <c r="AW74" i="19" s="1"/>
  <c r="AX74" i="19" s="1"/>
  <c r="AY74" i="19" s="1"/>
  <c r="AZ74" i="19" s="1"/>
  <c r="BA74" i="19" s="1"/>
  <c r="AQ75" i="19"/>
  <c r="AR75" i="19" s="1"/>
  <c r="AS75" i="19" s="1"/>
  <c r="AT75" i="19" s="1"/>
  <c r="AU75" i="19" s="1"/>
  <c r="AV75" i="19" s="1"/>
  <c r="AW75" i="19" s="1"/>
  <c r="AX75" i="19" s="1"/>
  <c r="AY75" i="19" s="1"/>
  <c r="AZ75" i="19" s="1"/>
  <c r="BA75" i="19" s="1"/>
  <c r="AQ76" i="19"/>
  <c r="AR76" i="19" s="1"/>
  <c r="AS76" i="19" s="1"/>
  <c r="AT76" i="19" s="1"/>
  <c r="AU76" i="19" s="1"/>
  <c r="AV76" i="19" s="1"/>
  <c r="AW76" i="19" s="1"/>
  <c r="AX76" i="19" s="1"/>
  <c r="AY76" i="19" s="1"/>
  <c r="AZ76" i="19" s="1"/>
  <c r="BA76" i="19" s="1"/>
  <c r="AQ77" i="19"/>
  <c r="AR77" i="19" s="1"/>
  <c r="AS77" i="19" s="1"/>
  <c r="AT77" i="19" s="1"/>
  <c r="AU77" i="19" s="1"/>
  <c r="AV77" i="19" s="1"/>
  <c r="AW77" i="19" s="1"/>
  <c r="AX77" i="19" s="1"/>
  <c r="AY77" i="19" s="1"/>
  <c r="AZ77" i="19" s="1"/>
  <c r="BA77" i="19" s="1"/>
  <c r="EI78" i="19" l="1"/>
  <c r="EJ78" i="19"/>
  <c r="EK78" i="19"/>
  <c r="EL78" i="19"/>
  <c r="EM78" i="19"/>
  <c r="EN78" i="19"/>
  <c r="EO78" i="19"/>
  <c r="EP78" i="19"/>
  <c r="EQ78" i="19"/>
  <c r="EH78" i="19"/>
  <c r="EG78" i="19"/>
  <c r="O48" i="18" l="1"/>
  <c r="M52" i="18"/>
  <c r="N52" i="18"/>
  <c r="O52" i="18"/>
  <c r="M53" i="18"/>
  <c r="N53" i="18"/>
  <c r="O53" i="18"/>
  <c r="R286" i="8"/>
  <c r="P287" i="8"/>
  <c r="R287" i="8" s="1"/>
  <c r="R288" i="8" s="1"/>
  <c r="Q283" i="8" l="1"/>
  <c r="F52" i="18" s="1"/>
  <c r="AE141" i="8" l="1"/>
  <c r="AF141" i="8" s="1"/>
  <c r="AE142" i="8"/>
  <c r="AF142" i="8" s="1"/>
  <c r="AE140" i="8"/>
  <c r="AF140" i="8" s="1"/>
  <c r="AC164" i="8" l="1"/>
  <c r="AB164" i="8"/>
  <c r="AA164" i="8"/>
  <c r="Q156" i="8" l="1"/>
  <c r="R156" i="8"/>
  <c r="S156" i="8"/>
  <c r="T156" i="8"/>
  <c r="U156" i="8"/>
  <c r="P156" i="8"/>
  <c r="F139" i="8"/>
  <c r="G139" i="8" s="1"/>
  <c r="F140" i="8"/>
  <c r="G140" i="8" s="1"/>
  <c r="F138" i="8"/>
  <c r="G138" i="8" s="1"/>
  <c r="F2" i="22" l="1"/>
  <c r="E30" i="22"/>
  <c r="Q42" i="22"/>
  <c r="Q41" i="22"/>
  <c r="P41" i="22"/>
  <c r="E44" i="22"/>
  <c r="E57" i="22"/>
  <c r="P57" i="22"/>
  <c r="P53" i="22"/>
  <c r="P44" i="22"/>
  <c r="P36" i="22"/>
  <c r="P37" i="22"/>
  <c r="P38" i="22"/>
  <c r="P39" i="22"/>
  <c r="P40" i="22"/>
  <c r="P42" i="22"/>
  <c r="P30" i="22"/>
  <c r="P11" i="22" s="1"/>
  <c r="P22" i="22"/>
  <c r="P23" i="22"/>
  <c r="P24" i="22"/>
  <c r="P25" i="22"/>
  <c r="P26" i="22"/>
  <c r="P27" i="22"/>
  <c r="P28" i="22"/>
  <c r="P21" i="22"/>
  <c r="P16" i="22"/>
  <c r="P14" i="22"/>
  <c r="Q14" i="22"/>
  <c r="E52" i="22" l="1"/>
  <c r="P52" i="22" s="1"/>
  <c r="E35" i="22"/>
  <c r="P35" i="22" s="1"/>
  <c r="P10" i="22" s="1"/>
  <c r="E21" i="22"/>
  <c r="P9" i="22" l="1"/>
  <c r="E9" i="22"/>
  <c r="E11" i="22"/>
  <c r="E10" i="22"/>
  <c r="G47" i="22" l="1"/>
  <c r="H62" i="22"/>
  <c r="G62" i="22"/>
  <c r="Q61" i="22"/>
  <c r="O61" i="22"/>
  <c r="N61" i="22"/>
  <c r="Q60" i="22"/>
  <c r="O60" i="22"/>
  <c r="N60" i="22"/>
  <c r="O59" i="22"/>
  <c r="N59" i="22"/>
  <c r="F59" i="22"/>
  <c r="Q58" i="22"/>
  <c r="O58" i="22"/>
  <c r="N58" i="22"/>
  <c r="D57" i="22"/>
  <c r="O57" i="22" s="1"/>
  <c r="C57" i="22"/>
  <c r="N57" i="22" s="1"/>
  <c r="Q55" i="22"/>
  <c r="O55" i="22"/>
  <c r="N55" i="22"/>
  <c r="Q54" i="22"/>
  <c r="O54" i="22"/>
  <c r="N54" i="22"/>
  <c r="F53" i="22"/>
  <c r="Q53" i="22" s="1"/>
  <c r="D53" i="22"/>
  <c r="C53" i="22"/>
  <c r="N53" i="22" s="1"/>
  <c r="Q47" i="22"/>
  <c r="O47" i="22"/>
  <c r="N47" i="22"/>
  <c r="Q46" i="22"/>
  <c r="O46" i="22"/>
  <c r="N46" i="22"/>
  <c r="O45" i="22"/>
  <c r="N45" i="22"/>
  <c r="F45" i="22"/>
  <c r="Q45" i="22" s="1"/>
  <c r="L44" i="22"/>
  <c r="K44" i="22"/>
  <c r="J44" i="22"/>
  <c r="I44" i="22"/>
  <c r="H44" i="22"/>
  <c r="D44" i="22"/>
  <c r="O44" i="22" s="1"/>
  <c r="C44" i="22"/>
  <c r="N44" i="22" s="1"/>
  <c r="O42" i="22"/>
  <c r="N42" i="22"/>
  <c r="O41" i="22"/>
  <c r="N41" i="22"/>
  <c r="G41" i="22"/>
  <c r="Q40" i="22"/>
  <c r="O40" i="22"/>
  <c r="N40" i="22"/>
  <c r="Q39" i="22"/>
  <c r="O39" i="22"/>
  <c r="N39" i="22"/>
  <c r="Q38" i="22"/>
  <c r="O38" i="22"/>
  <c r="N38" i="22"/>
  <c r="Q37" i="22"/>
  <c r="O37" i="22"/>
  <c r="N37" i="22"/>
  <c r="L36" i="22"/>
  <c r="K36" i="22"/>
  <c r="J36" i="22"/>
  <c r="I36" i="22"/>
  <c r="H36" i="22"/>
  <c r="H35" i="22" s="1"/>
  <c r="F36" i="22"/>
  <c r="Q36" i="22" s="1"/>
  <c r="D36" i="22"/>
  <c r="C36" i="22"/>
  <c r="N36" i="22" s="1"/>
  <c r="L35" i="22"/>
  <c r="K35" i="22"/>
  <c r="J35" i="22"/>
  <c r="F35" i="22"/>
  <c r="Q35" i="22" s="1"/>
  <c r="Q33" i="22"/>
  <c r="O33" i="22"/>
  <c r="N33" i="22"/>
  <c r="Q32" i="22"/>
  <c r="O32" i="22"/>
  <c r="N32" i="22"/>
  <c r="Q31" i="22"/>
  <c r="O31" i="22"/>
  <c r="N31" i="22"/>
  <c r="L30" i="22"/>
  <c r="L10" i="22" s="1"/>
  <c r="K30" i="22"/>
  <c r="J30" i="22"/>
  <c r="I30" i="22"/>
  <c r="H30" i="22"/>
  <c r="F30" i="22"/>
  <c r="Q30" i="22" s="1"/>
  <c r="Q9" i="22" s="1"/>
  <c r="D30" i="22"/>
  <c r="O30" i="22" s="1"/>
  <c r="C30" i="22"/>
  <c r="Q28" i="22"/>
  <c r="O28" i="22"/>
  <c r="N28" i="22"/>
  <c r="Q27" i="22"/>
  <c r="O27" i="22"/>
  <c r="N27" i="22"/>
  <c r="Q26" i="22"/>
  <c r="O26" i="22"/>
  <c r="N26" i="22"/>
  <c r="Q25" i="22"/>
  <c r="O25" i="22"/>
  <c r="N25" i="22"/>
  <c r="Q24" i="22"/>
  <c r="O24" i="22"/>
  <c r="N24" i="22"/>
  <c r="Q23" i="22"/>
  <c r="O23" i="22"/>
  <c r="N23" i="22"/>
  <c r="Q22" i="22"/>
  <c r="O22" i="22"/>
  <c r="N22" i="22"/>
  <c r="L21" i="22"/>
  <c r="L11" i="22" s="1"/>
  <c r="K21" i="22"/>
  <c r="J21" i="22"/>
  <c r="I21" i="22"/>
  <c r="H21" i="22"/>
  <c r="F21" i="22"/>
  <c r="D21" i="22"/>
  <c r="O21" i="22" s="1"/>
  <c r="C21" i="22"/>
  <c r="N21" i="22" s="1"/>
  <c r="Q19" i="22"/>
  <c r="O19" i="22"/>
  <c r="N19" i="22"/>
  <c r="Q18" i="22"/>
  <c r="O18" i="22"/>
  <c r="N18" i="22"/>
  <c r="Q17" i="22"/>
  <c r="O17" i="22"/>
  <c r="N17" i="22"/>
  <c r="L16" i="22"/>
  <c r="K16" i="22"/>
  <c r="J16" i="22"/>
  <c r="I16" i="22"/>
  <c r="H16" i="22"/>
  <c r="F16" i="22"/>
  <c r="Q16" i="22" s="1"/>
  <c r="D16" i="22"/>
  <c r="C16" i="22"/>
  <c r="O14" i="22"/>
  <c r="N14" i="22"/>
  <c r="G14" i="22"/>
  <c r="S665" i="8"/>
  <c r="T665" i="8"/>
  <c r="U665" i="8"/>
  <c r="V665" i="8"/>
  <c r="W665" i="8"/>
  <c r="X665" i="8"/>
  <c r="Y665" i="8"/>
  <c r="Z665" i="8"/>
  <c r="AA665" i="8"/>
  <c r="AB665" i="8"/>
  <c r="AC665" i="8"/>
  <c r="S666" i="8"/>
  <c r="T666" i="8"/>
  <c r="U666" i="8"/>
  <c r="V666" i="8"/>
  <c r="W666" i="8"/>
  <c r="X666" i="8"/>
  <c r="Y666" i="8"/>
  <c r="Z666" i="8"/>
  <c r="AA666" i="8"/>
  <c r="AB666" i="8"/>
  <c r="AC666" i="8"/>
  <c r="S667" i="8"/>
  <c r="T667" i="8"/>
  <c r="U667" i="8"/>
  <c r="V667" i="8"/>
  <c r="W667" i="8"/>
  <c r="X667" i="8"/>
  <c r="Y667" i="8"/>
  <c r="Z667" i="8"/>
  <c r="AA667" i="8"/>
  <c r="AB667" i="8"/>
  <c r="AC667" i="8"/>
  <c r="S668" i="8"/>
  <c r="T668" i="8"/>
  <c r="U668" i="8"/>
  <c r="V668" i="8"/>
  <c r="W668" i="8"/>
  <c r="X668" i="8"/>
  <c r="Y668" i="8"/>
  <c r="Z668" i="8"/>
  <c r="AA668" i="8"/>
  <c r="AB668" i="8"/>
  <c r="AC668" i="8"/>
  <c r="R666" i="8"/>
  <c r="R667" i="8"/>
  <c r="R668" i="8"/>
  <c r="R665" i="8"/>
  <c r="S657" i="8"/>
  <c r="T657" i="8"/>
  <c r="U657" i="8"/>
  <c r="V657" i="8"/>
  <c r="W657" i="8"/>
  <c r="X657" i="8"/>
  <c r="Y657" i="8"/>
  <c r="Z657" i="8"/>
  <c r="AA657" i="8"/>
  <c r="AB657" i="8"/>
  <c r="AC657" i="8"/>
  <c r="S658" i="8"/>
  <c r="T658" i="8"/>
  <c r="U658" i="8"/>
  <c r="V658" i="8"/>
  <c r="W658" i="8"/>
  <c r="X658" i="8"/>
  <c r="Y658" i="8"/>
  <c r="Z658" i="8"/>
  <c r="AA658" i="8"/>
  <c r="AB658" i="8"/>
  <c r="AC658" i="8"/>
  <c r="S659" i="8"/>
  <c r="T659" i="8"/>
  <c r="U659" i="8"/>
  <c r="V659" i="8"/>
  <c r="W659" i="8"/>
  <c r="X659" i="8"/>
  <c r="Y659" i="8"/>
  <c r="Z659" i="8"/>
  <c r="AA659" i="8"/>
  <c r="AB659" i="8"/>
  <c r="AC659" i="8"/>
  <c r="S660" i="8"/>
  <c r="T660" i="8"/>
  <c r="U660" i="8"/>
  <c r="V660" i="8"/>
  <c r="W660" i="8"/>
  <c r="X660" i="8"/>
  <c r="Y660" i="8"/>
  <c r="Z660" i="8"/>
  <c r="AA660" i="8"/>
  <c r="AB660" i="8"/>
  <c r="AC660" i="8"/>
  <c r="R658" i="8"/>
  <c r="R659" i="8"/>
  <c r="R660" i="8"/>
  <c r="R657" i="8"/>
  <c r="S649" i="8"/>
  <c r="T649" i="8"/>
  <c r="U649" i="8"/>
  <c r="V649" i="8"/>
  <c r="W649" i="8"/>
  <c r="X649" i="8"/>
  <c r="Y649" i="8"/>
  <c r="Z649" i="8"/>
  <c r="AA649" i="8"/>
  <c r="AB649" i="8"/>
  <c r="AC649" i="8"/>
  <c r="S650" i="8"/>
  <c r="T650" i="8"/>
  <c r="U650" i="8"/>
  <c r="V650" i="8"/>
  <c r="W650" i="8"/>
  <c r="X650" i="8"/>
  <c r="Y650" i="8"/>
  <c r="Z650" i="8"/>
  <c r="AA650" i="8"/>
  <c r="AB650" i="8"/>
  <c r="AC650" i="8"/>
  <c r="S651" i="8"/>
  <c r="T651" i="8"/>
  <c r="U651" i="8"/>
  <c r="V651" i="8"/>
  <c r="W651" i="8"/>
  <c r="X651" i="8"/>
  <c r="Y651" i="8"/>
  <c r="Z651" i="8"/>
  <c r="AA651" i="8"/>
  <c r="AB651" i="8"/>
  <c r="AC651" i="8"/>
  <c r="S652" i="8"/>
  <c r="T652" i="8"/>
  <c r="U652" i="8"/>
  <c r="V652" i="8"/>
  <c r="W652" i="8"/>
  <c r="X652" i="8"/>
  <c r="Y652" i="8"/>
  <c r="Z652" i="8"/>
  <c r="AA652" i="8"/>
  <c r="AB652" i="8"/>
  <c r="AC652" i="8"/>
  <c r="R650" i="8"/>
  <c r="R651" i="8"/>
  <c r="R652" i="8"/>
  <c r="R649" i="8"/>
  <c r="S631" i="8"/>
  <c r="S634" i="8" s="1"/>
  <c r="T631" i="8"/>
  <c r="T635" i="8" s="1"/>
  <c r="R631" i="8"/>
  <c r="R635" i="8" s="1"/>
  <c r="S613" i="8"/>
  <c r="T613" i="8"/>
  <c r="U613" i="8"/>
  <c r="V613" i="8"/>
  <c r="W613" i="8"/>
  <c r="X613" i="8"/>
  <c r="Y613" i="8"/>
  <c r="Z613" i="8"/>
  <c r="AA613" i="8"/>
  <c r="AB613" i="8"/>
  <c r="AC613" i="8"/>
  <c r="S614" i="8"/>
  <c r="T614" i="8"/>
  <c r="U614" i="8"/>
  <c r="V614" i="8"/>
  <c r="W614" i="8"/>
  <c r="X614" i="8"/>
  <c r="Y614" i="8"/>
  <c r="Z614" i="8"/>
  <c r="AA614" i="8"/>
  <c r="AB614" i="8"/>
  <c r="AC614" i="8"/>
  <c r="S615" i="8"/>
  <c r="T615" i="8"/>
  <c r="U615" i="8"/>
  <c r="V615" i="8"/>
  <c r="W615" i="8"/>
  <c r="X615" i="8"/>
  <c r="Y615" i="8"/>
  <c r="Z615" i="8"/>
  <c r="AA615" i="8"/>
  <c r="AB615" i="8"/>
  <c r="AC615" i="8"/>
  <c r="R613" i="8"/>
  <c r="R614" i="8"/>
  <c r="R615" i="8"/>
  <c r="S605" i="8"/>
  <c r="T605" i="8"/>
  <c r="U605" i="8"/>
  <c r="V605" i="8"/>
  <c r="W605" i="8"/>
  <c r="X605" i="8"/>
  <c r="Y605" i="8"/>
  <c r="Z605" i="8"/>
  <c r="AA605" i="8"/>
  <c r="AB605" i="8"/>
  <c r="AC605" i="8"/>
  <c r="S606" i="8"/>
  <c r="T606" i="8"/>
  <c r="U606" i="8"/>
  <c r="V606" i="8"/>
  <c r="W606" i="8"/>
  <c r="X606" i="8"/>
  <c r="Y606" i="8"/>
  <c r="Z606" i="8"/>
  <c r="AA606" i="8"/>
  <c r="AB606" i="8"/>
  <c r="AC606" i="8"/>
  <c r="S607" i="8"/>
  <c r="T607" i="8"/>
  <c r="U607" i="8"/>
  <c r="V607" i="8"/>
  <c r="W607" i="8"/>
  <c r="X607" i="8"/>
  <c r="Y607" i="8"/>
  <c r="Z607" i="8"/>
  <c r="AA607" i="8"/>
  <c r="AB607" i="8"/>
  <c r="AC607" i="8"/>
  <c r="R605" i="8"/>
  <c r="R606" i="8"/>
  <c r="R607" i="8"/>
  <c r="Q178" i="19"/>
  <c r="R178" i="19"/>
  <c r="S178" i="19"/>
  <c r="T178" i="19"/>
  <c r="U178" i="19"/>
  <c r="V178" i="19"/>
  <c r="P178" i="19"/>
  <c r="Q132" i="19"/>
  <c r="R132" i="19"/>
  <c r="S132" i="19"/>
  <c r="T132" i="19"/>
  <c r="U132" i="19"/>
  <c r="V132" i="19"/>
  <c r="P132" i="19"/>
  <c r="Q79" i="19"/>
  <c r="R79" i="19"/>
  <c r="S79" i="19"/>
  <c r="T79" i="19"/>
  <c r="U79" i="19"/>
  <c r="V79" i="19"/>
  <c r="P79" i="19"/>
  <c r="Q36" i="19"/>
  <c r="R36" i="19"/>
  <c r="S36" i="19"/>
  <c r="T36" i="19"/>
  <c r="U36" i="19"/>
  <c r="V36" i="19"/>
  <c r="P36" i="19"/>
  <c r="AC26" i="19"/>
  <c r="AB669" i="8" l="1"/>
  <c r="X669" i="8"/>
  <c r="T669" i="8"/>
  <c r="Z669" i="8"/>
  <c r="H10" i="22"/>
  <c r="I11" i="22"/>
  <c r="K10" i="22"/>
  <c r="C11" i="22"/>
  <c r="N30" i="22"/>
  <c r="N16" i="22"/>
  <c r="C35" i="22"/>
  <c r="H11" i="22"/>
  <c r="F44" i="22"/>
  <c r="Q44" i="22" s="1"/>
  <c r="C52" i="22"/>
  <c r="N52" i="22" s="1"/>
  <c r="D35" i="22"/>
  <c r="O35" i="22" s="1"/>
  <c r="O36" i="22"/>
  <c r="O16" i="22"/>
  <c r="J10" i="22"/>
  <c r="D11" i="22"/>
  <c r="N11" i="22"/>
  <c r="J11" i="22"/>
  <c r="K11" i="22"/>
  <c r="O11" i="22"/>
  <c r="Q21" i="22"/>
  <c r="Q11" i="22" s="1"/>
  <c r="F11" i="22"/>
  <c r="I35" i="22"/>
  <c r="I10" i="22" s="1"/>
  <c r="D52" i="22"/>
  <c r="O52" i="22" s="1"/>
  <c r="O53" i="22"/>
  <c r="Q59" i="22"/>
  <c r="F57" i="22"/>
  <c r="AC669" i="8"/>
  <c r="Y669" i="8"/>
  <c r="AA669" i="8"/>
  <c r="W669" i="8"/>
  <c r="S669" i="8"/>
  <c r="V669" i="8"/>
  <c r="U669" i="8"/>
  <c r="R669" i="8"/>
  <c r="AA653" i="8"/>
  <c r="S653" i="8"/>
  <c r="S661" i="8"/>
  <c r="T636" i="8"/>
  <c r="S635" i="8"/>
  <c r="R636" i="8"/>
  <c r="T637" i="8"/>
  <c r="S636" i="8"/>
  <c r="R637" i="8"/>
  <c r="R634" i="8"/>
  <c r="S637" i="8"/>
  <c r="T634" i="8"/>
  <c r="Z661" i="8"/>
  <c r="W661" i="8"/>
  <c r="W653" i="8"/>
  <c r="AA661" i="8"/>
  <c r="T653" i="8"/>
  <c r="X653" i="8"/>
  <c r="AB653" i="8"/>
  <c r="T661" i="8"/>
  <c r="X661" i="8"/>
  <c r="AB661" i="8"/>
  <c r="U653" i="8"/>
  <c r="Y653" i="8"/>
  <c r="AC653" i="8"/>
  <c r="U661" i="8"/>
  <c r="Y661" i="8"/>
  <c r="AC661" i="8"/>
  <c r="R653" i="8"/>
  <c r="V653" i="8"/>
  <c r="Z653" i="8"/>
  <c r="R661" i="8"/>
  <c r="V661" i="8"/>
  <c r="D10" i="22" l="1"/>
  <c r="F10" i="22"/>
  <c r="N35" i="22"/>
  <c r="N9" i="22" s="1"/>
  <c r="C10" i="22"/>
  <c r="C9" i="22"/>
  <c r="O9" i="22"/>
  <c r="O10" i="22"/>
  <c r="F52" i="22"/>
  <c r="Q57" i="22"/>
  <c r="Q10" i="22"/>
  <c r="D9" i="22"/>
  <c r="N10" i="22" l="1"/>
  <c r="F9" i="22"/>
  <c r="Q52" i="22"/>
  <c r="AD150" i="8" l="1"/>
  <c r="AE150" i="8"/>
  <c r="AF150" i="8"/>
  <c r="AD151" i="8"/>
  <c r="AE151" i="8"/>
  <c r="AF151" i="8"/>
  <c r="AE149" i="8"/>
  <c r="AD149" i="8"/>
  <c r="AF149" i="8"/>
  <c r="N165" i="17" l="1"/>
  <c r="AW317" i="8"/>
  <c r="AV317" i="8"/>
  <c r="AU317" i="8"/>
  <c r="AT317" i="8"/>
  <c r="AP317" i="8"/>
  <c r="AO317" i="8"/>
  <c r="AN317" i="8"/>
  <c r="AM317" i="8"/>
  <c r="AI317" i="8"/>
  <c r="AH317" i="8"/>
  <c r="AG317" i="8"/>
  <c r="AF317" i="8"/>
  <c r="AA317" i="8"/>
  <c r="AB317" i="8"/>
  <c r="Z317" i="8"/>
  <c r="Y317" i="8"/>
  <c r="Y215" i="8"/>
  <c r="H6" i="21"/>
  <c r="H5" i="21"/>
  <c r="H7" i="21" l="1"/>
  <c r="G46" i="22" l="1"/>
  <c r="F50" i="18"/>
  <c r="F66" i="18"/>
  <c r="G66" i="18"/>
  <c r="Q66" i="18" s="1"/>
  <c r="H79" i="20"/>
  <c r="G79" i="20"/>
  <c r="F79" i="20"/>
  <c r="E79" i="20"/>
  <c r="D79" i="20"/>
  <c r="C79" i="20"/>
  <c r="I26" i="20"/>
  <c r="L58" i="22" s="1"/>
  <c r="H26" i="20"/>
  <c r="K58" i="22" s="1"/>
  <c r="G26" i="20"/>
  <c r="J58" i="22" s="1"/>
  <c r="F26" i="20"/>
  <c r="I58" i="22" s="1"/>
  <c r="E26" i="20"/>
  <c r="H58" i="22" s="1"/>
  <c r="D26" i="20"/>
  <c r="G58" i="22" s="1"/>
  <c r="C26" i="20"/>
  <c r="I16" i="20"/>
  <c r="H16" i="20"/>
  <c r="G16" i="20"/>
  <c r="F16" i="20"/>
  <c r="E16" i="20"/>
  <c r="D16" i="20"/>
  <c r="C16" i="20"/>
  <c r="I15" i="20"/>
  <c r="H15" i="20"/>
  <c r="G15" i="20"/>
  <c r="F15" i="20"/>
  <c r="E15" i="20"/>
  <c r="D15" i="20"/>
  <c r="C15" i="20"/>
  <c r="I14" i="20"/>
  <c r="H14" i="20"/>
  <c r="G14" i="20"/>
  <c r="F14" i="20"/>
  <c r="E14" i="20"/>
  <c r="D14" i="20"/>
  <c r="C14" i="20"/>
  <c r="G13" i="20" l="1"/>
  <c r="C13" i="20"/>
  <c r="C17" i="20" s="1"/>
  <c r="J62" i="18"/>
  <c r="H13" i="20"/>
  <c r="E13" i="20"/>
  <c r="I13" i="20"/>
  <c r="F13" i="20"/>
  <c r="I62" i="18"/>
  <c r="F62" i="18"/>
  <c r="H62" i="18"/>
  <c r="K62" i="18"/>
  <c r="G62" i="18"/>
  <c r="D13" i="20"/>
  <c r="D17" i="20" l="1"/>
  <c r="E17" i="20" s="1"/>
  <c r="F17" i="20" s="1"/>
  <c r="G17" i="20" s="1"/>
  <c r="H17" i="20" s="1"/>
  <c r="I17" i="20" s="1"/>
  <c r="H22" i="20"/>
  <c r="J58" i="18" l="1"/>
  <c r="K54" i="22"/>
  <c r="I22" i="20"/>
  <c r="K58" i="18" l="1"/>
  <c r="L54" i="22"/>
  <c r="G22" i="20"/>
  <c r="F22" i="20"/>
  <c r="I58" i="18" l="1"/>
  <c r="J54" i="22"/>
  <c r="H58" i="18"/>
  <c r="I54" i="22"/>
  <c r="C22" i="20"/>
  <c r="D22" i="20"/>
  <c r="E22" i="20"/>
  <c r="F58" i="18" l="1"/>
  <c r="G54" i="22"/>
  <c r="G58" i="18"/>
  <c r="H54" i="22"/>
  <c r="C54" i="20"/>
  <c r="E54" i="20"/>
  <c r="F54" i="20"/>
  <c r="H54" i="20"/>
  <c r="G54" i="20"/>
  <c r="D54" i="20"/>
  <c r="C57" i="20" l="1"/>
  <c r="C58" i="20"/>
  <c r="C55" i="20" l="1"/>
  <c r="C69" i="20" s="1"/>
  <c r="C56" i="20" l="1"/>
  <c r="C78" i="20" s="1"/>
  <c r="C64" i="20" l="1"/>
  <c r="C65" i="20" l="1"/>
  <c r="C66" i="20" s="1"/>
  <c r="C62" i="20" l="1"/>
  <c r="C9" i="20"/>
  <c r="C63" i="20"/>
  <c r="C68" i="20" s="1"/>
  <c r="C11" i="20"/>
  <c r="C28" i="20" l="1"/>
  <c r="J28" i="20" s="1"/>
  <c r="J26" i="20"/>
  <c r="J22" i="20"/>
  <c r="C59" i="20"/>
  <c r="C67" i="20"/>
  <c r="E23" i="20" l="1"/>
  <c r="H23" i="20"/>
  <c r="C27" i="20"/>
  <c r="D23" i="20"/>
  <c r="F23" i="20"/>
  <c r="C23" i="20"/>
  <c r="G23" i="20"/>
  <c r="E21" i="20"/>
  <c r="I23" i="20"/>
  <c r="F59" i="18" l="1"/>
  <c r="G55" i="22"/>
  <c r="G53" i="22" s="1"/>
  <c r="J59" i="18"/>
  <c r="K55" i="22"/>
  <c r="K53" i="22" s="1"/>
  <c r="I59" i="18"/>
  <c r="J55" i="22"/>
  <c r="J53" i="22" s="1"/>
  <c r="K59" i="18"/>
  <c r="L55" i="22"/>
  <c r="L53" i="22" s="1"/>
  <c r="H59" i="18"/>
  <c r="I55" i="22"/>
  <c r="I53" i="22" s="1"/>
  <c r="G59" i="18"/>
  <c r="H55" i="22"/>
  <c r="H53" i="22" s="1"/>
  <c r="I21" i="20"/>
  <c r="J23" i="20"/>
  <c r="J21" i="20" s="1"/>
  <c r="C21" i="20"/>
  <c r="C35" i="20"/>
  <c r="J27" i="20"/>
  <c r="F21" i="20"/>
  <c r="G21" i="20"/>
  <c r="D21" i="20"/>
  <c r="H21" i="20"/>
  <c r="G37" i="20" l="1"/>
  <c r="F37" i="20"/>
  <c r="H37" i="20"/>
  <c r="E37" i="20"/>
  <c r="C43" i="20" l="1"/>
  <c r="C29" i="20" s="1"/>
  <c r="C25" i="20" s="1"/>
  <c r="C19" i="20" s="1"/>
  <c r="C20" i="20" s="1"/>
  <c r="J29" i="20" l="1"/>
  <c r="J25" i="20" s="1"/>
  <c r="J19" i="20" s="1"/>
  <c r="D57" i="20" l="1"/>
  <c r="D58" i="20"/>
  <c r="D76" i="20" s="1"/>
  <c r="D55" i="20" l="1"/>
  <c r="D69" i="20" s="1"/>
  <c r="D74" i="20" s="1"/>
  <c r="E57" i="20" l="1"/>
  <c r="E58" i="20"/>
  <c r="E76" i="20" s="1"/>
  <c r="E55" i="20" l="1"/>
  <c r="E69" i="20" s="1"/>
  <c r="E74" i="20" s="1"/>
  <c r="F57" i="20" l="1"/>
  <c r="F58" i="20"/>
  <c r="F76" i="20" s="1"/>
  <c r="F55" i="20" l="1"/>
  <c r="F69" i="20" s="1"/>
  <c r="F74" i="20" s="1"/>
  <c r="G57" i="20" l="1"/>
  <c r="G58" i="20"/>
  <c r="G76" i="20" s="1"/>
  <c r="G55" i="20" l="1"/>
  <c r="G69" i="20" s="1"/>
  <c r="G74" i="20" s="1"/>
  <c r="H57" i="20" l="1"/>
  <c r="H58" i="20"/>
  <c r="H76" i="20" s="1"/>
  <c r="H55" i="20" l="1"/>
  <c r="H69" i="20" s="1"/>
  <c r="H74" i="20" s="1"/>
  <c r="D64" i="20" l="1"/>
  <c r="D71" i="20" s="1"/>
  <c r="D56" i="20"/>
  <c r="D78" i="20" s="1"/>
  <c r="D65" i="20" l="1"/>
  <c r="D66" i="20" s="1"/>
  <c r="D63" i="20" l="1"/>
  <c r="D68" i="20" s="1"/>
  <c r="D73" i="20" s="1"/>
  <c r="D9" i="20" l="1"/>
  <c r="D62" i="20"/>
  <c r="D67" i="20" l="1"/>
  <c r="D72" i="20" s="1"/>
  <c r="D59" i="20"/>
  <c r="D11" i="20"/>
  <c r="D28" i="20" l="1"/>
  <c r="G60" i="22" s="1"/>
  <c r="K26" i="20"/>
  <c r="D27" i="20"/>
  <c r="K22" i="20"/>
  <c r="K23" i="20"/>
  <c r="F63" i="18" l="1"/>
  <c r="G59" i="22"/>
  <c r="K28" i="20"/>
  <c r="F64" i="18"/>
  <c r="K21" i="20"/>
  <c r="D35" i="20"/>
  <c r="F38" i="20" l="1"/>
  <c r="I38" i="20"/>
  <c r="H38" i="20"/>
  <c r="G38" i="20"/>
  <c r="D44" i="20" l="1"/>
  <c r="D29" i="20" s="1"/>
  <c r="F65" i="18" l="1"/>
  <c r="G61" i="22"/>
  <c r="G57" i="22" s="1"/>
  <c r="G52" i="22" s="1"/>
  <c r="D25" i="20"/>
  <c r="D19" i="20" s="1"/>
  <c r="D20" i="20" s="1"/>
  <c r="K29" i="20"/>
  <c r="K25" i="20" s="1"/>
  <c r="K19" i="20" s="1"/>
  <c r="E64" i="20" l="1"/>
  <c r="E56" i="20"/>
  <c r="E78" i="20" s="1"/>
  <c r="E65" i="20" l="1"/>
  <c r="E66" i="20" s="1"/>
  <c r="E71" i="20"/>
  <c r="E63" i="20" l="1"/>
  <c r="E68" i="20" s="1"/>
  <c r="E73" i="20" s="1"/>
  <c r="E62" i="20" l="1"/>
  <c r="E9" i="20"/>
  <c r="E67" i="20" l="1"/>
  <c r="E72" i="20" s="1"/>
  <c r="E59" i="20"/>
  <c r="E11" i="20"/>
  <c r="E28" i="20" l="1"/>
  <c r="H60" i="22" s="1"/>
  <c r="L26" i="20"/>
  <c r="E27" i="20"/>
  <c r="L22" i="20"/>
  <c r="L23" i="20"/>
  <c r="G63" i="18" l="1"/>
  <c r="H59" i="22"/>
  <c r="L28" i="20"/>
  <c r="G64" i="18"/>
  <c r="E35" i="20"/>
  <c r="L21" i="20"/>
  <c r="G39" i="20" l="1"/>
  <c r="H39" i="20"/>
  <c r="I39" i="20"/>
  <c r="E45" i="20" l="1"/>
  <c r="E29" i="20" s="1"/>
  <c r="G65" i="18" l="1"/>
  <c r="H61" i="22"/>
  <c r="H57" i="22" s="1"/>
  <c r="H52" i="22" s="1"/>
  <c r="H9" i="22" s="1"/>
  <c r="L29" i="20"/>
  <c r="L25" i="20" s="1"/>
  <c r="L19" i="20" s="1"/>
  <c r="E25" i="20"/>
  <c r="E19" i="20" s="1"/>
  <c r="E20" i="20" s="1"/>
  <c r="F56" i="20" l="1"/>
  <c r="F78" i="20" s="1"/>
  <c r="F64" i="20"/>
  <c r="F71" i="20" s="1"/>
  <c r="F65" i="20" l="1"/>
  <c r="F66" i="20" s="1"/>
  <c r="F63" i="20" l="1"/>
  <c r="F68" i="20" s="1"/>
  <c r="F73" i="20" s="1"/>
  <c r="F9" i="20" l="1"/>
  <c r="F62" i="20"/>
  <c r="F11" i="20" l="1"/>
  <c r="F67" i="20"/>
  <c r="F72" i="20" s="1"/>
  <c r="F59" i="20"/>
  <c r="F27" i="20" l="1"/>
  <c r="F30" i="20"/>
  <c r="M26" i="20"/>
  <c r="F28" i="20"/>
  <c r="I60" i="22" s="1"/>
  <c r="M22" i="20"/>
  <c r="M23" i="20"/>
  <c r="H66" i="18" l="1"/>
  <c r="R66" i="18" s="1"/>
  <c r="I62" i="22"/>
  <c r="H63" i="18"/>
  <c r="I59" i="22"/>
  <c r="M28" i="20"/>
  <c r="H64" i="18"/>
  <c r="M21" i="20"/>
  <c r="F35" i="20"/>
  <c r="H40" i="20" l="1"/>
  <c r="J40" i="20"/>
  <c r="I40" i="20"/>
  <c r="F46" i="20" l="1"/>
  <c r="F29" i="20" s="1"/>
  <c r="I61" i="22" s="1"/>
  <c r="I57" i="22" s="1"/>
  <c r="I52" i="22" s="1"/>
  <c r="I9" i="22" s="1"/>
  <c r="M29" i="20" l="1"/>
  <c r="M25" i="20" s="1"/>
  <c r="M19" i="20" s="1"/>
  <c r="H65" i="18"/>
  <c r="F25" i="20"/>
  <c r="F19" i="20" s="1"/>
  <c r="F20" i="20" s="1"/>
  <c r="G64" i="20" l="1"/>
  <c r="G71" i="20" s="1"/>
  <c r="G56" i="20"/>
  <c r="G78" i="20" s="1"/>
  <c r="G65" i="20" l="1"/>
  <c r="G66" i="20" s="1"/>
  <c r="G63" i="20" l="1"/>
  <c r="G68" i="20" s="1"/>
  <c r="G73" i="20" s="1"/>
  <c r="G62" i="20" l="1"/>
  <c r="G9" i="20"/>
  <c r="G11" i="20" l="1"/>
  <c r="G59" i="20"/>
  <c r="G67" i="20"/>
  <c r="G72" i="20" s="1"/>
  <c r="G30" i="20" l="1"/>
  <c r="G28" i="20"/>
  <c r="J60" i="22" s="1"/>
  <c r="N26" i="20"/>
  <c r="G27" i="20"/>
  <c r="N22" i="20"/>
  <c r="N23" i="20"/>
  <c r="I63" i="18" l="1"/>
  <c r="J59" i="22"/>
  <c r="I66" i="18"/>
  <c r="S66" i="18" s="1"/>
  <c r="J62" i="22"/>
  <c r="N28" i="20"/>
  <c r="I64" i="18"/>
  <c r="N21" i="20"/>
  <c r="G35" i="20"/>
  <c r="K41" i="20" l="1"/>
  <c r="J41" i="20"/>
  <c r="I41" i="20"/>
  <c r="G47" i="20" l="1"/>
  <c r="G29" i="20" s="1"/>
  <c r="I65" i="18" s="1"/>
  <c r="G25" i="20" l="1"/>
  <c r="G19" i="20" s="1"/>
  <c r="G20" i="20" s="1"/>
  <c r="N29" i="20"/>
  <c r="N25" i="20" s="1"/>
  <c r="N19" i="20" s="1"/>
  <c r="J61" i="22"/>
  <c r="J57" i="22" s="1"/>
  <c r="J52" i="22" s="1"/>
  <c r="J9" i="22" s="1"/>
  <c r="H56" i="20"/>
  <c r="H78" i="20" s="1"/>
  <c r="H64" i="20"/>
  <c r="H71" i="20" s="1"/>
  <c r="H65" i="20" l="1"/>
  <c r="H66" i="20" s="1"/>
  <c r="H63" i="20" l="1"/>
  <c r="H68" i="20" s="1"/>
  <c r="H73" i="20" s="1"/>
  <c r="H9" i="20" l="1"/>
  <c r="H62" i="20"/>
  <c r="H11" i="20" l="1"/>
  <c r="H67" i="20"/>
  <c r="H72" i="20" s="1"/>
  <c r="H59" i="20"/>
  <c r="H28" i="20" l="1"/>
  <c r="K60" i="22" s="1"/>
  <c r="H30" i="20"/>
  <c r="O26" i="20"/>
  <c r="H27" i="20"/>
  <c r="O22" i="20"/>
  <c r="O23" i="20"/>
  <c r="J63" i="18" l="1"/>
  <c r="K59" i="22"/>
  <c r="J66" i="18"/>
  <c r="T66" i="18" s="1"/>
  <c r="K62" i="22"/>
  <c r="O21" i="20"/>
  <c r="O28" i="20"/>
  <c r="J64" i="18"/>
  <c r="H35" i="20"/>
  <c r="J42" i="20" l="1"/>
  <c r="K42" i="20"/>
  <c r="L42" i="20"/>
  <c r="H48" i="20" l="1"/>
  <c r="H29" i="20" s="1"/>
  <c r="J65" i="18" l="1"/>
  <c r="K61" i="22"/>
  <c r="K57" i="22" s="1"/>
  <c r="K52" i="22" s="1"/>
  <c r="K9" i="22" s="1"/>
  <c r="H25" i="20"/>
  <c r="H19" i="20" s="1"/>
  <c r="H20" i="20" s="1"/>
  <c r="O29" i="20"/>
  <c r="O25" i="20" s="1"/>
  <c r="O19" i="20" s="1"/>
  <c r="I9" i="20" l="1"/>
  <c r="I11" i="20" l="1"/>
  <c r="I28" i="20" l="1"/>
  <c r="L60" i="22" s="1"/>
  <c r="P26" i="20"/>
  <c r="I30" i="20"/>
  <c r="I27" i="20"/>
  <c r="P22" i="20"/>
  <c r="P23" i="20"/>
  <c r="K63" i="18" l="1"/>
  <c r="L59" i="22"/>
  <c r="K66" i="18"/>
  <c r="U66" i="18" s="1"/>
  <c r="L62" i="22"/>
  <c r="P28" i="20"/>
  <c r="K64" i="18"/>
  <c r="I35" i="20"/>
  <c r="P21" i="20"/>
  <c r="L43" i="20" l="1"/>
  <c r="K43" i="20"/>
  <c r="M43" i="20"/>
  <c r="E49" i="18"/>
  <c r="E63" i="18"/>
  <c r="I49" i="20" l="1"/>
  <c r="I29" i="20" s="1"/>
  <c r="P29" i="20" s="1"/>
  <c r="P25" i="20" s="1"/>
  <c r="P19" i="20" s="1"/>
  <c r="D48" i="18"/>
  <c r="E48" i="18"/>
  <c r="C48" i="18"/>
  <c r="C40" i="18"/>
  <c r="C39" i="18" s="1"/>
  <c r="O713" i="8"/>
  <c r="O714" i="8" s="1"/>
  <c r="U725" i="8"/>
  <c r="T725" i="8"/>
  <c r="S725" i="8"/>
  <c r="R725" i="8"/>
  <c r="Q725" i="8"/>
  <c r="P725" i="8"/>
  <c r="O725" i="8"/>
  <c r="V724" i="8"/>
  <c r="V723" i="8" s="1"/>
  <c r="I25" i="20" l="1"/>
  <c r="I19" i="20" s="1"/>
  <c r="K65" i="18"/>
  <c r="L61" i="22"/>
  <c r="L57" i="22" s="1"/>
  <c r="L52" i="22" s="1"/>
  <c r="L9" i="22" s="1"/>
  <c r="AC684" i="8"/>
  <c r="AB684" i="8"/>
  <c r="O702" i="8"/>
  <c r="Y687" i="8"/>
  <c r="U702" i="8"/>
  <c r="T702" i="8"/>
  <c r="S702" i="8"/>
  <c r="R702" i="8"/>
  <c r="Q702" i="8"/>
  <c r="P702" i="8"/>
  <c r="X701" i="8"/>
  <c r="W701" i="8"/>
  <c r="V701" i="8"/>
  <c r="Y701" i="8" s="1"/>
  <c r="X688" i="8"/>
  <c r="W688" i="8"/>
  <c r="V688" i="8"/>
  <c r="U688" i="8"/>
  <c r="T688" i="8"/>
  <c r="S688" i="8"/>
  <c r="R688" i="8"/>
  <c r="Q688" i="8"/>
  <c r="P688" i="8"/>
  <c r="O688" i="8"/>
  <c r="AB686" i="8" l="1"/>
  <c r="AB687" i="8" s="1"/>
  <c r="AC686" i="8"/>
  <c r="AC687" i="8"/>
  <c r="AB698" i="8"/>
  <c r="AB701" i="8"/>
  <c r="AC698" i="8"/>
  <c r="AC701" i="8"/>
  <c r="U584" i="8" l="1"/>
  <c r="S612" i="8" l="1"/>
  <c r="S616" i="8" s="1"/>
  <c r="W612" i="8"/>
  <c r="W616" i="8" s="1"/>
  <c r="AA612" i="8"/>
  <c r="AA616" i="8" s="1"/>
  <c r="S604" i="8"/>
  <c r="S608" i="8" s="1"/>
  <c r="W604" i="8"/>
  <c r="W608" i="8" s="1"/>
  <c r="AA604" i="8"/>
  <c r="AA608" i="8" s="1"/>
  <c r="V612" i="8"/>
  <c r="V616" i="8" s="1"/>
  <c r="Z604" i="8"/>
  <c r="Z608" i="8" s="1"/>
  <c r="T612" i="8"/>
  <c r="T616" i="8" s="1"/>
  <c r="X612" i="8"/>
  <c r="X616" i="8" s="1"/>
  <c r="AB612" i="8"/>
  <c r="AB616" i="8" s="1"/>
  <c r="T604" i="8"/>
  <c r="T608" i="8" s="1"/>
  <c r="X604" i="8"/>
  <c r="X608" i="8" s="1"/>
  <c r="AB604" i="8"/>
  <c r="AB608" i="8" s="1"/>
  <c r="V604" i="8"/>
  <c r="V608" i="8" s="1"/>
  <c r="U612" i="8"/>
  <c r="U616" i="8" s="1"/>
  <c r="Y612" i="8"/>
  <c r="Y616" i="8" s="1"/>
  <c r="AC612" i="8"/>
  <c r="AC616" i="8" s="1"/>
  <c r="U604" i="8"/>
  <c r="U608" i="8" s="1"/>
  <c r="Y604" i="8"/>
  <c r="Y608" i="8" s="1"/>
  <c r="AC604" i="8"/>
  <c r="AC608" i="8" s="1"/>
  <c r="Z612" i="8"/>
  <c r="Z616" i="8" s="1"/>
  <c r="R612" i="8"/>
  <c r="R616" i="8" s="1"/>
  <c r="R604" i="8"/>
  <c r="R608" i="8" s="1"/>
  <c r="D61" i="18"/>
  <c r="E61" i="18"/>
  <c r="F61" i="18"/>
  <c r="G61" i="18"/>
  <c r="H61" i="18"/>
  <c r="I61" i="18"/>
  <c r="S61" i="18" s="1"/>
  <c r="J61" i="18"/>
  <c r="K61" i="18"/>
  <c r="C61" i="18"/>
  <c r="D57" i="18"/>
  <c r="E57" i="18"/>
  <c r="F57" i="18"/>
  <c r="G57" i="18"/>
  <c r="H57" i="18"/>
  <c r="I57" i="18"/>
  <c r="J57" i="18"/>
  <c r="K57" i="18"/>
  <c r="C57" i="18"/>
  <c r="N48" i="18"/>
  <c r="M48" i="18"/>
  <c r="K40" i="18"/>
  <c r="K39" i="18" s="1"/>
  <c r="J40" i="18"/>
  <c r="J39" i="18" s="1"/>
  <c r="I40" i="18"/>
  <c r="I39" i="18" s="1"/>
  <c r="H40" i="18"/>
  <c r="G40" i="18"/>
  <c r="E39" i="18"/>
  <c r="D40" i="18"/>
  <c r="N40" i="18" s="1"/>
  <c r="D34" i="18"/>
  <c r="E34" i="18"/>
  <c r="G34" i="18"/>
  <c r="Q34" i="18" s="1"/>
  <c r="H34" i="18"/>
  <c r="I34" i="18"/>
  <c r="J34" i="18"/>
  <c r="K34" i="18"/>
  <c r="C34" i="18"/>
  <c r="D25" i="18"/>
  <c r="E25" i="18"/>
  <c r="O25" i="18" s="1"/>
  <c r="C25" i="18"/>
  <c r="M25" i="18" s="1"/>
  <c r="D20" i="18"/>
  <c r="E20" i="18"/>
  <c r="O20" i="18" s="1"/>
  <c r="C20" i="18"/>
  <c r="M20" i="18" s="1"/>
  <c r="O65" i="18"/>
  <c r="N65" i="18"/>
  <c r="M65" i="18"/>
  <c r="O64" i="18"/>
  <c r="N64" i="18"/>
  <c r="M64" i="18"/>
  <c r="O63" i="18"/>
  <c r="N63" i="18"/>
  <c r="M63" i="18"/>
  <c r="O62" i="18"/>
  <c r="N62" i="18"/>
  <c r="M62" i="18"/>
  <c r="O61" i="18"/>
  <c r="N61" i="18"/>
  <c r="M61" i="18"/>
  <c r="O59" i="18"/>
  <c r="N59" i="18"/>
  <c r="M59" i="18"/>
  <c r="O58" i="18"/>
  <c r="N58" i="18"/>
  <c r="M58" i="18"/>
  <c r="N57" i="18"/>
  <c r="M57" i="18"/>
  <c r="O51" i="18"/>
  <c r="N51" i="18"/>
  <c r="M51" i="18"/>
  <c r="O50" i="18"/>
  <c r="N50" i="18"/>
  <c r="M50" i="18"/>
  <c r="O49" i="18"/>
  <c r="N49" i="18"/>
  <c r="M49" i="18"/>
  <c r="O46" i="18"/>
  <c r="N46" i="18"/>
  <c r="M46" i="18"/>
  <c r="O45" i="18"/>
  <c r="N45" i="18"/>
  <c r="M45" i="18"/>
  <c r="O44" i="18"/>
  <c r="N44" i="18"/>
  <c r="M44" i="18"/>
  <c r="O43" i="18"/>
  <c r="N43" i="18"/>
  <c r="M43" i="18"/>
  <c r="O42" i="18"/>
  <c r="N42" i="18"/>
  <c r="M42" i="18"/>
  <c r="O41" i="18"/>
  <c r="N41" i="18"/>
  <c r="M41" i="18"/>
  <c r="M40" i="18"/>
  <c r="O36" i="18"/>
  <c r="N36" i="18"/>
  <c r="M36" i="18"/>
  <c r="O35" i="18"/>
  <c r="N35" i="18"/>
  <c r="M35" i="18"/>
  <c r="N34" i="18"/>
  <c r="O32" i="18"/>
  <c r="N32" i="18"/>
  <c r="M32" i="18"/>
  <c r="O31" i="18"/>
  <c r="N31" i="18"/>
  <c r="M31" i="18"/>
  <c r="O30" i="18"/>
  <c r="N30" i="18"/>
  <c r="M30" i="18"/>
  <c r="O29" i="18"/>
  <c r="N29" i="18"/>
  <c r="M29" i="18"/>
  <c r="O28" i="18"/>
  <c r="N28" i="18"/>
  <c r="M28" i="18"/>
  <c r="O27" i="18"/>
  <c r="N27" i="18"/>
  <c r="M27" i="18"/>
  <c r="O26" i="18"/>
  <c r="N26" i="18"/>
  <c r="M26" i="18"/>
  <c r="N25" i="18"/>
  <c r="O23" i="18"/>
  <c r="N23" i="18"/>
  <c r="M23" i="18"/>
  <c r="O22" i="18"/>
  <c r="N22" i="18"/>
  <c r="M22" i="18"/>
  <c r="O21" i="18"/>
  <c r="N21" i="18"/>
  <c r="M21" i="18"/>
  <c r="N20" i="18"/>
  <c r="O18" i="18"/>
  <c r="N18" i="18"/>
  <c r="DN12" i="19"/>
  <c r="DN13" i="19" s="1"/>
  <c r="F18" i="18"/>
  <c r="S577" i="8"/>
  <c r="T577" i="8"/>
  <c r="U577" i="8"/>
  <c r="V577" i="8"/>
  <c r="W577" i="8"/>
  <c r="X577" i="8"/>
  <c r="Y577" i="8"/>
  <c r="Z577" i="8"/>
  <c r="AA577" i="8"/>
  <c r="AB577" i="8"/>
  <c r="AC577" i="8"/>
  <c r="R577" i="8"/>
  <c r="S575" i="8"/>
  <c r="T575" i="8"/>
  <c r="R575" i="8"/>
  <c r="EI147" i="19"/>
  <c r="EG147" i="19"/>
  <c r="EF147" i="19"/>
  <c r="EI101" i="19"/>
  <c r="EG101" i="19"/>
  <c r="EF101" i="19"/>
  <c r="EI54" i="19"/>
  <c r="EG54" i="19"/>
  <c r="EF54" i="19"/>
  <c r="K157" i="17"/>
  <c r="J56" i="18" l="1"/>
  <c r="H56" i="18"/>
  <c r="I56" i="18"/>
  <c r="D14" i="18"/>
  <c r="D13" i="18"/>
  <c r="M34" i="18"/>
  <c r="C13" i="18"/>
  <c r="C14" i="18"/>
  <c r="C12" i="18"/>
  <c r="N13" i="18"/>
  <c r="N14" i="18"/>
  <c r="O34" i="18"/>
  <c r="O12" i="18" s="1"/>
  <c r="E14" i="18"/>
  <c r="E13" i="18"/>
  <c r="O39" i="18"/>
  <c r="E12" i="18"/>
  <c r="R638" i="8"/>
  <c r="T638" i="8"/>
  <c r="S590" i="8"/>
  <c r="R590" i="8"/>
  <c r="R578" i="8"/>
  <c r="O57" i="18"/>
  <c r="E56" i="18"/>
  <c r="C56" i="18"/>
  <c r="M56" i="18" s="1"/>
  <c r="F56" i="18"/>
  <c r="O40" i="18"/>
  <c r="E11" i="18"/>
  <c r="D56" i="18"/>
  <c r="N56" i="18" s="1"/>
  <c r="R592" i="8"/>
  <c r="R593" i="8"/>
  <c r="R591" i="8"/>
  <c r="T593" i="8"/>
  <c r="T592" i="8"/>
  <c r="T591" i="8"/>
  <c r="T590" i="8"/>
  <c r="S592" i="8"/>
  <c r="S591" i="8"/>
  <c r="S593" i="8"/>
  <c r="T578" i="8"/>
  <c r="S578" i="8"/>
  <c r="O56" i="18"/>
  <c r="K56" i="18"/>
  <c r="G56" i="18"/>
  <c r="H39" i="18"/>
  <c r="D39" i="18"/>
  <c r="D12" i="18" s="1"/>
  <c r="M39" i="18"/>
  <c r="C11" i="18"/>
  <c r="O11" i="18" l="1"/>
  <c r="M13" i="18"/>
  <c r="M14" i="18"/>
  <c r="M11" i="18"/>
  <c r="M12" i="18"/>
  <c r="O14" i="18"/>
  <c r="O13" i="18"/>
  <c r="S594" i="8"/>
  <c r="S638" i="8"/>
  <c r="T594" i="8"/>
  <c r="R594" i="8"/>
  <c r="D11" i="18"/>
  <c r="N39" i="18"/>
  <c r="N11" i="18" l="1"/>
  <c r="N12" i="18"/>
  <c r="EG11" i="19"/>
  <c r="EF11" i="19"/>
  <c r="EG15" i="19" l="1"/>
  <c r="EQ147" i="19"/>
  <c r="ES151" i="19" s="1"/>
  <c r="ET152" i="19" s="1"/>
  <c r="EU153" i="19" s="1"/>
  <c r="EV154" i="19" s="1"/>
  <c r="EQ54" i="19"/>
  <c r="ES58" i="19" s="1"/>
  <c r="EQ11" i="19"/>
  <c r="ES15" i="19" s="1"/>
  <c r="ES26" i="19" s="1"/>
  <c r="EQ101" i="19"/>
  <c r="ES105" i="19" s="1"/>
  <c r="ET106" i="19" s="1"/>
  <c r="EU107" i="19" s="1"/>
  <c r="EV108" i="19" s="1"/>
  <c r="EP11" i="19"/>
  <c r="EP54" i="19"/>
  <c r="EP101" i="19"/>
  <c r="EP147" i="19"/>
  <c r="EO11" i="19"/>
  <c r="EO54" i="19"/>
  <c r="EO101" i="19"/>
  <c r="EO147" i="19"/>
  <c r="EN11" i="19"/>
  <c r="EN54" i="19"/>
  <c r="EN101" i="19"/>
  <c r="EN147" i="19"/>
  <c r="EM54" i="19"/>
  <c r="EM101" i="19"/>
  <c r="EM147" i="19"/>
  <c r="EM11" i="19"/>
  <c r="EL11" i="19"/>
  <c r="EL54" i="19"/>
  <c r="EL101" i="19"/>
  <c r="EL147" i="19"/>
  <c r="EK11" i="19"/>
  <c r="EK54" i="19"/>
  <c r="EK147" i="19"/>
  <c r="EK101" i="19"/>
  <c r="EJ101" i="19"/>
  <c r="EJ147" i="19"/>
  <c r="EJ54" i="19"/>
  <c r="EJ11" i="19"/>
  <c r="EI11" i="19"/>
  <c r="EH11" i="19"/>
  <c r="EH15" i="19" s="1"/>
  <c r="EH54" i="19"/>
  <c r="EH101" i="19"/>
  <c r="EH147" i="19"/>
  <c r="ES69" i="19" l="1"/>
  <c r="ET59" i="19"/>
  <c r="EV165" i="19"/>
  <c r="EV176" i="19" s="1"/>
  <c r="EW155" i="19"/>
  <c r="EV119" i="19"/>
  <c r="EV130" i="19" s="1"/>
  <c r="EW109" i="19"/>
  <c r="X207" i="8"/>
  <c r="EW120" i="19" l="1"/>
  <c r="EX110" i="19"/>
  <c r="EW166" i="19"/>
  <c r="EX156" i="19"/>
  <c r="EU60" i="19"/>
  <c r="ET70" i="19"/>
  <c r="X210" i="8"/>
  <c r="AF213" i="8"/>
  <c r="AD684" i="8"/>
  <c r="EX167" i="19" l="1"/>
  <c r="EY157" i="19"/>
  <c r="EX121" i="19"/>
  <c r="EY111" i="19"/>
  <c r="EU71" i="19"/>
  <c r="EV61" i="19"/>
  <c r="AD686" i="8"/>
  <c r="AD698" i="8"/>
  <c r="AD701" i="8"/>
  <c r="C2" i="20"/>
  <c r="C6" i="20" s="1"/>
  <c r="EV72" i="19" l="1"/>
  <c r="EW62" i="19"/>
  <c r="EY168" i="19"/>
  <c r="EZ158" i="19"/>
  <c r="EY122" i="19"/>
  <c r="EZ112" i="19"/>
  <c r="AD687" i="8"/>
  <c r="E7" i="18"/>
  <c r="F7" i="22"/>
  <c r="U575" i="8"/>
  <c r="EW73" i="19" l="1"/>
  <c r="EX63" i="19"/>
  <c r="EZ123" i="19"/>
  <c r="FA113" i="19"/>
  <c r="EZ169" i="19"/>
  <c r="FA159" i="19"/>
  <c r="AE684" i="8"/>
  <c r="U631" i="8"/>
  <c r="U593" i="8"/>
  <c r="U592" i="8"/>
  <c r="U591" i="8"/>
  <c r="U578" i="8"/>
  <c r="U590" i="8"/>
  <c r="FA124" i="19" l="1"/>
  <c r="FB114" i="19"/>
  <c r="FA170" i="19"/>
  <c r="FB160" i="19"/>
  <c r="EX74" i="19"/>
  <c r="EY64" i="19"/>
  <c r="U594" i="8"/>
  <c r="U636" i="8"/>
  <c r="U634" i="8"/>
  <c r="U637" i="8"/>
  <c r="U635" i="8"/>
  <c r="AE701" i="8"/>
  <c r="AE698" i="8"/>
  <c r="AE686" i="8"/>
  <c r="W631" i="8"/>
  <c r="AF684" i="8"/>
  <c r="V575" i="8"/>
  <c r="Y207" i="8"/>
  <c r="FB171" i="19" l="1"/>
  <c r="FC161" i="19"/>
  <c r="EY75" i="19"/>
  <c r="EZ65" i="19"/>
  <c r="FB125" i="19"/>
  <c r="FC115" i="19"/>
  <c r="U638" i="8"/>
  <c r="V631" i="8"/>
  <c r="W575" i="8"/>
  <c r="W591" i="8" s="1"/>
  <c r="AE687" i="8"/>
  <c r="V591" i="8"/>
  <c r="V593" i="8"/>
  <c r="V578" i="8"/>
  <c r="V592" i="8"/>
  <c r="V590" i="8"/>
  <c r="W634" i="8"/>
  <c r="W637" i="8"/>
  <c r="W635" i="8"/>
  <c r="W636" i="8"/>
  <c r="AF686" i="8"/>
  <c r="AF701" i="8"/>
  <c r="AF698" i="8"/>
  <c r="EZ76" i="19" l="1"/>
  <c r="FA66" i="19"/>
  <c r="FC126" i="19"/>
  <c r="FD116" i="19"/>
  <c r="FC172" i="19"/>
  <c r="FD162" i="19"/>
  <c r="V594" i="8"/>
  <c r="W590" i="8"/>
  <c r="W578" i="8"/>
  <c r="W593" i="8"/>
  <c r="W592" i="8"/>
  <c r="V637" i="8"/>
  <c r="V636" i="8"/>
  <c r="V634" i="8"/>
  <c r="V635" i="8"/>
  <c r="AF687" i="8"/>
  <c r="W638" i="8"/>
  <c r="FD127" i="19" l="1"/>
  <c r="FD100" i="19"/>
  <c r="FD173" i="19"/>
  <c r="FD146" i="19"/>
  <c r="FA77" i="19"/>
  <c r="FA53" i="19"/>
  <c r="W594" i="8"/>
  <c r="V638" i="8"/>
  <c r="AG684" i="8" l="1"/>
  <c r="AH684" i="8" l="1"/>
  <c r="AH686" i="8" s="1"/>
  <c r="AG698" i="8"/>
  <c r="AG701" i="8"/>
  <c r="AG686" i="8"/>
  <c r="X575" i="8"/>
  <c r="Y575" i="8" l="1"/>
  <c r="Y592" i="8" s="1"/>
  <c r="Y631" i="8"/>
  <c r="Y635" i="8" s="1"/>
  <c r="X593" i="8"/>
  <c r="X578" i="8"/>
  <c r="X592" i="8"/>
  <c r="X591" i="8"/>
  <c r="X590" i="8"/>
  <c r="Y591" i="8"/>
  <c r="AG687" i="8"/>
  <c r="AH687" i="8"/>
  <c r="X631" i="8"/>
  <c r="AH701" i="8"/>
  <c r="AH698" i="8"/>
  <c r="Y636" i="8"/>
  <c r="Y637" i="8"/>
  <c r="Y578" i="8" l="1"/>
  <c r="Y590" i="8"/>
  <c r="Y593" i="8"/>
  <c r="Y634" i="8"/>
  <c r="Y638" i="8" s="1"/>
  <c r="X635" i="8"/>
  <c r="X637" i="8"/>
  <c r="X634" i="8"/>
  <c r="X636" i="8"/>
  <c r="X594" i="8"/>
  <c r="AI684" i="8"/>
  <c r="Z207" i="8"/>
  <c r="Y594" i="8" l="1"/>
  <c r="X638" i="8"/>
  <c r="AI701" i="8"/>
  <c r="AI698" i="8"/>
  <c r="AI686" i="8"/>
  <c r="AI687" i="8" l="1"/>
  <c r="Z575" i="8"/>
  <c r="Z631" i="8" l="1"/>
  <c r="Z591" i="8"/>
  <c r="Z578" i="8"/>
  <c r="Z593" i="8"/>
  <c r="Z592" i="8"/>
  <c r="Z590" i="8"/>
  <c r="AJ684" i="8"/>
  <c r="AJ701" i="8" l="1"/>
  <c r="AJ698" i="8"/>
  <c r="AJ686" i="8"/>
  <c r="Z637" i="8"/>
  <c r="Z636" i="8"/>
  <c r="Z635" i="8"/>
  <c r="Z634" i="8"/>
  <c r="Z594" i="8"/>
  <c r="Z638" i="8" l="1"/>
  <c r="AJ687" i="8"/>
  <c r="AA575" i="8"/>
  <c r="AK684" i="8"/>
  <c r="AA631" i="8" l="1"/>
  <c r="AK701" i="8"/>
  <c r="AK698" i="8"/>
  <c r="AK686" i="8"/>
  <c r="AA592" i="8"/>
  <c r="AA591" i="8"/>
  <c r="AA593" i="8"/>
  <c r="AA578" i="8"/>
  <c r="AA590" i="8"/>
  <c r="AA594" i="8" l="1"/>
  <c r="AK687" i="8"/>
  <c r="AA634" i="8"/>
  <c r="AA636" i="8"/>
  <c r="AA637" i="8"/>
  <c r="AA635" i="8"/>
  <c r="AB631" i="8"/>
  <c r="AB575" i="8"/>
  <c r="AA638" i="8" l="1"/>
  <c r="AB635" i="8"/>
  <c r="AB636" i="8"/>
  <c r="AB634" i="8"/>
  <c r="AB637" i="8"/>
  <c r="AB593" i="8"/>
  <c r="AB592" i="8"/>
  <c r="AB591" i="8"/>
  <c r="AB590" i="8"/>
  <c r="AB578" i="8"/>
  <c r="AB594" i="8" l="1"/>
  <c r="AB638" i="8"/>
  <c r="AL684" i="8" l="1"/>
  <c r="AA207" i="8"/>
  <c r="AL701" i="8" l="1"/>
  <c r="AL698" i="8"/>
  <c r="AL686" i="8"/>
  <c r="AC575" i="8"/>
  <c r="AC631" i="8" l="1"/>
  <c r="AC593" i="8"/>
  <c r="AC592" i="8"/>
  <c r="AC591" i="8"/>
  <c r="AC590" i="8"/>
  <c r="AC578" i="8"/>
  <c r="AD578" i="8" s="1"/>
  <c r="AL687" i="8"/>
  <c r="AM684" i="8"/>
  <c r="AM701" i="8" l="1"/>
  <c r="AN701" i="8" s="1"/>
  <c r="AM698" i="8"/>
  <c r="AM686" i="8"/>
  <c r="AM687" i="8" s="1"/>
  <c r="AC713" i="8" s="1"/>
  <c r="AC714" i="8" s="1"/>
  <c r="AC594" i="8"/>
  <c r="AC636" i="8"/>
  <c r="AC637" i="8"/>
  <c r="AC635" i="8"/>
  <c r="AC634" i="8"/>
  <c r="AC638" i="8" l="1"/>
  <c r="AN687" i="8"/>
  <c r="G38" i="22"/>
  <c r="F42" i="18"/>
  <c r="F43" i="18" l="1"/>
  <c r="G39" i="22"/>
  <c r="G37" i="22"/>
  <c r="F41" i="18"/>
  <c r="Q676" i="8"/>
  <c r="H5" i="22" l="1"/>
  <c r="H6" i="22" s="1"/>
  <c r="E2" i="20"/>
  <c r="G48" i="18" l="1"/>
  <c r="Q48" i="18" s="1"/>
  <c r="Q52" i="18"/>
  <c r="Q53" i="18"/>
  <c r="Q64" i="18"/>
  <c r="Q36" i="18"/>
  <c r="Q62" i="18"/>
  <c r="Q18" i="18"/>
  <c r="Q26" i="18"/>
  <c r="Q40" i="18"/>
  <c r="Q45" i="18"/>
  <c r="Q61" i="18"/>
  <c r="Q51" i="18"/>
  <c r="Q63" i="18"/>
  <c r="Q27" i="18"/>
  <c r="Q31" i="18"/>
  <c r="Q41" i="18"/>
  <c r="Q50" i="18"/>
  <c r="Q59" i="18"/>
  <c r="Q32" i="18"/>
  <c r="Q57" i="18"/>
  <c r="Q58" i="18"/>
  <c r="Q43" i="18"/>
  <c r="Q22" i="18"/>
  <c r="Q44" i="18"/>
  <c r="Q42" i="18"/>
  <c r="Q65" i="18"/>
  <c r="Q56" i="18"/>
  <c r="E3" i="20"/>
  <c r="E6" i="20"/>
  <c r="S36" i="22"/>
  <c r="S59" i="22"/>
  <c r="S32" i="22"/>
  <c r="S23" i="22"/>
  <c r="S39" i="22"/>
  <c r="S45" i="22"/>
  <c r="S24" i="22"/>
  <c r="S16" i="22"/>
  <c r="S40" i="22"/>
  <c r="S58" i="22"/>
  <c r="S30" i="22"/>
  <c r="S21" i="22"/>
  <c r="S37" i="22"/>
  <c r="S31" i="22"/>
  <c r="S22" i="22"/>
  <c r="S33" i="22"/>
  <c r="S61" i="22"/>
  <c r="S38" i="22"/>
  <c r="S35" i="22"/>
  <c r="S41" i="22"/>
  <c r="S26" i="22"/>
  <c r="S44" i="22"/>
  <c r="S53" i="22"/>
  <c r="S47" i="22"/>
  <c r="S42" i="22"/>
  <c r="S54" i="22"/>
  <c r="S27" i="22"/>
  <c r="S18" i="22"/>
  <c r="S17" i="22"/>
  <c r="S28" i="22"/>
  <c r="S19" i="22"/>
  <c r="S60" i="22"/>
  <c r="S46" i="22"/>
  <c r="S25" i="22"/>
  <c r="S14" i="22"/>
  <c r="S55" i="22"/>
  <c r="S57" i="22"/>
  <c r="S52" i="22"/>
  <c r="Q49" i="18" l="1"/>
  <c r="J199" i="26"/>
  <c r="K108" i="26"/>
  <c r="K110" i="26"/>
  <c r="R109" i="26"/>
  <c r="J165" i="26"/>
  <c r="K109" i="26"/>
  <c r="R108" i="26"/>
  <c r="R110" i="26"/>
  <c r="J164" i="26"/>
  <c r="J200" i="26"/>
  <c r="J198" i="26"/>
  <c r="J201" i="26"/>
  <c r="J163" i="26"/>
  <c r="J162" i="26"/>
  <c r="S9" i="22"/>
  <c r="G7" i="18"/>
  <c r="H7" i="22"/>
  <c r="S10" i="22"/>
  <c r="S11" i="22"/>
  <c r="J166" i="26" l="1"/>
  <c r="J167" i="26" s="1"/>
  <c r="J202" i="26"/>
  <c r="R111" i="26"/>
  <c r="R112" i="26" s="1"/>
  <c r="K111" i="26"/>
  <c r="I5" i="22"/>
  <c r="I6" i="22" s="1"/>
  <c r="F2" i="20"/>
  <c r="G21" i="18" l="1"/>
  <c r="Q21" i="18" s="1"/>
  <c r="K112" i="26"/>
  <c r="K124" i="26"/>
  <c r="J203" i="26"/>
  <c r="G23" i="18"/>
  <c r="Q23" i="18" s="1"/>
  <c r="H48" i="18"/>
  <c r="R53" i="18"/>
  <c r="R52" i="18"/>
  <c r="R63" i="18"/>
  <c r="R31" i="18"/>
  <c r="R57" i="18"/>
  <c r="R50" i="18"/>
  <c r="R62" i="18"/>
  <c r="R27" i="18"/>
  <c r="R46" i="18"/>
  <c r="R45" i="18"/>
  <c r="R49" i="18"/>
  <c r="R58" i="18"/>
  <c r="R18" i="18"/>
  <c r="R34" i="18"/>
  <c r="R56" i="18"/>
  <c r="R42" i="18"/>
  <c r="R65" i="18"/>
  <c r="R32" i="18"/>
  <c r="R43" i="18"/>
  <c r="R59" i="18"/>
  <c r="R41" i="18"/>
  <c r="R64" i="18"/>
  <c r="R22" i="18"/>
  <c r="R51" i="18"/>
  <c r="R26" i="18"/>
  <c r="R36" i="18"/>
  <c r="R61" i="18"/>
  <c r="R40" i="18"/>
  <c r="R44" i="18"/>
  <c r="R39" i="18"/>
  <c r="F4" i="20"/>
  <c r="F3" i="20"/>
  <c r="F6" i="20"/>
  <c r="T55" i="22"/>
  <c r="T37" i="22"/>
  <c r="T31" i="22"/>
  <c r="T22" i="22"/>
  <c r="T40" i="22"/>
  <c r="T32" i="22"/>
  <c r="T18" i="22"/>
  <c r="T59" i="22"/>
  <c r="T44" i="22"/>
  <c r="T17" i="22"/>
  <c r="T28" i="22"/>
  <c r="T19" i="22"/>
  <c r="T38" i="22"/>
  <c r="T27" i="22"/>
  <c r="T46" i="22"/>
  <c r="T54" i="22"/>
  <c r="T53" i="22"/>
  <c r="T60" i="22"/>
  <c r="T45" i="22"/>
  <c r="T24" i="22"/>
  <c r="T21" i="22"/>
  <c r="T25" i="22"/>
  <c r="T41" i="22"/>
  <c r="T14" i="22"/>
  <c r="T26" i="22"/>
  <c r="T47" i="22"/>
  <c r="T33" i="22"/>
  <c r="T58" i="22"/>
  <c r="T30" i="22"/>
  <c r="T61" i="22"/>
  <c r="T39" i="22"/>
  <c r="T42" i="22"/>
  <c r="T23" i="22"/>
  <c r="T36" i="22"/>
  <c r="T16" i="22"/>
  <c r="T35" i="22"/>
  <c r="T52" i="22"/>
  <c r="T57" i="22"/>
  <c r="G20" i="18" l="1"/>
  <c r="Q20" i="18" s="1"/>
  <c r="S108" i="26"/>
  <c r="L108" i="26"/>
  <c r="L110" i="26"/>
  <c r="S109" i="26"/>
  <c r="L109" i="26"/>
  <c r="S110" i="26"/>
  <c r="K165" i="26"/>
  <c r="K164" i="26"/>
  <c r="K198" i="26"/>
  <c r="K163" i="26"/>
  <c r="K199" i="26"/>
  <c r="K200" i="26"/>
  <c r="K162" i="26"/>
  <c r="K201" i="26"/>
  <c r="G30" i="18"/>
  <c r="K125" i="26"/>
  <c r="R48" i="18"/>
  <c r="T9" i="22"/>
  <c r="T11" i="22"/>
  <c r="T10" i="22"/>
  <c r="H7" i="18"/>
  <c r="I7" i="22"/>
  <c r="L111" i="26" l="1"/>
  <c r="L112" i="26" s="1"/>
  <c r="G25" i="18"/>
  <c r="Q30" i="18"/>
  <c r="K166" i="26"/>
  <c r="K202" i="26"/>
  <c r="S111" i="26"/>
  <c r="S112" i="26" s="1"/>
  <c r="J5" i="22"/>
  <c r="J6" i="22" s="1"/>
  <c r="G2" i="20"/>
  <c r="L124" i="26" l="1"/>
  <c r="L125" i="26" s="1"/>
  <c r="Q25" i="18"/>
  <c r="G13" i="18"/>
  <c r="G14" i="18"/>
  <c r="K203" i="26"/>
  <c r="H23" i="18"/>
  <c r="R23" i="18" s="1"/>
  <c r="H21" i="18"/>
  <c r="K167" i="26"/>
  <c r="I48" i="18"/>
  <c r="S48" i="18" s="1"/>
  <c r="S52" i="18"/>
  <c r="S53" i="18"/>
  <c r="G3" i="20"/>
  <c r="G4" i="20"/>
  <c r="G6" i="20"/>
  <c r="U28" i="22"/>
  <c r="U19" i="22"/>
  <c r="U38" i="22"/>
  <c r="U27" i="22"/>
  <c r="U60" i="22"/>
  <c r="U17" i="22"/>
  <c r="U39" i="22"/>
  <c r="U26" i="22"/>
  <c r="U47" i="22"/>
  <c r="U33" i="22"/>
  <c r="U25" i="22"/>
  <c r="U55" i="22"/>
  <c r="U14" i="22"/>
  <c r="U30" i="22"/>
  <c r="U22" i="22"/>
  <c r="U32" i="22"/>
  <c r="U44" i="22"/>
  <c r="U45" i="22"/>
  <c r="U24" i="22"/>
  <c r="U42" i="22"/>
  <c r="U46" i="22"/>
  <c r="U23" i="22"/>
  <c r="U37" i="22"/>
  <c r="U41" i="22"/>
  <c r="U21" i="22"/>
  <c r="U54" i="22"/>
  <c r="U16" i="22"/>
  <c r="U31" i="22"/>
  <c r="U40" i="22"/>
  <c r="U18" i="22"/>
  <c r="U35" i="22"/>
  <c r="U58" i="22"/>
  <c r="U36" i="22"/>
  <c r="U61" i="22"/>
  <c r="U59" i="22"/>
  <c r="U53" i="22"/>
  <c r="U57" i="22"/>
  <c r="U52" i="22"/>
  <c r="S59" i="18"/>
  <c r="S49" i="18"/>
  <c r="S51" i="18"/>
  <c r="S64" i="18"/>
  <c r="S39" i="18"/>
  <c r="S18" i="18"/>
  <c r="S50" i="18"/>
  <c r="S34" i="18"/>
  <c r="S65" i="18"/>
  <c r="S44" i="18"/>
  <c r="S46" i="18"/>
  <c r="S32" i="18"/>
  <c r="S40" i="18"/>
  <c r="S62" i="18"/>
  <c r="S43" i="18"/>
  <c r="S58" i="18"/>
  <c r="S42" i="18"/>
  <c r="S45" i="18"/>
  <c r="S31" i="18"/>
  <c r="S27" i="18"/>
  <c r="S36" i="18"/>
  <c r="S63" i="18"/>
  <c r="S57" i="18"/>
  <c r="S22" i="18"/>
  <c r="S41" i="18"/>
  <c r="S26" i="18"/>
  <c r="S56" i="18"/>
  <c r="H30" i="18" l="1"/>
  <c r="H25" i="18" s="1"/>
  <c r="R25" i="18" s="1"/>
  <c r="Q14" i="18"/>
  <c r="Q13" i="18"/>
  <c r="T108" i="26"/>
  <c r="T109" i="26"/>
  <c r="M108" i="26"/>
  <c r="M109" i="26"/>
  <c r="T110" i="26"/>
  <c r="M110" i="26"/>
  <c r="L201" i="26"/>
  <c r="L199" i="26"/>
  <c r="L198" i="26"/>
  <c r="L200" i="26"/>
  <c r="L162" i="26"/>
  <c r="L163" i="26"/>
  <c r="L164" i="26"/>
  <c r="L165" i="26"/>
  <c r="H20" i="18"/>
  <c r="R21" i="18"/>
  <c r="U9" i="22"/>
  <c r="U11" i="22"/>
  <c r="U10" i="22"/>
  <c r="I7" i="18"/>
  <c r="J7" i="22"/>
  <c r="R30" i="18" l="1"/>
  <c r="L166" i="26"/>
  <c r="I21" i="18" s="1"/>
  <c r="M111" i="26"/>
  <c r="M112" i="26" s="1"/>
  <c r="L202" i="26"/>
  <c r="R20" i="18"/>
  <c r="H11" i="18"/>
  <c r="H9" i="18" s="1"/>
  <c r="R9" i="18" s="1"/>
  <c r="H14" i="18"/>
  <c r="H13" i="18"/>
  <c r="H12" i="18"/>
  <c r="T111" i="26"/>
  <c r="T112" i="26" s="1"/>
  <c r="K5" i="22"/>
  <c r="K6" i="22" s="1"/>
  <c r="H2" i="20"/>
  <c r="L167" i="26" l="1"/>
  <c r="M124" i="26"/>
  <c r="M125" i="26" s="1"/>
  <c r="S21" i="18"/>
  <c r="R14" i="18"/>
  <c r="R12" i="18"/>
  <c r="R13" i="18"/>
  <c r="R11" i="18"/>
  <c r="L203" i="26"/>
  <c r="I23" i="18"/>
  <c r="S23" i="18" s="1"/>
  <c r="J48" i="18"/>
  <c r="T48" i="18" s="1"/>
  <c r="T53" i="18"/>
  <c r="T52" i="18"/>
  <c r="H4" i="20"/>
  <c r="H3" i="20"/>
  <c r="H6" i="20"/>
  <c r="V19" i="22"/>
  <c r="V22" i="22"/>
  <c r="V24" i="22"/>
  <c r="V59" i="22"/>
  <c r="V30" i="22"/>
  <c r="V58" i="22"/>
  <c r="V60" i="22"/>
  <c r="V38" i="22"/>
  <c r="V46" i="22"/>
  <c r="V23" i="22"/>
  <c r="V37" i="22"/>
  <c r="V31" i="22"/>
  <c r="V45" i="22"/>
  <c r="V54" i="22"/>
  <c r="V28" i="22"/>
  <c r="V61" i="22"/>
  <c r="V44" i="22"/>
  <c r="V27" i="22"/>
  <c r="V14" i="22"/>
  <c r="V47" i="22"/>
  <c r="V36" i="22"/>
  <c r="V32" i="22"/>
  <c r="V18" i="22"/>
  <c r="V17" i="22"/>
  <c r="V35" i="22"/>
  <c r="V55" i="22"/>
  <c r="V42" i="22"/>
  <c r="V33" i="22"/>
  <c r="V41" i="22"/>
  <c r="V21" i="22"/>
  <c r="V39" i="22"/>
  <c r="V26" i="22"/>
  <c r="V25" i="22"/>
  <c r="V40" i="22"/>
  <c r="V16" i="22"/>
  <c r="V57" i="22"/>
  <c r="V53" i="22"/>
  <c r="V52" i="22"/>
  <c r="T58" i="18"/>
  <c r="T42" i="18"/>
  <c r="T46" i="18"/>
  <c r="T32" i="18"/>
  <c r="T61" i="18"/>
  <c r="T63" i="18"/>
  <c r="T59" i="18"/>
  <c r="T56" i="18"/>
  <c r="T57" i="18"/>
  <c r="T45" i="18"/>
  <c r="T31" i="18"/>
  <c r="T27" i="18"/>
  <c r="T36" i="18"/>
  <c r="T51" i="18"/>
  <c r="T50" i="18"/>
  <c r="T49" i="18"/>
  <c r="T34" i="18"/>
  <c r="T41" i="18"/>
  <c r="T26" i="18"/>
  <c r="T44" i="18"/>
  <c r="T22" i="18"/>
  <c r="T43" i="18"/>
  <c r="T65" i="18"/>
  <c r="T64" i="18"/>
  <c r="T39" i="18"/>
  <c r="T62" i="18"/>
  <c r="T18" i="18"/>
  <c r="T40" i="18"/>
  <c r="I30" i="18" l="1"/>
  <c r="I25" i="18" s="1"/>
  <c r="S25" i="18" s="1"/>
  <c r="N108" i="26"/>
  <c r="U110" i="26"/>
  <c r="U108" i="26"/>
  <c r="N110" i="26"/>
  <c r="N109" i="26"/>
  <c r="U109" i="26"/>
  <c r="M198" i="26"/>
  <c r="M199" i="26"/>
  <c r="M201" i="26"/>
  <c r="M200" i="26"/>
  <c r="M162" i="26"/>
  <c r="M163" i="26"/>
  <c r="M164" i="26"/>
  <c r="M165" i="26"/>
  <c r="I20" i="18"/>
  <c r="V9" i="22"/>
  <c r="J7" i="18"/>
  <c r="K7" i="22"/>
  <c r="V11" i="22"/>
  <c r="V10" i="22"/>
  <c r="S30" i="18" l="1"/>
  <c r="N111" i="26"/>
  <c r="S20" i="18"/>
  <c r="I11" i="18"/>
  <c r="I9" i="18" s="1"/>
  <c r="S9" i="18" s="1"/>
  <c r="I14" i="18"/>
  <c r="I12" i="18"/>
  <c r="I13" i="18"/>
  <c r="M166" i="26"/>
  <c r="M202" i="26"/>
  <c r="U111" i="26"/>
  <c r="U112" i="26" s="1"/>
  <c r="L5" i="22"/>
  <c r="L6" i="22" s="1"/>
  <c r="I2" i="20"/>
  <c r="S12" i="18" l="1"/>
  <c r="S13" i="18"/>
  <c r="S14" i="18"/>
  <c r="S11" i="18"/>
  <c r="M203" i="26"/>
  <c r="J23" i="18"/>
  <c r="T23" i="18" s="1"/>
  <c r="J21" i="18"/>
  <c r="M167" i="26"/>
  <c r="N112" i="26"/>
  <c r="N124" i="26"/>
  <c r="K48" i="18"/>
  <c r="U48" i="18" s="1"/>
  <c r="U52" i="18"/>
  <c r="U53" i="18"/>
  <c r="I4" i="20"/>
  <c r="I3" i="20"/>
  <c r="I6" i="20"/>
  <c r="W36" i="22"/>
  <c r="W38" i="22"/>
  <c r="W42" i="22"/>
  <c r="W55" i="22"/>
  <c r="W59" i="22"/>
  <c r="W32" i="22"/>
  <c r="W23" i="22"/>
  <c r="W41" i="22"/>
  <c r="W14" i="22"/>
  <c r="W26" i="22"/>
  <c r="W54" i="22"/>
  <c r="W18" i="22"/>
  <c r="W31" i="22"/>
  <c r="W46" i="22"/>
  <c r="W53" i="22"/>
  <c r="W61" i="22"/>
  <c r="W33" i="22"/>
  <c r="W35" i="22"/>
  <c r="W58" i="22"/>
  <c r="W30" i="22"/>
  <c r="W21" i="22"/>
  <c r="W39" i="22"/>
  <c r="W45" i="22"/>
  <c r="W24" i="22"/>
  <c r="W40" i="22"/>
  <c r="W16" i="22"/>
  <c r="W47" i="22"/>
  <c r="W60" i="22"/>
  <c r="W27" i="22"/>
  <c r="W37" i="22"/>
  <c r="W22" i="22"/>
  <c r="W25" i="22"/>
  <c r="W17" i="22"/>
  <c r="W19" i="22"/>
  <c r="W28" i="22"/>
  <c r="W44" i="22"/>
  <c r="W57" i="22"/>
  <c r="W52" i="22"/>
  <c r="U64" i="18"/>
  <c r="U39" i="18"/>
  <c r="U18" i="18"/>
  <c r="U51" i="18"/>
  <c r="U50" i="18"/>
  <c r="U46" i="18"/>
  <c r="U32" i="18"/>
  <c r="U65" i="18"/>
  <c r="U44" i="18"/>
  <c r="U22" i="18"/>
  <c r="U43" i="18"/>
  <c r="U49" i="18"/>
  <c r="U34" i="18"/>
  <c r="U45" i="18"/>
  <c r="U31" i="18"/>
  <c r="U27" i="18"/>
  <c r="U58" i="18"/>
  <c r="U40" i="18"/>
  <c r="U62" i="18"/>
  <c r="U36" i="18"/>
  <c r="U42" i="18"/>
  <c r="U41" i="18"/>
  <c r="U26" i="18"/>
  <c r="U63" i="18"/>
  <c r="U59" i="18"/>
  <c r="U61" i="18"/>
  <c r="U57" i="18"/>
  <c r="U56" i="18"/>
  <c r="J20" i="18" l="1"/>
  <c r="T21" i="18"/>
  <c r="O108" i="26"/>
  <c r="V110" i="26"/>
  <c r="V109" i="26"/>
  <c r="V108" i="26"/>
  <c r="O109" i="26"/>
  <c r="N200" i="26"/>
  <c r="O110" i="26"/>
  <c r="N201" i="26"/>
  <c r="N198" i="26"/>
  <c r="N199" i="26"/>
  <c r="N163" i="26"/>
  <c r="N164" i="26"/>
  <c r="N165" i="26"/>
  <c r="N162" i="26"/>
  <c r="J30" i="18"/>
  <c r="N125" i="26"/>
  <c r="W9" i="22"/>
  <c r="W10" i="22"/>
  <c r="W11" i="22"/>
  <c r="K7" i="18"/>
  <c r="L7" i="22"/>
  <c r="N166" i="26" l="1"/>
  <c r="K21" i="18" s="1"/>
  <c r="O111" i="26"/>
  <c r="O112" i="26" s="1"/>
  <c r="N202" i="26"/>
  <c r="V111" i="26"/>
  <c r="V112" i="26" s="1"/>
  <c r="J25" i="18"/>
  <c r="T25" i="18" s="1"/>
  <c r="T30" i="18"/>
  <c r="T20" i="18"/>
  <c r="G5" i="22"/>
  <c r="D2" i="20"/>
  <c r="F5" i="18"/>
  <c r="AQ176" i="19"/>
  <c r="AR176" i="19" s="1"/>
  <c r="AS176" i="19" s="1"/>
  <c r="AT176" i="19" s="1"/>
  <c r="AU176" i="19" s="1"/>
  <c r="AV176" i="19" s="1"/>
  <c r="AW176" i="19" s="1"/>
  <c r="AX176" i="19" s="1"/>
  <c r="AY176" i="19" s="1"/>
  <c r="AZ176" i="19" s="1"/>
  <c r="BA176" i="19" s="1"/>
  <c r="AH176" i="19"/>
  <c r="DW176" i="19" s="1"/>
  <c r="AG176" i="19"/>
  <c r="AF176" i="19"/>
  <c r="AC176" i="19"/>
  <c r="EF175" i="19"/>
  <c r="DX175" i="19"/>
  <c r="DW175" i="19"/>
  <c r="DV175" i="19"/>
  <c r="DU175" i="19"/>
  <c r="AQ175" i="19"/>
  <c r="AI175" i="19"/>
  <c r="AG175" i="19"/>
  <c r="AF175" i="19"/>
  <c r="AE175" i="19"/>
  <c r="EF174" i="19"/>
  <c r="AQ174" i="19"/>
  <c r="AI174" i="19"/>
  <c r="AH174" i="19"/>
  <c r="DX174" i="19" s="1"/>
  <c r="AF174" i="19"/>
  <c r="AE174" i="19"/>
  <c r="AD174" i="19"/>
  <c r="AQ173" i="19"/>
  <c r="AR173" i="19" s="1"/>
  <c r="AS173" i="19" s="1"/>
  <c r="AT173" i="19" s="1"/>
  <c r="AU173" i="19" s="1"/>
  <c r="AV173" i="19" s="1"/>
  <c r="AW173" i="19" s="1"/>
  <c r="AX173" i="19" s="1"/>
  <c r="AY173" i="19" s="1"/>
  <c r="AZ173" i="19" s="1"/>
  <c r="BA173" i="19" s="1"/>
  <c r="AI173" i="19"/>
  <c r="AH173" i="19"/>
  <c r="DV173" i="19" s="1"/>
  <c r="AG173" i="19"/>
  <c r="AE173" i="19"/>
  <c r="AD173" i="19"/>
  <c r="AC173" i="19"/>
  <c r="AQ172" i="19"/>
  <c r="AR172" i="19" s="1"/>
  <c r="AS172" i="19" s="1"/>
  <c r="AT172" i="19" s="1"/>
  <c r="AU172" i="19" s="1"/>
  <c r="AV172" i="19" s="1"/>
  <c r="AW172" i="19" s="1"/>
  <c r="AX172" i="19" s="1"/>
  <c r="AY172" i="19" s="1"/>
  <c r="AZ172" i="19" s="1"/>
  <c r="BA172" i="19" s="1"/>
  <c r="AH172" i="19"/>
  <c r="DU172" i="19" s="1"/>
  <c r="AG172" i="19"/>
  <c r="AF172" i="19"/>
  <c r="AD172" i="19"/>
  <c r="AC172" i="19"/>
  <c r="DX171" i="19"/>
  <c r="DW171" i="19"/>
  <c r="DV171" i="19"/>
  <c r="DU171" i="19"/>
  <c r="AQ171" i="19"/>
  <c r="AR171" i="19" s="1"/>
  <c r="AS171" i="19" s="1"/>
  <c r="AT171" i="19" s="1"/>
  <c r="AU171" i="19" s="1"/>
  <c r="AV171" i="19" s="1"/>
  <c r="AW171" i="19" s="1"/>
  <c r="AX171" i="19" s="1"/>
  <c r="AY171" i="19" s="1"/>
  <c r="AZ171" i="19" s="1"/>
  <c r="BA171" i="19" s="1"/>
  <c r="AI171" i="19"/>
  <c r="AG171" i="19"/>
  <c r="AF171" i="19"/>
  <c r="AE171" i="19"/>
  <c r="AC171" i="19"/>
  <c r="AQ170" i="19"/>
  <c r="AR170" i="19" s="1"/>
  <c r="AS170" i="19" s="1"/>
  <c r="AT170" i="19" s="1"/>
  <c r="AU170" i="19" s="1"/>
  <c r="AV170" i="19" s="1"/>
  <c r="AW170" i="19" s="1"/>
  <c r="AX170" i="19" s="1"/>
  <c r="AY170" i="19" s="1"/>
  <c r="AZ170" i="19" s="1"/>
  <c r="BA170" i="19" s="1"/>
  <c r="AH170" i="19"/>
  <c r="DU170" i="19" s="1"/>
  <c r="AF170" i="19"/>
  <c r="AE170" i="19"/>
  <c r="AD170" i="19"/>
  <c r="AC170" i="19"/>
  <c r="DW169" i="19"/>
  <c r="DV169" i="19"/>
  <c r="DU169" i="19"/>
  <c r="AQ169" i="19"/>
  <c r="AR169" i="19" s="1"/>
  <c r="AS169" i="19" s="1"/>
  <c r="AT169" i="19" s="1"/>
  <c r="AU169" i="19" s="1"/>
  <c r="AV169" i="19" s="1"/>
  <c r="AW169" i="19" s="1"/>
  <c r="AX169" i="19" s="1"/>
  <c r="AY169" i="19" s="1"/>
  <c r="AZ169" i="19" s="1"/>
  <c r="BA169" i="19" s="1"/>
  <c r="AG169" i="19"/>
  <c r="AE169" i="19"/>
  <c r="AD169" i="19"/>
  <c r="AC169" i="19"/>
  <c r="DV168" i="19"/>
  <c r="DU168" i="19"/>
  <c r="AQ168" i="19"/>
  <c r="AR168" i="19" s="1"/>
  <c r="AS168" i="19" s="1"/>
  <c r="AT168" i="19" s="1"/>
  <c r="AU168" i="19" s="1"/>
  <c r="AV168" i="19" s="1"/>
  <c r="AW168" i="19" s="1"/>
  <c r="AX168" i="19" s="1"/>
  <c r="AY168" i="19" s="1"/>
  <c r="AZ168" i="19" s="1"/>
  <c r="BA168" i="19" s="1"/>
  <c r="AI168" i="19"/>
  <c r="AF168" i="19"/>
  <c r="AD168" i="19"/>
  <c r="AC168" i="19"/>
  <c r="AQ167" i="19"/>
  <c r="AR167" i="19" s="1"/>
  <c r="AS167" i="19" s="1"/>
  <c r="AT167" i="19" s="1"/>
  <c r="AU167" i="19" s="1"/>
  <c r="AV167" i="19" s="1"/>
  <c r="AW167" i="19" s="1"/>
  <c r="AX167" i="19" s="1"/>
  <c r="AY167" i="19" s="1"/>
  <c r="AZ167" i="19" s="1"/>
  <c r="BA167" i="19" s="1"/>
  <c r="AI167" i="19"/>
  <c r="AH167" i="19"/>
  <c r="DU167" i="19" s="1"/>
  <c r="AE167" i="19"/>
  <c r="AC167" i="19"/>
  <c r="AQ166" i="19"/>
  <c r="AR166" i="19" s="1"/>
  <c r="AS166" i="19" s="1"/>
  <c r="AT166" i="19" s="1"/>
  <c r="AU166" i="19" s="1"/>
  <c r="AV166" i="19" s="1"/>
  <c r="AW166" i="19" s="1"/>
  <c r="AX166" i="19" s="1"/>
  <c r="AY166" i="19" s="1"/>
  <c r="AZ166" i="19" s="1"/>
  <c r="BA166" i="19" s="1"/>
  <c r="AI166" i="19"/>
  <c r="AH166" i="19"/>
  <c r="AG166" i="19"/>
  <c r="AD166" i="19"/>
  <c r="AQ165" i="19"/>
  <c r="AR165" i="19" s="1"/>
  <c r="AS165" i="19" s="1"/>
  <c r="AT165" i="19" s="1"/>
  <c r="AU165" i="19" s="1"/>
  <c r="AV165" i="19" s="1"/>
  <c r="AW165" i="19" s="1"/>
  <c r="AX165" i="19" s="1"/>
  <c r="AY165" i="19" s="1"/>
  <c r="AZ165" i="19" s="1"/>
  <c r="BA165" i="19" s="1"/>
  <c r="AI165" i="19"/>
  <c r="AH165" i="19"/>
  <c r="AG165" i="19"/>
  <c r="AF165" i="19"/>
  <c r="AC165" i="19"/>
  <c r="EA162" i="19"/>
  <c r="EA161" i="19"/>
  <c r="EA160" i="19"/>
  <c r="EA159" i="19"/>
  <c r="EA158" i="19"/>
  <c r="EA157" i="19"/>
  <c r="EA156" i="19"/>
  <c r="EA155" i="19"/>
  <c r="EA154" i="19"/>
  <c r="H154" i="19"/>
  <c r="I154" i="19" s="1"/>
  <c r="EA153" i="19"/>
  <c r="I153" i="19"/>
  <c r="EA152" i="19"/>
  <c r="DU152" i="19"/>
  <c r="DO152" i="19"/>
  <c r="DP153" i="19" s="1"/>
  <c r="I152" i="19"/>
  <c r="I151" i="19"/>
  <c r="I150" i="19"/>
  <c r="I149" i="19"/>
  <c r="DZ148" i="19"/>
  <c r="DZ149" i="19" s="1"/>
  <c r="DT148" i="19"/>
  <c r="DT149" i="19" s="1"/>
  <c r="DN148" i="19"/>
  <c r="DN149" i="19" s="1"/>
  <c r="I148" i="19"/>
  <c r="EQ151" i="19"/>
  <c r="ES152" i="19" s="1"/>
  <c r="EP151" i="19"/>
  <c r="EM151" i="19"/>
  <c r="EN152" i="19" s="1"/>
  <c r="EO153" i="19" s="1"/>
  <c r="EP154" i="19" s="1"/>
  <c r="EL151" i="19"/>
  <c r="EI151" i="19"/>
  <c r="EJ152" i="19" s="1"/>
  <c r="EK153" i="19" s="1"/>
  <c r="EL154" i="19" s="1"/>
  <c r="EH151" i="19"/>
  <c r="EI152" i="19" s="1"/>
  <c r="DZ147" i="19"/>
  <c r="DT147" i="19"/>
  <c r="DN147" i="19"/>
  <c r="V147" i="19"/>
  <c r="U147" i="19"/>
  <c r="T147" i="19"/>
  <c r="S147" i="19"/>
  <c r="R147" i="19"/>
  <c r="Q147" i="19"/>
  <c r="P147" i="19"/>
  <c r="I147" i="19"/>
  <c r="DZ146" i="19"/>
  <c r="DT146" i="19"/>
  <c r="DN146" i="19"/>
  <c r="V146" i="19"/>
  <c r="V179" i="19" s="1"/>
  <c r="U146" i="19"/>
  <c r="U179" i="19" s="1"/>
  <c r="T146" i="19"/>
  <c r="T179" i="19" s="1"/>
  <c r="S146" i="19"/>
  <c r="S179" i="19" s="1"/>
  <c r="R146" i="19"/>
  <c r="R179" i="19" s="1"/>
  <c r="Q146" i="19"/>
  <c r="Q179" i="19" s="1"/>
  <c r="P146" i="19"/>
  <c r="P179" i="19" s="1"/>
  <c r="I146" i="19"/>
  <c r="DZ145" i="19"/>
  <c r="DT145" i="19"/>
  <c r="DN145" i="19"/>
  <c r="V145" i="19"/>
  <c r="U145" i="19"/>
  <c r="T145" i="19"/>
  <c r="S145" i="19"/>
  <c r="R145" i="19"/>
  <c r="Q145" i="19"/>
  <c r="P145" i="19"/>
  <c r="I145" i="19"/>
  <c r="DZ144" i="19"/>
  <c r="DT144" i="19"/>
  <c r="DN144" i="19"/>
  <c r="V144" i="19"/>
  <c r="U144" i="19"/>
  <c r="T144" i="19"/>
  <c r="S144" i="19"/>
  <c r="R144" i="19"/>
  <c r="Q144" i="19"/>
  <c r="P144" i="19"/>
  <c r="I144" i="19"/>
  <c r="DZ143" i="19"/>
  <c r="DT143" i="19"/>
  <c r="DN143" i="19"/>
  <c r="V143" i="19"/>
  <c r="AI148" i="19" s="1"/>
  <c r="U143" i="19"/>
  <c r="AH148" i="19" s="1"/>
  <c r="T143" i="19"/>
  <c r="AG148" i="19" s="1"/>
  <c r="S143" i="19"/>
  <c r="AF148" i="19" s="1"/>
  <c r="R143" i="19"/>
  <c r="AE148" i="19" s="1"/>
  <c r="Q143" i="19"/>
  <c r="AD148" i="19" s="1"/>
  <c r="P143" i="19"/>
  <c r="AC148" i="19" s="1"/>
  <c r="I143" i="19"/>
  <c r="I142" i="19"/>
  <c r="AQ130" i="19"/>
  <c r="AR130" i="19" s="1"/>
  <c r="AS130" i="19" s="1"/>
  <c r="AT130" i="19" s="1"/>
  <c r="AU130" i="19" s="1"/>
  <c r="AV130" i="19" s="1"/>
  <c r="AW130" i="19" s="1"/>
  <c r="AX130" i="19" s="1"/>
  <c r="AY130" i="19" s="1"/>
  <c r="AZ130" i="19" s="1"/>
  <c r="BA130" i="19" s="1"/>
  <c r="AH130" i="19"/>
  <c r="AG130" i="19"/>
  <c r="AF130" i="19"/>
  <c r="AE130" i="19"/>
  <c r="AD130" i="19"/>
  <c r="AC130" i="19"/>
  <c r="EF129" i="19"/>
  <c r="DX129" i="19"/>
  <c r="DW129" i="19"/>
  <c r="DV129" i="19"/>
  <c r="DU129" i="19"/>
  <c r="DT129" i="19"/>
  <c r="AQ129" i="19"/>
  <c r="AI129" i="19"/>
  <c r="AG129" i="19"/>
  <c r="AF129" i="19"/>
  <c r="AE129" i="19"/>
  <c r="AD129" i="19"/>
  <c r="AC129" i="19"/>
  <c r="EF128" i="19"/>
  <c r="AQ128" i="19"/>
  <c r="AI128" i="19"/>
  <c r="AH128" i="19"/>
  <c r="DX128" i="19" s="1"/>
  <c r="AF128" i="19"/>
  <c r="AE128" i="19"/>
  <c r="AD128" i="19"/>
  <c r="AC128" i="19"/>
  <c r="AQ127" i="19"/>
  <c r="AR127" i="19" s="1"/>
  <c r="AS127" i="19" s="1"/>
  <c r="AT127" i="19" s="1"/>
  <c r="AU127" i="19" s="1"/>
  <c r="AV127" i="19" s="1"/>
  <c r="AW127" i="19" s="1"/>
  <c r="AX127" i="19" s="1"/>
  <c r="AY127" i="19" s="1"/>
  <c r="AZ127" i="19" s="1"/>
  <c r="BA127" i="19" s="1"/>
  <c r="AI127" i="19"/>
  <c r="AH127" i="19"/>
  <c r="DU127" i="19" s="1"/>
  <c r="AG127" i="19"/>
  <c r="AE127" i="19"/>
  <c r="AD127" i="19"/>
  <c r="AC127" i="19"/>
  <c r="AQ126" i="19"/>
  <c r="AR126" i="19" s="1"/>
  <c r="AS126" i="19" s="1"/>
  <c r="AT126" i="19" s="1"/>
  <c r="AU126" i="19" s="1"/>
  <c r="AV126" i="19" s="1"/>
  <c r="AW126" i="19" s="1"/>
  <c r="AX126" i="19" s="1"/>
  <c r="AY126" i="19" s="1"/>
  <c r="AZ126" i="19" s="1"/>
  <c r="BA126" i="19" s="1"/>
  <c r="AI126" i="19"/>
  <c r="AH126" i="19"/>
  <c r="DX126" i="19" s="1"/>
  <c r="AG126" i="19"/>
  <c r="AF126" i="19"/>
  <c r="AD126" i="19"/>
  <c r="AC126" i="19"/>
  <c r="AQ125" i="19"/>
  <c r="AR125" i="19" s="1"/>
  <c r="AS125" i="19" s="1"/>
  <c r="AT125" i="19" s="1"/>
  <c r="AU125" i="19" s="1"/>
  <c r="AV125" i="19" s="1"/>
  <c r="AW125" i="19" s="1"/>
  <c r="AX125" i="19" s="1"/>
  <c r="AY125" i="19" s="1"/>
  <c r="AZ125" i="19" s="1"/>
  <c r="BA125" i="19" s="1"/>
  <c r="AI125" i="19"/>
  <c r="AH125" i="19"/>
  <c r="DU125" i="19" s="1"/>
  <c r="AG125" i="19"/>
  <c r="AF125" i="19"/>
  <c r="AE125" i="19"/>
  <c r="AC125" i="19"/>
  <c r="AQ124" i="19"/>
  <c r="AR124" i="19" s="1"/>
  <c r="AS124" i="19" s="1"/>
  <c r="AT124" i="19" s="1"/>
  <c r="AU124" i="19" s="1"/>
  <c r="AV124" i="19" s="1"/>
  <c r="AW124" i="19" s="1"/>
  <c r="AX124" i="19" s="1"/>
  <c r="AY124" i="19" s="1"/>
  <c r="AZ124" i="19" s="1"/>
  <c r="BA124" i="19" s="1"/>
  <c r="AH124" i="19"/>
  <c r="DU124" i="19" s="1"/>
  <c r="AG124" i="19"/>
  <c r="AF124" i="19"/>
  <c r="AE124" i="19"/>
  <c r="AD124" i="19"/>
  <c r="AC124" i="19"/>
  <c r="DW123" i="19"/>
  <c r="DV123" i="19"/>
  <c r="DU123" i="19"/>
  <c r="AQ123" i="19"/>
  <c r="AR123" i="19" s="1"/>
  <c r="AS123" i="19" s="1"/>
  <c r="AT123" i="19" s="1"/>
  <c r="AU123" i="19" s="1"/>
  <c r="AV123" i="19" s="1"/>
  <c r="AW123" i="19" s="1"/>
  <c r="AX123" i="19" s="1"/>
  <c r="AY123" i="19" s="1"/>
  <c r="AZ123" i="19" s="1"/>
  <c r="BA123" i="19" s="1"/>
  <c r="AI123" i="19"/>
  <c r="AG123" i="19"/>
  <c r="AF123" i="19"/>
  <c r="AE123" i="19"/>
  <c r="AD123" i="19"/>
  <c r="AC123" i="19"/>
  <c r="AQ122" i="19"/>
  <c r="AR122" i="19" s="1"/>
  <c r="AS122" i="19" s="1"/>
  <c r="AT122" i="19" s="1"/>
  <c r="AU122" i="19" s="1"/>
  <c r="AV122" i="19" s="1"/>
  <c r="AW122" i="19" s="1"/>
  <c r="AX122" i="19" s="1"/>
  <c r="AY122" i="19" s="1"/>
  <c r="AZ122" i="19" s="1"/>
  <c r="BA122" i="19" s="1"/>
  <c r="AI122" i="19"/>
  <c r="AH122" i="19"/>
  <c r="DV122" i="19" s="1"/>
  <c r="AF122" i="19"/>
  <c r="AE122" i="19"/>
  <c r="AD122" i="19"/>
  <c r="AC122" i="19"/>
  <c r="AQ121" i="19"/>
  <c r="AR121" i="19" s="1"/>
  <c r="AS121" i="19" s="1"/>
  <c r="AT121" i="19" s="1"/>
  <c r="AU121" i="19" s="1"/>
  <c r="AV121" i="19" s="1"/>
  <c r="AW121" i="19" s="1"/>
  <c r="AX121" i="19" s="1"/>
  <c r="AY121" i="19" s="1"/>
  <c r="AZ121" i="19" s="1"/>
  <c r="BA121" i="19" s="1"/>
  <c r="AI121" i="19"/>
  <c r="AH121" i="19"/>
  <c r="DU121" i="19" s="1"/>
  <c r="AG121" i="19"/>
  <c r="AE121" i="19"/>
  <c r="AD121" i="19"/>
  <c r="AC121" i="19"/>
  <c r="AQ120" i="19"/>
  <c r="AR120" i="19" s="1"/>
  <c r="AS120" i="19" s="1"/>
  <c r="AT120" i="19" s="1"/>
  <c r="AU120" i="19" s="1"/>
  <c r="AV120" i="19" s="1"/>
  <c r="AW120" i="19" s="1"/>
  <c r="AX120" i="19" s="1"/>
  <c r="AY120" i="19" s="1"/>
  <c r="AZ120" i="19" s="1"/>
  <c r="BA120" i="19" s="1"/>
  <c r="AI120" i="19"/>
  <c r="AH120" i="19"/>
  <c r="AG120" i="19"/>
  <c r="AF120" i="19"/>
  <c r="AD120" i="19"/>
  <c r="AC120" i="19"/>
  <c r="AQ119" i="19"/>
  <c r="AR119" i="19" s="1"/>
  <c r="AS119" i="19" s="1"/>
  <c r="AT119" i="19" s="1"/>
  <c r="AU119" i="19" s="1"/>
  <c r="AV119" i="19" s="1"/>
  <c r="AW119" i="19" s="1"/>
  <c r="AX119" i="19" s="1"/>
  <c r="AY119" i="19" s="1"/>
  <c r="AZ119" i="19" s="1"/>
  <c r="BA119" i="19" s="1"/>
  <c r="AI119" i="19"/>
  <c r="AH119" i="19"/>
  <c r="AG119" i="19"/>
  <c r="AF119" i="19"/>
  <c r="AE119" i="19"/>
  <c r="AC119" i="19"/>
  <c r="EA116" i="19"/>
  <c r="EA115" i="19"/>
  <c r="EA114" i="19"/>
  <c r="EA113" i="19"/>
  <c r="EA112" i="19"/>
  <c r="EA111" i="19"/>
  <c r="EA110" i="19"/>
  <c r="EA109" i="19"/>
  <c r="EB110" i="19" s="1"/>
  <c r="EA108" i="19"/>
  <c r="EB109" i="19" s="1"/>
  <c r="EC110" i="19" s="1"/>
  <c r="H108" i="19"/>
  <c r="I108" i="19" s="1"/>
  <c r="EA107" i="19"/>
  <c r="EB108" i="19" s="1"/>
  <c r="I107" i="19"/>
  <c r="EA106" i="19"/>
  <c r="DU106" i="19"/>
  <c r="DO106" i="19"/>
  <c r="I106" i="19"/>
  <c r="I105" i="19"/>
  <c r="I104" i="19"/>
  <c r="I103" i="19"/>
  <c r="I102" i="19"/>
  <c r="EQ105" i="19"/>
  <c r="ES106" i="19" s="1"/>
  <c r="EP105" i="19"/>
  <c r="EN105" i="19"/>
  <c r="EO106" i="19" s="1"/>
  <c r="EP107" i="19" s="1"/>
  <c r="EM105" i="19"/>
  <c r="EL105" i="19"/>
  <c r="EK105" i="19"/>
  <c r="EJ105" i="19"/>
  <c r="EK106" i="19" s="1"/>
  <c r="EL107" i="19" s="1"/>
  <c r="EM108" i="19" s="1"/>
  <c r="EH105" i="19"/>
  <c r="DZ101" i="19"/>
  <c r="DT101" i="19"/>
  <c r="DN101" i="19"/>
  <c r="V101" i="19"/>
  <c r="U101" i="19"/>
  <c r="T101" i="19"/>
  <c r="S101" i="19"/>
  <c r="R101" i="19"/>
  <c r="Q101" i="19"/>
  <c r="P101" i="19"/>
  <c r="I101" i="19"/>
  <c r="DZ100" i="19"/>
  <c r="DT100" i="19"/>
  <c r="DN100" i="19"/>
  <c r="V100" i="19"/>
  <c r="V133" i="19" s="1"/>
  <c r="U100" i="19"/>
  <c r="U133" i="19" s="1"/>
  <c r="T100" i="19"/>
  <c r="T133" i="19" s="1"/>
  <c r="S100" i="19"/>
  <c r="S133" i="19" s="1"/>
  <c r="R100" i="19"/>
  <c r="R133" i="19" s="1"/>
  <c r="Q100" i="19"/>
  <c r="Q133" i="19" s="1"/>
  <c r="P100" i="19"/>
  <c r="P133" i="19" s="1"/>
  <c r="I100" i="19"/>
  <c r="DZ99" i="19"/>
  <c r="DT99" i="19"/>
  <c r="DN99" i="19"/>
  <c r="V99" i="19"/>
  <c r="U99" i="19"/>
  <c r="T99" i="19"/>
  <c r="S99" i="19"/>
  <c r="R99" i="19"/>
  <c r="Q99" i="19"/>
  <c r="P99" i="19"/>
  <c r="I99" i="19"/>
  <c r="DZ98" i="19"/>
  <c r="DT98" i="19"/>
  <c r="DN98" i="19"/>
  <c r="V98" i="19"/>
  <c r="U98" i="19"/>
  <c r="T98" i="19"/>
  <c r="S98" i="19"/>
  <c r="R98" i="19"/>
  <c r="Q98" i="19"/>
  <c r="P98" i="19"/>
  <c r="I98" i="19"/>
  <c r="DZ97" i="19"/>
  <c r="DT97" i="19"/>
  <c r="DN97" i="19"/>
  <c r="V97" i="19"/>
  <c r="AI102" i="19" s="1"/>
  <c r="U97" i="19"/>
  <c r="AH102" i="19" s="1"/>
  <c r="T97" i="19"/>
  <c r="AG102" i="19" s="1"/>
  <c r="S97" i="19"/>
  <c r="AF102" i="19" s="1"/>
  <c r="R97" i="19"/>
  <c r="AE102" i="19" s="1"/>
  <c r="Q97" i="19"/>
  <c r="AD102" i="19" s="1"/>
  <c r="P97" i="19"/>
  <c r="AC102" i="19" s="1"/>
  <c r="I97" i="19"/>
  <c r="I96" i="19"/>
  <c r="EF78" i="19"/>
  <c r="AI77" i="19"/>
  <c r="AH77" i="19"/>
  <c r="DW77" i="19" s="1"/>
  <c r="AG77" i="19"/>
  <c r="AF77" i="19"/>
  <c r="AE77" i="19"/>
  <c r="AD77" i="19"/>
  <c r="AC77" i="19"/>
  <c r="AI76" i="19"/>
  <c r="AH76" i="19"/>
  <c r="AG76" i="19"/>
  <c r="AF76" i="19"/>
  <c r="AE76" i="19"/>
  <c r="AD76" i="19"/>
  <c r="AC76" i="19"/>
  <c r="AI75" i="19"/>
  <c r="AH75" i="19"/>
  <c r="AG75" i="19"/>
  <c r="AF75" i="19"/>
  <c r="AE75" i="19"/>
  <c r="AD75" i="19"/>
  <c r="AC75" i="19"/>
  <c r="AI74" i="19"/>
  <c r="AH74" i="19"/>
  <c r="DW74" i="19" s="1"/>
  <c r="AG74" i="19"/>
  <c r="AF74" i="19"/>
  <c r="AE74" i="19"/>
  <c r="AD74" i="19"/>
  <c r="AC74" i="19"/>
  <c r="AI73" i="19"/>
  <c r="AH73" i="19"/>
  <c r="DU73" i="19" s="1"/>
  <c r="AG73" i="19"/>
  <c r="AF73" i="19"/>
  <c r="AE73" i="19"/>
  <c r="AD73" i="19"/>
  <c r="AC73" i="19"/>
  <c r="AI72" i="19"/>
  <c r="AH72" i="19"/>
  <c r="DU72" i="19" s="1"/>
  <c r="AG72" i="19"/>
  <c r="AF72" i="19"/>
  <c r="AE72" i="19"/>
  <c r="AD72" i="19"/>
  <c r="AC72" i="19"/>
  <c r="AI71" i="19"/>
  <c r="AH71" i="19"/>
  <c r="DU71" i="19" s="1"/>
  <c r="AG71" i="19"/>
  <c r="AF71" i="19"/>
  <c r="AE71" i="19"/>
  <c r="AD71" i="19"/>
  <c r="AC71" i="19"/>
  <c r="AI70" i="19"/>
  <c r="AH70" i="19"/>
  <c r="AG70" i="19"/>
  <c r="AF70" i="19"/>
  <c r="AE70" i="19"/>
  <c r="AD70" i="19"/>
  <c r="AC70" i="19"/>
  <c r="AI69" i="19"/>
  <c r="AH69" i="19"/>
  <c r="AG69" i="19"/>
  <c r="AF69" i="19"/>
  <c r="AE69" i="19"/>
  <c r="AD69" i="19"/>
  <c r="AC69" i="19"/>
  <c r="EA66" i="19"/>
  <c r="Y66" i="19"/>
  <c r="EA65" i="19"/>
  <c r="EA64" i="19"/>
  <c r="EA63" i="19"/>
  <c r="EA62" i="19"/>
  <c r="EA61" i="19"/>
  <c r="EB62" i="19" s="1"/>
  <c r="EA60" i="19"/>
  <c r="EB61" i="19" s="1"/>
  <c r="EA59" i="19"/>
  <c r="DU59" i="19"/>
  <c r="DO59" i="19"/>
  <c r="G58" i="19"/>
  <c r="D58" i="19"/>
  <c r="C58" i="19"/>
  <c r="H57" i="19"/>
  <c r="H56" i="19"/>
  <c r="DZ55" i="19"/>
  <c r="DZ56" i="19" s="1"/>
  <c r="DT55" i="19"/>
  <c r="DT56" i="19" s="1"/>
  <c r="DN55" i="19"/>
  <c r="DN56" i="19" s="1"/>
  <c r="H55" i="19"/>
  <c r="EO58" i="19"/>
  <c r="EK58" i="19"/>
  <c r="EK69" i="19" s="1"/>
  <c r="EG58" i="19"/>
  <c r="EG69" i="19" s="1"/>
  <c r="DZ54" i="19"/>
  <c r="DT54" i="19"/>
  <c r="DN54" i="19"/>
  <c r="V54" i="19"/>
  <c r="U54" i="19"/>
  <c r="T54" i="19"/>
  <c r="S54" i="19"/>
  <c r="R54" i="19"/>
  <c r="Q54" i="19"/>
  <c r="P54" i="19"/>
  <c r="H54" i="19"/>
  <c r="DZ53" i="19"/>
  <c r="DT53" i="19"/>
  <c r="DN53" i="19"/>
  <c r="V53" i="19"/>
  <c r="V80" i="19" s="1"/>
  <c r="U53" i="19"/>
  <c r="U80" i="19" s="1"/>
  <c r="T53" i="19"/>
  <c r="T80" i="19" s="1"/>
  <c r="S53" i="19"/>
  <c r="S80" i="19" s="1"/>
  <c r="R53" i="19"/>
  <c r="R80" i="19" s="1"/>
  <c r="Q53" i="19"/>
  <c r="Q80" i="19" s="1"/>
  <c r="P53" i="19"/>
  <c r="P80" i="19" s="1"/>
  <c r="H53" i="19"/>
  <c r="DZ52" i="19"/>
  <c r="DT52" i="19"/>
  <c r="DN52" i="19"/>
  <c r="V52" i="19"/>
  <c r="U52" i="19"/>
  <c r="T52" i="19"/>
  <c r="S52" i="19"/>
  <c r="R52" i="19"/>
  <c r="Q52" i="19"/>
  <c r="P52" i="19"/>
  <c r="H52" i="19"/>
  <c r="DZ51" i="19"/>
  <c r="DT51" i="19"/>
  <c r="DN51" i="19"/>
  <c r="V51" i="19"/>
  <c r="U51" i="19"/>
  <c r="T51" i="19"/>
  <c r="S51" i="19"/>
  <c r="R51" i="19"/>
  <c r="Q51" i="19"/>
  <c r="P51" i="19"/>
  <c r="H51" i="19"/>
  <c r="DZ50" i="19"/>
  <c r="DT50" i="19"/>
  <c r="DN50" i="19"/>
  <c r="V50" i="19"/>
  <c r="AI55" i="19" s="1"/>
  <c r="U50" i="19"/>
  <c r="AH55" i="19" s="1"/>
  <c r="T50" i="19"/>
  <c r="AG55" i="19" s="1"/>
  <c r="S50" i="19"/>
  <c r="AF55" i="19" s="1"/>
  <c r="R50" i="19"/>
  <c r="AE55" i="19" s="1"/>
  <c r="Q50" i="19"/>
  <c r="AD55" i="19" s="1"/>
  <c r="P50" i="19"/>
  <c r="AC55" i="19" s="1"/>
  <c r="H50" i="19"/>
  <c r="H49" i="19"/>
  <c r="AQ34" i="19"/>
  <c r="AR34" i="19" s="1"/>
  <c r="AS34" i="19" s="1"/>
  <c r="AT34" i="19" s="1"/>
  <c r="AU34" i="19" s="1"/>
  <c r="AV34" i="19" s="1"/>
  <c r="AW34" i="19" s="1"/>
  <c r="AX34" i="19" s="1"/>
  <c r="AY34" i="19" s="1"/>
  <c r="AZ34" i="19" s="1"/>
  <c r="BA34" i="19" s="1"/>
  <c r="AI34" i="19"/>
  <c r="AK34" i="19" s="1"/>
  <c r="AL34" i="19" s="1"/>
  <c r="AM34" i="19" s="1"/>
  <c r="AN34" i="19" s="1"/>
  <c r="AO34" i="19" s="1"/>
  <c r="AH34" i="19"/>
  <c r="DV34" i="19" s="1"/>
  <c r="AG34" i="19"/>
  <c r="AF34" i="19"/>
  <c r="AE34" i="19"/>
  <c r="AD34" i="19"/>
  <c r="AC34" i="19"/>
  <c r="AQ33" i="19"/>
  <c r="AR33" i="19" s="1"/>
  <c r="AS33" i="19" s="1"/>
  <c r="AT33" i="19" s="1"/>
  <c r="AU33" i="19" s="1"/>
  <c r="AV33" i="19" s="1"/>
  <c r="AW33" i="19" s="1"/>
  <c r="AX33" i="19" s="1"/>
  <c r="AY33" i="19" s="1"/>
  <c r="AZ33" i="19" s="1"/>
  <c r="BA33" i="19" s="1"/>
  <c r="AI33" i="19"/>
  <c r="AK33" i="19" s="1"/>
  <c r="AL33" i="19" s="1"/>
  <c r="AM33" i="19" s="1"/>
  <c r="AN33" i="19" s="1"/>
  <c r="AO33" i="19" s="1"/>
  <c r="AH33" i="19"/>
  <c r="DV33" i="19" s="1"/>
  <c r="AG33" i="19"/>
  <c r="AF33" i="19"/>
  <c r="AE33" i="19"/>
  <c r="AD33" i="19"/>
  <c r="AC33" i="19"/>
  <c r="AQ32" i="19"/>
  <c r="AR32" i="19" s="1"/>
  <c r="AS32" i="19" s="1"/>
  <c r="AT32" i="19" s="1"/>
  <c r="AU32" i="19" s="1"/>
  <c r="AV32" i="19" s="1"/>
  <c r="AW32" i="19" s="1"/>
  <c r="AX32" i="19" s="1"/>
  <c r="AY32" i="19" s="1"/>
  <c r="AZ32" i="19" s="1"/>
  <c r="BA32" i="19" s="1"/>
  <c r="AI32" i="19"/>
  <c r="AK32" i="19" s="1"/>
  <c r="AL32" i="19" s="1"/>
  <c r="AM32" i="19" s="1"/>
  <c r="AN32" i="19" s="1"/>
  <c r="AO32" i="19" s="1"/>
  <c r="AH32" i="19"/>
  <c r="DV32" i="19" s="1"/>
  <c r="AG32" i="19"/>
  <c r="AF32" i="19"/>
  <c r="AE32" i="19"/>
  <c r="AD32" i="19"/>
  <c r="AC32" i="19"/>
  <c r="AQ31" i="19"/>
  <c r="AR31" i="19" s="1"/>
  <c r="AS31" i="19" s="1"/>
  <c r="AT31" i="19" s="1"/>
  <c r="AU31" i="19" s="1"/>
  <c r="AV31" i="19" s="1"/>
  <c r="AW31" i="19" s="1"/>
  <c r="AX31" i="19" s="1"/>
  <c r="AY31" i="19" s="1"/>
  <c r="AZ31" i="19" s="1"/>
  <c r="BA31" i="19" s="1"/>
  <c r="AI31" i="19"/>
  <c r="AK31" i="19" s="1"/>
  <c r="AL31" i="19" s="1"/>
  <c r="AM31" i="19" s="1"/>
  <c r="AN31" i="19" s="1"/>
  <c r="AO31" i="19" s="1"/>
  <c r="AH31" i="19"/>
  <c r="DV31" i="19" s="1"/>
  <c r="AG31" i="19"/>
  <c r="AF31" i="19"/>
  <c r="AE31" i="19"/>
  <c r="AD31" i="19"/>
  <c r="AC31" i="19"/>
  <c r="AQ30" i="19"/>
  <c r="AR30" i="19" s="1"/>
  <c r="AS30" i="19" s="1"/>
  <c r="AT30" i="19" s="1"/>
  <c r="AU30" i="19" s="1"/>
  <c r="AV30" i="19" s="1"/>
  <c r="AW30" i="19" s="1"/>
  <c r="AX30" i="19" s="1"/>
  <c r="AY30" i="19" s="1"/>
  <c r="AZ30" i="19" s="1"/>
  <c r="BA30" i="19" s="1"/>
  <c r="AI30" i="19"/>
  <c r="AK30" i="19" s="1"/>
  <c r="AL30" i="19" s="1"/>
  <c r="AM30" i="19" s="1"/>
  <c r="AN30" i="19" s="1"/>
  <c r="AO30" i="19" s="1"/>
  <c r="AH30" i="19"/>
  <c r="DV30" i="19" s="1"/>
  <c r="AG30" i="19"/>
  <c r="AF30" i="19"/>
  <c r="AE30" i="19"/>
  <c r="AD30" i="19"/>
  <c r="AC30" i="19"/>
  <c r="AQ29" i="19"/>
  <c r="AR29" i="19" s="1"/>
  <c r="AS29" i="19" s="1"/>
  <c r="AT29" i="19" s="1"/>
  <c r="AU29" i="19" s="1"/>
  <c r="AV29" i="19" s="1"/>
  <c r="AW29" i="19" s="1"/>
  <c r="AX29" i="19" s="1"/>
  <c r="AY29" i="19" s="1"/>
  <c r="AZ29" i="19" s="1"/>
  <c r="BA29" i="19" s="1"/>
  <c r="AI29" i="19"/>
  <c r="AK29" i="19" s="1"/>
  <c r="AL29" i="19" s="1"/>
  <c r="AM29" i="19" s="1"/>
  <c r="AN29" i="19" s="1"/>
  <c r="AO29" i="19" s="1"/>
  <c r="AH29" i="19"/>
  <c r="DU29" i="19" s="1"/>
  <c r="AG29" i="19"/>
  <c r="AF29" i="19"/>
  <c r="AE29" i="19"/>
  <c r="AD29" i="19"/>
  <c r="AC29" i="19"/>
  <c r="AQ28" i="19"/>
  <c r="AR28" i="19" s="1"/>
  <c r="AS28" i="19" s="1"/>
  <c r="AT28" i="19" s="1"/>
  <c r="AU28" i="19" s="1"/>
  <c r="AV28" i="19" s="1"/>
  <c r="AW28" i="19" s="1"/>
  <c r="AX28" i="19" s="1"/>
  <c r="AY28" i="19" s="1"/>
  <c r="AZ28" i="19" s="1"/>
  <c r="BA28" i="19" s="1"/>
  <c r="AK28" i="19"/>
  <c r="AL28" i="19" s="1"/>
  <c r="AM28" i="19" s="1"/>
  <c r="AN28" i="19" s="1"/>
  <c r="AO28" i="19" s="1"/>
  <c r="AI28" i="19"/>
  <c r="AH28" i="19"/>
  <c r="DU28" i="19" s="1"/>
  <c r="AG28" i="19"/>
  <c r="AF28" i="19"/>
  <c r="AE28" i="19"/>
  <c r="AD28" i="19"/>
  <c r="AC28" i="19"/>
  <c r="AQ27" i="19"/>
  <c r="AR27" i="19" s="1"/>
  <c r="AS27" i="19" s="1"/>
  <c r="AT27" i="19" s="1"/>
  <c r="AU27" i="19" s="1"/>
  <c r="AV27" i="19" s="1"/>
  <c r="AW27" i="19" s="1"/>
  <c r="AX27" i="19" s="1"/>
  <c r="AY27" i="19" s="1"/>
  <c r="AZ27" i="19" s="1"/>
  <c r="BA27" i="19" s="1"/>
  <c r="AI27" i="19"/>
  <c r="AK27" i="19" s="1"/>
  <c r="AL27" i="19" s="1"/>
  <c r="AM27" i="19" s="1"/>
  <c r="AN27" i="19" s="1"/>
  <c r="AO27" i="19" s="1"/>
  <c r="AH27" i="19"/>
  <c r="AG27" i="19"/>
  <c r="AF27" i="19"/>
  <c r="AE27" i="19"/>
  <c r="AD27" i="19"/>
  <c r="AC27" i="19"/>
  <c r="AQ26" i="19"/>
  <c r="AI26" i="19"/>
  <c r="AK26" i="19" s="1"/>
  <c r="AL26" i="19" s="1"/>
  <c r="AM26" i="19" s="1"/>
  <c r="AN26" i="19" s="1"/>
  <c r="AO26" i="19" s="1"/>
  <c r="AH26" i="19"/>
  <c r="AG26" i="19"/>
  <c r="AF26" i="19"/>
  <c r="AE26" i="19"/>
  <c r="AD26" i="19"/>
  <c r="EA23" i="19"/>
  <c r="EB22" i="19"/>
  <c r="EA22" i="19"/>
  <c r="EA21" i="19"/>
  <c r="EA20" i="19"/>
  <c r="EA19" i="19"/>
  <c r="EB20" i="19" s="1"/>
  <c r="G19" i="19"/>
  <c r="EA18" i="19"/>
  <c r="F18" i="19"/>
  <c r="D18" i="19"/>
  <c r="C18" i="19"/>
  <c r="EA17" i="19"/>
  <c r="G17" i="19"/>
  <c r="EA16" i="19"/>
  <c r="DU16" i="19"/>
  <c r="DO16" i="19"/>
  <c r="DP17" i="19" s="1"/>
  <c r="DQ18" i="19" s="1"/>
  <c r="G16" i="19"/>
  <c r="G15" i="19"/>
  <c r="G14" i="19"/>
  <c r="G13" i="19"/>
  <c r="DZ12" i="19"/>
  <c r="DZ13" i="19" s="1"/>
  <c r="DT12" i="19"/>
  <c r="DT13" i="19" s="1"/>
  <c r="G12" i="19"/>
  <c r="EQ15" i="19"/>
  <c r="ES16" i="19" s="1"/>
  <c r="ES27" i="19" s="1"/>
  <c r="EP15" i="19"/>
  <c r="EN15" i="19"/>
  <c r="EM15" i="19"/>
  <c r="EL15" i="19"/>
  <c r="EJ15" i="19"/>
  <c r="EI15" i="19"/>
  <c r="DZ11" i="19"/>
  <c r="DT11" i="19"/>
  <c r="DN11" i="19"/>
  <c r="V11" i="19"/>
  <c r="U11" i="19"/>
  <c r="T11" i="19"/>
  <c r="S11" i="19"/>
  <c r="R11" i="19"/>
  <c r="Q11" i="19"/>
  <c r="P11" i="19"/>
  <c r="G11" i="19"/>
  <c r="DZ10" i="19"/>
  <c r="DT10" i="19"/>
  <c r="DN10" i="19"/>
  <c r="V10" i="19"/>
  <c r="V37" i="19" s="1"/>
  <c r="U10" i="19"/>
  <c r="U37" i="19" s="1"/>
  <c r="T10" i="19"/>
  <c r="T37" i="19" s="1"/>
  <c r="S10" i="19"/>
  <c r="S37" i="19" s="1"/>
  <c r="R10" i="19"/>
  <c r="R37" i="19" s="1"/>
  <c r="Q10" i="19"/>
  <c r="Q37" i="19" s="1"/>
  <c r="P10" i="19"/>
  <c r="P37" i="19" s="1"/>
  <c r="G10" i="19"/>
  <c r="DZ9" i="19"/>
  <c r="DT9" i="19"/>
  <c r="DN9" i="19"/>
  <c r="V9" i="19"/>
  <c r="U9" i="19"/>
  <c r="T9" i="19"/>
  <c r="S9" i="19"/>
  <c r="R9" i="19"/>
  <c r="Q9" i="19"/>
  <c r="P9" i="19"/>
  <c r="G9" i="19"/>
  <c r="DZ8" i="19"/>
  <c r="DT8" i="19"/>
  <c r="DN8" i="19"/>
  <c r="V8" i="19"/>
  <c r="U8" i="19"/>
  <c r="T8" i="19"/>
  <c r="S8" i="19"/>
  <c r="R8" i="19"/>
  <c r="Q8" i="19"/>
  <c r="P8" i="19"/>
  <c r="DZ7" i="19"/>
  <c r="DT7" i="19"/>
  <c r="DN7" i="19"/>
  <c r="V7" i="19"/>
  <c r="AI12" i="19" s="1"/>
  <c r="U7" i="19"/>
  <c r="AH12" i="19" s="1"/>
  <c r="T7" i="19"/>
  <c r="AG12" i="19" s="1"/>
  <c r="S7" i="19"/>
  <c r="AF12" i="19" s="1"/>
  <c r="R7" i="19"/>
  <c r="AE12" i="19" s="1"/>
  <c r="Q7" i="19"/>
  <c r="AD12" i="19" s="1"/>
  <c r="P7" i="19"/>
  <c r="AC12" i="19" s="1"/>
  <c r="Q155" i="17"/>
  <c r="R155" i="17"/>
  <c r="S155" i="17"/>
  <c r="T155" i="17"/>
  <c r="U155" i="17"/>
  <c r="V155" i="17"/>
  <c r="W155" i="17"/>
  <c r="X155" i="17"/>
  <c r="Y155" i="17"/>
  <c r="Z155" i="17"/>
  <c r="AA155" i="17"/>
  <c r="AB155" i="17"/>
  <c r="AC155" i="17"/>
  <c r="AD155" i="17"/>
  <c r="AE155" i="17"/>
  <c r="AF155" i="17"/>
  <c r="AG155" i="17"/>
  <c r="AH155" i="17"/>
  <c r="AI155" i="17"/>
  <c r="AJ155" i="17"/>
  <c r="AK155" i="17"/>
  <c r="AL155" i="17"/>
  <c r="AM155" i="17"/>
  <c r="AN155" i="17"/>
  <c r="AO155" i="17"/>
  <c r="AP155" i="17"/>
  <c r="AQ155" i="17"/>
  <c r="AR155" i="17"/>
  <c r="AS155" i="17"/>
  <c r="AT155" i="17"/>
  <c r="AU155" i="17"/>
  <c r="AV155" i="17"/>
  <c r="AW155" i="17"/>
  <c r="P155" i="17"/>
  <c r="AX154" i="17"/>
  <c r="AY154" i="17"/>
  <c r="AZ154" i="17"/>
  <c r="BA154" i="17"/>
  <c r="BB154" i="17"/>
  <c r="BC154" i="17"/>
  <c r="BD154" i="17"/>
  <c r="AF149" i="17"/>
  <c r="AG149" i="17" s="1"/>
  <c r="AH149" i="17" s="1"/>
  <c r="AI149" i="17" s="1"/>
  <c r="AJ149" i="17" s="1"/>
  <c r="AK149" i="17" s="1"/>
  <c r="AL149" i="17" s="1"/>
  <c r="AM149" i="17" s="1"/>
  <c r="AN149" i="17" s="1"/>
  <c r="AO149" i="17" s="1"/>
  <c r="AP149" i="17" s="1"/>
  <c r="AQ149" i="17" s="1"/>
  <c r="AR149" i="17" s="1"/>
  <c r="AS149" i="17" s="1"/>
  <c r="AT149" i="17" s="1"/>
  <c r="AU149" i="17" s="1"/>
  <c r="AV149" i="17" s="1"/>
  <c r="AW149" i="17" s="1"/>
  <c r="AF150" i="17"/>
  <c r="AG150" i="17" s="1"/>
  <c r="AH150" i="17" s="1"/>
  <c r="AI150" i="17" s="1"/>
  <c r="AJ150" i="17" s="1"/>
  <c r="AK150" i="17" s="1"/>
  <c r="AL150" i="17" s="1"/>
  <c r="AM150" i="17" s="1"/>
  <c r="AN150" i="17" s="1"/>
  <c r="AO150" i="17" s="1"/>
  <c r="AP150" i="17" s="1"/>
  <c r="AQ150" i="17" s="1"/>
  <c r="AR150" i="17" s="1"/>
  <c r="AS150" i="17" s="1"/>
  <c r="AT150" i="17" s="1"/>
  <c r="AU150" i="17" s="1"/>
  <c r="AV150" i="17" s="1"/>
  <c r="AW150" i="17" s="1"/>
  <c r="AF148" i="17"/>
  <c r="AG148" i="17" s="1"/>
  <c r="AH148" i="17" s="1"/>
  <c r="AI148" i="17" s="1"/>
  <c r="AJ148" i="17" s="1"/>
  <c r="AK148" i="17" s="1"/>
  <c r="AL148" i="17" s="1"/>
  <c r="AM148" i="17" s="1"/>
  <c r="AN148" i="17" s="1"/>
  <c r="AO148" i="17" s="1"/>
  <c r="AP148" i="17" s="1"/>
  <c r="AQ148" i="17" s="1"/>
  <c r="AR148" i="17" s="1"/>
  <c r="AS148" i="17" s="1"/>
  <c r="AT148" i="17" s="1"/>
  <c r="AU148" i="17" s="1"/>
  <c r="AV148" i="17" s="1"/>
  <c r="AW148" i="17" s="1"/>
  <c r="AW154" i="17" s="1"/>
  <c r="AE146" i="17"/>
  <c r="AF146" i="17" s="1"/>
  <c r="AG146" i="17" s="1"/>
  <c r="AH146" i="17" s="1"/>
  <c r="AI146" i="17" s="1"/>
  <c r="AJ146" i="17" s="1"/>
  <c r="AK146" i="17" s="1"/>
  <c r="AL146" i="17" s="1"/>
  <c r="AM146" i="17" s="1"/>
  <c r="AN146" i="17" s="1"/>
  <c r="AO146" i="17" s="1"/>
  <c r="AP146" i="17" s="1"/>
  <c r="AQ146" i="17" s="1"/>
  <c r="AR146" i="17" s="1"/>
  <c r="AS146" i="17" s="1"/>
  <c r="AT146" i="17" s="1"/>
  <c r="AU146" i="17" s="1"/>
  <c r="AV146" i="17" s="1"/>
  <c r="AE147" i="17"/>
  <c r="AF147" i="17" s="1"/>
  <c r="AG147" i="17" s="1"/>
  <c r="AH147" i="17" s="1"/>
  <c r="AI147" i="17" s="1"/>
  <c r="AJ147" i="17" s="1"/>
  <c r="AK147" i="17" s="1"/>
  <c r="AL147" i="17" s="1"/>
  <c r="AM147" i="17" s="1"/>
  <c r="AN147" i="17" s="1"/>
  <c r="AO147" i="17" s="1"/>
  <c r="AP147" i="17" s="1"/>
  <c r="AQ147" i="17" s="1"/>
  <c r="AR147" i="17" s="1"/>
  <c r="AS147" i="17" s="1"/>
  <c r="AT147" i="17" s="1"/>
  <c r="AU147" i="17" s="1"/>
  <c r="AV147" i="17" s="1"/>
  <c r="AE145" i="17"/>
  <c r="AF145" i="17" s="1"/>
  <c r="AG145" i="17" s="1"/>
  <c r="AH145" i="17" s="1"/>
  <c r="AI145" i="17" s="1"/>
  <c r="AJ145" i="17" s="1"/>
  <c r="AK145" i="17" s="1"/>
  <c r="AL145" i="17" s="1"/>
  <c r="AM145" i="17" s="1"/>
  <c r="AN145" i="17" s="1"/>
  <c r="AO145" i="17" s="1"/>
  <c r="AP145" i="17" s="1"/>
  <c r="AQ145" i="17" s="1"/>
  <c r="AR145" i="17" s="1"/>
  <c r="AS145" i="17" s="1"/>
  <c r="AT145" i="17" s="1"/>
  <c r="AU145" i="17" s="1"/>
  <c r="AV145" i="17" s="1"/>
  <c r="AD143" i="17"/>
  <c r="AE143" i="17" s="1"/>
  <c r="AF143" i="17" s="1"/>
  <c r="AG143" i="17" s="1"/>
  <c r="AH143" i="17" s="1"/>
  <c r="AI143" i="17" s="1"/>
  <c r="AJ143" i="17" s="1"/>
  <c r="AK143" i="17" s="1"/>
  <c r="AL143" i="17" s="1"/>
  <c r="AM143" i="17" s="1"/>
  <c r="AN143" i="17" s="1"/>
  <c r="AO143" i="17" s="1"/>
  <c r="AP143" i="17" s="1"/>
  <c r="AQ143" i="17" s="1"/>
  <c r="AR143" i="17" s="1"/>
  <c r="AS143" i="17" s="1"/>
  <c r="AT143" i="17" s="1"/>
  <c r="AU143" i="17" s="1"/>
  <c r="AU154" i="17" s="1"/>
  <c r="AD144" i="17"/>
  <c r="AE144" i="17" s="1"/>
  <c r="AF144" i="17" s="1"/>
  <c r="AG144" i="17" s="1"/>
  <c r="AH144" i="17" s="1"/>
  <c r="AI144" i="17" s="1"/>
  <c r="AJ144" i="17" s="1"/>
  <c r="AK144" i="17" s="1"/>
  <c r="AL144" i="17" s="1"/>
  <c r="AM144" i="17" s="1"/>
  <c r="AN144" i="17" s="1"/>
  <c r="AO144" i="17" s="1"/>
  <c r="AP144" i="17" s="1"/>
  <c r="AQ144" i="17" s="1"/>
  <c r="AR144" i="17" s="1"/>
  <c r="AS144" i="17" s="1"/>
  <c r="AT144" i="17" s="1"/>
  <c r="AU144" i="17" s="1"/>
  <c r="AD142" i="17"/>
  <c r="AE142" i="17" s="1"/>
  <c r="AF142" i="17" s="1"/>
  <c r="AG142" i="17" s="1"/>
  <c r="AH142" i="17" s="1"/>
  <c r="AI142" i="17" s="1"/>
  <c r="AJ142" i="17" s="1"/>
  <c r="AK142" i="17" s="1"/>
  <c r="AL142" i="17" s="1"/>
  <c r="AM142" i="17" s="1"/>
  <c r="AN142" i="17" s="1"/>
  <c r="AO142" i="17" s="1"/>
  <c r="AP142" i="17" s="1"/>
  <c r="AQ142" i="17" s="1"/>
  <c r="AR142" i="17" s="1"/>
  <c r="AS142" i="17" s="1"/>
  <c r="AT142" i="17" s="1"/>
  <c r="AU142" i="17" s="1"/>
  <c r="AC140" i="17"/>
  <c r="AD140" i="17" s="1"/>
  <c r="AE140" i="17" s="1"/>
  <c r="AF140" i="17" s="1"/>
  <c r="AG140" i="17" s="1"/>
  <c r="AH140" i="17" s="1"/>
  <c r="AI140" i="17" s="1"/>
  <c r="AJ140" i="17" s="1"/>
  <c r="AK140" i="17" s="1"/>
  <c r="AL140" i="17" s="1"/>
  <c r="AM140" i="17" s="1"/>
  <c r="AN140" i="17" s="1"/>
  <c r="AO140" i="17" s="1"/>
  <c r="AP140" i="17" s="1"/>
  <c r="AQ140" i="17" s="1"/>
  <c r="AR140" i="17" s="1"/>
  <c r="AS140" i="17" s="1"/>
  <c r="AT140" i="17" s="1"/>
  <c r="AC141" i="17"/>
  <c r="AD141" i="17" s="1"/>
  <c r="AE141" i="17" s="1"/>
  <c r="AF141" i="17" s="1"/>
  <c r="AG141" i="17" s="1"/>
  <c r="AH141" i="17" s="1"/>
  <c r="AI141" i="17" s="1"/>
  <c r="AJ141" i="17" s="1"/>
  <c r="AK141" i="17" s="1"/>
  <c r="AL141" i="17" s="1"/>
  <c r="AM141" i="17" s="1"/>
  <c r="AN141" i="17" s="1"/>
  <c r="AO141" i="17" s="1"/>
  <c r="AP141" i="17" s="1"/>
  <c r="AQ141" i="17" s="1"/>
  <c r="AR141" i="17" s="1"/>
  <c r="AS141" i="17" s="1"/>
  <c r="AT141" i="17" s="1"/>
  <c r="AC139" i="17"/>
  <c r="AD139" i="17" s="1"/>
  <c r="AE139" i="17" s="1"/>
  <c r="AF139" i="17" s="1"/>
  <c r="AG139" i="17" s="1"/>
  <c r="AH139" i="17" s="1"/>
  <c r="AI139" i="17" s="1"/>
  <c r="AJ139" i="17" s="1"/>
  <c r="AK139" i="17" s="1"/>
  <c r="AL139" i="17" s="1"/>
  <c r="AM139" i="17" s="1"/>
  <c r="AN139" i="17" s="1"/>
  <c r="AO139" i="17" s="1"/>
  <c r="AP139" i="17" s="1"/>
  <c r="AQ139" i="17" s="1"/>
  <c r="AR139" i="17" s="1"/>
  <c r="AS139" i="17" s="1"/>
  <c r="AT139" i="17" s="1"/>
  <c r="AT154" i="17" s="1"/>
  <c r="AB137" i="17"/>
  <c r="AC137" i="17" s="1"/>
  <c r="AD137" i="17" s="1"/>
  <c r="AE137" i="17" s="1"/>
  <c r="AF137" i="17" s="1"/>
  <c r="AG137" i="17" s="1"/>
  <c r="AH137" i="17" s="1"/>
  <c r="AI137" i="17" s="1"/>
  <c r="AJ137" i="17" s="1"/>
  <c r="AK137" i="17" s="1"/>
  <c r="AL137" i="17" s="1"/>
  <c r="AM137" i="17" s="1"/>
  <c r="AN137" i="17" s="1"/>
  <c r="AO137" i="17" s="1"/>
  <c r="AP137" i="17" s="1"/>
  <c r="AQ137" i="17" s="1"/>
  <c r="AR137" i="17" s="1"/>
  <c r="AS137" i="17" s="1"/>
  <c r="AB138" i="17"/>
  <c r="AC138" i="17" s="1"/>
  <c r="AD138" i="17" s="1"/>
  <c r="AE138" i="17" s="1"/>
  <c r="AF138" i="17" s="1"/>
  <c r="AG138" i="17" s="1"/>
  <c r="AH138" i="17" s="1"/>
  <c r="AI138" i="17" s="1"/>
  <c r="AJ138" i="17" s="1"/>
  <c r="AK138" i="17" s="1"/>
  <c r="AL138" i="17" s="1"/>
  <c r="AM138" i="17" s="1"/>
  <c r="AN138" i="17" s="1"/>
  <c r="AO138" i="17" s="1"/>
  <c r="AP138" i="17" s="1"/>
  <c r="AQ138" i="17" s="1"/>
  <c r="AR138" i="17" s="1"/>
  <c r="AS138" i="17" s="1"/>
  <c r="AB136" i="17"/>
  <c r="AC136" i="17" s="1"/>
  <c r="AD136" i="17" s="1"/>
  <c r="AE136" i="17" s="1"/>
  <c r="AF136" i="17" s="1"/>
  <c r="AG136" i="17" s="1"/>
  <c r="AH136" i="17" s="1"/>
  <c r="AI136" i="17" s="1"/>
  <c r="AJ136" i="17" s="1"/>
  <c r="AK136" i="17" s="1"/>
  <c r="AL136" i="17" s="1"/>
  <c r="AM136" i="17" s="1"/>
  <c r="AN136" i="17" s="1"/>
  <c r="AO136" i="17" s="1"/>
  <c r="AP136" i="17" s="1"/>
  <c r="AQ136" i="17" s="1"/>
  <c r="AR136" i="17" s="1"/>
  <c r="AS136" i="17" s="1"/>
  <c r="AS154" i="17" s="1"/>
  <c r="AA134" i="17"/>
  <c r="AB134" i="17" s="1"/>
  <c r="AC134" i="17" s="1"/>
  <c r="AD134" i="17" s="1"/>
  <c r="AE134" i="17" s="1"/>
  <c r="AF134" i="17" s="1"/>
  <c r="AG134" i="17" s="1"/>
  <c r="AH134" i="17" s="1"/>
  <c r="AI134" i="17" s="1"/>
  <c r="AJ134" i="17" s="1"/>
  <c r="AK134" i="17" s="1"/>
  <c r="AL134" i="17" s="1"/>
  <c r="AM134" i="17" s="1"/>
  <c r="AN134" i="17" s="1"/>
  <c r="AO134" i="17" s="1"/>
  <c r="AP134" i="17" s="1"/>
  <c r="AQ134" i="17" s="1"/>
  <c r="AR134" i="17" s="1"/>
  <c r="AA135" i="17"/>
  <c r="AB135" i="17" s="1"/>
  <c r="AC135" i="17" s="1"/>
  <c r="AD135" i="17" s="1"/>
  <c r="AE135" i="17" s="1"/>
  <c r="AF135" i="17" s="1"/>
  <c r="AG135" i="17" s="1"/>
  <c r="AH135" i="17" s="1"/>
  <c r="AI135" i="17" s="1"/>
  <c r="AJ135" i="17" s="1"/>
  <c r="AK135" i="17" s="1"/>
  <c r="AL135" i="17" s="1"/>
  <c r="AM135" i="17" s="1"/>
  <c r="AN135" i="17" s="1"/>
  <c r="AO135" i="17" s="1"/>
  <c r="AP135" i="17" s="1"/>
  <c r="AQ135" i="17" s="1"/>
  <c r="AR135" i="17" s="1"/>
  <c r="AA133" i="17"/>
  <c r="AB133" i="17" s="1"/>
  <c r="AC133" i="17" s="1"/>
  <c r="AD133" i="17" s="1"/>
  <c r="AE133" i="17" s="1"/>
  <c r="AF133" i="17" s="1"/>
  <c r="AG133" i="17" s="1"/>
  <c r="AH133" i="17" s="1"/>
  <c r="AI133" i="17" s="1"/>
  <c r="AJ133" i="17" s="1"/>
  <c r="AK133" i="17" s="1"/>
  <c r="AL133" i="17" s="1"/>
  <c r="AM133" i="17" s="1"/>
  <c r="AN133" i="17" s="1"/>
  <c r="AO133" i="17" s="1"/>
  <c r="AP133" i="17" s="1"/>
  <c r="AQ133" i="17" s="1"/>
  <c r="AR133" i="17" s="1"/>
  <c r="AR154" i="17" s="1"/>
  <c r="Z131" i="17"/>
  <c r="AA131" i="17" s="1"/>
  <c r="AB131" i="17" s="1"/>
  <c r="AC131" i="17" s="1"/>
  <c r="AD131" i="17" s="1"/>
  <c r="AE131" i="17" s="1"/>
  <c r="AF131" i="17" s="1"/>
  <c r="AG131" i="17" s="1"/>
  <c r="AH131" i="17" s="1"/>
  <c r="AI131" i="17" s="1"/>
  <c r="AJ131" i="17" s="1"/>
  <c r="AK131" i="17" s="1"/>
  <c r="AL131" i="17" s="1"/>
  <c r="AM131" i="17" s="1"/>
  <c r="AN131" i="17" s="1"/>
  <c r="AO131" i="17" s="1"/>
  <c r="AP131" i="17" s="1"/>
  <c r="AQ131" i="17" s="1"/>
  <c r="AQ154" i="17" s="1"/>
  <c r="Z132" i="17"/>
  <c r="AA132" i="17" s="1"/>
  <c r="AB132" i="17" s="1"/>
  <c r="AC132" i="17" s="1"/>
  <c r="AD132" i="17" s="1"/>
  <c r="AE132" i="17" s="1"/>
  <c r="AF132" i="17" s="1"/>
  <c r="AG132" i="17" s="1"/>
  <c r="AH132" i="17" s="1"/>
  <c r="AI132" i="17" s="1"/>
  <c r="AJ132" i="17" s="1"/>
  <c r="AK132" i="17" s="1"/>
  <c r="AL132" i="17" s="1"/>
  <c r="AM132" i="17" s="1"/>
  <c r="AN132" i="17" s="1"/>
  <c r="AO132" i="17" s="1"/>
  <c r="AP132" i="17" s="1"/>
  <c r="AQ132" i="17" s="1"/>
  <c r="Z130" i="17"/>
  <c r="AA130" i="17" s="1"/>
  <c r="AB130" i="17" s="1"/>
  <c r="AC130" i="17" s="1"/>
  <c r="AD130" i="17" s="1"/>
  <c r="AE130" i="17" s="1"/>
  <c r="AF130" i="17" s="1"/>
  <c r="AG130" i="17" s="1"/>
  <c r="AH130" i="17" s="1"/>
  <c r="AI130" i="17" s="1"/>
  <c r="AJ130" i="17" s="1"/>
  <c r="AK130" i="17" s="1"/>
  <c r="AL130" i="17" s="1"/>
  <c r="AM130" i="17" s="1"/>
  <c r="AN130" i="17" s="1"/>
  <c r="AO130" i="17" s="1"/>
  <c r="AP130" i="17" s="1"/>
  <c r="AQ130" i="17" s="1"/>
  <c r="Y128" i="17"/>
  <c r="Z128" i="17" s="1"/>
  <c r="AA128" i="17" s="1"/>
  <c r="AB128" i="17" s="1"/>
  <c r="AC128" i="17" s="1"/>
  <c r="AD128" i="17" s="1"/>
  <c r="AE128" i="17" s="1"/>
  <c r="AF128" i="17" s="1"/>
  <c r="AG128" i="17" s="1"/>
  <c r="AH128" i="17" s="1"/>
  <c r="AI128" i="17" s="1"/>
  <c r="AJ128" i="17" s="1"/>
  <c r="AK128" i="17" s="1"/>
  <c r="AL128" i="17" s="1"/>
  <c r="AM128" i="17" s="1"/>
  <c r="AN128" i="17" s="1"/>
  <c r="AO128" i="17" s="1"/>
  <c r="AP128" i="17" s="1"/>
  <c r="Y129" i="17"/>
  <c r="Z129" i="17" s="1"/>
  <c r="AA129" i="17" s="1"/>
  <c r="AB129" i="17" s="1"/>
  <c r="AC129" i="17" s="1"/>
  <c r="AD129" i="17" s="1"/>
  <c r="AE129" i="17" s="1"/>
  <c r="AF129" i="17" s="1"/>
  <c r="AG129" i="17" s="1"/>
  <c r="AH129" i="17" s="1"/>
  <c r="AI129" i="17" s="1"/>
  <c r="AJ129" i="17" s="1"/>
  <c r="AK129" i="17" s="1"/>
  <c r="AL129" i="17" s="1"/>
  <c r="AM129" i="17" s="1"/>
  <c r="AN129" i="17" s="1"/>
  <c r="AO129" i="17" s="1"/>
  <c r="AP129" i="17" s="1"/>
  <c r="Y127" i="17"/>
  <c r="Z127" i="17" s="1"/>
  <c r="AA127" i="17" s="1"/>
  <c r="AB127" i="17" s="1"/>
  <c r="AC127" i="17" s="1"/>
  <c r="AD127" i="17" s="1"/>
  <c r="AE127" i="17" s="1"/>
  <c r="AF127" i="17" s="1"/>
  <c r="AG127" i="17" s="1"/>
  <c r="AH127" i="17" s="1"/>
  <c r="AI127" i="17" s="1"/>
  <c r="AJ127" i="17" s="1"/>
  <c r="AK127" i="17" s="1"/>
  <c r="AL127" i="17" s="1"/>
  <c r="AM127" i="17" s="1"/>
  <c r="AN127" i="17" s="1"/>
  <c r="AO127" i="17" s="1"/>
  <c r="AP127" i="17" s="1"/>
  <c r="AP154" i="17" s="1"/>
  <c r="X125" i="17"/>
  <c r="Y125" i="17" s="1"/>
  <c r="Z125" i="17" s="1"/>
  <c r="AA125" i="17" s="1"/>
  <c r="AB125" i="17" s="1"/>
  <c r="AC125" i="17" s="1"/>
  <c r="AD125" i="17" s="1"/>
  <c r="AE125" i="17" s="1"/>
  <c r="AF125" i="17" s="1"/>
  <c r="AG125" i="17" s="1"/>
  <c r="AH125" i="17" s="1"/>
  <c r="AI125" i="17" s="1"/>
  <c r="AJ125" i="17" s="1"/>
  <c r="AK125" i="17" s="1"/>
  <c r="AL125" i="17" s="1"/>
  <c r="AM125" i="17" s="1"/>
  <c r="AN125" i="17" s="1"/>
  <c r="AO125" i="17" s="1"/>
  <c r="X126" i="17"/>
  <c r="Y126" i="17" s="1"/>
  <c r="Z126" i="17" s="1"/>
  <c r="AA126" i="17" s="1"/>
  <c r="AB126" i="17" s="1"/>
  <c r="AC126" i="17" s="1"/>
  <c r="AD126" i="17" s="1"/>
  <c r="AE126" i="17" s="1"/>
  <c r="AF126" i="17" s="1"/>
  <c r="AG126" i="17" s="1"/>
  <c r="AH126" i="17" s="1"/>
  <c r="AI126" i="17" s="1"/>
  <c r="AJ126" i="17" s="1"/>
  <c r="AK126" i="17" s="1"/>
  <c r="AL126" i="17" s="1"/>
  <c r="AM126" i="17" s="1"/>
  <c r="AN126" i="17" s="1"/>
  <c r="AO126" i="17" s="1"/>
  <c r="X124" i="17"/>
  <c r="Y124" i="17" s="1"/>
  <c r="Z124" i="17" s="1"/>
  <c r="AA124" i="17" s="1"/>
  <c r="AB124" i="17" s="1"/>
  <c r="AC124" i="17" s="1"/>
  <c r="AD124" i="17" s="1"/>
  <c r="AE124" i="17" s="1"/>
  <c r="AF124" i="17" s="1"/>
  <c r="AG124" i="17" s="1"/>
  <c r="AH124" i="17" s="1"/>
  <c r="AI124" i="17" s="1"/>
  <c r="AJ124" i="17" s="1"/>
  <c r="AK124" i="17" s="1"/>
  <c r="AL124" i="17" s="1"/>
  <c r="AM124" i="17" s="1"/>
  <c r="AN124" i="17" s="1"/>
  <c r="AO124" i="17" s="1"/>
  <c r="AO154" i="17" s="1"/>
  <c r="W122" i="17"/>
  <c r="X122" i="17" s="1"/>
  <c r="Y122" i="17" s="1"/>
  <c r="Z122" i="17" s="1"/>
  <c r="AA122" i="17" s="1"/>
  <c r="AB122" i="17" s="1"/>
  <c r="AC122" i="17" s="1"/>
  <c r="AD122" i="17" s="1"/>
  <c r="AE122" i="17" s="1"/>
  <c r="AF122" i="17" s="1"/>
  <c r="AG122" i="17" s="1"/>
  <c r="AH122" i="17" s="1"/>
  <c r="AI122" i="17" s="1"/>
  <c r="AJ122" i="17" s="1"/>
  <c r="AK122" i="17" s="1"/>
  <c r="AL122" i="17" s="1"/>
  <c r="AM122" i="17" s="1"/>
  <c r="AN122" i="17" s="1"/>
  <c r="W123" i="17"/>
  <c r="X123" i="17" s="1"/>
  <c r="Y123" i="17" s="1"/>
  <c r="Z123" i="17" s="1"/>
  <c r="AA123" i="17" s="1"/>
  <c r="AB123" i="17" s="1"/>
  <c r="AC123" i="17" s="1"/>
  <c r="AD123" i="17" s="1"/>
  <c r="AE123" i="17" s="1"/>
  <c r="AF123" i="17" s="1"/>
  <c r="AG123" i="17" s="1"/>
  <c r="AH123" i="17" s="1"/>
  <c r="AI123" i="17" s="1"/>
  <c r="AJ123" i="17" s="1"/>
  <c r="AK123" i="17" s="1"/>
  <c r="AL123" i="17" s="1"/>
  <c r="AM123" i="17" s="1"/>
  <c r="AN123" i="17" s="1"/>
  <c r="W121" i="17"/>
  <c r="X121" i="17" s="1"/>
  <c r="Y121" i="17" s="1"/>
  <c r="Z121" i="17" s="1"/>
  <c r="AA121" i="17" s="1"/>
  <c r="AB121" i="17" s="1"/>
  <c r="AC121" i="17" s="1"/>
  <c r="AD121" i="17" s="1"/>
  <c r="AE121" i="17" s="1"/>
  <c r="AF121" i="17" s="1"/>
  <c r="AG121" i="17" s="1"/>
  <c r="AH121" i="17" s="1"/>
  <c r="AI121" i="17" s="1"/>
  <c r="AJ121" i="17" s="1"/>
  <c r="AK121" i="17" s="1"/>
  <c r="AL121" i="17" s="1"/>
  <c r="AM121" i="17" s="1"/>
  <c r="AN121" i="17" s="1"/>
  <c r="T119" i="17"/>
  <c r="U119" i="17" s="1"/>
  <c r="V119" i="17" s="1"/>
  <c r="W119" i="17" s="1"/>
  <c r="X119" i="17" s="1"/>
  <c r="Y119" i="17" s="1"/>
  <c r="Z119" i="17" s="1"/>
  <c r="AA119" i="17" s="1"/>
  <c r="AB119" i="17" s="1"/>
  <c r="AC119" i="17" s="1"/>
  <c r="AD119" i="17" s="1"/>
  <c r="AE119" i="17" s="1"/>
  <c r="AF119" i="17" s="1"/>
  <c r="AG119" i="17" s="1"/>
  <c r="AH119" i="17" s="1"/>
  <c r="AI119" i="17" s="1"/>
  <c r="AJ119" i="17" s="1"/>
  <c r="AJ154" i="17" s="1"/>
  <c r="T120" i="17"/>
  <c r="U120" i="17" s="1"/>
  <c r="V120" i="17" s="1"/>
  <c r="W120" i="17" s="1"/>
  <c r="X120" i="17" s="1"/>
  <c r="Y120" i="17" s="1"/>
  <c r="Z120" i="17" s="1"/>
  <c r="AA120" i="17" s="1"/>
  <c r="AB120" i="17" s="1"/>
  <c r="AC120" i="17" s="1"/>
  <c r="AD120" i="17" s="1"/>
  <c r="AE120" i="17" s="1"/>
  <c r="AF120" i="17" s="1"/>
  <c r="AG120" i="17" s="1"/>
  <c r="AH120" i="17" s="1"/>
  <c r="AI120" i="17" s="1"/>
  <c r="AJ120" i="17" s="1"/>
  <c r="T118" i="17"/>
  <c r="U118" i="17" s="1"/>
  <c r="V118" i="17" s="1"/>
  <c r="W118" i="17" s="1"/>
  <c r="X118" i="17" s="1"/>
  <c r="Y118" i="17" s="1"/>
  <c r="Z118" i="17" s="1"/>
  <c r="AA118" i="17" s="1"/>
  <c r="AB118" i="17" s="1"/>
  <c r="AC118" i="17" s="1"/>
  <c r="AD118" i="17" s="1"/>
  <c r="AE118" i="17" s="1"/>
  <c r="AF118" i="17" s="1"/>
  <c r="AG118" i="17" s="1"/>
  <c r="AH118" i="17" s="1"/>
  <c r="AI118" i="17" s="1"/>
  <c r="AJ118" i="17" s="1"/>
  <c r="S115" i="17"/>
  <c r="T115" i="17" s="1"/>
  <c r="U115" i="17" s="1"/>
  <c r="V115" i="17" s="1"/>
  <c r="W115" i="17" s="1"/>
  <c r="X115" i="17" s="1"/>
  <c r="Y115" i="17" s="1"/>
  <c r="Z115" i="17" s="1"/>
  <c r="AA115" i="17" s="1"/>
  <c r="AB115" i="17" s="1"/>
  <c r="AC115" i="17" s="1"/>
  <c r="AD115" i="17" s="1"/>
  <c r="AE115" i="17" s="1"/>
  <c r="S116" i="17"/>
  <c r="T116" i="17" s="1"/>
  <c r="U116" i="17" s="1"/>
  <c r="V116" i="17" s="1"/>
  <c r="W116" i="17" s="1"/>
  <c r="X116" i="17" s="1"/>
  <c r="Y116" i="17" s="1"/>
  <c r="Z116" i="17" s="1"/>
  <c r="AA116" i="17" s="1"/>
  <c r="AB116" i="17" s="1"/>
  <c r="AC116" i="17" s="1"/>
  <c r="AD116" i="17" s="1"/>
  <c r="AE116" i="17" s="1"/>
  <c r="S117" i="17"/>
  <c r="T117" i="17" s="1"/>
  <c r="U117" i="17" s="1"/>
  <c r="V117" i="17" s="1"/>
  <c r="W117" i="17" s="1"/>
  <c r="X117" i="17" s="1"/>
  <c r="Y117" i="17" s="1"/>
  <c r="Z117" i="17" s="1"/>
  <c r="AA117" i="17" s="1"/>
  <c r="AB117" i="17" s="1"/>
  <c r="AC117" i="17" s="1"/>
  <c r="AD117" i="17" s="1"/>
  <c r="AE117" i="17" s="1"/>
  <c r="S114" i="17"/>
  <c r="T114" i="17" s="1"/>
  <c r="U114" i="17" s="1"/>
  <c r="V114" i="17" s="1"/>
  <c r="W114" i="17" s="1"/>
  <c r="X114" i="17" s="1"/>
  <c r="Y114" i="17" s="1"/>
  <c r="Z114" i="17" s="1"/>
  <c r="AA114" i="17" s="1"/>
  <c r="AB114" i="17" s="1"/>
  <c r="AC114" i="17" s="1"/>
  <c r="AD114" i="17" s="1"/>
  <c r="AE114" i="17" s="1"/>
  <c r="Q100" i="17"/>
  <c r="R100" i="17" s="1"/>
  <c r="S100" i="17" s="1"/>
  <c r="T100" i="17" s="1"/>
  <c r="U100" i="17" s="1"/>
  <c r="V100" i="17" s="1"/>
  <c r="W100" i="17" s="1"/>
  <c r="X100" i="17" s="1"/>
  <c r="Y100" i="17" s="1"/>
  <c r="Z100" i="17" s="1"/>
  <c r="AA100" i="17" s="1"/>
  <c r="AB100" i="17" s="1"/>
  <c r="AC100" i="17" s="1"/>
  <c r="AD100" i="17" s="1"/>
  <c r="AE100" i="17" s="1"/>
  <c r="AF100" i="17" s="1"/>
  <c r="AG100" i="17" s="1"/>
  <c r="AH100" i="17" s="1"/>
  <c r="Q101" i="17"/>
  <c r="R101" i="17" s="1"/>
  <c r="S101" i="17" s="1"/>
  <c r="T101" i="17" s="1"/>
  <c r="U101" i="17" s="1"/>
  <c r="V101" i="17" s="1"/>
  <c r="W101" i="17" s="1"/>
  <c r="X101" i="17" s="1"/>
  <c r="Y101" i="17" s="1"/>
  <c r="Z101" i="17" s="1"/>
  <c r="AA101" i="17" s="1"/>
  <c r="AB101" i="17" s="1"/>
  <c r="AC101" i="17" s="1"/>
  <c r="AD101" i="17" s="1"/>
  <c r="AE101" i="17" s="1"/>
  <c r="AF101" i="17" s="1"/>
  <c r="AG101" i="17" s="1"/>
  <c r="AH101" i="17" s="1"/>
  <c r="Q102" i="17"/>
  <c r="R102" i="17" s="1"/>
  <c r="S102" i="17" s="1"/>
  <c r="T102" i="17" s="1"/>
  <c r="U102" i="17" s="1"/>
  <c r="V102" i="17" s="1"/>
  <c r="W102" i="17" s="1"/>
  <c r="X102" i="17" s="1"/>
  <c r="Y102" i="17" s="1"/>
  <c r="Z102" i="17" s="1"/>
  <c r="AA102" i="17" s="1"/>
  <c r="AB102" i="17" s="1"/>
  <c r="AC102" i="17" s="1"/>
  <c r="AD102" i="17" s="1"/>
  <c r="AE102" i="17" s="1"/>
  <c r="AF102" i="17" s="1"/>
  <c r="AG102" i="17" s="1"/>
  <c r="AH102" i="17" s="1"/>
  <c r="Q103" i="17"/>
  <c r="R103" i="17" s="1"/>
  <c r="S103" i="17" s="1"/>
  <c r="T103" i="17" s="1"/>
  <c r="U103" i="17" s="1"/>
  <c r="V103" i="17" s="1"/>
  <c r="W103" i="17" s="1"/>
  <c r="X103" i="17" s="1"/>
  <c r="Y103" i="17" s="1"/>
  <c r="Z103" i="17" s="1"/>
  <c r="AA103" i="17" s="1"/>
  <c r="AB103" i="17" s="1"/>
  <c r="AC103" i="17" s="1"/>
  <c r="AD103" i="17" s="1"/>
  <c r="AE103" i="17" s="1"/>
  <c r="AF103" i="17" s="1"/>
  <c r="AG103" i="17" s="1"/>
  <c r="AH103" i="17" s="1"/>
  <c r="Q104" i="17"/>
  <c r="R104" i="17" s="1"/>
  <c r="S104" i="17" s="1"/>
  <c r="T104" i="17" s="1"/>
  <c r="U104" i="17" s="1"/>
  <c r="V104" i="17" s="1"/>
  <c r="W104" i="17" s="1"/>
  <c r="X104" i="17" s="1"/>
  <c r="Y104" i="17" s="1"/>
  <c r="Z104" i="17" s="1"/>
  <c r="AA104" i="17" s="1"/>
  <c r="AB104" i="17" s="1"/>
  <c r="AC104" i="17" s="1"/>
  <c r="AD104" i="17" s="1"/>
  <c r="AE104" i="17" s="1"/>
  <c r="AF104" i="17" s="1"/>
  <c r="AG104" i="17" s="1"/>
  <c r="AH104" i="17" s="1"/>
  <c r="Q105" i="17"/>
  <c r="R105" i="17" s="1"/>
  <c r="S105" i="17" s="1"/>
  <c r="T105" i="17" s="1"/>
  <c r="U105" i="17" s="1"/>
  <c r="V105" i="17" s="1"/>
  <c r="W105" i="17" s="1"/>
  <c r="X105" i="17" s="1"/>
  <c r="Y105" i="17" s="1"/>
  <c r="Z105" i="17" s="1"/>
  <c r="AA105" i="17" s="1"/>
  <c r="AB105" i="17" s="1"/>
  <c r="AC105" i="17" s="1"/>
  <c r="AD105" i="17" s="1"/>
  <c r="AE105" i="17" s="1"/>
  <c r="AF105" i="17" s="1"/>
  <c r="AG105" i="17" s="1"/>
  <c r="AH105" i="17" s="1"/>
  <c r="Q106" i="17"/>
  <c r="R106" i="17" s="1"/>
  <c r="S106" i="17" s="1"/>
  <c r="T106" i="17" s="1"/>
  <c r="U106" i="17" s="1"/>
  <c r="V106" i="17" s="1"/>
  <c r="W106" i="17" s="1"/>
  <c r="X106" i="17" s="1"/>
  <c r="Y106" i="17" s="1"/>
  <c r="Z106" i="17" s="1"/>
  <c r="AA106" i="17" s="1"/>
  <c r="AB106" i="17" s="1"/>
  <c r="AC106" i="17" s="1"/>
  <c r="AD106" i="17" s="1"/>
  <c r="AE106" i="17" s="1"/>
  <c r="AF106" i="17" s="1"/>
  <c r="AG106" i="17" s="1"/>
  <c r="AH106" i="17" s="1"/>
  <c r="Q107" i="17"/>
  <c r="R107" i="17" s="1"/>
  <c r="S107" i="17" s="1"/>
  <c r="T107" i="17" s="1"/>
  <c r="U107" i="17" s="1"/>
  <c r="V107" i="17" s="1"/>
  <c r="W107" i="17" s="1"/>
  <c r="X107" i="17" s="1"/>
  <c r="Y107" i="17" s="1"/>
  <c r="Z107" i="17" s="1"/>
  <c r="AA107" i="17" s="1"/>
  <c r="AB107" i="17" s="1"/>
  <c r="AC107" i="17" s="1"/>
  <c r="AD107" i="17" s="1"/>
  <c r="AE107" i="17" s="1"/>
  <c r="AF107" i="17" s="1"/>
  <c r="AG107" i="17" s="1"/>
  <c r="AH107" i="17" s="1"/>
  <c r="Q108" i="17"/>
  <c r="R108" i="17" s="1"/>
  <c r="S108" i="17" s="1"/>
  <c r="T108" i="17" s="1"/>
  <c r="U108" i="17" s="1"/>
  <c r="V108" i="17" s="1"/>
  <c r="W108" i="17" s="1"/>
  <c r="X108" i="17" s="1"/>
  <c r="Y108" i="17" s="1"/>
  <c r="Z108" i="17" s="1"/>
  <c r="AA108" i="17" s="1"/>
  <c r="AB108" i="17" s="1"/>
  <c r="AC108" i="17" s="1"/>
  <c r="AD108" i="17" s="1"/>
  <c r="AE108" i="17" s="1"/>
  <c r="AF108" i="17" s="1"/>
  <c r="AG108" i="17" s="1"/>
  <c r="AH108" i="17" s="1"/>
  <c r="Q109" i="17"/>
  <c r="R109" i="17" s="1"/>
  <c r="S109" i="17" s="1"/>
  <c r="T109" i="17" s="1"/>
  <c r="U109" i="17" s="1"/>
  <c r="V109" i="17" s="1"/>
  <c r="W109" i="17" s="1"/>
  <c r="X109" i="17" s="1"/>
  <c r="Y109" i="17" s="1"/>
  <c r="Z109" i="17" s="1"/>
  <c r="AA109" i="17" s="1"/>
  <c r="AB109" i="17" s="1"/>
  <c r="AC109" i="17" s="1"/>
  <c r="AD109" i="17" s="1"/>
  <c r="AE109" i="17" s="1"/>
  <c r="AF109" i="17" s="1"/>
  <c r="AG109" i="17" s="1"/>
  <c r="AH109" i="17" s="1"/>
  <c r="Q110" i="17"/>
  <c r="R110" i="17" s="1"/>
  <c r="S110" i="17" s="1"/>
  <c r="T110" i="17" s="1"/>
  <c r="U110" i="17" s="1"/>
  <c r="V110" i="17" s="1"/>
  <c r="W110" i="17" s="1"/>
  <c r="X110" i="17" s="1"/>
  <c r="Y110" i="17" s="1"/>
  <c r="Z110" i="17" s="1"/>
  <c r="AA110" i="17" s="1"/>
  <c r="AB110" i="17" s="1"/>
  <c r="AC110" i="17" s="1"/>
  <c r="AD110" i="17" s="1"/>
  <c r="AE110" i="17" s="1"/>
  <c r="AF110" i="17" s="1"/>
  <c r="AG110" i="17" s="1"/>
  <c r="AH110" i="17" s="1"/>
  <c r="Q111" i="17"/>
  <c r="R111" i="17" s="1"/>
  <c r="S111" i="17" s="1"/>
  <c r="T111" i="17" s="1"/>
  <c r="U111" i="17" s="1"/>
  <c r="V111" i="17" s="1"/>
  <c r="W111" i="17" s="1"/>
  <c r="X111" i="17" s="1"/>
  <c r="Y111" i="17" s="1"/>
  <c r="Z111" i="17" s="1"/>
  <c r="AA111" i="17" s="1"/>
  <c r="AB111" i="17" s="1"/>
  <c r="AC111" i="17" s="1"/>
  <c r="AD111" i="17" s="1"/>
  <c r="AE111" i="17" s="1"/>
  <c r="AF111" i="17" s="1"/>
  <c r="AG111" i="17" s="1"/>
  <c r="AH111" i="17" s="1"/>
  <c r="Q112" i="17"/>
  <c r="R112" i="17" s="1"/>
  <c r="S112" i="17" s="1"/>
  <c r="T112" i="17" s="1"/>
  <c r="U112" i="17" s="1"/>
  <c r="V112" i="17" s="1"/>
  <c r="W112" i="17" s="1"/>
  <c r="X112" i="17" s="1"/>
  <c r="Y112" i="17" s="1"/>
  <c r="Z112" i="17" s="1"/>
  <c r="AA112" i="17" s="1"/>
  <c r="AB112" i="17" s="1"/>
  <c r="AC112" i="17" s="1"/>
  <c r="AD112" i="17" s="1"/>
  <c r="AE112" i="17" s="1"/>
  <c r="AF112" i="17" s="1"/>
  <c r="AG112" i="17" s="1"/>
  <c r="AH112" i="17" s="1"/>
  <c r="Q113" i="17"/>
  <c r="R113" i="17" s="1"/>
  <c r="S113" i="17" s="1"/>
  <c r="T113" i="17" s="1"/>
  <c r="U113" i="17" s="1"/>
  <c r="V113" i="17" s="1"/>
  <c r="W113" i="17" s="1"/>
  <c r="X113" i="17" s="1"/>
  <c r="Y113" i="17" s="1"/>
  <c r="Z113" i="17" s="1"/>
  <c r="AA113" i="17" s="1"/>
  <c r="AB113" i="17" s="1"/>
  <c r="AC113" i="17" s="1"/>
  <c r="AD113" i="17" s="1"/>
  <c r="AE113" i="17" s="1"/>
  <c r="AF113" i="17" s="1"/>
  <c r="AG113" i="17" s="1"/>
  <c r="AH113" i="17" s="1"/>
  <c r="Q99" i="17"/>
  <c r="R99" i="17" s="1"/>
  <c r="S99" i="17" s="1"/>
  <c r="T99" i="17" s="1"/>
  <c r="U99" i="17" s="1"/>
  <c r="V99" i="17" s="1"/>
  <c r="W99" i="17" s="1"/>
  <c r="X99" i="17" s="1"/>
  <c r="Y99" i="17" s="1"/>
  <c r="Z99" i="17" s="1"/>
  <c r="AA99" i="17" s="1"/>
  <c r="AB99" i="17" s="1"/>
  <c r="AC99" i="17" s="1"/>
  <c r="AD99" i="17" s="1"/>
  <c r="AE99" i="17" s="1"/>
  <c r="AF99" i="17" s="1"/>
  <c r="AG99" i="17" s="1"/>
  <c r="AH99" i="17" s="1"/>
  <c r="N167" i="26" l="1"/>
  <c r="J13" i="18"/>
  <c r="O124" i="26"/>
  <c r="O125" i="26" s="1"/>
  <c r="J11" i="18"/>
  <c r="J9" i="18" s="1"/>
  <c r="T9" i="18" s="1"/>
  <c r="J12" i="18"/>
  <c r="J14" i="18"/>
  <c r="U21" i="18"/>
  <c r="T11" i="18"/>
  <c r="T13" i="18"/>
  <c r="T12" i="18"/>
  <c r="T14" i="18"/>
  <c r="N203" i="26"/>
  <c r="K23" i="18"/>
  <c r="U23" i="18" s="1"/>
  <c r="EL165" i="19"/>
  <c r="DX34" i="19"/>
  <c r="ET17" i="19"/>
  <c r="ET28" i="19" s="1"/>
  <c r="ET107" i="19"/>
  <c r="DU27" i="19"/>
  <c r="ET153" i="19"/>
  <c r="EM119" i="19"/>
  <c r="EM130" i="19" s="1"/>
  <c r="EA31" i="19"/>
  <c r="EA34" i="19"/>
  <c r="AR175" i="19"/>
  <c r="EG175" i="19"/>
  <c r="H58" i="19"/>
  <c r="AR128" i="19"/>
  <c r="EG128" i="19"/>
  <c r="AR129" i="19"/>
  <c r="EG129" i="19"/>
  <c r="AR174" i="19"/>
  <c r="EG174" i="19"/>
  <c r="EQ16" i="19"/>
  <c r="EL176" i="19"/>
  <c r="EM16" i="19"/>
  <c r="EM27" i="19" s="1"/>
  <c r="EQ108" i="19"/>
  <c r="EP165" i="19"/>
  <c r="EO69" i="19"/>
  <c r="DZ14" i="19"/>
  <c r="AC53" i="19"/>
  <c r="AE100" i="19"/>
  <c r="AI100" i="19"/>
  <c r="D4" i="20"/>
  <c r="D3" i="20"/>
  <c r="D6" i="20"/>
  <c r="E4" i="20"/>
  <c r="N163" i="17"/>
  <c r="F45" i="18"/>
  <c r="AD53" i="19"/>
  <c r="AH53" i="19"/>
  <c r="AF100" i="19"/>
  <c r="G18" i="19"/>
  <c r="AJ32" i="19"/>
  <c r="DO32" i="19" s="1"/>
  <c r="AC100" i="19"/>
  <c r="AJ31" i="19"/>
  <c r="DO31" i="19" s="1"/>
  <c r="DW73" i="19"/>
  <c r="AJ125" i="19"/>
  <c r="DP125" i="19" s="1"/>
  <c r="DU126" i="19"/>
  <c r="DU128" i="19"/>
  <c r="DW31" i="19"/>
  <c r="AG53" i="19"/>
  <c r="AJ71" i="19"/>
  <c r="DO71" i="19" s="1"/>
  <c r="AJ74" i="19"/>
  <c r="DP74" i="19" s="1"/>
  <c r="AJ175" i="19"/>
  <c r="DT57" i="19"/>
  <c r="DU70" i="19"/>
  <c r="AG100" i="19"/>
  <c r="AD146" i="19"/>
  <c r="AH146" i="19"/>
  <c r="DV170" i="19"/>
  <c r="AF10" i="19"/>
  <c r="EA33" i="19"/>
  <c r="AJ75" i="19"/>
  <c r="DQ75" i="19" s="1"/>
  <c r="AJ130" i="19"/>
  <c r="DN130" i="19" s="1"/>
  <c r="AE146" i="19"/>
  <c r="AI146" i="19"/>
  <c r="DU166" i="19"/>
  <c r="AC10" i="19"/>
  <c r="AG10" i="19"/>
  <c r="DX31" i="19"/>
  <c r="DW32" i="19"/>
  <c r="DZ57" i="19"/>
  <c r="EB60" i="19"/>
  <c r="AJ69" i="19"/>
  <c r="AK69" i="19" s="1"/>
  <c r="EI105" i="19"/>
  <c r="EJ106" i="19" s="1"/>
  <c r="AJ120" i="19"/>
  <c r="AK120" i="19" s="1"/>
  <c r="AL120" i="19" s="1"/>
  <c r="AM120" i="19" s="1"/>
  <c r="AN120" i="19" s="1"/>
  <c r="AO120" i="19" s="1"/>
  <c r="DU122" i="19"/>
  <c r="AJ124" i="19"/>
  <c r="DV125" i="19"/>
  <c r="DV127" i="19"/>
  <c r="DN150" i="19"/>
  <c r="AJ165" i="19"/>
  <c r="AK165" i="19" s="1"/>
  <c r="AL165" i="19" s="1"/>
  <c r="AM165" i="19" s="1"/>
  <c r="AN165" i="19" s="1"/>
  <c r="AO165" i="19" s="1"/>
  <c r="AJ170" i="19"/>
  <c r="DP170" i="19" s="1"/>
  <c r="DV172" i="19"/>
  <c r="EA29" i="19"/>
  <c r="DN14" i="19"/>
  <c r="EA30" i="19"/>
  <c r="DX32" i="19"/>
  <c r="AJ33" i="19"/>
  <c r="DP33" i="19" s="1"/>
  <c r="DW33" i="19"/>
  <c r="AJ34" i="19"/>
  <c r="DQ34" i="19" s="1"/>
  <c r="DW34" i="19"/>
  <c r="AF53" i="19"/>
  <c r="EI58" i="19"/>
  <c r="EM58" i="19"/>
  <c r="EQ58" i="19"/>
  <c r="AJ70" i="19"/>
  <c r="AK70" i="19" s="1"/>
  <c r="AL70" i="19" s="1"/>
  <c r="AM70" i="19" s="1"/>
  <c r="AN70" i="19" s="1"/>
  <c r="AO70" i="19" s="1"/>
  <c r="AJ123" i="19"/>
  <c r="DP123" i="19" s="1"/>
  <c r="DW125" i="19"/>
  <c r="DW127" i="19"/>
  <c r="AF146" i="19"/>
  <c r="DT150" i="19"/>
  <c r="AJ167" i="19"/>
  <c r="AJ168" i="19"/>
  <c r="DO168" i="19" s="1"/>
  <c r="AJ171" i="19"/>
  <c r="AK171" i="19" s="1"/>
  <c r="AL171" i="19" s="1"/>
  <c r="AM171" i="19" s="1"/>
  <c r="AN171" i="19" s="1"/>
  <c r="AO171" i="19" s="1"/>
  <c r="DU174" i="19"/>
  <c r="AE10" i="19"/>
  <c r="AI10" i="19"/>
  <c r="DT14" i="19"/>
  <c r="EA27" i="19"/>
  <c r="EB19" i="19"/>
  <c r="EC20" i="19" s="1"/>
  <c r="EC31" i="19" s="1"/>
  <c r="EB21" i="19"/>
  <c r="EB23" i="19"/>
  <c r="EB34" i="19" s="1"/>
  <c r="DX33" i="19"/>
  <c r="EJ58" i="19"/>
  <c r="EN58" i="19"/>
  <c r="DN57" i="19"/>
  <c r="DV60" i="19"/>
  <c r="AD100" i="19"/>
  <c r="AH100" i="19"/>
  <c r="AJ121" i="19"/>
  <c r="DO121" i="19" s="1"/>
  <c r="AJ126" i="19"/>
  <c r="DP126" i="19" s="1"/>
  <c r="AJ127" i="19"/>
  <c r="DO127" i="19" s="1"/>
  <c r="AJ128" i="19"/>
  <c r="DP128" i="19" s="1"/>
  <c r="EG151" i="19"/>
  <c r="EH152" i="19" s="1"/>
  <c r="EI153" i="19" s="1"/>
  <c r="EJ154" i="19" s="1"/>
  <c r="EJ165" i="19" s="1"/>
  <c r="DZ150" i="19"/>
  <c r="AJ169" i="19"/>
  <c r="DP169" i="19" s="1"/>
  <c r="AJ173" i="19"/>
  <c r="DQ173" i="19" s="1"/>
  <c r="DW173" i="19"/>
  <c r="AD10" i="19"/>
  <c r="AH10" i="19"/>
  <c r="EK15" i="19"/>
  <c r="EO15" i="19"/>
  <c r="EA28" i="19"/>
  <c r="EB18" i="19"/>
  <c r="EB32" i="19"/>
  <c r="EC22" i="19"/>
  <c r="AJ27" i="19"/>
  <c r="DO27" i="19" s="1"/>
  <c r="AJ29" i="19"/>
  <c r="DQ29" i="19" s="1"/>
  <c r="EB31" i="19"/>
  <c r="EC21" i="19"/>
  <c r="AR26" i="19"/>
  <c r="EH26" i="19" s="1"/>
  <c r="EL106" i="19"/>
  <c r="EM107" i="19" s="1"/>
  <c r="EN108" i="19" s="1"/>
  <c r="EN119" i="19" s="1"/>
  <c r="AJ12" i="19"/>
  <c r="EK16" i="19"/>
  <c r="EB33" i="19"/>
  <c r="EC23" i="19"/>
  <c r="EC34" i="19" s="1"/>
  <c r="DV29" i="19"/>
  <c r="DP32" i="19"/>
  <c r="DU76" i="19"/>
  <c r="DX76" i="19"/>
  <c r="DW76" i="19"/>
  <c r="DV76" i="19"/>
  <c r="DR19" i="19"/>
  <c r="DU30" i="19"/>
  <c r="DW30" i="19"/>
  <c r="EJ16" i="19"/>
  <c r="EN16" i="19"/>
  <c r="EO16" i="19"/>
  <c r="EI16" i="19"/>
  <c r="AJ26" i="19"/>
  <c r="AJ28" i="19"/>
  <c r="AJ30" i="19"/>
  <c r="EC109" i="19"/>
  <c r="DV17" i="19"/>
  <c r="EB17" i="19"/>
  <c r="AE53" i="19"/>
  <c r="AI53" i="19"/>
  <c r="DV71" i="19"/>
  <c r="DW61" i="19"/>
  <c r="EC63" i="19"/>
  <c r="EN106" i="19"/>
  <c r="AJ55" i="19"/>
  <c r="EH59" i="19"/>
  <c r="EH70" i="19" s="1"/>
  <c r="EL59" i="19"/>
  <c r="EL70" i="19" s="1"/>
  <c r="EP59" i="19"/>
  <c r="EC62" i="19"/>
  <c r="DR75" i="19"/>
  <c r="EN109" i="19"/>
  <c r="EN120" i="19" s="1"/>
  <c r="EA32" i="19"/>
  <c r="DR34" i="19"/>
  <c r="EH58" i="19"/>
  <c r="EH69" i="19" s="1"/>
  <c r="EL58" i="19"/>
  <c r="EL69" i="19" s="1"/>
  <c r="EP58" i="19"/>
  <c r="DV72" i="19"/>
  <c r="DU120" i="19"/>
  <c r="DV107" i="19"/>
  <c r="DP60" i="19"/>
  <c r="DU75" i="19"/>
  <c r="DX75" i="19"/>
  <c r="DV75" i="19"/>
  <c r="EO105" i="19"/>
  <c r="EB107" i="19"/>
  <c r="DO124" i="19"/>
  <c r="DR124" i="19"/>
  <c r="DN124" i="19"/>
  <c r="AK124" i="19"/>
  <c r="DQ124" i="19"/>
  <c r="DP124" i="19"/>
  <c r="DO125" i="19"/>
  <c r="DU31" i="19"/>
  <c r="DU32" i="19"/>
  <c r="DU33" i="19"/>
  <c r="DU34" i="19"/>
  <c r="EB63" i="19"/>
  <c r="EB64" i="19"/>
  <c r="EB65" i="19"/>
  <c r="AJ73" i="19"/>
  <c r="DU74" i="19"/>
  <c r="DX74" i="19"/>
  <c r="DV74" i="19"/>
  <c r="DW75" i="19"/>
  <c r="AJ77" i="19"/>
  <c r="EB66" i="19"/>
  <c r="AJ72" i="19"/>
  <c r="DV73" i="19"/>
  <c r="AJ76" i="19"/>
  <c r="DU77" i="19"/>
  <c r="DX77" i="19"/>
  <c r="DV77" i="19"/>
  <c r="EI106" i="19"/>
  <c r="EJ107" i="19" s="1"/>
  <c r="EK108" i="19" s="1"/>
  <c r="EK119" i="19" s="1"/>
  <c r="EM106" i="19"/>
  <c r="EN107" i="19" s="1"/>
  <c r="EO108" i="19" s="1"/>
  <c r="EO119" i="19" s="1"/>
  <c r="EQ106" i="19"/>
  <c r="ES107" i="19" s="1"/>
  <c r="ET108" i="19" s="1"/>
  <c r="ET119" i="19" s="1"/>
  <c r="ET130" i="19" s="1"/>
  <c r="AJ102" i="19"/>
  <c r="EG105" i="19"/>
  <c r="DO120" i="19"/>
  <c r="DP107" i="19"/>
  <c r="EC111" i="19"/>
  <c r="ED111" i="19"/>
  <c r="DR130" i="19"/>
  <c r="AK130" i="19"/>
  <c r="DP130" i="19"/>
  <c r="DX124" i="19"/>
  <c r="DT124" i="19"/>
  <c r="DW124" i="19"/>
  <c r="DV124" i="19"/>
  <c r="DO126" i="19"/>
  <c r="DR126" i="19"/>
  <c r="DN126" i="19"/>
  <c r="AK126" i="19"/>
  <c r="DQ126" i="19"/>
  <c r="DU130" i="19"/>
  <c r="DX130" i="19"/>
  <c r="DT130" i="19"/>
  <c r="DW130" i="19"/>
  <c r="DV130" i="19"/>
  <c r="EK151" i="19"/>
  <c r="EJ151" i="19"/>
  <c r="EO151" i="19"/>
  <c r="EN151" i="19"/>
  <c r="EQ155" i="19"/>
  <c r="DQ169" i="19"/>
  <c r="DO169" i="19"/>
  <c r="DO123" i="19"/>
  <c r="DO128" i="19"/>
  <c r="DR128" i="19"/>
  <c r="DN128" i="19"/>
  <c r="AK128" i="19"/>
  <c r="DQ128" i="19"/>
  <c r="EJ153" i="19"/>
  <c r="EK154" i="19" s="1"/>
  <c r="EK165" i="19" s="1"/>
  <c r="EB111" i="19"/>
  <c r="EB112" i="19"/>
  <c r="EB113" i="19"/>
  <c r="EB114" i="19"/>
  <c r="EB115" i="19"/>
  <c r="EB116" i="19"/>
  <c r="AJ119" i="19"/>
  <c r="AK119" i="19" s="1"/>
  <c r="AL119" i="19" s="1"/>
  <c r="AM119" i="19" s="1"/>
  <c r="AN119" i="19" s="1"/>
  <c r="AO119" i="19" s="1"/>
  <c r="AJ122" i="19"/>
  <c r="AJ129" i="19"/>
  <c r="AJ148" i="19"/>
  <c r="EM155" i="19"/>
  <c r="EM166" i="19" s="1"/>
  <c r="DT125" i="19"/>
  <c r="DX125" i="19"/>
  <c r="DV126" i="19"/>
  <c r="DT127" i="19"/>
  <c r="DX127" i="19"/>
  <c r="DV128" i="19"/>
  <c r="EM152" i="19"/>
  <c r="EB156" i="19"/>
  <c r="DW126" i="19"/>
  <c r="DW128" i="19"/>
  <c r="EQ152" i="19"/>
  <c r="ES153" i="19" s="1"/>
  <c r="ET154" i="19" s="1"/>
  <c r="ET165" i="19" s="1"/>
  <c r="ET176" i="19" s="1"/>
  <c r="EB154" i="19"/>
  <c r="DT126" i="19"/>
  <c r="DT128" i="19"/>
  <c r="AC146" i="19"/>
  <c r="AG146" i="19"/>
  <c r="DO167" i="19"/>
  <c r="AK167" i="19"/>
  <c r="AL167" i="19" s="1"/>
  <c r="AM167" i="19" s="1"/>
  <c r="AN167" i="19" s="1"/>
  <c r="AO167" i="19" s="1"/>
  <c r="DV153" i="19"/>
  <c r="EB153" i="19"/>
  <c r="EB155" i="19"/>
  <c r="EB160" i="19"/>
  <c r="DQ175" i="19"/>
  <c r="DP175" i="19"/>
  <c r="DO175" i="19"/>
  <c r="AK175" i="19"/>
  <c r="AL175" i="19" s="1"/>
  <c r="AM175" i="19" s="1"/>
  <c r="AN175" i="19" s="1"/>
  <c r="AO175" i="19" s="1"/>
  <c r="DP167" i="19"/>
  <c r="DQ154" i="19"/>
  <c r="EB157" i="19"/>
  <c r="EB158" i="19"/>
  <c r="EB159" i="19"/>
  <c r="DR175" i="19"/>
  <c r="AJ166" i="19"/>
  <c r="DO171" i="19"/>
  <c r="DV176" i="19"/>
  <c r="DU176" i="19"/>
  <c r="DX176" i="19"/>
  <c r="EB161" i="19"/>
  <c r="EB162" i="19"/>
  <c r="AJ172" i="19"/>
  <c r="AJ176" i="19"/>
  <c r="AJ174" i="19"/>
  <c r="DW170" i="19"/>
  <c r="DW172" i="19"/>
  <c r="DX173" i="19"/>
  <c r="DV174" i="19"/>
  <c r="DX170" i="19"/>
  <c r="DX172" i="19"/>
  <c r="DU173" i="19"/>
  <c r="DW174" i="19"/>
  <c r="AM154" i="17"/>
  <c r="AV154" i="17"/>
  <c r="AN154" i="17"/>
  <c r="AL154" i="17"/>
  <c r="AK154" i="17"/>
  <c r="AF114" i="17"/>
  <c r="AF116" i="17"/>
  <c r="AF117" i="17"/>
  <c r="AF115" i="17"/>
  <c r="K30" i="18" l="1"/>
  <c r="K25" i="18" s="1"/>
  <c r="U25" i="18" s="1"/>
  <c r="EU108" i="19"/>
  <c r="EU119" i="19" s="1"/>
  <c r="EU130" i="19" s="1"/>
  <c r="EU154" i="19"/>
  <c r="EU165" i="19" s="1"/>
  <c r="EU176" i="19" s="1"/>
  <c r="K20" i="18"/>
  <c r="AK169" i="19"/>
  <c r="AL169" i="19" s="1"/>
  <c r="AM169" i="19" s="1"/>
  <c r="AN169" i="19" s="1"/>
  <c r="AO169" i="19" s="1"/>
  <c r="DQ125" i="19"/>
  <c r="DP34" i="19"/>
  <c r="DO75" i="19"/>
  <c r="DP127" i="19"/>
  <c r="DN125" i="19"/>
  <c r="AK71" i="19"/>
  <c r="AL71" i="19" s="1"/>
  <c r="EN17" i="19"/>
  <c r="EO18" i="19" s="1"/>
  <c r="ET16" i="19"/>
  <c r="ET27" i="19" s="1"/>
  <c r="EU109" i="19"/>
  <c r="EU120" i="19" s="1"/>
  <c r="EU18" i="19"/>
  <c r="EU29" i="19" s="1"/>
  <c r="AK75" i="19"/>
  <c r="AL75" i="19" s="1"/>
  <c r="AM75" i="19" s="1"/>
  <c r="AN75" i="19" s="1"/>
  <c r="AO75" i="19" s="1"/>
  <c r="EQ119" i="19"/>
  <c r="EQ130" i="19" s="1"/>
  <c r="ES109" i="19"/>
  <c r="ES120" i="19" s="1"/>
  <c r="EQ27" i="19"/>
  <c r="ES17" i="19"/>
  <c r="ES28" i="19" s="1"/>
  <c r="EV155" i="19"/>
  <c r="EV166" i="19" s="1"/>
  <c r="EU155" i="19"/>
  <c r="EU166" i="19" s="1"/>
  <c r="EQ166" i="19"/>
  <c r="ES156" i="19"/>
  <c r="ES167" i="19" s="1"/>
  <c r="DO34" i="19"/>
  <c r="DP75" i="19"/>
  <c r="DR31" i="19"/>
  <c r="DQ32" i="19"/>
  <c r="EQ69" i="19"/>
  <c r="ES59" i="19"/>
  <c r="ES70" i="19" s="1"/>
  <c r="AS174" i="19"/>
  <c r="EH174" i="19"/>
  <c r="AS128" i="19"/>
  <c r="EH128" i="19"/>
  <c r="EA175" i="19"/>
  <c r="DP171" i="19"/>
  <c r="DP31" i="19"/>
  <c r="AS175" i="19"/>
  <c r="EH175" i="19"/>
  <c r="DQ33" i="19"/>
  <c r="AS129" i="19"/>
  <c r="EH129" i="19"/>
  <c r="DR171" i="19"/>
  <c r="DQ171" i="19"/>
  <c r="AL69" i="19"/>
  <c r="AM69" i="19" s="1"/>
  <c r="AN69" i="19" s="1"/>
  <c r="AO69" i="19" s="1"/>
  <c r="EP176" i="19"/>
  <c r="EP69" i="19"/>
  <c r="EN130" i="19"/>
  <c r="EJ176" i="19"/>
  <c r="EK130" i="19"/>
  <c r="EK176" i="19"/>
  <c r="EO130" i="19"/>
  <c r="EP70" i="19"/>
  <c r="EJ59" i="19"/>
  <c r="EJ70" i="19" s="1"/>
  <c r="EI69" i="19"/>
  <c r="EO59" i="19"/>
  <c r="EO70" i="19" s="1"/>
  <c r="EN69" i="19"/>
  <c r="AJ53" i="19"/>
  <c r="EK59" i="19"/>
  <c r="EK70" i="19" s="1"/>
  <c r="EJ69" i="19"/>
  <c r="EN59" i="19"/>
  <c r="EN70" i="19" s="1"/>
  <c r="EM69" i="19"/>
  <c r="F7" i="18"/>
  <c r="G7" i="22"/>
  <c r="DO170" i="19"/>
  <c r="DP168" i="19"/>
  <c r="DQ130" i="19"/>
  <c r="DO130" i="19"/>
  <c r="DR125" i="19"/>
  <c r="DQ31" i="19"/>
  <c r="AK173" i="19"/>
  <c r="AL173" i="19" s="1"/>
  <c r="AM173" i="19" s="1"/>
  <c r="AN173" i="19" s="1"/>
  <c r="AO173" i="19" s="1"/>
  <c r="AK125" i="19"/>
  <c r="DZ125" i="19" s="1"/>
  <c r="AK74" i="19"/>
  <c r="AL74" i="19" s="1"/>
  <c r="AM74" i="19" s="1"/>
  <c r="AN74" i="19" s="1"/>
  <c r="AO74" i="19" s="1"/>
  <c r="DR32" i="19"/>
  <c r="DO173" i="19"/>
  <c r="DR127" i="19"/>
  <c r="DN127" i="19"/>
  <c r="DQ127" i="19"/>
  <c r="DO74" i="19"/>
  <c r="DR33" i="19"/>
  <c r="EA120" i="19"/>
  <c r="AJ146" i="19"/>
  <c r="DP173" i="19"/>
  <c r="DQ123" i="19"/>
  <c r="AK127" i="19"/>
  <c r="DZ127" i="19" s="1"/>
  <c r="DQ74" i="19"/>
  <c r="DO33" i="19"/>
  <c r="DR173" i="19"/>
  <c r="EA169" i="19"/>
  <c r="AK123" i="19"/>
  <c r="AL123" i="19" s="1"/>
  <c r="AM123" i="19" s="1"/>
  <c r="EB123" i="19" s="1"/>
  <c r="DR74" i="19"/>
  <c r="AJ10" i="19"/>
  <c r="DO70" i="19"/>
  <c r="EA70" i="19"/>
  <c r="DQ170" i="19"/>
  <c r="DR170" i="19"/>
  <c r="EC61" i="19"/>
  <c r="AK121" i="19"/>
  <c r="AL121" i="19" s="1"/>
  <c r="ED21" i="19"/>
  <c r="EF22" i="19" s="1"/>
  <c r="AJ100" i="19"/>
  <c r="AK168" i="19"/>
  <c r="AL168" i="19" s="1"/>
  <c r="AK170" i="19"/>
  <c r="AL170" i="19" s="1"/>
  <c r="AM170" i="19" s="1"/>
  <c r="AN170" i="19" s="1"/>
  <c r="AO170" i="19" s="1"/>
  <c r="EB30" i="19"/>
  <c r="EN156" i="19"/>
  <c r="EN167" i="19" s="1"/>
  <c r="AN123" i="19"/>
  <c r="AO123" i="19" s="1"/>
  <c r="DP121" i="19"/>
  <c r="DQ108" i="19"/>
  <c r="EQ59" i="19"/>
  <c r="EL16" i="19"/>
  <c r="EB169" i="19"/>
  <c r="EC156" i="19"/>
  <c r="DP122" i="19"/>
  <c r="AK122" i="19"/>
  <c r="AL122" i="19" s="1"/>
  <c r="DO122" i="19"/>
  <c r="EC112" i="19"/>
  <c r="EL155" i="19"/>
  <c r="EL166" i="19" s="1"/>
  <c r="EP152" i="19"/>
  <c r="EK155" i="19"/>
  <c r="EK166" i="19" s="1"/>
  <c r="DT102" i="19"/>
  <c r="DT103" i="19" s="1"/>
  <c r="DT104" i="19" s="1"/>
  <c r="DZ130" i="19"/>
  <c r="AL130" i="19"/>
  <c r="EF112" i="19"/>
  <c r="EL109" i="19"/>
  <c r="EL120" i="19" s="1"/>
  <c r="DO76" i="19"/>
  <c r="AK76" i="19"/>
  <c r="AL76" i="19" s="1"/>
  <c r="DR76" i="19"/>
  <c r="DQ76" i="19"/>
  <c r="DP76" i="19"/>
  <c r="DO77" i="19"/>
  <c r="AK77" i="19"/>
  <c r="AL77" i="19" s="1"/>
  <c r="DR77" i="19"/>
  <c r="DQ77" i="19"/>
  <c r="DP77" i="19"/>
  <c r="EC65" i="19"/>
  <c r="AL124" i="19"/>
  <c r="DZ124" i="19"/>
  <c r="EC108" i="19"/>
  <c r="EM59" i="19"/>
  <c r="EM70" i="19" s="1"/>
  <c r="EO110" i="19"/>
  <c r="EO121" i="19" s="1"/>
  <c r="EM60" i="19"/>
  <c r="EM71" i="19" s="1"/>
  <c r="DW72" i="19"/>
  <c r="DX62" i="19"/>
  <c r="DX73" i="19" s="1"/>
  <c r="DO28" i="19"/>
  <c r="DP28" i="19"/>
  <c r="EJ27" i="19"/>
  <c r="EK17" i="19"/>
  <c r="EL17" i="19"/>
  <c r="EK27" i="19"/>
  <c r="EO109" i="19"/>
  <c r="EO120" i="19" s="1"/>
  <c r="AS26" i="19"/>
  <c r="EH16" i="19"/>
  <c r="EG26" i="19"/>
  <c r="EC159" i="19"/>
  <c r="EC66" i="19"/>
  <c r="EK107" i="19"/>
  <c r="DR30" i="19"/>
  <c r="DO29" i="19"/>
  <c r="DP29" i="19"/>
  <c r="DR174" i="19"/>
  <c r="DQ174" i="19"/>
  <c r="DP174" i="19"/>
  <c r="AK174" i="19"/>
  <c r="AL174" i="19" s="1"/>
  <c r="DO174" i="19"/>
  <c r="EA171" i="19"/>
  <c r="EC114" i="19"/>
  <c r="EC160" i="19"/>
  <c r="EB171" i="19"/>
  <c r="EC158" i="19"/>
  <c r="EB167" i="19"/>
  <c r="EC154" i="19"/>
  <c r="AL128" i="19"/>
  <c r="DZ128" i="19"/>
  <c r="EK152" i="19"/>
  <c r="EL153" i="19" s="1"/>
  <c r="EM154" i="19" s="1"/>
  <c r="EM165" i="19" s="1"/>
  <c r="ED112" i="19"/>
  <c r="EH106" i="19"/>
  <c r="DO73" i="19"/>
  <c r="AK73" i="19"/>
  <c r="AL73" i="19" s="1"/>
  <c r="DQ73" i="19"/>
  <c r="DP73" i="19"/>
  <c r="EC64" i="19"/>
  <c r="EP106" i="19"/>
  <c r="DP71" i="19"/>
  <c r="DQ61" i="19"/>
  <c r="ED62" i="19"/>
  <c r="EI59" i="19"/>
  <c r="EI70" i="19" s="1"/>
  <c r="EI27" i="19"/>
  <c r="EJ17" i="19"/>
  <c r="EN27" i="19"/>
  <c r="EO17" i="19"/>
  <c r="ED23" i="19"/>
  <c r="ED34" i="19" s="1"/>
  <c r="EC33" i="19"/>
  <c r="AK166" i="19"/>
  <c r="AL166" i="19" s="1"/>
  <c r="DO166" i="19"/>
  <c r="DQ168" i="19"/>
  <c r="DR155" i="19"/>
  <c r="DR169" i="19" s="1"/>
  <c r="EA167" i="19"/>
  <c r="EO152" i="19"/>
  <c r="EP153" i="19" s="1"/>
  <c r="ED63" i="19"/>
  <c r="EO107" i="19"/>
  <c r="EP108" i="19" s="1"/>
  <c r="DW18" i="19"/>
  <c r="DV28" i="19"/>
  <c r="DO30" i="19"/>
  <c r="DQ30" i="19"/>
  <c r="DP30" i="19"/>
  <c r="EC19" i="19"/>
  <c r="EB29" i="19"/>
  <c r="EB175" i="19"/>
  <c r="EC162" i="19"/>
  <c r="EN153" i="19"/>
  <c r="EO154" i="19" s="1"/>
  <c r="EO165" i="19" s="1"/>
  <c r="EC116" i="19"/>
  <c r="DP176" i="19"/>
  <c r="DO176" i="19"/>
  <c r="AK176" i="19"/>
  <c r="AL176" i="19" s="1"/>
  <c r="DR176" i="19"/>
  <c r="DQ176" i="19"/>
  <c r="DO172" i="19"/>
  <c r="AK172" i="19"/>
  <c r="AL172" i="19" s="1"/>
  <c r="DR172" i="19"/>
  <c r="DQ172" i="19"/>
  <c r="DP172" i="19"/>
  <c r="EC161" i="19"/>
  <c r="DV167" i="19"/>
  <c r="DW154" i="19"/>
  <c r="EC155" i="19"/>
  <c r="EC157" i="19"/>
  <c r="DQ129" i="19"/>
  <c r="DP129" i="19"/>
  <c r="DO129" i="19"/>
  <c r="AK129" i="19"/>
  <c r="DR129" i="19"/>
  <c r="DN129" i="19"/>
  <c r="EC115" i="19"/>
  <c r="EC113" i="19"/>
  <c r="EL152" i="19"/>
  <c r="AL126" i="19"/>
  <c r="DZ126" i="19"/>
  <c r="EP109" i="19"/>
  <c r="DO72" i="19"/>
  <c r="AK72" i="19"/>
  <c r="AL72" i="19" s="1"/>
  <c r="DP72" i="19"/>
  <c r="DV121" i="19"/>
  <c r="DW108" i="19"/>
  <c r="EQ60" i="19"/>
  <c r="EI60" i="19"/>
  <c r="EI71" i="19" s="1"/>
  <c r="ED64" i="19"/>
  <c r="EC18" i="19"/>
  <c r="EB28" i="19"/>
  <c r="ED110" i="19"/>
  <c r="EP17" i="19"/>
  <c r="EO27" i="19"/>
  <c r="EC32" i="19"/>
  <c r="ED22" i="19"/>
  <c r="EP16" i="19"/>
  <c r="AG115" i="17"/>
  <c r="AG116" i="17"/>
  <c r="AG114" i="17"/>
  <c r="AG154" i="17" s="1"/>
  <c r="AG117" i="17"/>
  <c r="U30" i="18" l="1"/>
  <c r="EV109" i="19"/>
  <c r="EV120" i="19" s="1"/>
  <c r="U20" i="18"/>
  <c r="K13" i="18"/>
  <c r="K11" i="18"/>
  <c r="K9" i="18" s="1"/>
  <c r="U9" i="18" s="1"/>
  <c r="K14" i="18"/>
  <c r="K12" i="18"/>
  <c r="EN28" i="19"/>
  <c r="EL60" i="19"/>
  <c r="EL71" i="19" s="1"/>
  <c r="AL127" i="19"/>
  <c r="EB75" i="19"/>
  <c r="EA75" i="19"/>
  <c r="EB173" i="19"/>
  <c r="EA173" i="19"/>
  <c r="AL125" i="19"/>
  <c r="EA170" i="19"/>
  <c r="EB170" i="19"/>
  <c r="DN102" i="19"/>
  <c r="DN103" i="19" s="1"/>
  <c r="DN104" i="19" s="1"/>
  <c r="EA123" i="19"/>
  <c r="AM71" i="19"/>
  <c r="EA71" i="19"/>
  <c r="EK60" i="19"/>
  <c r="EK71" i="19" s="1"/>
  <c r="ET157" i="19"/>
  <c r="ET168" i="19" s="1"/>
  <c r="EW156" i="19"/>
  <c r="EW167" i="19" s="1"/>
  <c r="ET110" i="19"/>
  <c r="ET121" i="19" s="1"/>
  <c r="EV19" i="19"/>
  <c r="EV30" i="19" s="1"/>
  <c r="EU17" i="19"/>
  <c r="EU28" i="19" s="1"/>
  <c r="EV156" i="19"/>
  <c r="EV167" i="19" s="1"/>
  <c r="EO60" i="19"/>
  <c r="EO71" i="19" s="1"/>
  <c r="EQ71" i="19"/>
  <c r="ES61" i="19"/>
  <c r="ES72" i="19" s="1"/>
  <c r="EQ70" i="19"/>
  <c r="ES60" i="19"/>
  <c r="ES71" i="19" s="1"/>
  <c r="ET60" i="19"/>
  <c r="ET71" i="19" s="1"/>
  <c r="EA74" i="19"/>
  <c r="EW110" i="19"/>
  <c r="EW121" i="19" s="1"/>
  <c r="ET18" i="19"/>
  <c r="ET29" i="19" s="1"/>
  <c r="EV110" i="19"/>
  <c r="EV121" i="19" s="1"/>
  <c r="AT175" i="19"/>
  <c r="EI175" i="19"/>
  <c r="AT129" i="19"/>
  <c r="EI129" i="19"/>
  <c r="AT128" i="19"/>
  <c r="EI128" i="19"/>
  <c r="EP60" i="19"/>
  <c r="EQ61" i="19" s="1"/>
  <c r="AT174" i="19"/>
  <c r="EI174" i="19"/>
  <c r="EP119" i="19"/>
  <c r="EQ154" i="19"/>
  <c r="EO176" i="19"/>
  <c r="EM176" i="19"/>
  <c r="EP120" i="19"/>
  <c r="EC74" i="19"/>
  <c r="EB74" i="19"/>
  <c r="ED32" i="19"/>
  <c r="AM168" i="19"/>
  <c r="EA168" i="19"/>
  <c r="AM121" i="19"/>
  <c r="EA121" i="19"/>
  <c r="ED19" i="19"/>
  <c r="EC29" i="19"/>
  <c r="DW168" i="19"/>
  <c r="DX155" i="19"/>
  <c r="DX169" i="19" s="1"/>
  <c r="AM172" i="19"/>
  <c r="EA172" i="19"/>
  <c r="DX19" i="19"/>
  <c r="DX30" i="19" s="1"/>
  <c r="DW29" i="19"/>
  <c r="EQ109" i="19"/>
  <c r="DQ72" i="19"/>
  <c r="DR62" i="19"/>
  <c r="DR73" i="19" s="1"/>
  <c r="EN155" i="19"/>
  <c r="EN166" i="19" s="1"/>
  <c r="ED159" i="19"/>
  <c r="EP110" i="19"/>
  <c r="EN61" i="19"/>
  <c r="EN72" i="19" s="1"/>
  <c r="EN60" i="19"/>
  <c r="EN71" i="19" s="1"/>
  <c r="ED66" i="19"/>
  <c r="AM76" i="19"/>
  <c r="EA76" i="19"/>
  <c r="EF33" i="19"/>
  <c r="EG23" i="19"/>
  <c r="EG34" i="19" s="1"/>
  <c r="EM153" i="19"/>
  <c r="ED20" i="19"/>
  <c r="EC30" i="19"/>
  <c r="EI107" i="19"/>
  <c r="ED115" i="19"/>
  <c r="EL61" i="19"/>
  <c r="EL72" i="19" s="1"/>
  <c r="EP19" i="19"/>
  <c r="EO29" i="19"/>
  <c r="EP111" i="19"/>
  <c r="AM124" i="19"/>
  <c r="EA124" i="19"/>
  <c r="AM77" i="19"/>
  <c r="EA77" i="19"/>
  <c r="EF123" i="19"/>
  <c r="EG113" i="19"/>
  <c r="EG124" i="19" s="1"/>
  <c r="EQ153" i="19"/>
  <c r="ES154" i="19" s="1"/>
  <c r="ES165" i="19" s="1"/>
  <c r="ES176" i="19" s="1"/>
  <c r="ED113" i="19"/>
  <c r="EC170" i="19"/>
  <c r="ED157" i="19"/>
  <c r="EC123" i="19"/>
  <c r="DW122" i="19"/>
  <c r="DX109" i="19"/>
  <c r="DX123" i="19" s="1"/>
  <c r="ED116" i="19"/>
  <c r="EC171" i="19"/>
  <c r="ED158" i="19"/>
  <c r="EC169" i="19"/>
  <c r="ED156" i="19"/>
  <c r="EC175" i="19"/>
  <c r="ED162" i="19"/>
  <c r="ED74" i="19"/>
  <c r="EF64" i="19"/>
  <c r="EJ28" i="19"/>
  <c r="EK18" i="19"/>
  <c r="EF63" i="19"/>
  <c r="AM73" i="19"/>
  <c r="EA73" i="19"/>
  <c r="EF113" i="19"/>
  <c r="ED155" i="19"/>
  <c r="ED161" i="19"/>
  <c r="AM174" i="19"/>
  <c r="EA174" i="19"/>
  <c r="EC173" i="19"/>
  <c r="ED160" i="19"/>
  <c r="EM18" i="19"/>
  <c r="EL28" i="19"/>
  <c r="ED109" i="19"/>
  <c r="AM125" i="19"/>
  <c r="EA125" i="19"/>
  <c r="EL156" i="19"/>
  <c r="EL167" i="19" s="1"/>
  <c r="EM156" i="19"/>
  <c r="EM167" i="19" s="1"/>
  <c r="EM17" i="19"/>
  <c r="EL27" i="19"/>
  <c r="EQ17" i="19"/>
  <c r="ES18" i="19" s="1"/>
  <c r="ES29" i="19" s="1"/>
  <c r="EP27" i="19"/>
  <c r="ED33" i="19"/>
  <c r="EF23" i="19"/>
  <c r="EF34" i="19" s="1"/>
  <c r="EQ18" i="19"/>
  <c r="EP28" i="19"/>
  <c r="ED114" i="19"/>
  <c r="AM176" i="19"/>
  <c r="EA176" i="19"/>
  <c r="AM166" i="19"/>
  <c r="AN166" i="19" s="1"/>
  <c r="EA166" i="19"/>
  <c r="EP18" i="19"/>
  <c r="EO28" i="19"/>
  <c r="EJ60" i="19"/>
  <c r="EJ71" i="19" s="1"/>
  <c r="EQ107" i="19"/>
  <c r="ES108" i="19" s="1"/>
  <c r="ES119" i="19" s="1"/>
  <c r="ES130" i="19" s="1"/>
  <c r="AM127" i="19"/>
  <c r="EA127" i="19"/>
  <c r="DQ122" i="19"/>
  <c r="DR109" i="19"/>
  <c r="DR123" i="19" s="1"/>
  <c r="EF111" i="19"/>
  <c r="EJ61" i="19"/>
  <c r="EJ72" i="19" s="1"/>
  <c r="AM72" i="19"/>
  <c r="EA72" i="19"/>
  <c r="AM126" i="19"/>
  <c r="EA126" i="19"/>
  <c r="EP155" i="19"/>
  <c r="EL108" i="19"/>
  <c r="EL119" i="19" s="1"/>
  <c r="EO157" i="19"/>
  <c r="EO168" i="19" s="1"/>
  <c r="ED75" i="19"/>
  <c r="EF65" i="19"/>
  <c r="EQ110" i="19"/>
  <c r="DZ129" i="19"/>
  <c r="DZ102" i="19" s="1"/>
  <c r="DZ103" i="19" s="1"/>
  <c r="DZ104" i="19" s="1"/>
  <c r="AL129" i="19"/>
  <c r="ED65" i="19"/>
  <c r="EC75" i="19"/>
  <c r="AM128" i="19"/>
  <c r="EA128" i="19"/>
  <c r="EI17" i="19"/>
  <c r="EH27" i="19"/>
  <c r="AT26" i="19"/>
  <c r="EI26" i="19"/>
  <c r="EL18" i="19"/>
  <c r="EK28" i="19"/>
  <c r="EM110" i="19"/>
  <c r="EM121" i="19" s="1"/>
  <c r="AM130" i="19"/>
  <c r="EA130" i="19"/>
  <c r="AM122" i="19"/>
  <c r="EA122" i="19"/>
  <c r="AH116" i="17"/>
  <c r="AH117" i="17"/>
  <c r="AH115" i="17"/>
  <c r="AH114" i="17"/>
  <c r="AH154" i="17" s="1"/>
  <c r="R95" i="17"/>
  <c r="EM61" i="19" l="1"/>
  <c r="EM72" i="19" s="1"/>
  <c r="U11" i="18"/>
  <c r="U12" i="18"/>
  <c r="U14" i="18"/>
  <c r="U13" i="18"/>
  <c r="EP71" i="19"/>
  <c r="EP61" i="19"/>
  <c r="EQ62" i="19" s="1"/>
  <c r="AN71" i="19"/>
  <c r="AO71" i="19" s="1"/>
  <c r="EB71" i="19"/>
  <c r="ET109" i="19"/>
  <c r="ET120" i="19" s="1"/>
  <c r="EW20" i="19"/>
  <c r="EW31" i="19" s="1"/>
  <c r="EW111" i="19"/>
  <c r="EW122" i="19" s="1"/>
  <c r="EU61" i="19"/>
  <c r="EU72" i="19" s="1"/>
  <c r="ET62" i="19"/>
  <c r="ET73" i="19" s="1"/>
  <c r="EW157" i="19"/>
  <c r="EW168" i="19" s="1"/>
  <c r="EQ29" i="19"/>
  <c r="ES19" i="19"/>
  <c r="ES30" i="19" s="1"/>
  <c r="ET155" i="19"/>
  <c r="ET166" i="19" s="1"/>
  <c r="EQ165" i="19"/>
  <c r="EQ176" i="19" s="1"/>
  <c r="ES155" i="19"/>
  <c r="ES166" i="19" s="1"/>
  <c r="EU19" i="19"/>
  <c r="EU30" i="19" s="1"/>
  <c r="EU111" i="19"/>
  <c r="EU122" i="19" s="1"/>
  <c r="EU158" i="19"/>
  <c r="EU169" i="19" s="1"/>
  <c r="EX111" i="19"/>
  <c r="EX122" i="19" s="1"/>
  <c r="EX157" i="19"/>
  <c r="EX168" i="19" s="1"/>
  <c r="EQ72" i="19"/>
  <c r="ES62" i="19"/>
  <c r="ES73" i="19" s="1"/>
  <c r="EQ121" i="19"/>
  <c r="ES111" i="19"/>
  <c r="ES122" i="19" s="1"/>
  <c r="ET19" i="19"/>
  <c r="ET30" i="19" s="1"/>
  <c r="EQ120" i="19"/>
  <c r="ES110" i="19"/>
  <c r="ES121" i="19" s="1"/>
  <c r="ET61" i="19"/>
  <c r="ET72" i="19" s="1"/>
  <c r="EV18" i="19"/>
  <c r="EV29" i="19" s="1"/>
  <c r="AU174" i="19"/>
  <c r="EJ174" i="19"/>
  <c r="AU129" i="19"/>
  <c r="EJ129" i="19"/>
  <c r="AU128" i="19"/>
  <c r="EJ128" i="19"/>
  <c r="AU175" i="19"/>
  <c r="EJ175" i="19"/>
  <c r="EL130" i="19"/>
  <c r="EP72" i="19"/>
  <c r="EP121" i="19"/>
  <c r="EP166" i="19"/>
  <c r="EP122" i="19"/>
  <c r="EP130" i="19"/>
  <c r="AN168" i="19"/>
  <c r="EB168" i="19"/>
  <c r="AN121" i="19"/>
  <c r="EB121" i="19"/>
  <c r="AU26" i="19"/>
  <c r="EJ26" i="19"/>
  <c r="EI28" i="19"/>
  <c r="EJ18" i="19"/>
  <c r="EF66" i="19"/>
  <c r="EF77" i="19" s="1"/>
  <c r="EF76" i="19"/>
  <c r="EG66" i="19"/>
  <c r="EG77" i="19" s="1"/>
  <c r="AN126" i="19"/>
  <c r="EB126" i="19"/>
  <c r="EG112" i="19"/>
  <c r="EG123" i="19" s="1"/>
  <c r="EF122" i="19"/>
  <c r="EF115" i="19"/>
  <c r="EM28" i="19"/>
  <c r="EN18" i="19"/>
  <c r="ED169" i="19"/>
  <c r="EF156" i="19"/>
  <c r="EF75" i="19"/>
  <c r="EG65" i="19"/>
  <c r="EG76" i="19" s="1"/>
  <c r="EF159" i="19"/>
  <c r="ED171" i="19"/>
  <c r="EF158" i="19"/>
  <c r="EQ112" i="19"/>
  <c r="EO62" i="19"/>
  <c r="EO73" i="19" s="1"/>
  <c r="AN122" i="19"/>
  <c r="EB122" i="19"/>
  <c r="EN111" i="19"/>
  <c r="EN122" i="19" s="1"/>
  <c r="EM19" i="19"/>
  <c r="EL29" i="19"/>
  <c r="AN128" i="19"/>
  <c r="EB128" i="19"/>
  <c r="EM109" i="19"/>
  <c r="EM120" i="19" s="1"/>
  <c r="EQ156" i="19"/>
  <c r="EK62" i="19"/>
  <c r="EK73" i="19" s="1"/>
  <c r="AN127" i="19"/>
  <c r="EB127" i="19"/>
  <c r="EQ19" i="19"/>
  <c r="EP29" i="19"/>
  <c r="AN176" i="19"/>
  <c r="EB176" i="19"/>
  <c r="EN157" i="19"/>
  <c r="EN168" i="19" s="1"/>
  <c r="EN19" i="19"/>
  <c r="EM29" i="19"/>
  <c r="AN174" i="19"/>
  <c r="EB174" i="19"/>
  <c r="EF74" i="19"/>
  <c r="EG64" i="19"/>
  <c r="EG75" i="19" s="1"/>
  <c r="AN77" i="19"/>
  <c r="EB77" i="19"/>
  <c r="EJ108" i="19"/>
  <c r="EJ119" i="19" s="1"/>
  <c r="ED31" i="19"/>
  <c r="EF21" i="19"/>
  <c r="EO156" i="19"/>
  <c r="EO167" i="19" s="1"/>
  <c r="AN172" i="19"/>
  <c r="EB172" i="19"/>
  <c r="EP158" i="19"/>
  <c r="AN72" i="19"/>
  <c r="EB72" i="19"/>
  <c r="EK61" i="19"/>
  <c r="EK72" i="19" s="1"/>
  <c r="AO166" i="19"/>
  <c r="EQ28" i="19"/>
  <c r="AN125" i="19"/>
  <c r="EB125" i="19"/>
  <c r="ED175" i="19"/>
  <c r="EF162" i="19"/>
  <c r="EF173" i="19" s="1"/>
  <c r="EF124" i="19"/>
  <c r="EG114" i="19"/>
  <c r="EG125" i="19" s="1"/>
  <c r="ED170" i="19"/>
  <c r="EF157" i="19"/>
  <c r="EF114" i="19"/>
  <c r="EH114" i="19"/>
  <c r="EH125" i="19" s="1"/>
  <c r="EP30" i="19"/>
  <c r="EQ20" i="19"/>
  <c r="EF116" i="19"/>
  <c r="EF127" i="19" s="1"/>
  <c r="EN154" i="19"/>
  <c r="EN165" i="19" s="1"/>
  <c r="AN76" i="19"/>
  <c r="EB76" i="19"/>
  <c r="EQ111" i="19"/>
  <c r="EF20" i="19"/>
  <c r="ED30" i="19"/>
  <c r="AN130" i="19"/>
  <c r="EB130" i="19"/>
  <c r="AM129" i="19"/>
  <c r="EA129" i="19"/>
  <c r="EM157" i="19"/>
  <c r="EM168" i="19" s="1"/>
  <c r="ED123" i="19"/>
  <c r="EF110" i="19"/>
  <c r="EF161" i="19"/>
  <c r="AN73" i="19"/>
  <c r="EB73" i="19"/>
  <c r="EL19" i="19"/>
  <c r="EK29" i="19"/>
  <c r="EN62" i="19"/>
  <c r="EN73" i="19" s="1"/>
  <c r="AN124" i="19"/>
  <c r="EB124" i="19"/>
  <c r="EM62" i="19"/>
  <c r="EM73" i="19" s="1"/>
  <c r="EO61" i="19"/>
  <c r="EO72" i="19" s="1"/>
  <c r="ED173" i="19"/>
  <c r="EF160" i="19"/>
  <c r="AI117" i="17"/>
  <c r="AI114" i="17"/>
  <c r="AI115" i="17"/>
  <c r="AI116" i="17"/>
  <c r="EY158" i="19" l="1"/>
  <c r="EY169" i="19" s="1"/>
  <c r="EV159" i="19"/>
  <c r="EV170" i="19" s="1"/>
  <c r="ET156" i="19"/>
  <c r="ET167" i="19" s="1"/>
  <c r="EU156" i="19"/>
  <c r="EU167" i="19" s="1"/>
  <c r="EX158" i="19"/>
  <c r="EX169" i="19" s="1"/>
  <c r="EV62" i="19"/>
  <c r="EV73" i="19" s="1"/>
  <c r="EX112" i="19"/>
  <c r="EX123" i="19" s="1"/>
  <c r="EQ31" i="19"/>
  <c r="ES21" i="19"/>
  <c r="ES32" i="19" s="1"/>
  <c r="EQ123" i="19"/>
  <c r="ES113" i="19"/>
  <c r="ES124" i="19" s="1"/>
  <c r="EU62" i="19"/>
  <c r="EU73" i="19" s="1"/>
  <c r="ET63" i="19"/>
  <c r="ET74" i="19" s="1"/>
  <c r="ET20" i="19"/>
  <c r="ET31" i="19" s="1"/>
  <c r="EU63" i="19"/>
  <c r="EU74" i="19" s="1"/>
  <c r="EQ122" i="19"/>
  <c r="ES112" i="19"/>
  <c r="ES123" i="19" s="1"/>
  <c r="EQ30" i="19"/>
  <c r="ES20" i="19"/>
  <c r="ES31" i="19" s="1"/>
  <c r="EY112" i="19"/>
  <c r="EY123" i="19" s="1"/>
  <c r="EU110" i="19"/>
  <c r="EU121" i="19" s="1"/>
  <c r="EQ167" i="19"/>
  <c r="ES157" i="19"/>
  <c r="ES168" i="19" s="1"/>
  <c r="EU20" i="19"/>
  <c r="EU31" i="19" s="1"/>
  <c r="EV112" i="19"/>
  <c r="EV123" i="19" s="1"/>
  <c r="EQ73" i="19"/>
  <c r="ES63" i="19"/>
  <c r="ES74" i="19" s="1"/>
  <c r="EW19" i="19"/>
  <c r="EW30" i="19" s="1"/>
  <c r="ET111" i="19"/>
  <c r="ET122" i="19" s="1"/>
  <c r="ET112" i="19"/>
  <c r="ET123" i="19" s="1"/>
  <c r="EV20" i="19"/>
  <c r="EV31" i="19" s="1"/>
  <c r="EX21" i="19"/>
  <c r="EX32" i="19" s="1"/>
  <c r="AV175" i="19"/>
  <c r="EK175" i="19"/>
  <c r="AV129" i="19"/>
  <c r="EK129" i="19"/>
  <c r="AV128" i="19"/>
  <c r="EK128" i="19"/>
  <c r="AV174" i="19"/>
  <c r="EK174" i="19"/>
  <c r="EJ130" i="19"/>
  <c r="EN176" i="19"/>
  <c r="EP169" i="19"/>
  <c r="AO121" i="19"/>
  <c r="AO168" i="19"/>
  <c r="EC168" i="19"/>
  <c r="EF171" i="19"/>
  <c r="EG161" i="19"/>
  <c r="EG172" i="19" s="1"/>
  <c r="EO63" i="19"/>
  <c r="EO74" i="19" s="1"/>
  <c r="EF172" i="19"/>
  <c r="EG162" i="19"/>
  <c r="EG173" i="19" s="1"/>
  <c r="EN158" i="19"/>
  <c r="EN169" i="19" s="1"/>
  <c r="AN129" i="19"/>
  <c r="EB129" i="19"/>
  <c r="EF31" i="19"/>
  <c r="EG21" i="19"/>
  <c r="EF125" i="19"/>
  <c r="EG115" i="19"/>
  <c r="EG126" i="19" s="1"/>
  <c r="EQ159" i="19"/>
  <c r="AO172" i="19"/>
  <c r="ED172" i="19" s="1"/>
  <c r="EC172" i="19"/>
  <c r="EF32" i="19"/>
  <c r="EG22" i="19"/>
  <c r="EL63" i="19"/>
  <c r="EL74" i="19" s="1"/>
  <c r="EF170" i="19"/>
  <c r="EG160" i="19"/>
  <c r="EG171" i="19" s="1"/>
  <c r="EM20" i="19"/>
  <c r="EL30" i="19"/>
  <c r="EO155" i="19"/>
  <c r="EO166" i="19" s="1"/>
  <c r="EH115" i="19"/>
  <c r="EH126" i="19" s="1"/>
  <c r="EL62" i="19"/>
  <c r="EL73" i="19" s="1"/>
  <c r="AO72" i="19"/>
  <c r="EC72" i="19"/>
  <c r="AO77" i="19"/>
  <c r="ED77" i="19" s="1"/>
  <c r="EC77" i="19"/>
  <c r="AO174" i="19"/>
  <c r="ED174" i="19" s="1"/>
  <c r="EC174" i="19"/>
  <c r="AO176" i="19"/>
  <c r="ED176" i="19" s="1"/>
  <c r="EC176" i="19"/>
  <c r="AO127" i="19"/>
  <c r="ED127" i="19" s="1"/>
  <c r="EC127" i="19"/>
  <c r="EP63" i="19"/>
  <c r="EN29" i="19"/>
  <c r="EO19" i="19"/>
  <c r="EF126" i="19"/>
  <c r="EG116" i="19"/>
  <c r="EG127" i="19" s="1"/>
  <c r="EN63" i="19"/>
  <c r="EN74" i="19" s="1"/>
  <c r="AO124" i="19"/>
  <c r="ED124" i="19" s="1"/>
  <c r="EC124" i="19"/>
  <c r="EF121" i="19"/>
  <c r="EG111" i="19"/>
  <c r="EG122" i="19" s="1"/>
  <c r="AO130" i="19"/>
  <c r="ED130" i="19" s="1"/>
  <c r="EC130" i="19"/>
  <c r="EI115" i="19"/>
  <c r="EI126" i="19" s="1"/>
  <c r="AO125" i="19"/>
  <c r="ED125" i="19" s="1"/>
  <c r="EC125" i="19"/>
  <c r="EP157" i="19"/>
  <c r="EH65" i="19"/>
  <c r="EH76" i="19" s="1"/>
  <c r="EN110" i="19"/>
  <c r="EN121" i="19" s="1"/>
  <c r="AO128" i="19"/>
  <c r="ED128" i="19" s="1"/>
  <c r="EC128" i="19"/>
  <c r="EN20" i="19"/>
  <c r="EM30" i="19"/>
  <c r="AO122" i="19"/>
  <c r="EC122" i="19"/>
  <c r="EF169" i="19"/>
  <c r="EG159" i="19"/>
  <c r="EG170" i="19" s="1"/>
  <c r="EG157" i="19"/>
  <c r="EG168" i="19" s="1"/>
  <c r="EF167" i="19"/>
  <c r="AO126" i="19"/>
  <c r="ED126" i="19" s="1"/>
  <c r="EC126" i="19"/>
  <c r="EP62" i="19"/>
  <c r="AO73" i="19"/>
  <c r="ED73" i="19" s="1"/>
  <c r="EC73" i="19"/>
  <c r="AO76" i="19"/>
  <c r="ED76" i="19" s="1"/>
  <c r="EC76" i="19"/>
  <c r="EG158" i="19"/>
  <c r="EG169" i="19" s="1"/>
  <c r="EF168" i="19"/>
  <c r="EK109" i="19"/>
  <c r="EK120" i="19" s="1"/>
  <c r="EN30" i="19"/>
  <c r="EO20" i="19"/>
  <c r="EO158" i="19"/>
  <c r="EO169" i="19" s="1"/>
  <c r="EO112" i="19"/>
  <c r="EO123" i="19" s="1"/>
  <c r="EH66" i="19"/>
  <c r="EH77" i="19" s="1"/>
  <c r="EH113" i="19"/>
  <c r="EH124" i="19" s="1"/>
  <c r="EJ29" i="19"/>
  <c r="EK19" i="19"/>
  <c r="AV26" i="19"/>
  <c r="EK26" i="19"/>
  <c r="AI154" i="17"/>
  <c r="AF98" i="17"/>
  <c r="AE98" i="17"/>
  <c r="AD98" i="17"/>
  <c r="AC98" i="17"/>
  <c r="AB98" i="17"/>
  <c r="AA98" i="17"/>
  <c r="Z98" i="17"/>
  <c r="Y98" i="17"/>
  <c r="X98" i="17"/>
  <c r="W98" i="17"/>
  <c r="V98" i="17"/>
  <c r="U98" i="17"/>
  <c r="T98" i="17"/>
  <c r="S98" i="17"/>
  <c r="R98" i="17"/>
  <c r="Q98" i="17"/>
  <c r="P98" i="17"/>
  <c r="AF97" i="17"/>
  <c r="AE97" i="17"/>
  <c r="AD97" i="17"/>
  <c r="AC97" i="17"/>
  <c r="AB97" i="17"/>
  <c r="AA97" i="17"/>
  <c r="Z97" i="17"/>
  <c r="Y97" i="17"/>
  <c r="X97" i="17"/>
  <c r="W97" i="17"/>
  <c r="V97" i="17"/>
  <c r="U97" i="17"/>
  <c r="T97" i="17"/>
  <c r="S97" i="17"/>
  <c r="R97" i="17"/>
  <c r="Q97" i="17"/>
  <c r="P97" i="17"/>
  <c r="AF96" i="17"/>
  <c r="AE96" i="17"/>
  <c r="AD96" i="17"/>
  <c r="AC96" i="17"/>
  <c r="AB96" i="17"/>
  <c r="AA96" i="17"/>
  <c r="Z96" i="17"/>
  <c r="Y96" i="17"/>
  <c r="X96" i="17"/>
  <c r="W96" i="17"/>
  <c r="V96" i="17"/>
  <c r="U96" i="17"/>
  <c r="T96" i="17"/>
  <c r="S96" i="17"/>
  <c r="R96" i="17"/>
  <c r="Q96" i="17"/>
  <c r="P96" i="17"/>
  <c r="AF95" i="17"/>
  <c r="AE95" i="17"/>
  <c r="AD95" i="17"/>
  <c r="AC95" i="17"/>
  <c r="AB95" i="17"/>
  <c r="AA95" i="17"/>
  <c r="Z95" i="17"/>
  <c r="Y95" i="17"/>
  <c r="X95" i="17"/>
  <c r="W95" i="17"/>
  <c r="V95" i="17"/>
  <c r="U95" i="17"/>
  <c r="T95" i="17"/>
  <c r="S95" i="17"/>
  <c r="Q95" i="17"/>
  <c r="P95" i="17"/>
  <c r="AF94" i="17"/>
  <c r="AE94" i="17"/>
  <c r="AD94" i="17"/>
  <c r="AC94" i="17"/>
  <c r="AB94" i="17"/>
  <c r="AA94" i="17"/>
  <c r="Z94" i="17"/>
  <c r="Y94" i="17"/>
  <c r="X94" i="17"/>
  <c r="W94" i="17"/>
  <c r="V94" i="17"/>
  <c r="U94" i="17"/>
  <c r="T94" i="17"/>
  <c r="S94" i="17"/>
  <c r="R94" i="17"/>
  <c r="Q94" i="17"/>
  <c r="P94" i="17"/>
  <c r="AF93" i="17"/>
  <c r="AE93" i="17"/>
  <c r="AD93" i="17"/>
  <c r="AC93" i="17"/>
  <c r="AB93" i="17"/>
  <c r="AA93" i="17"/>
  <c r="Z93" i="17"/>
  <c r="Y93" i="17"/>
  <c r="X93" i="17"/>
  <c r="W93" i="17"/>
  <c r="V93" i="17"/>
  <c r="U93" i="17"/>
  <c r="T93" i="17"/>
  <c r="S93" i="17"/>
  <c r="R93" i="17"/>
  <c r="Q93" i="17"/>
  <c r="P93" i="17"/>
  <c r="AF92" i="17"/>
  <c r="AE92" i="17"/>
  <c r="AD92" i="17"/>
  <c r="AC92" i="17"/>
  <c r="AB92" i="17"/>
  <c r="AA92" i="17"/>
  <c r="Z92" i="17"/>
  <c r="Y92" i="17"/>
  <c r="X92" i="17"/>
  <c r="W92" i="17"/>
  <c r="V92" i="17"/>
  <c r="U92" i="17"/>
  <c r="T92" i="17"/>
  <c r="S92" i="17"/>
  <c r="R92" i="17"/>
  <c r="Q92" i="17"/>
  <c r="P92" i="17"/>
  <c r="AF91" i="17"/>
  <c r="AE91" i="17"/>
  <c r="AD91" i="17"/>
  <c r="AC91" i="17"/>
  <c r="AB91" i="17"/>
  <c r="AA91" i="17"/>
  <c r="Z91" i="17"/>
  <c r="Y91" i="17"/>
  <c r="X91" i="17"/>
  <c r="W91" i="17"/>
  <c r="V91" i="17"/>
  <c r="U91" i="17"/>
  <c r="T91" i="17"/>
  <c r="S91" i="17"/>
  <c r="R91" i="17"/>
  <c r="Q91" i="17"/>
  <c r="P91" i="17"/>
  <c r="AF90" i="17"/>
  <c r="AE90" i="17"/>
  <c r="AD90" i="17"/>
  <c r="AC90" i="17"/>
  <c r="AB90" i="17"/>
  <c r="AA90" i="17"/>
  <c r="Z90" i="17"/>
  <c r="Y90" i="17"/>
  <c r="X90" i="17"/>
  <c r="W90" i="17"/>
  <c r="V90" i="17"/>
  <c r="U90" i="17"/>
  <c r="T90" i="17"/>
  <c r="S90" i="17"/>
  <c r="R90" i="17"/>
  <c r="Q90" i="17"/>
  <c r="P90" i="17"/>
  <c r="AF89" i="17"/>
  <c r="AE89" i="17"/>
  <c r="AD89" i="17"/>
  <c r="AC89" i="17"/>
  <c r="AB89" i="17"/>
  <c r="AA89" i="17"/>
  <c r="Z89" i="17"/>
  <c r="Y89" i="17"/>
  <c r="X89" i="17"/>
  <c r="W89" i="17"/>
  <c r="V89" i="17"/>
  <c r="U89" i="17"/>
  <c r="T89" i="17"/>
  <c r="S89" i="17"/>
  <c r="R89" i="17"/>
  <c r="Q89" i="17"/>
  <c r="P89" i="17"/>
  <c r="AF88" i="17"/>
  <c r="AE88" i="17"/>
  <c r="AD88" i="17"/>
  <c r="AC88" i="17"/>
  <c r="AB88" i="17"/>
  <c r="AA88" i="17"/>
  <c r="Z88" i="17"/>
  <c r="Y88" i="17"/>
  <c r="X88" i="17"/>
  <c r="W88" i="17"/>
  <c r="V88" i="17"/>
  <c r="U88" i="17"/>
  <c r="T88" i="17"/>
  <c r="S88" i="17"/>
  <c r="R88" i="17"/>
  <c r="Q88" i="17"/>
  <c r="P88" i="17"/>
  <c r="AF87" i="17"/>
  <c r="AF154" i="17" s="1"/>
  <c r="AE87" i="17"/>
  <c r="AD87" i="17"/>
  <c r="AC87" i="17"/>
  <c r="AB87" i="17"/>
  <c r="AA87" i="17"/>
  <c r="Z87" i="17"/>
  <c r="Y87" i="17"/>
  <c r="X87" i="17"/>
  <c r="W87" i="17"/>
  <c r="V87" i="17"/>
  <c r="U87" i="17"/>
  <c r="T87" i="17"/>
  <c r="S87" i="17"/>
  <c r="R87" i="17"/>
  <c r="Q87" i="17"/>
  <c r="P87" i="17"/>
  <c r="AE86" i="17"/>
  <c r="AD86" i="17"/>
  <c r="AC86" i="17"/>
  <c r="AB86" i="17"/>
  <c r="AA86" i="17"/>
  <c r="Z86" i="17"/>
  <c r="Y86" i="17"/>
  <c r="X86" i="17"/>
  <c r="W86" i="17"/>
  <c r="V86" i="17"/>
  <c r="U86" i="17"/>
  <c r="T86" i="17"/>
  <c r="S86" i="17"/>
  <c r="R86" i="17"/>
  <c r="Q86" i="17"/>
  <c r="P86" i="17"/>
  <c r="AE85" i="17"/>
  <c r="AD85" i="17"/>
  <c r="AC85" i="17"/>
  <c r="AB85" i="17"/>
  <c r="AA85" i="17"/>
  <c r="Z85" i="17"/>
  <c r="Y85" i="17"/>
  <c r="X85" i="17"/>
  <c r="W85" i="17"/>
  <c r="V85" i="17"/>
  <c r="U85" i="17"/>
  <c r="T85" i="17"/>
  <c r="S85" i="17"/>
  <c r="R85" i="17"/>
  <c r="Q85" i="17"/>
  <c r="P85" i="17"/>
  <c r="AE84" i="17"/>
  <c r="AD84" i="17"/>
  <c r="AC84" i="17"/>
  <c r="AB84" i="17"/>
  <c r="AA84" i="17"/>
  <c r="Z84" i="17"/>
  <c r="Y84" i="17"/>
  <c r="X84" i="17"/>
  <c r="W84" i="17"/>
  <c r="V84" i="17"/>
  <c r="U84" i="17"/>
  <c r="T84" i="17"/>
  <c r="S84" i="17"/>
  <c r="R84" i="17"/>
  <c r="Q84" i="17"/>
  <c r="P84" i="17"/>
  <c r="AE83" i="17"/>
  <c r="AD83" i="17"/>
  <c r="AC83" i="17"/>
  <c r="AB83" i="17"/>
  <c r="AA83" i="17"/>
  <c r="Z83" i="17"/>
  <c r="Y83" i="17"/>
  <c r="X83" i="17"/>
  <c r="W83" i="17"/>
  <c r="V83" i="17"/>
  <c r="U83" i="17"/>
  <c r="T83" i="17"/>
  <c r="S83" i="17"/>
  <c r="R83" i="17"/>
  <c r="Q83" i="17"/>
  <c r="P83" i="17"/>
  <c r="AE82" i="17"/>
  <c r="AD82" i="17"/>
  <c r="AC82" i="17"/>
  <c r="AB82" i="17"/>
  <c r="AA82" i="17"/>
  <c r="Z82" i="17"/>
  <c r="Y82" i="17"/>
  <c r="X82" i="17"/>
  <c r="W82" i="17"/>
  <c r="V82" i="17"/>
  <c r="U82" i="17"/>
  <c r="T82" i="17"/>
  <c r="S82" i="17"/>
  <c r="R82" i="17"/>
  <c r="Q82" i="17"/>
  <c r="P82" i="17"/>
  <c r="AE81" i="17"/>
  <c r="AD81" i="17"/>
  <c r="AC81" i="17"/>
  <c r="AB81" i="17"/>
  <c r="AA81" i="17"/>
  <c r="Z81" i="17"/>
  <c r="Y81" i="17"/>
  <c r="X81" i="17"/>
  <c r="W81" i="17"/>
  <c r="V81" i="17"/>
  <c r="U81" i="17"/>
  <c r="T81" i="17"/>
  <c r="S81" i="17"/>
  <c r="R81" i="17"/>
  <c r="Q81" i="17"/>
  <c r="P81" i="17"/>
  <c r="AE80" i="17"/>
  <c r="AD80" i="17"/>
  <c r="AC80" i="17"/>
  <c r="AB80" i="17"/>
  <c r="AA80" i="17"/>
  <c r="Z80" i="17"/>
  <c r="Y80" i="17"/>
  <c r="X80" i="17"/>
  <c r="W80" i="17"/>
  <c r="V80" i="17"/>
  <c r="U80" i="17"/>
  <c r="T80" i="17"/>
  <c r="S80" i="17"/>
  <c r="R80" i="17"/>
  <c r="Q80" i="17"/>
  <c r="P80" i="17"/>
  <c r="AE79" i="17"/>
  <c r="AD79" i="17"/>
  <c r="AC79" i="17"/>
  <c r="AB79" i="17"/>
  <c r="AA79" i="17"/>
  <c r="Z79" i="17"/>
  <c r="Y79" i="17"/>
  <c r="X79" i="17"/>
  <c r="W79" i="17"/>
  <c r="V79" i="17"/>
  <c r="U79" i="17"/>
  <c r="T79" i="17"/>
  <c r="S79" i="17"/>
  <c r="R79" i="17"/>
  <c r="Q79" i="17"/>
  <c r="P79" i="17"/>
  <c r="AE78" i="17"/>
  <c r="AD78" i="17"/>
  <c r="AC78" i="17"/>
  <c r="AB78" i="17"/>
  <c r="AA78" i="17"/>
  <c r="Z78" i="17"/>
  <c r="Y78" i="17"/>
  <c r="X78" i="17"/>
  <c r="W78" i="17"/>
  <c r="V78" i="17"/>
  <c r="U78" i="17"/>
  <c r="T78" i="17"/>
  <c r="S78" i="17"/>
  <c r="R78" i="17"/>
  <c r="Q78" i="17"/>
  <c r="P78" i="17"/>
  <c r="AE77" i="17"/>
  <c r="AD77" i="17"/>
  <c r="AC77" i="17"/>
  <c r="AB77" i="17"/>
  <c r="AA77" i="17"/>
  <c r="Z77" i="17"/>
  <c r="Y77" i="17"/>
  <c r="X77" i="17"/>
  <c r="W77" i="17"/>
  <c r="V77" i="17"/>
  <c r="U77" i="17"/>
  <c r="T77" i="17"/>
  <c r="S77" i="17"/>
  <c r="R77" i="17"/>
  <c r="Q77" i="17"/>
  <c r="P77" i="17"/>
  <c r="AE76" i="17"/>
  <c r="AD76" i="17"/>
  <c r="AC76" i="17"/>
  <c r="AB76" i="17"/>
  <c r="AA76" i="17"/>
  <c r="Z76" i="17"/>
  <c r="Y76" i="17"/>
  <c r="X76" i="17"/>
  <c r="W76" i="17"/>
  <c r="V76" i="17"/>
  <c r="U76" i="17"/>
  <c r="T76" i="17"/>
  <c r="S76" i="17"/>
  <c r="R76" i="17"/>
  <c r="Q76" i="17"/>
  <c r="P76" i="17"/>
  <c r="AE75" i="17"/>
  <c r="AD75" i="17"/>
  <c r="AC75" i="17"/>
  <c r="AB75" i="17"/>
  <c r="AA75" i="17"/>
  <c r="Z75" i="17"/>
  <c r="Y75" i="17"/>
  <c r="X75" i="17"/>
  <c r="W75" i="17"/>
  <c r="V75" i="17"/>
  <c r="U75" i="17"/>
  <c r="T75" i="17"/>
  <c r="S75" i="17"/>
  <c r="R75" i="17"/>
  <c r="Q75" i="17"/>
  <c r="P75" i="17"/>
  <c r="AD74" i="17"/>
  <c r="AC74" i="17"/>
  <c r="AB74" i="17"/>
  <c r="AA74" i="17"/>
  <c r="Z74" i="17"/>
  <c r="Y74" i="17"/>
  <c r="X74" i="17"/>
  <c r="W74" i="17"/>
  <c r="V74" i="17"/>
  <c r="U74" i="17"/>
  <c r="T74" i="17"/>
  <c r="S74" i="17"/>
  <c r="R74" i="17"/>
  <c r="Q74" i="17"/>
  <c r="P74" i="17"/>
  <c r="AD73" i="17"/>
  <c r="AC73" i="17"/>
  <c r="AB73" i="17"/>
  <c r="AA73" i="17"/>
  <c r="Z73" i="17"/>
  <c r="Y73" i="17"/>
  <c r="X73" i="17"/>
  <c r="W73" i="17"/>
  <c r="V73" i="17"/>
  <c r="U73" i="17"/>
  <c r="T73" i="17"/>
  <c r="S73" i="17"/>
  <c r="R73" i="17"/>
  <c r="Q73" i="17"/>
  <c r="P73" i="17"/>
  <c r="AD72" i="17"/>
  <c r="AC72" i="17"/>
  <c r="AB72" i="17"/>
  <c r="AA72" i="17"/>
  <c r="Z72" i="17"/>
  <c r="Y72" i="17"/>
  <c r="X72" i="17"/>
  <c r="W72" i="17"/>
  <c r="V72" i="17"/>
  <c r="U72" i="17"/>
  <c r="T72" i="17"/>
  <c r="S72" i="17"/>
  <c r="R72" i="17"/>
  <c r="Q72" i="17"/>
  <c r="P72" i="17"/>
  <c r="AD71" i="17"/>
  <c r="AC71" i="17"/>
  <c r="AB71" i="17"/>
  <c r="AA71" i="17"/>
  <c r="Z71" i="17"/>
  <c r="Y71" i="17"/>
  <c r="X71" i="17"/>
  <c r="W71" i="17"/>
  <c r="V71" i="17"/>
  <c r="U71" i="17"/>
  <c r="T71" i="17"/>
  <c r="S71" i="17"/>
  <c r="R71" i="17"/>
  <c r="Q71" i="17"/>
  <c r="P71" i="17"/>
  <c r="AD70" i="17"/>
  <c r="AC70" i="17"/>
  <c r="AB70" i="17"/>
  <c r="AA70" i="17"/>
  <c r="Z70" i="17"/>
  <c r="Y70" i="17"/>
  <c r="X70" i="17"/>
  <c r="W70" i="17"/>
  <c r="V70" i="17"/>
  <c r="U70" i="17"/>
  <c r="T70" i="17"/>
  <c r="S70" i="17"/>
  <c r="R70" i="17"/>
  <c r="Q70" i="17"/>
  <c r="P70" i="17"/>
  <c r="AD69" i="17"/>
  <c r="AC69" i="17"/>
  <c r="AB69" i="17"/>
  <c r="AA69" i="17"/>
  <c r="Z69" i="17"/>
  <c r="Y69" i="17"/>
  <c r="X69" i="17"/>
  <c r="W69" i="17"/>
  <c r="V69" i="17"/>
  <c r="U69" i="17"/>
  <c r="T69" i="17"/>
  <c r="S69" i="17"/>
  <c r="R69" i="17"/>
  <c r="Q69" i="17"/>
  <c r="P69" i="17"/>
  <c r="AD68" i="17"/>
  <c r="AC68" i="17"/>
  <c r="AB68" i="17"/>
  <c r="AA68" i="17"/>
  <c r="Z68" i="17"/>
  <c r="Y68" i="17"/>
  <c r="X68" i="17"/>
  <c r="W68" i="17"/>
  <c r="V68" i="17"/>
  <c r="U68" i="17"/>
  <c r="T68" i="17"/>
  <c r="S68" i="17"/>
  <c r="R68" i="17"/>
  <c r="Q68" i="17"/>
  <c r="P68" i="17"/>
  <c r="AD67" i="17"/>
  <c r="AC67" i="17"/>
  <c r="AB67" i="17"/>
  <c r="AA67" i="17"/>
  <c r="Z67" i="17"/>
  <c r="Y67" i="17"/>
  <c r="X67" i="17"/>
  <c r="W67" i="17"/>
  <c r="V67" i="17"/>
  <c r="U67" i="17"/>
  <c r="T67" i="17"/>
  <c r="S67" i="17"/>
  <c r="R67" i="17"/>
  <c r="Q67" i="17"/>
  <c r="P67" i="17"/>
  <c r="AC66" i="17"/>
  <c r="AB66" i="17"/>
  <c r="AA66" i="17"/>
  <c r="Z66" i="17"/>
  <c r="Y66" i="17"/>
  <c r="X66" i="17"/>
  <c r="W66" i="17"/>
  <c r="V66" i="17"/>
  <c r="U66" i="17"/>
  <c r="T66" i="17"/>
  <c r="S66" i="17"/>
  <c r="R66" i="17"/>
  <c r="Q66" i="17"/>
  <c r="P66" i="17"/>
  <c r="AC65" i="17"/>
  <c r="AB65" i="17"/>
  <c r="AA65" i="17"/>
  <c r="Z65" i="17"/>
  <c r="Y65" i="17"/>
  <c r="X65" i="17"/>
  <c r="W65" i="17"/>
  <c r="V65" i="17"/>
  <c r="U65" i="17"/>
  <c r="T65" i="17"/>
  <c r="S65" i="17"/>
  <c r="R65" i="17"/>
  <c r="Q65" i="17"/>
  <c r="P65" i="17"/>
  <c r="AC64" i="17"/>
  <c r="AB64" i="17"/>
  <c r="AA64" i="17"/>
  <c r="Z64" i="17"/>
  <c r="Y64" i="17"/>
  <c r="X64" i="17"/>
  <c r="W64" i="17"/>
  <c r="V64" i="17"/>
  <c r="U64" i="17"/>
  <c r="T64" i="17"/>
  <c r="S64" i="17"/>
  <c r="R64" i="17"/>
  <c r="Q64" i="17"/>
  <c r="P64" i="17"/>
  <c r="AC63" i="17"/>
  <c r="AB63" i="17"/>
  <c r="AA63" i="17"/>
  <c r="Z63" i="17"/>
  <c r="Y63" i="17"/>
  <c r="X63" i="17"/>
  <c r="W63" i="17"/>
  <c r="V63" i="17"/>
  <c r="U63" i="17"/>
  <c r="T63" i="17"/>
  <c r="S63" i="17"/>
  <c r="R63" i="17"/>
  <c r="Q63" i="17"/>
  <c r="P63" i="17"/>
  <c r="AC62" i="17"/>
  <c r="AB62" i="17"/>
  <c r="AA62" i="17"/>
  <c r="Z62" i="17"/>
  <c r="Y62" i="17"/>
  <c r="X62" i="17"/>
  <c r="W62" i="17"/>
  <c r="V62" i="17"/>
  <c r="U62" i="17"/>
  <c r="T62" i="17"/>
  <c r="S62" i="17"/>
  <c r="R62" i="17"/>
  <c r="Q62" i="17"/>
  <c r="P62" i="17"/>
  <c r="AC61" i="17"/>
  <c r="AB61" i="17"/>
  <c r="AA61" i="17"/>
  <c r="Z61" i="17"/>
  <c r="Y61" i="17"/>
  <c r="X61" i="17"/>
  <c r="W61" i="17"/>
  <c r="V61" i="17"/>
  <c r="U61" i="17"/>
  <c r="T61" i="17"/>
  <c r="S61" i="17"/>
  <c r="R61" i="17"/>
  <c r="Q61" i="17"/>
  <c r="P61" i="17"/>
  <c r="AC60" i="17"/>
  <c r="AB60" i="17"/>
  <c r="AA60" i="17"/>
  <c r="Z60" i="17"/>
  <c r="Y60" i="17"/>
  <c r="X60" i="17"/>
  <c r="W60" i="17"/>
  <c r="V60" i="17"/>
  <c r="U60" i="17"/>
  <c r="T60" i="17"/>
  <c r="S60" i="17"/>
  <c r="R60" i="17"/>
  <c r="Q60" i="17"/>
  <c r="P60" i="17"/>
  <c r="AC59" i="17"/>
  <c r="AB59" i="17"/>
  <c r="AA59" i="17"/>
  <c r="Z59" i="17"/>
  <c r="Y59" i="17"/>
  <c r="X59" i="17"/>
  <c r="W59" i="17"/>
  <c r="V59" i="17"/>
  <c r="U59" i="17"/>
  <c r="T59" i="17"/>
  <c r="S59" i="17"/>
  <c r="R59" i="17"/>
  <c r="Q59" i="17"/>
  <c r="P59" i="17"/>
  <c r="AC58" i="17"/>
  <c r="AB58" i="17"/>
  <c r="AA58" i="17"/>
  <c r="Z58" i="17"/>
  <c r="Y58" i="17"/>
  <c r="X58" i="17"/>
  <c r="W58" i="17"/>
  <c r="V58" i="17"/>
  <c r="U58" i="17"/>
  <c r="T58" i="17"/>
  <c r="S58" i="17"/>
  <c r="R58" i="17"/>
  <c r="Q58" i="17"/>
  <c r="P58" i="17"/>
  <c r="AC57" i="17"/>
  <c r="AB57" i="17"/>
  <c r="AA57" i="17"/>
  <c r="Z57" i="17"/>
  <c r="Y57" i="17"/>
  <c r="X57" i="17"/>
  <c r="W57" i="17"/>
  <c r="V57" i="17"/>
  <c r="U57" i="17"/>
  <c r="T57" i="17"/>
  <c r="S57" i="17"/>
  <c r="R57" i="17"/>
  <c r="Q57" i="17"/>
  <c r="P57" i="17"/>
  <c r="AB56" i="17"/>
  <c r="AA56" i="17"/>
  <c r="Z56" i="17"/>
  <c r="Y56" i="17"/>
  <c r="X56" i="17"/>
  <c r="W56" i="17"/>
  <c r="V56" i="17"/>
  <c r="U56" i="17"/>
  <c r="T56" i="17"/>
  <c r="S56" i="17"/>
  <c r="R56" i="17"/>
  <c r="Q56" i="17"/>
  <c r="P56" i="17"/>
  <c r="AB55" i="17"/>
  <c r="AA55" i="17"/>
  <c r="Z55" i="17"/>
  <c r="Y55" i="17"/>
  <c r="X55" i="17"/>
  <c r="W55" i="17"/>
  <c r="V55" i="17"/>
  <c r="U55" i="17"/>
  <c r="T55" i="17"/>
  <c r="S55" i="17"/>
  <c r="R55" i="17"/>
  <c r="Q55" i="17"/>
  <c r="P55" i="17"/>
  <c r="AA54" i="17"/>
  <c r="Z54" i="17"/>
  <c r="Y54" i="17"/>
  <c r="X54" i="17"/>
  <c r="W54" i="17"/>
  <c r="V54" i="17"/>
  <c r="U54" i="17"/>
  <c r="T54" i="17"/>
  <c r="S54" i="17"/>
  <c r="R54" i="17"/>
  <c r="Q54" i="17"/>
  <c r="P54" i="17"/>
  <c r="AA53" i="17"/>
  <c r="Z53" i="17"/>
  <c r="Y53" i="17"/>
  <c r="X53" i="17"/>
  <c r="W53" i="17"/>
  <c r="V53" i="17"/>
  <c r="U53" i="17"/>
  <c r="T53" i="17"/>
  <c r="S53" i="17"/>
  <c r="R53" i="17"/>
  <c r="Q53" i="17"/>
  <c r="P53" i="17"/>
  <c r="AA52" i="17"/>
  <c r="Z52" i="17"/>
  <c r="Y52" i="17"/>
  <c r="X52" i="17"/>
  <c r="W52" i="17"/>
  <c r="V52" i="17"/>
  <c r="U52" i="17"/>
  <c r="T52" i="17"/>
  <c r="S52" i="17"/>
  <c r="R52" i="17"/>
  <c r="Q52" i="17"/>
  <c r="P52" i="17"/>
  <c r="AA51" i="17"/>
  <c r="Z51" i="17"/>
  <c r="Y51" i="17"/>
  <c r="X51" i="17"/>
  <c r="W51" i="17"/>
  <c r="V51" i="17"/>
  <c r="U51" i="17"/>
  <c r="T51" i="17"/>
  <c r="S51" i="17"/>
  <c r="R51" i="17"/>
  <c r="Q51" i="17"/>
  <c r="P51" i="17"/>
  <c r="AA50" i="17"/>
  <c r="Z50" i="17"/>
  <c r="Y50" i="17"/>
  <c r="X50" i="17"/>
  <c r="W50" i="17"/>
  <c r="V50" i="17"/>
  <c r="U50" i="17"/>
  <c r="T50" i="17"/>
  <c r="S50" i="17"/>
  <c r="R50" i="17"/>
  <c r="Q50" i="17"/>
  <c r="P50" i="17"/>
  <c r="AA49" i="17"/>
  <c r="Z49" i="17"/>
  <c r="Y49" i="17"/>
  <c r="X49" i="17"/>
  <c r="W49" i="17"/>
  <c r="V49" i="17"/>
  <c r="U49" i="17"/>
  <c r="T49" i="17"/>
  <c r="S49" i="17"/>
  <c r="R49" i="17"/>
  <c r="Q49" i="17"/>
  <c r="P49" i="17"/>
  <c r="AA48" i="17"/>
  <c r="Z48" i="17"/>
  <c r="Y48" i="17"/>
  <c r="X48" i="17"/>
  <c r="W48" i="17"/>
  <c r="V48" i="17"/>
  <c r="U48" i="17"/>
  <c r="T48" i="17"/>
  <c r="S48" i="17"/>
  <c r="R48" i="17"/>
  <c r="Q48" i="17"/>
  <c r="P48" i="17"/>
  <c r="AA47" i="17"/>
  <c r="Z47" i="17"/>
  <c r="Y47" i="17"/>
  <c r="X47" i="17"/>
  <c r="W47" i="17"/>
  <c r="V47" i="17"/>
  <c r="U47" i="17"/>
  <c r="T47" i="17"/>
  <c r="S47" i="17"/>
  <c r="R47" i="17"/>
  <c r="Q47" i="17"/>
  <c r="P47" i="17"/>
  <c r="AA46" i="17"/>
  <c r="Z46" i="17"/>
  <c r="Y46" i="17"/>
  <c r="X46" i="17"/>
  <c r="W46" i="17"/>
  <c r="V46" i="17"/>
  <c r="U46" i="17"/>
  <c r="T46" i="17"/>
  <c r="S46" i="17"/>
  <c r="R46" i="17"/>
  <c r="Q46" i="17"/>
  <c r="P46" i="17"/>
  <c r="AA45" i="17"/>
  <c r="Z45" i="17"/>
  <c r="Y45" i="17"/>
  <c r="X45" i="17"/>
  <c r="W45" i="17"/>
  <c r="V45" i="17"/>
  <c r="U45" i="17"/>
  <c r="T45" i="17"/>
  <c r="S45" i="17"/>
  <c r="R45" i="17"/>
  <c r="Q45" i="17"/>
  <c r="P45" i="17"/>
  <c r="AA44" i="17"/>
  <c r="Z44" i="17"/>
  <c r="Y44" i="17"/>
  <c r="X44" i="17"/>
  <c r="W44" i="17"/>
  <c r="V44" i="17"/>
  <c r="U44" i="17"/>
  <c r="T44" i="17"/>
  <c r="S44" i="17"/>
  <c r="R44" i="17"/>
  <c r="Q44" i="17"/>
  <c r="P44" i="17"/>
  <c r="Z43" i="17"/>
  <c r="Y43" i="17"/>
  <c r="X43" i="17"/>
  <c r="W43" i="17"/>
  <c r="V43" i="17"/>
  <c r="U43" i="17"/>
  <c r="T43" i="17"/>
  <c r="S43" i="17"/>
  <c r="R43" i="17"/>
  <c r="Q43" i="17"/>
  <c r="P43" i="17"/>
  <c r="Y42" i="17"/>
  <c r="X42" i="17"/>
  <c r="W42" i="17"/>
  <c r="V42" i="17"/>
  <c r="U42" i="17"/>
  <c r="T42" i="17"/>
  <c r="S42" i="17"/>
  <c r="R42" i="17"/>
  <c r="Q42" i="17"/>
  <c r="P42" i="17"/>
  <c r="Y41" i="17"/>
  <c r="X41" i="17"/>
  <c r="W41" i="17"/>
  <c r="V41" i="17"/>
  <c r="U41" i="17"/>
  <c r="T41" i="17"/>
  <c r="S41" i="17"/>
  <c r="R41" i="17"/>
  <c r="Q41" i="17"/>
  <c r="P41" i="17"/>
  <c r="Y40" i="17"/>
  <c r="X40" i="17"/>
  <c r="W40" i="17"/>
  <c r="V40" i="17"/>
  <c r="U40" i="17"/>
  <c r="T40" i="17"/>
  <c r="S40" i="17"/>
  <c r="R40" i="17"/>
  <c r="Q40" i="17"/>
  <c r="P40" i="17"/>
  <c r="Y39" i="17"/>
  <c r="X39" i="17"/>
  <c r="W39" i="17"/>
  <c r="V39" i="17"/>
  <c r="U39" i="17"/>
  <c r="T39" i="17"/>
  <c r="S39" i="17"/>
  <c r="R39" i="17"/>
  <c r="Q39" i="17"/>
  <c r="P39" i="17"/>
  <c r="X38" i="17"/>
  <c r="W38" i="17"/>
  <c r="V38" i="17"/>
  <c r="U38" i="17"/>
  <c r="T38" i="17"/>
  <c r="S38" i="17"/>
  <c r="R38" i="17"/>
  <c r="Q38" i="17"/>
  <c r="P38" i="17"/>
  <c r="X37" i="17"/>
  <c r="W37" i="17"/>
  <c r="V37" i="17"/>
  <c r="U37" i="17"/>
  <c r="T37" i="17"/>
  <c r="S37" i="17"/>
  <c r="R37" i="17"/>
  <c r="Q37" i="17"/>
  <c r="P37" i="17"/>
  <c r="W36" i="17"/>
  <c r="V36" i="17"/>
  <c r="U36" i="17"/>
  <c r="T36" i="17"/>
  <c r="S36" i="17"/>
  <c r="R36" i="17"/>
  <c r="Q36" i="17"/>
  <c r="P36" i="17"/>
  <c r="W35" i="17"/>
  <c r="V35" i="17"/>
  <c r="U35" i="17"/>
  <c r="T35" i="17"/>
  <c r="S35" i="17"/>
  <c r="R35" i="17"/>
  <c r="Q35" i="17"/>
  <c r="P35" i="17"/>
  <c r="W34" i="17"/>
  <c r="V34" i="17"/>
  <c r="U34" i="17"/>
  <c r="T34" i="17"/>
  <c r="S34" i="17"/>
  <c r="R34" i="17"/>
  <c r="Q34" i="17"/>
  <c r="P34" i="17"/>
  <c r="W33" i="17"/>
  <c r="V33" i="17"/>
  <c r="U33" i="17"/>
  <c r="T33" i="17"/>
  <c r="S33" i="17"/>
  <c r="R33" i="17"/>
  <c r="Q33" i="17"/>
  <c r="P33" i="17"/>
  <c r="W32" i="17"/>
  <c r="V32" i="17"/>
  <c r="U32" i="17"/>
  <c r="T32" i="17"/>
  <c r="S32" i="17"/>
  <c r="R32" i="17"/>
  <c r="Q32" i="17"/>
  <c r="P32" i="17"/>
  <c r="W31" i="17"/>
  <c r="V31" i="17"/>
  <c r="U31" i="17"/>
  <c r="T31" i="17"/>
  <c r="S31" i="17"/>
  <c r="R31" i="17"/>
  <c r="Q31" i="17"/>
  <c r="P31" i="17"/>
  <c r="W30" i="17"/>
  <c r="V30" i="17"/>
  <c r="U30" i="17"/>
  <c r="T30" i="17"/>
  <c r="S30" i="17"/>
  <c r="R30" i="17"/>
  <c r="Q30" i="17"/>
  <c r="P30" i="17"/>
  <c r="W29" i="17"/>
  <c r="V29" i="17"/>
  <c r="U29" i="17"/>
  <c r="T29" i="17"/>
  <c r="S29" i="17"/>
  <c r="R29" i="17"/>
  <c r="Q29" i="17"/>
  <c r="P29" i="17"/>
  <c r="W28" i="17"/>
  <c r="V28" i="17"/>
  <c r="U28" i="17"/>
  <c r="T28" i="17"/>
  <c r="S28" i="17"/>
  <c r="R28" i="17"/>
  <c r="Q28" i="17"/>
  <c r="P28" i="17"/>
  <c r="V27" i="17"/>
  <c r="U27" i="17"/>
  <c r="T27" i="17"/>
  <c r="S27" i="17"/>
  <c r="R27" i="17"/>
  <c r="Q27" i="17"/>
  <c r="P27" i="17"/>
  <c r="V26" i="17"/>
  <c r="U26" i="17"/>
  <c r="T26" i="17"/>
  <c r="S26" i="17"/>
  <c r="R26" i="17"/>
  <c r="Q26" i="17"/>
  <c r="P26" i="17"/>
  <c r="V25" i="17"/>
  <c r="U25" i="17"/>
  <c r="T25" i="17"/>
  <c r="S25" i="17"/>
  <c r="R25" i="17"/>
  <c r="Q25" i="17"/>
  <c r="P25" i="17"/>
  <c r="V24" i="17"/>
  <c r="U24" i="17"/>
  <c r="T24" i="17"/>
  <c r="S24" i="17"/>
  <c r="R24" i="17"/>
  <c r="Q24" i="17"/>
  <c r="P24" i="17"/>
  <c r="V23" i="17"/>
  <c r="U23" i="17"/>
  <c r="T23" i="17"/>
  <c r="S23" i="17"/>
  <c r="R23" i="17"/>
  <c r="Q23" i="17"/>
  <c r="P23" i="17"/>
  <c r="V22" i="17"/>
  <c r="U22" i="17"/>
  <c r="T22" i="17"/>
  <c r="S22" i="17"/>
  <c r="R22" i="17"/>
  <c r="Q22" i="17"/>
  <c r="P22" i="17"/>
  <c r="V21" i="17"/>
  <c r="U21" i="17"/>
  <c r="T21" i="17"/>
  <c r="S21" i="17"/>
  <c r="R21" i="17"/>
  <c r="Q21" i="17"/>
  <c r="P21" i="17"/>
  <c r="V20" i="17"/>
  <c r="V154" i="17" s="1"/>
  <c r="U20" i="17"/>
  <c r="T20" i="17"/>
  <c r="S20" i="17"/>
  <c r="R20" i="17"/>
  <c r="Q20" i="17"/>
  <c r="P20" i="17"/>
  <c r="U19" i="17"/>
  <c r="T19" i="17"/>
  <c r="S19" i="17"/>
  <c r="R19" i="17"/>
  <c r="Q19" i="17"/>
  <c r="P19" i="17"/>
  <c r="U18" i="17"/>
  <c r="T18" i="17"/>
  <c r="S18" i="17"/>
  <c r="R18" i="17"/>
  <c r="Q18" i="17"/>
  <c r="P18" i="17"/>
  <c r="U17" i="17"/>
  <c r="T17" i="17"/>
  <c r="S17" i="17"/>
  <c r="R17" i="17"/>
  <c r="Q17" i="17"/>
  <c r="P17" i="17"/>
  <c r="U16" i="17"/>
  <c r="T16" i="17"/>
  <c r="S16" i="17"/>
  <c r="R16" i="17"/>
  <c r="Q16" i="17"/>
  <c r="P16" i="17"/>
  <c r="T15" i="17"/>
  <c r="S15" i="17"/>
  <c r="R15" i="17"/>
  <c r="Q15" i="17"/>
  <c r="P15" i="17"/>
  <c r="T14" i="17"/>
  <c r="S14" i="17"/>
  <c r="R14" i="17"/>
  <c r="Q14" i="17"/>
  <c r="P14" i="17"/>
  <c r="T13" i="17"/>
  <c r="S13" i="17"/>
  <c r="R13" i="17"/>
  <c r="Q13" i="17"/>
  <c r="P13" i="17"/>
  <c r="S12" i="17"/>
  <c r="R12" i="17"/>
  <c r="Q12" i="17"/>
  <c r="P12" i="17"/>
  <c r="S11" i="17"/>
  <c r="R11" i="17"/>
  <c r="Q11" i="17"/>
  <c r="P11" i="17"/>
  <c r="S10" i="17"/>
  <c r="R10" i="17"/>
  <c r="Q10" i="17"/>
  <c r="P10" i="17"/>
  <c r="S9" i="17"/>
  <c r="R9" i="17"/>
  <c r="Q9" i="17"/>
  <c r="P9" i="17"/>
  <c r="S8" i="17"/>
  <c r="R8" i="17"/>
  <c r="Q8" i="17"/>
  <c r="P8" i="17"/>
  <c r="R7" i="17"/>
  <c r="Q7" i="17"/>
  <c r="P7" i="17"/>
  <c r="Q6" i="17"/>
  <c r="P6" i="17"/>
  <c r="Q5" i="17"/>
  <c r="P5" i="17"/>
  <c r="Q4" i="17"/>
  <c r="P4" i="17"/>
  <c r="P3" i="17"/>
  <c r="P2" i="17"/>
  <c r="P154" i="17" s="1"/>
  <c r="EW21" i="19" l="1"/>
  <c r="EW32" i="19" s="1"/>
  <c r="EU112" i="19"/>
  <c r="EU123" i="19" s="1"/>
  <c r="ET64" i="19"/>
  <c r="ET75" i="19" s="1"/>
  <c r="ET158" i="19"/>
  <c r="ET169" i="19" s="1"/>
  <c r="ET113" i="19"/>
  <c r="ET124" i="19" s="1"/>
  <c r="EX20" i="19"/>
  <c r="EX31" i="19" s="1"/>
  <c r="EV21" i="19"/>
  <c r="EV32" i="19" s="1"/>
  <c r="EV64" i="19"/>
  <c r="EV75" i="19" s="1"/>
  <c r="EV63" i="19"/>
  <c r="EV74" i="19" s="1"/>
  <c r="ET22" i="19"/>
  <c r="ET33" i="19" s="1"/>
  <c r="EW63" i="19"/>
  <c r="EW74" i="19" s="1"/>
  <c r="EV157" i="19"/>
  <c r="EV168" i="19" s="1"/>
  <c r="EW160" i="19"/>
  <c r="EW171" i="19" s="1"/>
  <c r="EZ113" i="19"/>
  <c r="EZ124" i="19" s="1"/>
  <c r="EU64" i="19"/>
  <c r="EU75" i="19" s="1"/>
  <c r="EQ170" i="19"/>
  <c r="ES160" i="19"/>
  <c r="ES171" i="19" s="1"/>
  <c r="EY22" i="19"/>
  <c r="EY33" i="19" s="1"/>
  <c r="EW113" i="19"/>
  <c r="EW124" i="19" s="1"/>
  <c r="EU21" i="19"/>
  <c r="EU32" i="19" s="1"/>
  <c r="ET114" i="19"/>
  <c r="ET125" i="19" s="1"/>
  <c r="EY113" i="19"/>
  <c r="EY124" i="19" s="1"/>
  <c r="EZ159" i="19"/>
  <c r="EZ170" i="19" s="1"/>
  <c r="EU113" i="19"/>
  <c r="EU124" i="19" s="1"/>
  <c r="EV111" i="19"/>
  <c r="EV122" i="19" s="1"/>
  <c r="ET21" i="19"/>
  <c r="ET32" i="19" s="1"/>
  <c r="EY159" i="19"/>
  <c r="EY170" i="19" s="1"/>
  <c r="EU157" i="19"/>
  <c r="EU168" i="19" s="1"/>
  <c r="AW174" i="19"/>
  <c r="EL174" i="19"/>
  <c r="AW129" i="19"/>
  <c r="EL129" i="19"/>
  <c r="AW128" i="19"/>
  <c r="EL128" i="19"/>
  <c r="AW175" i="19"/>
  <c r="EL175" i="19"/>
  <c r="EP74" i="19"/>
  <c r="EP73" i="19"/>
  <c r="EP168" i="19"/>
  <c r="AW26" i="19"/>
  <c r="EL26" i="19"/>
  <c r="EP113" i="19"/>
  <c r="EH158" i="19"/>
  <c r="EH169" i="19" s="1"/>
  <c r="EQ158" i="19"/>
  <c r="EJ116" i="19"/>
  <c r="EJ127" i="19" s="1"/>
  <c r="EH112" i="19"/>
  <c r="EH123" i="19" s="1"/>
  <c r="EM64" i="19"/>
  <c r="EM75" i="19" s="1"/>
  <c r="EO159" i="19"/>
  <c r="EO170" i="19" s="1"/>
  <c r="EP64" i="19"/>
  <c r="EP159" i="19"/>
  <c r="EO64" i="19"/>
  <c r="EO75" i="19" s="1"/>
  <c r="EO30" i="19"/>
  <c r="EP20" i="19"/>
  <c r="EQ64" i="19"/>
  <c r="EI116" i="19"/>
  <c r="EI127" i="19" s="1"/>
  <c r="EN31" i="19"/>
  <c r="EO21" i="19"/>
  <c r="EO111" i="19"/>
  <c r="EO122" i="19" s="1"/>
  <c r="EP156" i="19"/>
  <c r="EG32" i="19"/>
  <c r="EH22" i="19"/>
  <c r="EQ63" i="19"/>
  <c r="EH161" i="19"/>
  <c r="EH172" i="19" s="1"/>
  <c r="AO129" i="19"/>
  <c r="ED129" i="19" s="1"/>
  <c r="EC129" i="19"/>
  <c r="EH162" i="19"/>
  <c r="EH173" i="19" s="1"/>
  <c r="EI114" i="19"/>
  <c r="EI125" i="19" s="1"/>
  <c r="EL20" i="19"/>
  <c r="EK30" i="19"/>
  <c r="EO31" i="19"/>
  <c r="EP21" i="19"/>
  <c r="EL110" i="19"/>
  <c r="EL121" i="19" s="1"/>
  <c r="EH159" i="19"/>
  <c r="EH170" i="19" s="1"/>
  <c r="EH160" i="19"/>
  <c r="EH171" i="19" s="1"/>
  <c r="EI66" i="19"/>
  <c r="EI77" i="19" s="1"/>
  <c r="EM63" i="19"/>
  <c r="EM74" i="19" s="1"/>
  <c r="EM31" i="19"/>
  <c r="EN21" i="19"/>
  <c r="EG33" i="19"/>
  <c r="EH23" i="19"/>
  <c r="EH116" i="19"/>
  <c r="EH127" i="19" s="1"/>
  <c r="W154" i="17"/>
  <c r="Y154" i="17"/>
  <c r="R154" i="17"/>
  <c r="S154" i="17"/>
  <c r="X154" i="17"/>
  <c r="Z154" i="17"/>
  <c r="AA154" i="17"/>
  <c r="AC154" i="17"/>
  <c r="AE154" i="17"/>
  <c r="Q154" i="17"/>
  <c r="T154" i="17"/>
  <c r="U154" i="17"/>
  <c r="AB154" i="17"/>
  <c r="AD154" i="17"/>
  <c r="ET161" i="19" l="1"/>
  <c r="ET172" i="19" s="1"/>
  <c r="FA114" i="19"/>
  <c r="FA125" i="19" s="1"/>
  <c r="EX64" i="19"/>
  <c r="EX75" i="19" s="1"/>
  <c r="EW64" i="19"/>
  <c r="EW75" i="19" s="1"/>
  <c r="EW22" i="19"/>
  <c r="EW33" i="19" s="1"/>
  <c r="EU159" i="19"/>
  <c r="EU170" i="19" s="1"/>
  <c r="EV113" i="19"/>
  <c r="EV124" i="19" s="1"/>
  <c r="EZ114" i="19"/>
  <c r="EZ125" i="19" s="1"/>
  <c r="EW158" i="19"/>
  <c r="EW169" i="19" s="1"/>
  <c r="EU23" i="19"/>
  <c r="EU34" i="19" s="1"/>
  <c r="EU114" i="19"/>
  <c r="EU125" i="19" s="1"/>
  <c r="EQ74" i="19"/>
  <c r="ES64" i="19"/>
  <c r="ES75" i="19" s="1"/>
  <c r="EQ169" i="19"/>
  <c r="ES159" i="19"/>
  <c r="ES170" i="19" s="1"/>
  <c r="EV158" i="19"/>
  <c r="EV169" i="19" s="1"/>
  <c r="EW112" i="19"/>
  <c r="EW123" i="19" s="1"/>
  <c r="EV114" i="19"/>
  <c r="EV125" i="19" s="1"/>
  <c r="FA160" i="19"/>
  <c r="FA171" i="19" s="1"/>
  <c r="EU115" i="19"/>
  <c r="EU126" i="19" s="1"/>
  <c r="EZ23" i="19"/>
  <c r="EZ34" i="19" s="1"/>
  <c r="EX161" i="19"/>
  <c r="EX172" i="19" s="1"/>
  <c r="EQ75" i="19"/>
  <c r="ES65" i="19"/>
  <c r="ES76" i="19" s="1"/>
  <c r="EX114" i="19"/>
  <c r="EX125" i="19" s="1"/>
  <c r="EZ160" i="19"/>
  <c r="EZ171" i="19" s="1"/>
  <c r="EU22" i="19"/>
  <c r="EU33" i="19" s="1"/>
  <c r="EV22" i="19"/>
  <c r="EV33" i="19" s="1"/>
  <c r="EV65" i="19"/>
  <c r="EV76" i="19" s="1"/>
  <c r="EW65" i="19"/>
  <c r="EW76" i="19" s="1"/>
  <c r="EY21" i="19"/>
  <c r="EY32" i="19" s="1"/>
  <c r="EU65" i="19"/>
  <c r="EU76" i="19" s="1"/>
  <c r="EX22" i="19"/>
  <c r="EX33" i="19" s="1"/>
  <c r="AX175" i="19"/>
  <c r="EM175" i="19"/>
  <c r="AX129" i="19"/>
  <c r="EM129" i="19"/>
  <c r="AX128" i="19"/>
  <c r="EM128" i="19"/>
  <c r="AX174" i="19"/>
  <c r="EM174" i="19"/>
  <c r="EP167" i="19"/>
  <c r="EP75" i="19"/>
  <c r="EP170" i="19"/>
  <c r="EP124" i="19"/>
  <c r="EH34" i="19"/>
  <c r="EN32" i="19"/>
  <c r="EO22" i="19"/>
  <c r="EJ115" i="19"/>
  <c r="EJ126" i="19" s="1"/>
  <c r="EQ114" i="19"/>
  <c r="EI160" i="19"/>
  <c r="EI171" i="19" s="1"/>
  <c r="EQ157" i="19"/>
  <c r="EQ21" i="19"/>
  <c r="ES22" i="19" s="1"/>
  <c r="ES33" i="19" s="1"/>
  <c r="EP31" i="19"/>
  <c r="EQ160" i="19"/>
  <c r="EQ65" i="19"/>
  <c r="EI159" i="19"/>
  <c r="EI170" i="19" s="1"/>
  <c r="EN64" i="19"/>
  <c r="EN75" i="19" s="1"/>
  <c r="EI161" i="19"/>
  <c r="EI172" i="19" s="1"/>
  <c r="EQ22" i="19"/>
  <c r="EP32" i="19"/>
  <c r="EL31" i="19"/>
  <c r="EM21" i="19"/>
  <c r="EO32" i="19"/>
  <c r="EP22" i="19"/>
  <c r="EP160" i="19"/>
  <c r="EN65" i="19"/>
  <c r="EN76" i="19" s="1"/>
  <c r="EM111" i="19"/>
  <c r="EM122" i="19" s="1"/>
  <c r="EI162" i="19"/>
  <c r="EI173" i="19" s="1"/>
  <c r="EH33" i="19"/>
  <c r="EI23" i="19"/>
  <c r="EI34" i="19" s="1"/>
  <c r="EP112" i="19"/>
  <c r="EP65" i="19"/>
  <c r="EI113" i="19"/>
  <c r="EI124" i="19" s="1"/>
  <c r="AX26" i="19"/>
  <c r="EM26" i="19"/>
  <c r="EU36" i="19" l="1"/>
  <c r="EU10" i="19"/>
  <c r="ET23" i="19"/>
  <c r="ET34" i="19" s="1"/>
  <c r="EY162" i="19"/>
  <c r="EY173" i="19" s="1"/>
  <c r="EQ76" i="19"/>
  <c r="ES66" i="19"/>
  <c r="ES77" i="19" s="1"/>
  <c r="EQ168" i="19"/>
  <c r="ES158" i="19"/>
  <c r="ES169" i="19" s="1"/>
  <c r="EY23" i="19"/>
  <c r="EY34" i="19" s="1"/>
  <c r="EZ22" i="19"/>
  <c r="EZ33" i="19" s="1"/>
  <c r="EQ171" i="19"/>
  <c r="ES161" i="19"/>
  <c r="ES172" i="19" s="1"/>
  <c r="EW66" i="19"/>
  <c r="EW77" i="19" s="1"/>
  <c r="ET160" i="19"/>
  <c r="ET171" i="19" s="1"/>
  <c r="EQ125" i="19"/>
  <c r="ES115" i="19"/>
  <c r="ES126" i="19" s="1"/>
  <c r="EV66" i="19"/>
  <c r="EV77" i="19" s="1"/>
  <c r="EU12" i="19"/>
  <c r="EU13" i="19" s="1"/>
  <c r="EV23" i="19"/>
  <c r="EV34" i="19" s="1"/>
  <c r="EV36" i="19" s="1"/>
  <c r="EY115" i="19"/>
  <c r="EY126" i="19" s="1"/>
  <c r="FB161" i="19"/>
  <c r="FB172" i="19" s="1"/>
  <c r="EX113" i="19"/>
  <c r="EX124" i="19" s="1"/>
  <c r="EV115" i="19"/>
  <c r="EV126" i="19" s="1"/>
  <c r="EX159" i="19"/>
  <c r="EX170" i="19" s="1"/>
  <c r="EV160" i="19"/>
  <c r="EV171" i="19" s="1"/>
  <c r="EX65" i="19"/>
  <c r="EX76" i="19" s="1"/>
  <c r="FB115" i="19"/>
  <c r="FB126" i="19" s="1"/>
  <c r="ET65" i="19"/>
  <c r="ET76" i="19" s="1"/>
  <c r="ES53" i="19"/>
  <c r="EY65" i="19"/>
  <c r="EY76" i="19" s="1"/>
  <c r="EX66" i="19"/>
  <c r="EX77" i="19" s="1"/>
  <c r="EV12" i="19"/>
  <c r="EV13" i="19" s="1"/>
  <c r="EW23" i="19"/>
  <c r="ET66" i="19"/>
  <c r="ET77" i="19" s="1"/>
  <c r="ET79" i="19" s="1"/>
  <c r="EV116" i="19"/>
  <c r="EV127" i="19" s="1"/>
  <c r="EQ33" i="19"/>
  <c r="ES23" i="19"/>
  <c r="FA161" i="19"/>
  <c r="FA172" i="19" s="1"/>
  <c r="EW115" i="19"/>
  <c r="EW126" i="19" s="1"/>
  <c r="EW159" i="19"/>
  <c r="EW170" i="19" s="1"/>
  <c r="FA115" i="19"/>
  <c r="FA126" i="19" s="1"/>
  <c r="EW114" i="19"/>
  <c r="EW125" i="19" s="1"/>
  <c r="EX23" i="19"/>
  <c r="EX34" i="19" s="1"/>
  <c r="EU162" i="19"/>
  <c r="EU173" i="19" s="1"/>
  <c r="AY174" i="19"/>
  <c r="EN174" i="19"/>
  <c r="AY129" i="19"/>
  <c r="EN129" i="19"/>
  <c r="AY128" i="19"/>
  <c r="EN128" i="19"/>
  <c r="AY175" i="19"/>
  <c r="EN175" i="19"/>
  <c r="EP171" i="19"/>
  <c r="EP76" i="19"/>
  <c r="EP123" i="19"/>
  <c r="DP11" i="19"/>
  <c r="EB11" i="19"/>
  <c r="DV11" i="19"/>
  <c r="DU147" i="19"/>
  <c r="DO147" i="19"/>
  <c r="EA147" i="19"/>
  <c r="DO54" i="19"/>
  <c r="EA54" i="19"/>
  <c r="DU54" i="19"/>
  <c r="DP147" i="19"/>
  <c r="EB147" i="19"/>
  <c r="DV147" i="19"/>
  <c r="EB54" i="19"/>
  <c r="DV54" i="19"/>
  <c r="DP54" i="19"/>
  <c r="EB101" i="19"/>
  <c r="DV101" i="19"/>
  <c r="DP101" i="19"/>
  <c r="DO11" i="19"/>
  <c r="DU11" i="19"/>
  <c r="EA11" i="19"/>
  <c r="DO101" i="19"/>
  <c r="EA101" i="19"/>
  <c r="DU101" i="19"/>
  <c r="EQ23" i="19"/>
  <c r="EQ34" i="19" s="1"/>
  <c r="EP33" i="19"/>
  <c r="EJ114" i="19"/>
  <c r="EJ125" i="19" s="1"/>
  <c r="EJ161" i="19"/>
  <c r="EJ172" i="19" s="1"/>
  <c r="EQ66" i="19"/>
  <c r="EQ77" i="19" s="1"/>
  <c r="EQ113" i="19"/>
  <c r="EN112" i="19"/>
  <c r="EN123" i="19" s="1"/>
  <c r="EQ161" i="19"/>
  <c r="EO65" i="19"/>
  <c r="EO76" i="19" s="1"/>
  <c r="AY26" i="19"/>
  <c r="EN26" i="19"/>
  <c r="EQ32" i="19"/>
  <c r="EK116" i="19"/>
  <c r="EK127" i="19" s="1"/>
  <c r="EO66" i="19"/>
  <c r="EO77" i="19" s="1"/>
  <c r="EN22" i="19"/>
  <c r="EM32" i="19"/>
  <c r="EJ162" i="19"/>
  <c r="EJ173" i="19" s="1"/>
  <c r="EJ160" i="19"/>
  <c r="EJ171" i="19" s="1"/>
  <c r="EO33" i="19"/>
  <c r="EP23" i="19"/>
  <c r="EP34" i="19" s="1"/>
  <c r="EV14" i="19" l="1"/>
  <c r="EV183" i="19"/>
  <c r="EU14" i="19"/>
  <c r="EU183" i="19"/>
  <c r="EU37" i="19"/>
  <c r="ES34" i="19"/>
  <c r="ES36" i="19" s="1"/>
  <c r="EW36" i="19"/>
  <c r="EW34" i="19"/>
  <c r="EW12" i="19" s="1"/>
  <c r="EW13" i="19" s="1"/>
  <c r="EV10" i="19"/>
  <c r="EV37" i="19" s="1"/>
  <c r="EW10" i="19"/>
  <c r="ET53" i="19"/>
  <c r="ET80" i="19" s="1"/>
  <c r="EX53" i="19"/>
  <c r="EV79" i="19"/>
  <c r="EV53" i="19"/>
  <c r="EY10" i="19"/>
  <c r="EX10" i="19"/>
  <c r="EW79" i="19"/>
  <c r="EW53" i="19"/>
  <c r="EZ10" i="19"/>
  <c r="ET36" i="19"/>
  <c r="ET10" i="19"/>
  <c r="ES10" i="19"/>
  <c r="EV100" i="19"/>
  <c r="ES12" i="19"/>
  <c r="ES13" i="19" s="1"/>
  <c r="EV55" i="19"/>
  <c r="EV56" i="19" s="1"/>
  <c r="EZ66" i="19"/>
  <c r="EZ77" i="19" s="1"/>
  <c r="EY66" i="19"/>
  <c r="EY77" i="19" s="1"/>
  <c r="EY160" i="19"/>
  <c r="EY171" i="19" s="1"/>
  <c r="EY114" i="19"/>
  <c r="EY125" i="19" s="1"/>
  <c r="EZ116" i="19"/>
  <c r="EZ127" i="19" s="1"/>
  <c r="FB162" i="19"/>
  <c r="FB173" i="19" s="1"/>
  <c r="FC116" i="19"/>
  <c r="FC127" i="19" s="1"/>
  <c r="EW116" i="19"/>
  <c r="EW127" i="19" s="1"/>
  <c r="EV102" i="19"/>
  <c r="EV103" i="19" s="1"/>
  <c r="FC162" i="19"/>
  <c r="FC173" i="19" s="1"/>
  <c r="ET116" i="19"/>
  <c r="ET127" i="19" s="1"/>
  <c r="FA23" i="19"/>
  <c r="FA34" i="19" s="1"/>
  <c r="ET159" i="19"/>
  <c r="ET170" i="19" s="1"/>
  <c r="EQ172" i="19"/>
  <c r="ES162" i="19"/>
  <c r="ES173" i="19" s="1"/>
  <c r="EU161" i="19"/>
  <c r="EU172" i="19" s="1"/>
  <c r="EX115" i="19"/>
  <c r="EX126" i="19" s="1"/>
  <c r="EX160" i="19"/>
  <c r="EX171" i="19" s="1"/>
  <c r="EQ124" i="19"/>
  <c r="ES114" i="19"/>
  <c r="ES125" i="19" s="1"/>
  <c r="EX116" i="19"/>
  <c r="EX127" i="19" s="1"/>
  <c r="ET55" i="19"/>
  <c r="ET56" i="19" s="1"/>
  <c r="EU66" i="19"/>
  <c r="EU77" i="19" s="1"/>
  <c r="EU79" i="19" s="1"/>
  <c r="EW161" i="19"/>
  <c r="EW172" i="19" s="1"/>
  <c r="FB116" i="19"/>
  <c r="FB127" i="19" s="1"/>
  <c r="ES79" i="19"/>
  <c r="ES80" i="19" s="1"/>
  <c r="EW55" i="19"/>
  <c r="EW56" i="19" s="1"/>
  <c r="ET162" i="19"/>
  <c r="ET173" i="19" s="1"/>
  <c r="ES55" i="19"/>
  <c r="ES56" i="19" s="1"/>
  <c r="AZ175" i="19"/>
  <c r="EO175" i="19"/>
  <c r="AZ129" i="19"/>
  <c r="EO129" i="19"/>
  <c r="AZ128" i="19"/>
  <c r="EO128" i="19"/>
  <c r="AZ174" i="19"/>
  <c r="EO174" i="19"/>
  <c r="EQ10" i="19"/>
  <c r="DV105" i="19"/>
  <c r="DU105" i="19"/>
  <c r="DV15" i="19"/>
  <c r="DU15" i="19"/>
  <c r="EB58" i="19"/>
  <c r="EA58" i="19"/>
  <c r="DV151" i="19"/>
  <c r="DU151" i="19"/>
  <c r="EA105" i="19"/>
  <c r="EB105" i="19"/>
  <c r="DP15" i="19"/>
  <c r="DO15" i="19"/>
  <c r="DP58" i="19"/>
  <c r="DO58" i="19"/>
  <c r="DO105" i="19"/>
  <c r="DP105" i="19"/>
  <c r="EA151" i="19"/>
  <c r="EB151" i="19"/>
  <c r="EA15" i="19"/>
  <c r="EB15" i="19"/>
  <c r="DV58" i="19"/>
  <c r="DU58" i="19"/>
  <c r="DP151" i="19"/>
  <c r="DO151" i="19"/>
  <c r="EP10" i="19"/>
  <c r="EO53" i="19"/>
  <c r="EO113" i="19"/>
  <c r="EO124" i="19" s="1"/>
  <c r="EP66" i="19"/>
  <c r="EP77" i="19" s="1"/>
  <c r="EK162" i="19"/>
  <c r="EK173" i="19" s="1"/>
  <c r="EN33" i="19"/>
  <c r="EO23" i="19"/>
  <c r="EK161" i="19"/>
  <c r="EK172" i="19" s="1"/>
  <c r="AZ26" i="19"/>
  <c r="EO26" i="19"/>
  <c r="EQ53" i="19"/>
  <c r="EK115" i="19"/>
  <c r="EK126" i="19" s="1"/>
  <c r="EW57" i="19" l="1"/>
  <c r="EW184" i="19"/>
  <c r="ES14" i="19"/>
  <c r="ES183" i="19"/>
  <c r="EW14" i="19"/>
  <c r="EW183" i="19"/>
  <c r="ET57" i="19"/>
  <c r="ET184" i="19"/>
  <c r="ES57" i="19"/>
  <c r="ES184" i="19"/>
  <c r="EV104" i="19"/>
  <c r="EV185" i="19"/>
  <c r="EV57" i="19"/>
  <c r="EV184" i="19"/>
  <c r="EW37" i="19"/>
  <c r="ES37" i="19"/>
  <c r="EW80" i="19"/>
  <c r="EV80" i="19"/>
  <c r="FC100" i="19"/>
  <c r="EX100" i="19"/>
  <c r="FB178" i="19"/>
  <c r="EZ53" i="19"/>
  <c r="ET12" i="19"/>
  <c r="ET13" i="19" s="1"/>
  <c r="FB102" i="19"/>
  <c r="FB103" i="19" s="1"/>
  <c r="FB100" i="19"/>
  <c r="EU55" i="19"/>
  <c r="EU56" i="19" s="1"/>
  <c r="EU53" i="19"/>
  <c r="EU80" i="19" s="1"/>
  <c r="FC146" i="19"/>
  <c r="FB132" i="19"/>
  <c r="FB146" i="19"/>
  <c r="EW132" i="19"/>
  <c r="EW100" i="19"/>
  <c r="ET146" i="19"/>
  <c r="EY53" i="19"/>
  <c r="ET37" i="19"/>
  <c r="FA10" i="19"/>
  <c r="FB148" i="19"/>
  <c r="FB149" i="19" s="1"/>
  <c r="EZ161" i="19"/>
  <c r="EZ172" i="19" s="1"/>
  <c r="EY161" i="19"/>
  <c r="EZ115" i="19"/>
  <c r="EV132" i="19"/>
  <c r="EV133" i="19" s="1"/>
  <c r="EY116" i="19"/>
  <c r="EY127" i="19" s="1"/>
  <c r="ES178" i="19"/>
  <c r="ES146" i="19"/>
  <c r="ET115" i="19"/>
  <c r="EV162" i="19"/>
  <c r="EV173" i="19" s="1"/>
  <c r="EX162" i="19"/>
  <c r="EX173" i="19" s="1"/>
  <c r="ET148" i="19"/>
  <c r="ET149" i="19" s="1"/>
  <c r="EU160" i="19"/>
  <c r="BA174" i="19"/>
  <c r="EQ174" i="19" s="1"/>
  <c r="EP174" i="19"/>
  <c r="BA129" i="19"/>
  <c r="EQ129" i="19" s="1"/>
  <c r="EP129" i="19"/>
  <c r="BA128" i="19"/>
  <c r="EQ128" i="19" s="1"/>
  <c r="EP128" i="19"/>
  <c r="BA175" i="19"/>
  <c r="EQ175" i="19" s="1"/>
  <c r="EP175" i="19"/>
  <c r="EO79" i="19"/>
  <c r="EO80" i="19" s="1"/>
  <c r="DO165" i="19"/>
  <c r="DO146" i="19"/>
  <c r="DP152" i="19"/>
  <c r="EB106" i="19"/>
  <c r="EA100" i="19"/>
  <c r="EA119" i="19"/>
  <c r="EA102" i="19" s="1"/>
  <c r="EA103" i="19" s="1"/>
  <c r="EB69" i="19"/>
  <c r="EC59" i="19"/>
  <c r="DW16" i="19"/>
  <c r="DV26" i="19"/>
  <c r="DV69" i="19"/>
  <c r="DW59" i="19"/>
  <c r="EA10" i="19"/>
  <c r="EB16" i="19"/>
  <c r="EB10" i="19" s="1"/>
  <c r="EA26" i="19"/>
  <c r="EA12" i="19" s="1"/>
  <c r="EA13" i="19" s="1"/>
  <c r="DO100" i="19"/>
  <c r="DP106" i="19"/>
  <c r="DO119" i="19"/>
  <c r="EC106" i="19"/>
  <c r="EB119" i="19"/>
  <c r="EA53" i="19"/>
  <c r="EB59" i="19"/>
  <c r="EA69" i="19"/>
  <c r="EA55" i="19" s="1"/>
  <c r="EA56" i="19" s="1"/>
  <c r="DU10" i="19"/>
  <c r="DV16" i="19"/>
  <c r="DV10" i="19" s="1"/>
  <c r="DU26" i="19"/>
  <c r="DP165" i="19"/>
  <c r="DQ152" i="19"/>
  <c r="EB165" i="19"/>
  <c r="EC152" i="19"/>
  <c r="DO69" i="19"/>
  <c r="DP59" i="19"/>
  <c r="DP53" i="19" s="1"/>
  <c r="DO53" i="19"/>
  <c r="DO10" i="19"/>
  <c r="DP16" i="19"/>
  <c r="DP10" i="19" s="1"/>
  <c r="DO26" i="19"/>
  <c r="DU146" i="19"/>
  <c r="DU165" i="19"/>
  <c r="DV152" i="19"/>
  <c r="DV146" i="19" s="1"/>
  <c r="DU100" i="19"/>
  <c r="DV106" i="19"/>
  <c r="DU119" i="19"/>
  <c r="DV59" i="19"/>
  <c r="DV53" i="19" s="1"/>
  <c r="DU53" i="19"/>
  <c r="DU69" i="19"/>
  <c r="EC16" i="19"/>
  <c r="EB26" i="19"/>
  <c r="EA146" i="19"/>
  <c r="EA165" i="19"/>
  <c r="EA148" i="19" s="1"/>
  <c r="EA149" i="19" s="1"/>
  <c r="EB152" i="19"/>
  <c r="EB146" i="19" s="1"/>
  <c r="DQ106" i="19"/>
  <c r="DP119" i="19"/>
  <c r="DQ59" i="19"/>
  <c r="DP69" i="19"/>
  <c r="DQ16" i="19"/>
  <c r="DP26" i="19"/>
  <c r="DW152" i="19"/>
  <c r="DV165" i="19"/>
  <c r="DW106" i="19"/>
  <c r="DV119" i="19"/>
  <c r="EL116" i="19"/>
  <c r="EL127" i="19" s="1"/>
  <c r="BA26" i="19"/>
  <c r="EP26" i="19"/>
  <c r="EL162" i="19"/>
  <c r="EL173" i="19" s="1"/>
  <c r="EP53" i="19"/>
  <c r="EO55" i="19"/>
  <c r="EO56" i="19" s="1"/>
  <c r="EO34" i="19"/>
  <c r="EO10" i="19"/>
  <c r="EP114" i="19"/>
  <c r="EU57" i="19" l="1"/>
  <c r="EU184" i="19"/>
  <c r="FB150" i="19"/>
  <c r="FB186" i="19"/>
  <c r="ET150" i="19"/>
  <c r="ET186" i="19"/>
  <c r="FB104" i="19"/>
  <c r="FB185" i="19"/>
  <c r="FB187" i="19" s="1"/>
  <c r="ET14" i="19"/>
  <c r="ET183" i="19"/>
  <c r="EU146" i="19"/>
  <c r="EU171" i="19"/>
  <c r="ET100" i="19"/>
  <c r="ET126" i="19"/>
  <c r="EZ100" i="19"/>
  <c r="EZ126" i="19"/>
  <c r="EY146" i="19"/>
  <c r="EY172" i="19"/>
  <c r="EW133" i="19"/>
  <c r="EX146" i="19"/>
  <c r="EW102" i="19"/>
  <c r="EW103" i="19" s="1"/>
  <c r="FC178" i="19"/>
  <c r="FC179" i="19" s="1"/>
  <c r="FC148" i="19"/>
  <c r="FC149" i="19" s="1"/>
  <c r="FB179" i="19"/>
  <c r="FC102" i="19"/>
  <c r="FC103" i="19" s="1"/>
  <c r="FC132" i="19"/>
  <c r="FC133" i="19" s="1"/>
  <c r="EY100" i="19"/>
  <c r="FB133" i="19"/>
  <c r="ET178" i="19"/>
  <c r="ET179" i="19" s="1"/>
  <c r="ES148" i="19"/>
  <c r="ES149" i="19" s="1"/>
  <c r="ES179" i="19"/>
  <c r="DU148" i="19"/>
  <c r="DU149" i="19" s="1"/>
  <c r="DO102" i="19"/>
  <c r="DO103" i="19" s="1"/>
  <c r="DO12" i="19"/>
  <c r="DO13" i="19" s="1"/>
  <c r="EZ162" i="19"/>
  <c r="EZ173" i="19" s="1"/>
  <c r="DO55" i="19"/>
  <c r="DO56" i="19" s="1"/>
  <c r="DU102" i="19"/>
  <c r="DU103" i="19" s="1"/>
  <c r="DU12" i="19"/>
  <c r="DU13" i="19" s="1"/>
  <c r="FA116" i="19"/>
  <c r="FA127" i="19" s="1"/>
  <c r="DU55" i="19"/>
  <c r="DU56" i="19" s="1"/>
  <c r="DO148" i="19"/>
  <c r="DO149" i="19" s="1"/>
  <c r="EV161" i="19"/>
  <c r="EV172" i="19" s="1"/>
  <c r="EU116" i="19"/>
  <c r="EU127" i="19" s="1"/>
  <c r="FA162" i="19"/>
  <c r="FA173" i="19" s="1"/>
  <c r="EP125" i="19"/>
  <c r="EO12" i="19"/>
  <c r="EO13" i="19" s="1"/>
  <c r="AA734" i="8" s="1"/>
  <c r="AA735" i="8"/>
  <c r="EP12" i="19"/>
  <c r="EP13" i="19" s="1"/>
  <c r="EP36" i="19"/>
  <c r="EP37" i="19" s="1"/>
  <c r="EO36" i="19"/>
  <c r="EO37" i="19" s="1"/>
  <c r="EP79" i="19"/>
  <c r="EP80" i="19" s="1"/>
  <c r="DX153" i="19"/>
  <c r="DX167" i="19" s="1"/>
  <c r="DW166" i="19"/>
  <c r="EC70" i="19"/>
  <c r="ED60" i="19"/>
  <c r="DX107" i="19"/>
  <c r="DX121" i="19" s="1"/>
  <c r="DW120" i="19"/>
  <c r="DQ120" i="19"/>
  <c r="DR107" i="19"/>
  <c r="DR121" i="19" s="1"/>
  <c r="ED153" i="19"/>
  <c r="EC166" i="19"/>
  <c r="EC120" i="19"/>
  <c r="ED107" i="19"/>
  <c r="DQ166" i="19"/>
  <c r="DR153" i="19"/>
  <c r="DR167" i="19" s="1"/>
  <c r="DQ107" i="19"/>
  <c r="DP120" i="19"/>
  <c r="EC107" i="19"/>
  <c r="EB120" i="19"/>
  <c r="EB102" i="19" s="1"/>
  <c r="EB103" i="19" s="1"/>
  <c r="DV120" i="19"/>
  <c r="DV102" i="19" s="1"/>
  <c r="DV103" i="19" s="1"/>
  <c r="DW107" i="19"/>
  <c r="DP166" i="19"/>
  <c r="DQ153" i="19"/>
  <c r="DQ70" i="19"/>
  <c r="DR60" i="19"/>
  <c r="DR71" i="19" s="1"/>
  <c r="EC153" i="19"/>
  <c r="EB166" i="19"/>
  <c r="EB148" i="19" s="1"/>
  <c r="EB149" i="19" s="1"/>
  <c r="ED17" i="19"/>
  <c r="EC27" i="19"/>
  <c r="DP70" i="19"/>
  <c r="DQ60" i="19"/>
  <c r="EC60" i="19"/>
  <c r="EB70" i="19"/>
  <c r="EB55" i="19" s="1"/>
  <c r="EB56" i="19" s="1"/>
  <c r="EB100" i="19"/>
  <c r="DX60" i="19"/>
  <c r="DX71" i="19" s="1"/>
  <c r="DW70" i="19"/>
  <c r="DW27" i="19"/>
  <c r="DX17" i="19"/>
  <c r="DX28" i="19" s="1"/>
  <c r="DV100" i="19"/>
  <c r="DR17" i="19"/>
  <c r="DR28" i="19" s="1"/>
  <c r="DQ27" i="19"/>
  <c r="DP100" i="19"/>
  <c r="DV70" i="19"/>
  <c r="DV55" i="19" s="1"/>
  <c r="DV56" i="19" s="1"/>
  <c r="DW60" i="19"/>
  <c r="DV166" i="19"/>
  <c r="DV148" i="19" s="1"/>
  <c r="DV149" i="19" s="1"/>
  <c r="DW153" i="19"/>
  <c r="DQ17" i="19"/>
  <c r="DP27" i="19"/>
  <c r="DP146" i="19"/>
  <c r="DV27" i="19"/>
  <c r="DV12" i="19" s="1"/>
  <c r="DV13" i="19" s="1"/>
  <c r="DW17" i="19"/>
  <c r="EC17" i="19"/>
  <c r="EB27" i="19"/>
  <c r="EB12" i="19" s="1"/>
  <c r="EB13" i="19" s="1"/>
  <c r="EB53" i="19"/>
  <c r="EP55" i="19"/>
  <c r="EP56" i="19" s="1"/>
  <c r="EQ115" i="19"/>
  <c r="EQ26" i="19"/>
  <c r="EQ12" i="19" s="1"/>
  <c r="FC104" i="19" l="1"/>
  <c r="FC185" i="19"/>
  <c r="EW104" i="19"/>
  <c r="EW185" i="19"/>
  <c r="FC150" i="19"/>
  <c r="FC186" i="19"/>
  <c r="ES150" i="19"/>
  <c r="ES186" i="19"/>
  <c r="EV146" i="19"/>
  <c r="EU100" i="19"/>
  <c r="FA100" i="19"/>
  <c r="EZ146" i="19"/>
  <c r="FA146" i="19"/>
  <c r="ET102" i="19"/>
  <c r="ET103" i="19" s="1"/>
  <c r="ET132" i="19"/>
  <c r="ET133" i="19" s="1"/>
  <c r="EU132" i="19"/>
  <c r="EU102" i="19"/>
  <c r="EU103" i="19" s="1"/>
  <c r="EU148" i="19"/>
  <c r="EU149" i="19" s="1"/>
  <c r="EU178" i="19"/>
  <c r="EU179" i="19" s="1"/>
  <c r="DP55" i="19"/>
  <c r="DP56" i="19" s="1"/>
  <c r="DP148" i="19"/>
  <c r="DP149" i="19" s="1"/>
  <c r="EY178" i="19"/>
  <c r="EY179" i="19" s="1"/>
  <c r="FD178" i="19"/>
  <c r="FD179" i="19" s="1"/>
  <c r="FD148" i="19"/>
  <c r="FD149" i="19" s="1"/>
  <c r="DP12" i="19"/>
  <c r="DP13" i="19" s="1"/>
  <c r="DP102" i="19"/>
  <c r="DP103" i="19" s="1"/>
  <c r="EY132" i="19"/>
  <c r="EY133" i="19" s="1"/>
  <c r="EW162" i="19"/>
  <c r="EW173" i="19" s="1"/>
  <c r="FD79" i="19"/>
  <c r="FD80" i="19" s="1"/>
  <c r="FD55" i="19"/>
  <c r="FD56" i="19" s="1"/>
  <c r="FD36" i="19"/>
  <c r="FD37" i="19" s="1"/>
  <c r="FD12" i="19"/>
  <c r="FD13" i="19" s="1"/>
  <c r="EX79" i="19"/>
  <c r="EX80" i="19" s="1"/>
  <c r="EX55" i="19"/>
  <c r="EX56" i="19" s="1"/>
  <c r="EQ126" i="19"/>
  <c r="ES116" i="19"/>
  <c r="ES127" i="19" s="1"/>
  <c r="EX102" i="19"/>
  <c r="EX103" i="19" s="1"/>
  <c r="EX148" i="19"/>
  <c r="EX149" i="19" s="1"/>
  <c r="FD132" i="19"/>
  <c r="FD133" i="19" s="1"/>
  <c r="EX36" i="19"/>
  <c r="EX37" i="19" s="1"/>
  <c r="EX12" i="19"/>
  <c r="EX13" i="19" s="1"/>
  <c r="AB734" i="8"/>
  <c r="EQ13" i="19"/>
  <c r="EQ36" i="19"/>
  <c r="EQ37" i="19" s="1"/>
  <c r="EQ79" i="19"/>
  <c r="EQ80" i="19" s="1"/>
  <c r="AB735" i="8"/>
  <c r="EC28" i="19"/>
  <c r="ED18" i="19"/>
  <c r="DW167" i="19"/>
  <c r="DX154" i="19"/>
  <c r="DX168" i="19" s="1"/>
  <c r="DR61" i="19"/>
  <c r="DR72" i="19" s="1"/>
  <c r="DQ71" i="19"/>
  <c r="ED28" i="19"/>
  <c r="EF18" i="19"/>
  <c r="DQ121" i="19"/>
  <c r="DR108" i="19"/>
  <c r="DR122" i="19" s="1"/>
  <c r="ED71" i="19"/>
  <c r="EF61" i="19"/>
  <c r="DW28" i="19"/>
  <c r="DX18" i="19"/>
  <c r="DX29" i="19" s="1"/>
  <c r="DW71" i="19"/>
  <c r="DX61" i="19"/>
  <c r="DX72" i="19" s="1"/>
  <c r="ED61" i="19"/>
  <c r="EC71" i="19"/>
  <c r="DQ167" i="19"/>
  <c r="DR154" i="19"/>
  <c r="DR168" i="19" s="1"/>
  <c r="DX108" i="19"/>
  <c r="DX122" i="19" s="1"/>
  <c r="DW121" i="19"/>
  <c r="DR18" i="19"/>
  <c r="DR29" i="19" s="1"/>
  <c r="DQ28" i="19"/>
  <c r="EC167" i="19"/>
  <c r="ED154" i="19"/>
  <c r="ED108" i="19"/>
  <c r="EC121" i="19"/>
  <c r="EF108" i="19"/>
  <c r="ED121" i="19"/>
  <c r="EF154" i="19"/>
  <c r="ED167" i="19"/>
  <c r="EQ55" i="19"/>
  <c r="EQ56" i="19" s="1"/>
  <c r="FD14" i="19" l="1"/>
  <c r="FD183" i="19"/>
  <c r="FD57" i="19"/>
  <c r="FD184" i="19"/>
  <c r="EX150" i="19"/>
  <c r="EX186" i="19"/>
  <c r="EX57" i="19"/>
  <c r="EX184" i="19"/>
  <c r="EU150" i="19"/>
  <c r="EU186" i="19"/>
  <c r="ET104" i="19"/>
  <c r="ET185" i="19"/>
  <c r="ET187" i="19" s="1"/>
  <c r="EX14" i="19"/>
  <c r="EX183" i="19"/>
  <c r="EX104" i="19"/>
  <c r="EX185" i="19"/>
  <c r="EU104" i="19"/>
  <c r="EU185" i="19"/>
  <c r="EU187" i="19" s="1"/>
  <c r="FD150" i="19"/>
  <c r="FD186" i="19"/>
  <c r="FC187" i="19"/>
  <c r="EU133" i="19"/>
  <c r="EY148" i="19"/>
  <c r="EY149" i="19" s="1"/>
  <c r="FD102" i="19"/>
  <c r="FD103" i="19" s="1"/>
  <c r="EX178" i="19"/>
  <c r="EX179" i="19" s="1"/>
  <c r="EW146" i="19"/>
  <c r="EY102" i="19"/>
  <c r="EY103" i="19" s="1"/>
  <c r="EX132" i="19"/>
  <c r="EX133" i="19" s="1"/>
  <c r="EY79" i="19"/>
  <c r="EY80" i="19" s="1"/>
  <c r="EY55" i="19"/>
  <c r="EY56" i="19" s="1"/>
  <c r="EY36" i="19"/>
  <c r="EY37" i="19" s="1"/>
  <c r="EY12" i="19"/>
  <c r="EY13" i="19" s="1"/>
  <c r="ES100" i="19"/>
  <c r="EV148" i="19"/>
  <c r="EV149" i="19" s="1"/>
  <c r="EV178" i="19"/>
  <c r="EV179" i="19" s="1"/>
  <c r="AC734" i="8"/>
  <c r="AC735" i="8"/>
  <c r="EF119" i="19"/>
  <c r="EG109" i="19"/>
  <c r="EG120" i="19" s="1"/>
  <c r="EF62" i="19"/>
  <c r="ED72" i="19"/>
  <c r="EF29" i="19"/>
  <c r="EG19" i="19"/>
  <c r="EG155" i="19"/>
  <c r="EG166" i="19" s="1"/>
  <c r="EF165" i="19"/>
  <c r="EF109" i="19"/>
  <c r="ED122" i="19"/>
  <c r="EF72" i="19"/>
  <c r="EG62" i="19"/>
  <c r="EG73" i="19" s="1"/>
  <c r="EF155" i="19"/>
  <c r="ED168" i="19"/>
  <c r="EF19" i="19"/>
  <c r="ED29" i="19"/>
  <c r="EX187" i="19" l="1"/>
  <c r="EY104" i="19"/>
  <c r="EY185" i="19"/>
  <c r="EY150" i="19"/>
  <c r="EY186" i="19"/>
  <c r="EY57" i="19"/>
  <c r="EY184" i="19"/>
  <c r="EV150" i="19"/>
  <c r="EV186" i="19"/>
  <c r="EV187" i="19" s="1"/>
  <c r="EY14" i="19"/>
  <c r="EY183" i="19"/>
  <c r="EY187" i="19" s="1"/>
  <c r="FD104" i="19"/>
  <c r="FD185" i="19"/>
  <c r="FD187" i="19" s="1"/>
  <c r="EW148" i="19"/>
  <c r="EW149" i="19" s="1"/>
  <c r="EW178" i="19"/>
  <c r="EW179" i="19" s="1"/>
  <c r="ES102" i="19"/>
  <c r="ES103" i="19" s="1"/>
  <c r="ES132" i="19"/>
  <c r="ES133" i="19" s="1"/>
  <c r="EF176" i="19"/>
  <c r="EF30" i="19"/>
  <c r="EG20" i="19"/>
  <c r="EG156" i="19"/>
  <c r="EG167" i="19" s="1"/>
  <c r="EF166" i="19"/>
  <c r="EF148" i="19" s="1"/>
  <c r="EF149" i="19" s="1"/>
  <c r="EH63" i="19"/>
  <c r="EH74" i="19" s="1"/>
  <c r="EH156" i="19"/>
  <c r="EH167" i="19" s="1"/>
  <c r="EF73" i="19"/>
  <c r="EG63" i="19"/>
  <c r="EG74" i="19" s="1"/>
  <c r="EH20" i="19"/>
  <c r="EG30" i="19"/>
  <c r="EH110" i="19"/>
  <c r="EH121" i="19" s="1"/>
  <c r="EF120" i="19"/>
  <c r="EG110" i="19"/>
  <c r="EG121" i="19" s="1"/>
  <c r="EF130" i="19"/>
  <c r="ES104" i="19" l="1"/>
  <c r="ES185" i="19"/>
  <c r="ES187" i="19" s="1"/>
  <c r="EW150" i="19"/>
  <c r="EW186" i="19"/>
  <c r="EW187" i="19" s="1"/>
  <c r="EF132" i="19"/>
  <c r="EF178" i="19"/>
  <c r="EH111" i="19"/>
  <c r="EH122" i="19" s="1"/>
  <c r="EH31" i="19"/>
  <c r="EI21" i="19"/>
  <c r="EI157" i="19"/>
  <c r="EI168" i="19" s="1"/>
  <c r="R737" i="8"/>
  <c r="EF102" i="19"/>
  <c r="EF103" i="19" s="1"/>
  <c r="EH157" i="19"/>
  <c r="EH168" i="19" s="1"/>
  <c r="EI111" i="19"/>
  <c r="EI122" i="19" s="1"/>
  <c r="EH64" i="19"/>
  <c r="EH75" i="19" s="1"/>
  <c r="EI64" i="19"/>
  <c r="EI75" i="19" s="1"/>
  <c r="EH21" i="19"/>
  <c r="EG31" i="19"/>
  <c r="EJ112" i="19" l="1"/>
  <c r="EJ123" i="19" s="1"/>
  <c r="EI158" i="19"/>
  <c r="EI169" i="19" s="1"/>
  <c r="EJ158" i="19"/>
  <c r="EJ169" i="19" s="1"/>
  <c r="EJ65" i="19"/>
  <c r="EJ76" i="19" s="1"/>
  <c r="R736" i="8"/>
  <c r="EI32" i="19"/>
  <c r="EJ22" i="19"/>
  <c r="EI112" i="19"/>
  <c r="EI123" i="19" s="1"/>
  <c r="EH32" i="19"/>
  <c r="EI22" i="19"/>
  <c r="EI65" i="19"/>
  <c r="EI76" i="19" s="1"/>
  <c r="EK66" i="19" l="1"/>
  <c r="EK77" i="19" s="1"/>
  <c r="EI33" i="19"/>
  <c r="EJ23" i="19"/>
  <c r="EJ34" i="19" s="1"/>
  <c r="EK23" i="19"/>
  <c r="EK34" i="19" s="1"/>
  <c r="EJ33" i="19"/>
  <c r="EK159" i="19"/>
  <c r="EK170" i="19" s="1"/>
  <c r="EK113" i="19"/>
  <c r="EK124" i="19" s="1"/>
  <c r="EJ113" i="19"/>
  <c r="EJ124" i="19" s="1"/>
  <c r="EJ159" i="19"/>
  <c r="EJ170" i="19" s="1"/>
  <c r="EJ66" i="19"/>
  <c r="EJ77" i="19" s="1"/>
  <c r="DP143" i="19" l="1"/>
  <c r="DP150" i="19" s="1"/>
  <c r="EB7" i="19"/>
  <c r="EB14" i="19" s="1"/>
  <c r="EB97" i="19"/>
  <c r="EB104" i="19" s="1"/>
  <c r="EB50" i="19"/>
  <c r="EB57" i="19" s="1"/>
  <c r="DV7" i="19"/>
  <c r="DV14" i="19" s="1"/>
  <c r="EB143" i="19"/>
  <c r="EB150" i="19" s="1"/>
  <c r="DV97" i="19"/>
  <c r="DV104" i="19" s="1"/>
  <c r="DV50" i="19"/>
  <c r="DV57" i="19" s="1"/>
  <c r="DP7" i="19"/>
  <c r="DP14" i="19" s="1"/>
  <c r="DP97" i="19"/>
  <c r="DP104" i="19" s="1"/>
  <c r="DP50" i="19"/>
  <c r="DP57" i="19" s="1"/>
  <c r="DV143" i="19"/>
  <c r="DV150" i="19" s="1"/>
  <c r="DV9" i="19"/>
  <c r="DP9" i="19"/>
  <c r="EB9" i="19"/>
  <c r="EK114" i="19"/>
  <c r="EK125" i="19" s="1"/>
  <c r="EL160" i="19"/>
  <c r="EL171" i="19" s="1"/>
  <c r="EC97" i="19"/>
  <c r="EC50" i="19"/>
  <c r="DW7" i="19"/>
  <c r="EC7" i="19"/>
  <c r="EC143" i="19"/>
  <c r="DW97" i="19"/>
  <c r="DW50" i="19"/>
  <c r="DQ7" i="19"/>
  <c r="DW143" i="19"/>
  <c r="DQ97" i="19"/>
  <c r="DQ50" i="19"/>
  <c r="DQ143" i="19"/>
  <c r="EA9" i="19"/>
  <c r="DU9" i="19"/>
  <c r="DO9" i="19"/>
  <c r="DV52" i="19"/>
  <c r="EB52" i="19"/>
  <c r="DP52" i="19"/>
  <c r="DU143" i="19"/>
  <c r="DU150" i="19" s="1"/>
  <c r="DO97" i="19"/>
  <c r="DO104" i="19" s="1"/>
  <c r="DO50" i="19"/>
  <c r="DO57" i="19" s="1"/>
  <c r="DO143" i="19"/>
  <c r="DO150" i="19" s="1"/>
  <c r="EA7" i="19"/>
  <c r="EA14" i="19" s="1"/>
  <c r="DU97" i="19"/>
  <c r="DU104" i="19" s="1"/>
  <c r="DO7" i="19"/>
  <c r="DO14" i="19" s="1"/>
  <c r="EA97" i="19"/>
  <c r="EA104" i="19" s="1"/>
  <c r="EA50" i="19"/>
  <c r="EA57" i="19" s="1"/>
  <c r="DU7" i="19"/>
  <c r="DU14" i="19" s="1"/>
  <c r="EA143" i="19"/>
  <c r="EA150" i="19" s="1"/>
  <c r="DU50" i="19"/>
  <c r="DU57" i="19" s="1"/>
  <c r="EA99" i="19"/>
  <c r="DU99" i="19"/>
  <c r="DO99" i="19"/>
  <c r="EB145" i="19"/>
  <c r="DV145" i="19"/>
  <c r="DP145" i="19"/>
  <c r="EA145" i="19"/>
  <c r="DU145" i="19"/>
  <c r="DO145" i="19"/>
  <c r="ED143" i="19"/>
  <c r="DX97" i="19"/>
  <c r="DX50" i="19"/>
  <c r="DR7" i="19"/>
  <c r="ED97" i="19"/>
  <c r="ED50" i="19"/>
  <c r="DX143" i="19"/>
  <c r="DR97" i="19"/>
  <c r="DR50" i="19"/>
  <c r="DR143" i="19"/>
  <c r="ED7" i="19"/>
  <c r="DX7" i="19"/>
  <c r="EA52" i="19"/>
  <c r="DU52" i="19"/>
  <c r="DO52" i="19"/>
  <c r="DV99" i="19"/>
  <c r="EB99" i="19"/>
  <c r="DP99" i="19"/>
  <c r="EK160" i="19"/>
  <c r="EK171" i="19" s="1"/>
  <c r="EL114" i="19"/>
  <c r="EL125" i="19" s="1"/>
  <c r="EL115" i="19" l="1"/>
  <c r="EL126" i="19" s="1"/>
  <c r="EL161" i="19"/>
  <c r="EL172" i="19" s="1"/>
  <c r="EM115" i="19"/>
  <c r="EM126" i="19" s="1"/>
  <c r="EM161" i="19"/>
  <c r="EM172" i="19" s="1"/>
  <c r="EM116" i="19" l="1"/>
  <c r="EM127" i="19" s="1"/>
  <c r="EM162" i="19"/>
  <c r="EM173" i="19" s="1"/>
  <c r="EN116" i="19"/>
  <c r="EN127" i="19" s="1"/>
  <c r="EN162" i="19"/>
  <c r="EN173" i="19" s="1"/>
  <c r="DQ144" i="19" l="1"/>
  <c r="EC98" i="19"/>
  <c r="EC51" i="19"/>
  <c r="EC8" i="19"/>
  <c r="DQ98" i="19"/>
  <c r="DQ8" i="19"/>
  <c r="EC144" i="19"/>
  <c r="DW98" i="19"/>
  <c r="DW51" i="19"/>
  <c r="DW8" i="19"/>
  <c r="DQ51" i="19"/>
  <c r="DW144" i="19"/>
  <c r="ED98" i="19"/>
  <c r="ED51" i="19"/>
  <c r="ED8" i="19"/>
  <c r="ED144" i="19"/>
  <c r="DX98" i="19"/>
  <c r="DX51" i="19"/>
  <c r="DX8" i="19"/>
  <c r="DX144" i="19"/>
  <c r="DR98" i="19"/>
  <c r="DR51" i="19"/>
  <c r="DR8" i="19"/>
  <c r="DR144" i="19"/>
  <c r="EA144" i="19"/>
  <c r="DU98" i="19"/>
  <c r="DU51" i="19"/>
  <c r="DU8" i="19"/>
  <c r="EA98" i="19"/>
  <c r="DU144" i="19"/>
  <c r="DO98" i="19"/>
  <c r="DO51" i="19"/>
  <c r="DO8" i="19"/>
  <c r="EA51" i="19"/>
  <c r="DO144" i="19"/>
  <c r="EA8" i="19"/>
  <c r="DV144" i="19"/>
  <c r="DP98" i="19"/>
  <c r="DP51" i="19"/>
  <c r="DP8" i="19"/>
  <c r="DV51" i="19"/>
  <c r="DP144" i="19"/>
  <c r="EB98" i="19"/>
  <c r="EB51" i="19"/>
  <c r="EB8" i="19"/>
  <c r="DV98" i="19"/>
  <c r="DV8" i="19"/>
  <c r="EB144" i="19"/>
  <c r="DQ9" i="19" l="1"/>
  <c r="DW9" i="19"/>
  <c r="EC9" i="19"/>
  <c r="EC11" i="19"/>
  <c r="DW11" i="19"/>
  <c r="DQ11" i="19"/>
  <c r="EC15" i="19" l="1"/>
  <c r="DQ15" i="19"/>
  <c r="DW15" i="19"/>
  <c r="DW26" i="19" l="1"/>
  <c r="DW12" i="19" s="1"/>
  <c r="DW13" i="19" s="1"/>
  <c r="DW14" i="19" s="1"/>
  <c r="DX16" i="19"/>
  <c r="DX27" i="19" s="1"/>
  <c r="DW10" i="19"/>
  <c r="EC26" i="19"/>
  <c r="EC12" i="19" s="1"/>
  <c r="EC13" i="19" s="1"/>
  <c r="EC14" i="19" s="1"/>
  <c r="ED16" i="19"/>
  <c r="EC10" i="19"/>
  <c r="DQ26" i="19"/>
  <c r="DR16" i="19"/>
  <c r="DR27" i="19" s="1"/>
  <c r="DQ10" i="19"/>
  <c r="DQ12" i="19" l="1"/>
  <c r="DQ13" i="19" s="1"/>
  <c r="DQ14" i="19" s="1"/>
  <c r="ED27" i="19"/>
  <c r="EF17" i="19"/>
  <c r="EZ36" i="19" l="1"/>
  <c r="EZ37" i="19" s="1"/>
  <c r="EZ12" i="19"/>
  <c r="EZ13" i="19" s="1"/>
  <c r="EF28" i="19"/>
  <c r="EG18" i="19"/>
  <c r="EZ14" i="19" l="1"/>
  <c r="EZ183" i="19"/>
  <c r="EH19" i="19"/>
  <c r="EG29" i="19"/>
  <c r="EI20" i="19" l="1"/>
  <c r="EH30" i="19"/>
  <c r="EI31" i="19" l="1"/>
  <c r="EJ21" i="19"/>
  <c r="EJ32" i="19" l="1"/>
  <c r="EK22" i="19"/>
  <c r="EK33" i="19" l="1"/>
  <c r="EL23" i="19"/>
  <c r="EL34" i="19" s="1"/>
  <c r="EC54" i="19" l="1"/>
  <c r="DW54" i="19"/>
  <c r="DQ54" i="19"/>
  <c r="DQ58" i="19" l="1"/>
  <c r="DW58" i="19"/>
  <c r="EC58" i="19"/>
  <c r="DQ52" i="19"/>
  <c r="DW52" i="19"/>
  <c r="EC52" i="19"/>
  <c r="DW69" i="19" l="1"/>
  <c r="DW55" i="19" s="1"/>
  <c r="DW56" i="19" s="1"/>
  <c r="DW57" i="19" s="1"/>
  <c r="DX59" i="19"/>
  <c r="DX70" i="19" s="1"/>
  <c r="DW53" i="19"/>
  <c r="EC69" i="19"/>
  <c r="EC55" i="19" s="1"/>
  <c r="EC56" i="19" s="1"/>
  <c r="EC57" i="19" s="1"/>
  <c r="ED59" i="19"/>
  <c r="EC53" i="19"/>
  <c r="DR59" i="19"/>
  <c r="DR70" i="19" s="1"/>
  <c r="DQ69" i="19"/>
  <c r="DQ53" i="19"/>
  <c r="DQ55" i="19" l="1"/>
  <c r="DQ56" i="19" s="1"/>
  <c r="DQ57" i="19" s="1"/>
  <c r="EF60" i="19"/>
  <c r="ED70" i="19"/>
  <c r="EZ79" i="19" l="1"/>
  <c r="EZ80" i="19" s="1"/>
  <c r="EZ55" i="19"/>
  <c r="EZ56" i="19" s="1"/>
  <c r="EG61" i="19"/>
  <c r="EG72" i="19" s="1"/>
  <c r="EF71" i="19"/>
  <c r="EZ57" i="19" l="1"/>
  <c r="EZ184" i="19"/>
  <c r="EH62" i="19"/>
  <c r="EH73" i="19" s="1"/>
  <c r="EI63" i="19" l="1"/>
  <c r="EI74" i="19" s="1"/>
  <c r="EJ64" i="19" l="1"/>
  <c r="EJ75" i="19" s="1"/>
  <c r="EK65" i="19" l="1"/>
  <c r="EK76" i="19" s="1"/>
  <c r="DQ99" i="19" l="1"/>
  <c r="EC99" i="19"/>
  <c r="DW99" i="19"/>
  <c r="EC101" i="19"/>
  <c r="DW101" i="19"/>
  <c r="DQ101" i="19"/>
  <c r="EL66" i="19"/>
  <c r="EL77" i="19" s="1"/>
  <c r="DQ105" i="19" l="1"/>
  <c r="DW105" i="19"/>
  <c r="EC105" i="19"/>
  <c r="ED106" i="19" l="1"/>
  <c r="EC119" i="19"/>
  <c r="EC102" i="19" s="1"/>
  <c r="EC103" i="19" s="1"/>
  <c r="EC104" i="19" s="1"/>
  <c r="EC100" i="19"/>
  <c r="DR106" i="19"/>
  <c r="DR120" i="19" s="1"/>
  <c r="DQ119" i="19"/>
  <c r="DQ100" i="19"/>
  <c r="DW119" i="19"/>
  <c r="DW102" i="19" s="1"/>
  <c r="DW103" i="19" s="1"/>
  <c r="DW104" i="19" s="1"/>
  <c r="DX106" i="19"/>
  <c r="DX120" i="19" s="1"/>
  <c r="DW100" i="19"/>
  <c r="DQ102" i="19" l="1"/>
  <c r="DQ103" i="19" s="1"/>
  <c r="DQ104" i="19" s="1"/>
  <c r="EF107" i="19"/>
  <c r="EG108" i="19" s="1"/>
  <c r="EG119" i="19" s="1"/>
  <c r="EG130" i="19" s="1"/>
  <c r="ED120" i="19"/>
  <c r="EZ102" i="19" l="1"/>
  <c r="EZ103" i="19" s="1"/>
  <c r="EH109" i="19"/>
  <c r="EH120" i="19" s="1"/>
  <c r="EZ104" i="19" l="1"/>
  <c r="EZ185" i="19"/>
  <c r="EZ132" i="19"/>
  <c r="EZ133" i="19" s="1"/>
  <c r="EG132" i="19"/>
  <c r="EG102" i="19"/>
  <c r="EG103" i="19" s="1"/>
  <c r="EI110" i="19"/>
  <c r="EI121" i="19" s="1"/>
  <c r="EJ111" i="19" l="1"/>
  <c r="EJ122" i="19" s="1"/>
  <c r="S736" i="8"/>
  <c r="EK112" i="19" l="1"/>
  <c r="EK123" i="19" s="1"/>
  <c r="EL113" i="19" l="1"/>
  <c r="EL124" i="19" s="1"/>
  <c r="EM114" i="19" l="1"/>
  <c r="EM125" i="19" s="1"/>
  <c r="EN115" i="19" l="1"/>
  <c r="EN126" i="19" s="1"/>
  <c r="EO116" i="19" l="1"/>
  <c r="EO127" i="19" s="1"/>
  <c r="DW145" i="19" l="1"/>
  <c r="DQ145" i="19"/>
  <c r="EC145" i="19"/>
  <c r="EC147" i="19"/>
  <c r="DW147" i="19"/>
  <c r="DQ147" i="19"/>
  <c r="DQ151" i="19" l="1"/>
  <c r="DW151" i="19"/>
  <c r="EC151" i="19"/>
  <c r="DW165" i="19" l="1"/>
  <c r="DW148" i="19" s="1"/>
  <c r="DW149" i="19" s="1"/>
  <c r="DW150" i="19" s="1"/>
  <c r="DX152" i="19"/>
  <c r="DX166" i="19" s="1"/>
  <c r="DW146" i="19"/>
  <c r="ED152" i="19"/>
  <c r="EC165" i="19"/>
  <c r="EC148" i="19" s="1"/>
  <c r="EC149" i="19" s="1"/>
  <c r="EC150" i="19" s="1"/>
  <c r="EC146" i="19"/>
  <c r="DQ165" i="19"/>
  <c r="DR152" i="19"/>
  <c r="DR166" i="19" s="1"/>
  <c r="DQ146" i="19"/>
  <c r="DQ148" i="19" l="1"/>
  <c r="DQ149" i="19" s="1"/>
  <c r="DQ150" i="19" s="1"/>
  <c r="EF153" i="19"/>
  <c r="EG154" i="19" s="1"/>
  <c r="EG165" i="19" s="1"/>
  <c r="EG176" i="19" s="1"/>
  <c r="ED166" i="19"/>
  <c r="EZ148" i="19" l="1"/>
  <c r="EZ149" i="19" s="1"/>
  <c r="EH155" i="19"/>
  <c r="EH166" i="19" s="1"/>
  <c r="EZ150" i="19" l="1"/>
  <c r="EZ186" i="19"/>
  <c r="EZ187" i="19" s="1"/>
  <c r="EZ178" i="19"/>
  <c r="EZ179" i="19" s="1"/>
  <c r="EG178" i="19"/>
  <c r="EG148" i="19"/>
  <c r="EG149" i="19" s="1"/>
  <c r="EI156" i="19"/>
  <c r="EI167" i="19" s="1"/>
  <c r="S737" i="8" l="1"/>
  <c r="EJ157" i="19"/>
  <c r="EJ168" i="19" s="1"/>
  <c r="EK158" i="19" l="1"/>
  <c r="EK169" i="19" s="1"/>
  <c r="EL159" i="19" l="1"/>
  <c r="EL170" i="19" s="1"/>
  <c r="EM160" i="19" l="1"/>
  <c r="EM171" i="19" s="1"/>
  <c r="EN161" i="19" l="1"/>
  <c r="EN172" i="19" s="1"/>
  <c r="EO162" i="19" l="1"/>
  <c r="EO173" i="19" s="1"/>
  <c r="ED9" i="19" l="1"/>
  <c r="DR9" i="19"/>
  <c r="DX9" i="19"/>
  <c r="ED147" i="19"/>
  <c r="DX147" i="19"/>
  <c r="DX151" i="19" s="1"/>
  <c r="DR147" i="19"/>
  <c r="DR151" i="19" s="1"/>
  <c r="DX11" i="19"/>
  <c r="DX15" i="19" s="1"/>
  <c r="DR11" i="19"/>
  <c r="DR15" i="19" s="1"/>
  <c r="ED11" i="19"/>
  <c r="ED99" i="19"/>
  <c r="DX99" i="19"/>
  <c r="DR99" i="19"/>
  <c r="DX54" i="19"/>
  <c r="DX58" i="19" s="1"/>
  <c r="ED54" i="19"/>
  <c r="DR54" i="19"/>
  <c r="DR58" i="19" s="1"/>
  <c r="DX101" i="19"/>
  <c r="DX105" i="19" s="1"/>
  <c r="DR101" i="19"/>
  <c r="DR105" i="19" s="1"/>
  <c r="ED101" i="19"/>
  <c r="ED151" i="19" l="1"/>
  <c r="EF152" i="19" s="1"/>
  <c r="EF151" i="19"/>
  <c r="EG152" i="19" s="1"/>
  <c r="EH153" i="19" s="1"/>
  <c r="EI154" i="19" s="1"/>
  <c r="ED105" i="19"/>
  <c r="ED119" i="19" s="1"/>
  <c r="ED102" i="19" s="1"/>
  <c r="ED103" i="19" s="1"/>
  <c r="ED104" i="19" s="1"/>
  <c r="EF105" i="19"/>
  <c r="EG106" i="19" s="1"/>
  <c r="EH107" i="19" s="1"/>
  <c r="EI108" i="19" s="1"/>
  <c r="ED58" i="19"/>
  <c r="EF59" i="19" s="1"/>
  <c r="EF58" i="19"/>
  <c r="DR145" i="19"/>
  <c r="ED145" i="19"/>
  <c r="DX145" i="19"/>
  <c r="DX119" i="19"/>
  <c r="DX102" i="19" s="1"/>
  <c r="DX103" i="19" s="1"/>
  <c r="DX104" i="19" s="1"/>
  <c r="DX100" i="19"/>
  <c r="DX69" i="19"/>
  <c r="DX55" i="19" s="1"/>
  <c r="DX56" i="19" s="1"/>
  <c r="DX57" i="19" s="1"/>
  <c r="DX53" i="19"/>
  <c r="ED15" i="19"/>
  <c r="EF15" i="19" s="1"/>
  <c r="DR165" i="19"/>
  <c r="DR146" i="19"/>
  <c r="EF106" i="19"/>
  <c r="ED100" i="19"/>
  <c r="DR69" i="19"/>
  <c r="DR53" i="19"/>
  <c r="DR26" i="19"/>
  <c r="DR10" i="19"/>
  <c r="DX165" i="19"/>
  <c r="DX148" i="19" s="1"/>
  <c r="DX149" i="19" s="1"/>
  <c r="DX150" i="19" s="1"/>
  <c r="DX146" i="19"/>
  <c r="ED52" i="19"/>
  <c r="DX52" i="19"/>
  <c r="DR52" i="19"/>
  <c r="DR119" i="19"/>
  <c r="DR100" i="19"/>
  <c r="ED69" i="19"/>
  <c r="ED55" i="19" s="1"/>
  <c r="ED56" i="19" s="1"/>
  <c r="ED57" i="19" s="1"/>
  <c r="ED53" i="19"/>
  <c r="DX26" i="19"/>
  <c r="DX12" i="19" s="1"/>
  <c r="DX13" i="19" s="1"/>
  <c r="DX14" i="19" s="1"/>
  <c r="DX10" i="19"/>
  <c r="ED165" i="19"/>
  <c r="ED148" i="19" s="1"/>
  <c r="ED149" i="19" s="1"/>
  <c r="ED150" i="19" s="1"/>
  <c r="ED146" i="19"/>
  <c r="EI119" i="19" l="1"/>
  <c r="EI130" i="19" s="1"/>
  <c r="EJ109" i="19"/>
  <c r="EF69" i="19"/>
  <c r="EG59" i="19"/>
  <c r="EI165" i="19"/>
  <c r="EI176" i="19" s="1"/>
  <c r="EJ155" i="19"/>
  <c r="DR12" i="19"/>
  <c r="DR13" i="19" s="1"/>
  <c r="DR14" i="19" s="1"/>
  <c r="DR102" i="19"/>
  <c r="DR103" i="19" s="1"/>
  <c r="DR104" i="19" s="1"/>
  <c r="DR55" i="19"/>
  <c r="DR56" i="19" s="1"/>
  <c r="DR57" i="19" s="1"/>
  <c r="DR148" i="19"/>
  <c r="DR149" i="19" s="1"/>
  <c r="DR150" i="19" s="1"/>
  <c r="EF26" i="19"/>
  <c r="EG16" i="19"/>
  <c r="EG153" i="19"/>
  <c r="EF146" i="19"/>
  <c r="EF179" i="19" s="1"/>
  <c r="EF70" i="19"/>
  <c r="EF79" i="19" s="1"/>
  <c r="EG60" i="19"/>
  <c r="EG71" i="19" s="1"/>
  <c r="EF53" i="19"/>
  <c r="EG107" i="19"/>
  <c r="EF100" i="19"/>
  <c r="EF133" i="19" s="1"/>
  <c r="EF16" i="19"/>
  <c r="ED26" i="19"/>
  <c r="ED12" i="19" s="1"/>
  <c r="ED13" i="19" s="1"/>
  <c r="ED14" i="19" s="1"/>
  <c r="ED10" i="19"/>
  <c r="EH60" i="19" l="1"/>
  <c r="EG70" i="19"/>
  <c r="EJ166" i="19"/>
  <c r="EK156" i="19"/>
  <c r="EJ120" i="19"/>
  <c r="EK110" i="19"/>
  <c r="FA148" i="19"/>
  <c r="FA149" i="19" s="1"/>
  <c r="FA102" i="19"/>
  <c r="FA103" i="19" s="1"/>
  <c r="FA79" i="19"/>
  <c r="FA80" i="19" s="1"/>
  <c r="FA55" i="19"/>
  <c r="FA56" i="19" s="1"/>
  <c r="FA36" i="19"/>
  <c r="FA37" i="19" s="1"/>
  <c r="FA12" i="19"/>
  <c r="FA13" i="19" s="1"/>
  <c r="EF80" i="19"/>
  <c r="EH154" i="19"/>
  <c r="EH165" i="19" s="1"/>
  <c r="EH176" i="19" s="1"/>
  <c r="EG146" i="19"/>
  <c r="EG179" i="19" s="1"/>
  <c r="EF27" i="19"/>
  <c r="EF12" i="19" s="1"/>
  <c r="EF13" i="19" s="1"/>
  <c r="EG17" i="19"/>
  <c r="EG10" i="19" s="1"/>
  <c r="EG79" i="19"/>
  <c r="EH61" i="19"/>
  <c r="EH72" i="19" s="1"/>
  <c r="EG53" i="19"/>
  <c r="EF10" i="19"/>
  <c r="EF55" i="19"/>
  <c r="EF56" i="19" s="1"/>
  <c r="EH17" i="19"/>
  <c r="EG27" i="19"/>
  <c r="EH108" i="19"/>
  <c r="EH119" i="19" s="1"/>
  <c r="EH130" i="19" s="1"/>
  <c r="EG100" i="19"/>
  <c r="EG133" i="19" s="1"/>
  <c r="FA150" i="19" l="1"/>
  <c r="FA186" i="19"/>
  <c r="FA14" i="19"/>
  <c r="FA183" i="19"/>
  <c r="FA57" i="19"/>
  <c r="FA184" i="19"/>
  <c r="FA104" i="19"/>
  <c r="FA185" i="19"/>
  <c r="EK167" i="19"/>
  <c r="EL157" i="19"/>
  <c r="EK121" i="19"/>
  <c r="EL111" i="19"/>
  <c r="EH71" i="19"/>
  <c r="EI61" i="19"/>
  <c r="FA178" i="19"/>
  <c r="FA179" i="19" s="1"/>
  <c r="FA132" i="19"/>
  <c r="FA133" i="19" s="1"/>
  <c r="EF36" i="19"/>
  <c r="EF37" i="19" s="1"/>
  <c r="EG80" i="19"/>
  <c r="R734" i="8"/>
  <c r="EI18" i="19"/>
  <c r="EH28" i="19"/>
  <c r="EI109" i="19"/>
  <c r="EI120" i="19" s="1"/>
  <c r="EH100" i="19"/>
  <c r="R735" i="8"/>
  <c r="EH79" i="19"/>
  <c r="EI62" i="19"/>
  <c r="EI73" i="19" s="1"/>
  <c r="EH53" i="19"/>
  <c r="EG55" i="19"/>
  <c r="EG56" i="19" s="1"/>
  <c r="EH18" i="19"/>
  <c r="EG28" i="19"/>
  <c r="EG36" i="19" s="1"/>
  <c r="EG37" i="19" s="1"/>
  <c r="EI155" i="19"/>
  <c r="EI166" i="19" s="1"/>
  <c r="EH146" i="19"/>
  <c r="FA187" i="19" l="1"/>
  <c r="FD188" i="19" s="1"/>
  <c r="G46" i="18" s="1"/>
  <c r="EL122" i="19"/>
  <c r="EM112" i="19"/>
  <c r="EI72" i="19"/>
  <c r="EJ62" i="19"/>
  <c r="EL168" i="19"/>
  <c r="EM158" i="19"/>
  <c r="EH80" i="19"/>
  <c r="S735" i="8"/>
  <c r="EH55" i="19"/>
  <c r="EH56" i="19" s="1"/>
  <c r="EJ110" i="19"/>
  <c r="EJ121" i="19" s="1"/>
  <c r="EI132" i="19"/>
  <c r="EI100" i="19"/>
  <c r="EJ19" i="19"/>
  <c r="EI29" i="19"/>
  <c r="EH132" i="19"/>
  <c r="EH133" i="19" s="1"/>
  <c r="EH102" i="19"/>
  <c r="EH103" i="19" s="1"/>
  <c r="EH29" i="19"/>
  <c r="EH36" i="19" s="1"/>
  <c r="EI19" i="19"/>
  <c r="EH178" i="19"/>
  <c r="EH179" i="19" s="1"/>
  <c r="EH148" i="19"/>
  <c r="EH149" i="19" s="1"/>
  <c r="EG12" i="19"/>
  <c r="EG13" i="19" s="1"/>
  <c r="EH10" i="19"/>
  <c r="R738" i="8"/>
  <c r="EI178" i="19"/>
  <c r="EJ156" i="19"/>
  <c r="EJ167" i="19" s="1"/>
  <c r="EI146" i="19"/>
  <c r="EI79" i="19"/>
  <c r="EJ63" i="19"/>
  <c r="EJ74" i="19" s="1"/>
  <c r="EI53" i="19"/>
  <c r="G39" i="18" l="1"/>
  <c r="Q46" i="18"/>
  <c r="EJ73" i="19"/>
  <c r="EK63" i="19"/>
  <c r="EM169" i="19"/>
  <c r="EN159" i="19"/>
  <c r="EM123" i="19"/>
  <c r="EN113" i="19"/>
  <c r="EH12" i="19"/>
  <c r="EH13" i="19" s="1"/>
  <c r="EI133" i="19"/>
  <c r="EI80" i="19"/>
  <c r="EI179" i="19"/>
  <c r="EH37" i="19"/>
  <c r="EI55" i="19"/>
  <c r="EI56" i="19" s="1"/>
  <c r="S734" i="8"/>
  <c r="EJ20" i="19"/>
  <c r="EI30" i="19"/>
  <c r="EI12" i="19" s="1"/>
  <c r="EI13" i="19" s="1"/>
  <c r="EJ30" i="19"/>
  <c r="EK20" i="19"/>
  <c r="EJ10" i="19"/>
  <c r="T735" i="8"/>
  <c r="EK157" i="19"/>
  <c r="EK168" i="19" s="1"/>
  <c r="EJ178" i="19"/>
  <c r="EJ146" i="19"/>
  <c r="T736" i="8"/>
  <c r="EI10" i="19"/>
  <c r="EI102" i="19"/>
  <c r="EI103" i="19" s="1"/>
  <c r="T737" i="8"/>
  <c r="EJ79" i="19"/>
  <c r="EK64" i="19"/>
  <c r="EK75" i="19" s="1"/>
  <c r="EJ53" i="19"/>
  <c r="EI148" i="19"/>
  <c r="EI149" i="19" s="1"/>
  <c r="EI36" i="19"/>
  <c r="EJ132" i="19"/>
  <c r="EK111" i="19"/>
  <c r="EK122" i="19" s="1"/>
  <c r="EJ100" i="19"/>
  <c r="Q39" i="18" l="1"/>
  <c r="G11" i="18"/>
  <c r="G9" i="18" s="1"/>
  <c r="Q9" i="18" s="1"/>
  <c r="G12" i="18"/>
  <c r="EN170" i="19"/>
  <c r="EO160" i="19"/>
  <c r="EN124" i="19"/>
  <c r="EO114" i="19"/>
  <c r="EK74" i="19"/>
  <c r="EL64" i="19"/>
  <c r="T734" i="8"/>
  <c r="T738" i="8" s="1"/>
  <c r="EJ179" i="19"/>
  <c r="EJ133" i="19"/>
  <c r="EJ80" i="19"/>
  <c r="EI37" i="19"/>
  <c r="EK132" i="19"/>
  <c r="EL112" i="19"/>
  <c r="EL123" i="19" s="1"/>
  <c r="EK100" i="19"/>
  <c r="U737" i="8"/>
  <c r="EJ55" i="19"/>
  <c r="EJ56" i="19" s="1"/>
  <c r="U735" i="8"/>
  <c r="EJ102" i="19"/>
  <c r="EJ103" i="19" s="1"/>
  <c r="EK21" i="19"/>
  <c r="EK10" i="19" s="1"/>
  <c r="EJ31" i="19"/>
  <c r="EJ36" i="19" s="1"/>
  <c r="EJ37" i="19" s="1"/>
  <c r="EJ148" i="19"/>
  <c r="EJ149" i="19" s="1"/>
  <c r="U734" i="8"/>
  <c r="EK178" i="19"/>
  <c r="EL158" i="19"/>
  <c r="EL169" i="19" s="1"/>
  <c r="EK146" i="19"/>
  <c r="EL21" i="19"/>
  <c r="EK31" i="19"/>
  <c r="S738" i="8"/>
  <c r="EL65" i="19"/>
  <c r="EL76" i="19" s="1"/>
  <c r="EK79" i="19"/>
  <c r="EK53" i="19"/>
  <c r="U736" i="8"/>
  <c r="Q12" i="18" l="1"/>
  <c r="Q11" i="18"/>
  <c r="EO125" i="19"/>
  <c r="EP115" i="19"/>
  <c r="EL75" i="19"/>
  <c r="EL79" i="19" s="1"/>
  <c r="EM65" i="19"/>
  <c r="EO171" i="19"/>
  <c r="EP161" i="19"/>
  <c r="EJ12" i="19"/>
  <c r="EJ13" i="19" s="1"/>
  <c r="EK179" i="19"/>
  <c r="EK80" i="19"/>
  <c r="EK133" i="19"/>
  <c r="EM66" i="19"/>
  <c r="EM77" i="19" s="1"/>
  <c r="EL53" i="19"/>
  <c r="EL178" i="19"/>
  <c r="EM159" i="19"/>
  <c r="EM170" i="19" s="1"/>
  <c r="EL146" i="19"/>
  <c r="EK32" i="19"/>
  <c r="EK36" i="19" s="1"/>
  <c r="EK37" i="19" s="1"/>
  <c r="EL22" i="19"/>
  <c r="EL10" i="19" s="1"/>
  <c r="EK148" i="19"/>
  <c r="EK149" i="19" s="1"/>
  <c r="V737" i="8"/>
  <c r="V736" i="8"/>
  <c r="V735" i="8"/>
  <c r="EL132" i="19"/>
  <c r="EM113" i="19"/>
  <c r="EM124" i="19" s="1"/>
  <c r="EL100" i="19"/>
  <c r="EL32" i="19"/>
  <c r="EM22" i="19"/>
  <c r="EK55" i="19"/>
  <c r="EK56" i="19" s="1"/>
  <c r="U738" i="8"/>
  <c r="EK102" i="19"/>
  <c r="EK103" i="19" s="1"/>
  <c r="EM76" i="19" l="1"/>
  <c r="EN66" i="19"/>
  <c r="EP172" i="19"/>
  <c r="EQ162" i="19"/>
  <c r="EP126" i="19"/>
  <c r="EQ116" i="19"/>
  <c r="V734" i="8"/>
  <c r="EK12" i="19"/>
  <c r="EK13" i="19" s="1"/>
  <c r="EL179" i="19"/>
  <c r="EL133" i="19"/>
  <c r="EL80" i="19"/>
  <c r="W735" i="8"/>
  <c r="EL33" i="19"/>
  <c r="EL12" i="19" s="1"/>
  <c r="EL13" i="19" s="1"/>
  <c r="EM23" i="19"/>
  <c r="EM34" i="19" s="1"/>
  <c r="EL148" i="19"/>
  <c r="EL149" i="19" s="1"/>
  <c r="W736" i="8"/>
  <c r="EM33" i="19"/>
  <c r="EN23" i="19"/>
  <c r="EN114" i="19"/>
  <c r="EN125" i="19" s="1"/>
  <c r="EM132" i="19"/>
  <c r="EM100" i="19"/>
  <c r="W737" i="8"/>
  <c r="V738" i="8"/>
  <c r="EL55" i="19"/>
  <c r="EL56" i="19" s="1"/>
  <c r="EL102" i="19"/>
  <c r="EL103" i="19" s="1"/>
  <c r="EN160" i="19"/>
  <c r="EN171" i="19" s="1"/>
  <c r="EM178" i="19"/>
  <c r="EM146" i="19"/>
  <c r="EM79" i="19"/>
  <c r="EM53" i="19"/>
  <c r="EQ173" i="19" l="1"/>
  <c r="EQ146" i="19"/>
  <c r="EQ127" i="19"/>
  <c r="EQ100" i="19"/>
  <c r="EN77" i="19"/>
  <c r="EN53" i="19"/>
  <c r="W734" i="8"/>
  <c r="W738" i="8" s="1"/>
  <c r="EM10" i="19"/>
  <c r="EM179" i="19"/>
  <c r="EM80" i="19"/>
  <c r="EM133" i="19"/>
  <c r="X734" i="8"/>
  <c r="EN178" i="19"/>
  <c r="EO161" i="19"/>
  <c r="EO172" i="19" s="1"/>
  <c r="EN146" i="19"/>
  <c r="X735" i="8"/>
  <c r="EN10" i="19"/>
  <c r="EN34" i="19"/>
  <c r="EL36" i="19"/>
  <c r="EL37" i="19" s="1"/>
  <c r="EM55" i="19"/>
  <c r="EM56" i="19" s="1"/>
  <c r="X736" i="8"/>
  <c r="EM12" i="19"/>
  <c r="EM13" i="19" s="1"/>
  <c r="EM36" i="19"/>
  <c r="X737" i="8"/>
  <c r="EM102" i="19"/>
  <c r="EM103" i="19" s="1"/>
  <c r="EM148" i="19"/>
  <c r="EM149" i="19" s="1"/>
  <c r="EO115" i="19"/>
  <c r="EO126" i="19" s="1"/>
  <c r="EN132" i="19"/>
  <c r="EN100" i="19"/>
  <c r="EQ132" i="19" l="1"/>
  <c r="EQ133" i="19" s="1"/>
  <c r="EQ102" i="19"/>
  <c r="EQ103" i="19" s="1"/>
  <c r="AC736" i="8" s="1"/>
  <c r="EN79" i="19"/>
  <c r="EN80" i="19" s="1"/>
  <c r="EN55" i="19"/>
  <c r="EN56" i="19" s="1"/>
  <c r="Z735" i="8" s="1"/>
  <c r="EQ148" i="19"/>
  <c r="EQ149" i="19" s="1"/>
  <c r="AC737" i="8" s="1"/>
  <c r="EQ178" i="19"/>
  <c r="EQ179" i="19" s="1"/>
  <c r="EM37" i="19"/>
  <c r="EN179" i="19"/>
  <c r="EN133" i="19"/>
  <c r="EO132" i="19"/>
  <c r="EP116" i="19"/>
  <c r="EP127" i="19" s="1"/>
  <c r="EO100" i="19"/>
  <c r="EP162" i="19"/>
  <c r="EP173" i="19" s="1"/>
  <c r="EO178" i="19"/>
  <c r="EO146" i="19"/>
  <c r="Y737" i="8"/>
  <c r="Y734" i="8"/>
  <c r="Y735" i="8"/>
  <c r="EN148" i="19"/>
  <c r="EN149" i="19" s="1"/>
  <c r="X738" i="8"/>
  <c r="EN102" i="19"/>
  <c r="EN103" i="19" s="1"/>
  <c r="Y736" i="8"/>
  <c r="EN12" i="19"/>
  <c r="EN13" i="19" s="1"/>
  <c r="EN36" i="19"/>
  <c r="EN37" i="19" s="1"/>
  <c r="AD735" i="8" l="1"/>
  <c r="AC738" i="8"/>
  <c r="EO179" i="19"/>
  <c r="EO133" i="19"/>
  <c r="EP178" i="19"/>
  <c r="EP146" i="19"/>
  <c r="Z736" i="8"/>
  <c r="Z737" i="8"/>
  <c r="Y738" i="8"/>
  <c r="EP132" i="19"/>
  <c r="EP100" i="19"/>
  <c r="Z734" i="8"/>
  <c r="EO148" i="19"/>
  <c r="EO149" i="19" s="1"/>
  <c r="EO102" i="19"/>
  <c r="EO103" i="19" s="1"/>
  <c r="I805" i="8"/>
  <c r="F805" i="8"/>
  <c r="E805" i="8"/>
  <c r="D805" i="8"/>
  <c r="H773" i="8"/>
  <c r="E773" i="8"/>
  <c r="D773" i="8"/>
  <c r="D757" i="8"/>
  <c r="G744" i="8"/>
  <c r="E744" i="8"/>
  <c r="D744" i="8"/>
  <c r="EP179" i="19" l="1"/>
  <c r="EP133" i="19"/>
  <c r="AA737" i="8"/>
  <c r="EP102" i="19"/>
  <c r="EP103" i="19" s="1"/>
  <c r="AA736" i="8"/>
  <c r="Z738" i="8"/>
  <c r="AD734" i="8"/>
  <c r="EP148" i="19"/>
  <c r="EP149" i="19" s="1"/>
  <c r="AA738" i="8" l="1"/>
  <c r="AB736" i="8"/>
  <c r="AB737" i="8"/>
  <c r="AD737" i="8" s="1"/>
  <c r="AB738" i="8" l="1"/>
  <c r="AD736" i="8"/>
  <c r="AD738" i="8" s="1"/>
  <c r="Q730" i="8" s="1"/>
  <c r="F46" i="18" s="1"/>
  <c r="O268" i="8" l="1"/>
  <c r="N268" i="8"/>
  <c r="M268" i="8"/>
  <c r="M274" i="8" s="1"/>
  <c r="N267" i="8"/>
  <c r="O267" i="8"/>
  <c r="P267" i="8"/>
  <c r="Q267" i="8"/>
  <c r="R267" i="8"/>
  <c r="M267" i="8"/>
  <c r="M269" i="8" l="1"/>
  <c r="N269" i="8"/>
  <c r="N270" i="8"/>
  <c r="Q269" i="8"/>
  <c r="Q270" i="8"/>
  <c r="M275" i="8"/>
  <c r="M276" i="8" s="1"/>
  <c r="R269" i="8"/>
  <c r="R270" i="8"/>
  <c r="P269" i="8"/>
  <c r="P270" i="8"/>
  <c r="N274" i="8"/>
  <c r="N275" i="8"/>
  <c r="O269" i="8"/>
  <c r="O270" i="8"/>
  <c r="O274" i="8"/>
  <c r="O275" i="8"/>
  <c r="Z142" i="8"/>
  <c r="Z141" i="8"/>
  <c r="Z140" i="8"/>
  <c r="Y142" i="8"/>
  <c r="Y141" i="8"/>
  <c r="Y140" i="8"/>
  <c r="U159" i="8"/>
  <c r="N276" i="8" l="1"/>
  <c r="O276" i="8"/>
  <c r="P558" i="8"/>
  <c r="Q558" i="8"/>
  <c r="R558" i="8"/>
  <c r="S558" i="8"/>
  <c r="T558" i="8"/>
  <c r="U558" i="8"/>
  <c r="AA536" i="8" l="1"/>
  <c r="AB536" i="8"/>
  <c r="Z536" i="8"/>
  <c r="AA496" i="8"/>
  <c r="AB496" i="8" s="1"/>
  <c r="AA495" i="8"/>
  <c r="AB495" i="8" s="1"/>
  <c r="AA494" i="8"/>
  <c r="AB494" i="8" s="1"/>
  <c r="Z484" i="8"/>
  <c r="Z483" i="8"/>
  <c r="Z482" i="8"/>
  <c r="AB482" i="8"/>
  <c r="AB484" i="8"/>
  <c r="AB483" i="8"/>
  <c r="Q512" i="8"/>
  <c r="U527" i="8"/>
  <c r="T527" i="8"/>
  <c r="S527" i="8"/>
  <c r="R527" i="8"/>
  <c r="Q527" i="8"/>
  <c r="P527" i="8"/>
  <c r="O527" i="8"/>
  <c r="U521" i="8"/>
  <c r="T521" i="8"/>
  <c r="S521" i="8"/>
  <c r="R521" i="8"/>
  <c r="Q521" i="8"/>
  <c r="P521" i="8"/>
  <c r="O521" i="8"/>
  <c r="U514" i="8"/>
  <c r="T514" i="8"/>
  <c r="S514" i="8"/>
  <c r="R514" i="8"/>
  <c r="Q514" i="8"/>
  <c r="P514" i="8"/>
  <c r="O514" i="8"/>
  <c r="U513" i="8"/>
  <c r="T513" i="8"/>
  <c r="S513" i="8"/>
  <c r="R513" i="8"/>
  <c r="Q513" i="8"/>
  <c r="P513" i="8"/>
  <c r="O513" i="8"/>
  <c r="U512" i="8"/>
  <c r="T512" i="8"/>
  <c r="S512" i="8"/>
  <c r="R512" i="8"/>
  <c r="P512" i="8"/>
  <c r="O512" i="8"/>
  <c r="O515" i="8" s="1"/>
  <c r="U509" i="8"/>
  <c r="T509" i="8"/>
  <c r="S509" i="8"/>
  <c r="R509" i="8"/>
  <c r="Q509" i="8"/>
  <c r="P509" i="8"/>
  <c r="O509" i="8"/>
  <c r="U503" i="8"/>
  <c r="T503" i="8"/>
  <c r="Q503" i="8"/>
  <c r="P503" i="8"/>
  <c r="U497" i="8"/>
  <c r="T497" i="8"/>
  <c r="S497" i="8"/>
  <c r="R497" i="8"/>
  <c r="Q497" i="8"/>
  <c r="P497" i="8"/>
  <c r="O497" i="8"/>
  <c r="U490" i="8"/>
  <c r="T490" i="8"/>
  <c r="S490" i="8"/>
  <c r="R490" i="8"/>
  <c r="Q490" i="8"/>
  <c r="P490" i="8"/>
  <c r="O490" i="8"/>
  <c r="U489" i="8"/>
  <c r="T489" i="8"/>
  <c r="S489" i="8"/>
  <c r="R489" i="8"/>
  <c r="Q489" i="8"/>
  <c r="P489" i="8"/>
  <c r="O489" i="8"/>
  <c r="U488" i="8"/>
  <c r="T488" i="8"/>
  <c r="S488" i="8"/>
  <c r="R488" i="8"/>
  <c r="Q488" i="8"/>
  <c r="P488" i="8"/>
  <c r="O488" i="8"/>
  <c r="P491" i="8"/>
  <c r="U485" i="8"/>
  <c r="T485" i="8"/>
  <c r="S485" i="8"/>
  <c r="R485" i="8"/>
  <c r="Q485" i="8"/>
  <c r="P485" i="8"/>
  <c r="O485" i="8"/>
  <c r="F477" i="8"/>
  <c r="D478" i="8"/>
  <c r="F478" i="8" s="1"/>
  <c r="D479" i="8"/>
  <c r="F479" i="8" s="1"/>
  <c r="S515" i="8" l="1"/>
  <c r="O491" i="8"/>
  <c r="Z485" i="8"/>
  <c r="S491" i="8"/>
  <c r="T491" i="8"/>
  <c r="Q491" i="8"/>
  <c r="U491" i="8"/>
  <c r="AB485" i="8"/>
  <c r="AA485" i="8"/>
  <c r="T515" i="8"/>
  <c r="P515" i="8"/>
  <c r="Q515" i="8"/>
  <c r="U515" i="8"/>
  <c r="R515" i="8"/>
  <c r="R503" i="8"/>
  <c r="O503" i="8"/>
  <c r="S503" i="8"/>
  <c r="R491" i="8"/>
  <c r="Z420" i="8" l="1"/>
  <c r="AA420" i="8" s="1"/>
  <c r="AB420" i="8" s="1"/>
  <c r="Z419" i="8"/>
  <c r="AA419" i="8" s="1"/>
  <c r="AB419" i="8" s="1"/>
  <c r="Z422" i="8"/>
  <c r="AA422" i="8" s="1"/>
  <c r="Z421" i="8"/>
  <c r="AA421" i="8" s="1"/>
  <c r="Z408" i="8"/>
  <c r="AA408" i="8"/>
  <c r="AB408" i="8"/>
  <c r="Y408" i="8"/>
  <c r="U444" i="8"/>
  <c r="T444" i="8"/>
  <c r="S444" i="8"/>
  <c r="R444" i="8"/>
  <c r="Q444" i="8"/>
  <c r="P444" i="8"/>
  <c r="U443" i="8"/>
  <c r="T443" i="8"/>
  <c r="S443" i="8"/>
  <c r="R443" i="8"/>
  <c r="Q443" i="8"/>
  <c r="P443" i="8"/>
  <c r="U442" i="8"/>
  <c r="T442" i="8"/>
  <c r="S442" i="8"/>
  <c r="R442" i="8"/>
  <c r="Q442" i="8"/>
  <c r="P442" i="8"/>
  <c r="U441" i="8"/>
  <c r="T441" i="8"/>
  <c r="S441" i="8"/>
  <c r="R441" i="8"/>
  <c r="Q441" i="8"/>
  <c r="P441" i="8"/>
  <c r="O444" i="8"/>
  <c r="O443" i="8"/>
  <c r="O442" i="8"/>
  <c r="O441" i="8"/>
  <c r="U429" i="8"/>
  <c r="T429" i="8"/>
  <c r="S429" i="8"/>
  <c r="R429" i="8"/>
  <c r="Q429" i="8"/>
  <c r="P429" i="8"/>
  <c r="U428" i="8"/>
  <c r="T428" i="8"/>
  <c r="S428" i="8"/>
  <c r="R428" i="8"/>
  <c r="Q428" i="8"/>
  <c r="P428" i="8"/>
  <c r="U427" i="8"/>
  <c r="T427" i="8"/>
  <c r="S427" i="8"/>
  <c r="R427" i="8"/>
  <c r="Q427" i="8"/>
  <c r="P427" i="8"/>
  <c r="U426" i="8"/>
  <c r="T426" i="8"/>
  <c r="S426" i="8"/>
  <c r="R426" i="8"/>
  <c r="Q426" i="8"/>
  <c r="P426" i="8"/>
  <c r="O429" i="8"/>
  <c r="O428" i="8"/>
  <c r="O427" i="8"/>
  <c r="O426" i="8"/>
  <c r="U415" i="8"/>
  <c r="T415" i="8"/>
  <c r="S415" i="8"/>
  <c r="R415" i="8"/>
  <c r="Q415" i="8"/>
  <c r="P415" i="8"/>
  <c r="U414" i="8"/>
  <c r="T414" i="8"/>
  <c r="S414" i="8"/>
  <c r="R414" i="8"/>
  <c r="Q414" i="8"/>
  <c r="P414" i="8"/>
  <c r="U413" i="8"/>
  <c r="T413" i="8"/>
  <c r="S413" i="8"/>
  <c r="R413" i="8"/>
  <c r="Q413" i="8"/>
  <c r="P413" i="8"/>
  <c r="U412" i="8"/>
  <c r="T412" i="8"/>
  <c r="S412" i="8"/>
  <c r="R412" i="8"/>
  <c r="Q412" i="8"/>
  <c r="P412" i="8"/>
  <c r="O415" i="8"/>
  <c r="O414" i="8"/>
  <c r="O413" i="8"/>
  <c r="O412" i="8"/>
  <c r="U401" i="8"/>
  <c r="T401" i="8"/>
  <c r="S401" i="8"/>
  <c r="R401" i="8"/>
  <c r="Q401" i="8"/>
  <c r="P401" i="8"/>
  <c r="U400" i="8"/>
  <c r="T400" i="8"/>
  <c r="S400" i="8"/>
  <c r="R400" i="8"/>
  <c r="Q400" i="8"/>
  <c r="P400" i="8"/>
  <c r="U399" i="8"/>
  <c r="T399" i="8"/>
  <c r="S399" i="8"/>
  <c r="R399" i="8"/>
  <c r="Q399" i="8"/>
  <c r="P399" i="8"/>
  <c r="U398" i="8"/>
  <c r="T398" i="8"/>
  <c r="S398" i="8"/>
  <c r="R398" i="8"/>
  <c r="Q398" i="8"/>
  <c r="P398" i="8"/>
  <c r="O401" i="8"/>
  <c r="O400" i="8"/>
  <c r="O399" i="8"/>
  <c r="O398" i="8"/>
  <c r="U458" i="8"/>
  <c r="T458" i="8"/>
  <c r="S458" i="8"/>
  <c r="R458" i="8"/>
  <c r="Q458" i="8"/>
  <c r="P458" i="8"/>
  <c r="O458" i="8"/>
  <c r="U452" i="8"/>
  <c r="U453" i="8" s="1"/>
  <c r="T452" i="8"/>
  <c r="T453" i="8" s="1"/>
  <c r="S452" i="8"/>
  <c r="S455" i="8" s="1"/>
  <c r="S456" i="8" s="1"/>
  <c r="R452" i="8"/>
  <c r="R453" i="8" s="1"/>
  <c r="Q452" i="8"/>
  <c r="Q453" i="8" s="1"/>
  <c r="P452" i="8"/>
  <c r="P453" i="8" s="1"/>
  <c r="O452" i="8"/>
  <c r="O455" i="8" s="1"/>
  <c r="O456" i="8" s="1"/>
  <c r="U438" i="8"/>
  <c r="U445" i="8" s="1"/>
  <c r="T438" i="8"/>
  <c r="T445" i="8" s="1"/>
  <c r="S438" i="8"/>
  <c r="S445" i="8" s="1"/>
  <c r="R438" i="8"/>
  <c r="R445" i="8" s="1"/>
  <c r="Q438" i="8"/>
  <c r="Q445" i="8" s="1"/>
  <c r="P438" i="8"/>
  <c r="P445" i="8" s="1"/>
  <c r="O438" i="8"/>
  <c r="O445" i="8" s="1"/>
  <c r="U423" i="8"/>
  <c r="U430" i="8" s="1"/>
  <c r="T423" i="8"/>
  <c r="T430" i="8" s="1"/>
  <c r="S423" i="8"/>
  <c r="S430" i="8" s="1"/>
  <c r="R423" i="8"/>
  <c r="R430" i="8" s="1"/>
  <c r="Q423" i="8"/>
  <c r="Q430" i="8" s="1"/>
  <c r="P423" i="8"/>
  <c r="P430" i="8" s="1"/>
  <c r="O423" i="8"/>
  <c r="O430" i="8" s="1"/>
  <c r="U409" i="8"/>
  <c r="U416" i="8" s="1"/>
  <c r="T409" i="8"/>
  <c r="T416" i="8" s="1"/>
  <c r="S409" i="8"/>
  <c r="S416" i="8" s="1"/>
  <c r="R409" i="8"/>
  <c r="R416" i="8" s="1"/>
  <c r="Q409" i="8"/>
  <c r="Q416" i="8" s="1"/>
  <c r="P409" i="8"/>
  <c r="P416" i="8" s="1"/>
  <c r="O409" i="8"/>
  <c r="O416" i="8" s="1"/>
  <c r="U395" i="8"/>
  <c r="U459" i="8" s="1"/>
  <c r="U466" i="8" s="1"/>
  <c r="T395" i="8"/>
  <c r="T459" i="8" s="1"/>
  <c r="T466" i="8" s="1"/>
  <c r="S395" i="8"/>
  <c r="S459" i="8" s="1"/>
  <c r="S464" i="8" s="1"/>
  <c r="R395" i="8"/>
  <c r="R459" i="8" s="1"/>
  <c r="R465" i="8" s="1"/>
  <c r="Q395" i="8"/>
  <c r="Q459" i="8" s="1"/>
  <c r="Q466" i="8" s="1"/>
  <c r="P395" i="8"/>
  <c r="P459" i="8" s="1"/>
  <c r="P466" i="8" s="1"/>
  <c r="O395" i="8"/>
  <c r="O459" i="8" s="1"/>
  <c r="AI333" i="8"/>
  <c r="AP333" i="8" s="1"/>
  <c r="AW333" i="8" s="1"/>
  <c r="AH333" i="8"/>
  <c r="AO333" i="8" s="1"/>
  <c r="AV333" i="8" s="1"/>
  <c r="AG333" i="8"/>
  <c r="AN333" i="8" s="1"/>
  <c r="AU333" i="8" s="1"/>
  <c r="AF333" i="8"/>
  <c r="AM333" i="8" s="1"/>
  <c r="AT333" i="8" s="1"/>
  <c r="AI332" i="8"/>
  <c r="AP332" i="8" s="1"/>
  <c r="AW332" i="8" s="1"/>
  <c r="AH332" i="8"/>
  <c r="AO332" i="8" s="1"/>
  <c r="AV332" i="8" s="1"/>
  <c r="AG332" i="8"/>
  <c r="AN332" i="8" s="1"/>
  <c r="AU332" i="8" s="1"/>
  <c r="AF332" i="8"/>
  <c r="AM332" i="8" s="1"/>
  <c r="AT332" i="8" s="1"/>
  <c r="AI331" i="8"/>
  <c r="AP331" i="8" s="1"/>
  <c r="AW331" i="8" s="1"/>
  <c r="AH331" i="8"/>
  <c r="AO331" i="8" s="1"/>
  <c r="AV331" i="8" s="1"/>
  <c r="AG331" i="8"/>
  <c r="AN331" i="8" s="1"/>
  <c r="AU331" i="8" s="1"/>
  <c r="AI330" i="8"/>
  <c r="AP330" i="8" s="1"/>
  <c r="AW330" i="8" s="1"/>
  <c r="AH330" i="8"/>
  <c r="AO330" i="8" s="1"/>
  <c r="AV330" i="8" s="1"/>
  <c r="AG330" i="8"/>
  <c r="AN330" i="8" s="1"/>
  <c r="AU330" i="8" s="1"/>
  <c r="AF331" i="8"/>
  <c r="AM331" i="8" s="1"/>
  <c r="AT331" i="8" s="1"/>
  <c r="AF330" i="8"/>
  <c r="AM330" i="8" s="1"/>
  <c r="AT330" i="8" s="1"/>
  <c r="AW318" i="8"/>
  <c r="AV318" i="8"/>
  <c r="AU318" i="8"/>
  <c r="AT318" i="8"/>
  <c r="AP321" i="8"/>
  <c r="AP318" i="8"/>
  <c r="AO318" i="8"/>
  <c r="AN318" i="8"/>
  <c r="AM318" i="8"/>
  <c r="AI321" i="8"/>
  <c r="AI318" i="8"/>
  <c r="AH318" i="8"/>
  <c r="AG318" i="8"/>
  <c r="AF318" i="8"/>
  <c r="AA318" i="8"/>
  <c r="Z318" i="8"/>
  <c r="AB318" i="8"/>
  <c r="Y318" i="8"/>
  <c r="AB321" i="8"/>
  <c r="P371" i="8"/>
  <c r="Q371" i="8"/>
  <c r="R371" i="8"/>
  <c r="S371" i="8"/>
  <c r="T371" i="8"/>
  <c r="U371" i="8"/>
  <c r="O371" i="8"/>
  <c r="U364" i="8"/>
  <c r="T364" i="8"/>
  <c r="T365" i="8" s="1"/>
  <c r="S364" i="8"/>
  <c r="S365" i="8" s="1"/>
  <c r="R364" i="8"/>
  <c r="R365" i="8" s="1"/>
  <c r="Q364" i="8"/>
  <c r="Q367" i="8" s="1"/>
  <c r="Q368" i="8" s="1"/>
  <c r="P364" i="8"/>
  <c r="P365" i="8" s="1"/>
  <c r="O364" i="8"/>
  <c r="O365" i="8" s="1"/>
  <c r="U367" i="8" l="1"/>
  <c r="U368" i="8" s="1"/>
  <c r="U365" i="8"/>
  <c r="O466" i="8"/>
  <c r="O465" i="8"/>
  <c r="O464" i="8"/>
  <c r="U465" i="8"/>
  <c r="Q465" i="8"/>
  <c r="S466" i="8"/>
  <c r="R464" i="8"/>
  <c r="P402" i="8"/>
  <c r="P460" i="8" s="1"/>
  <c r="T465" i="8"/>
  <c r="P465" i="8"/>
  <c r="R466" i="8"/>
  <c r="U464" i="8"/>
  <c r="Q464" i="8"/>
  <c r="S465" i="8"/>
  <c r="T464" i="8"/>
  <c r="P464" i="8"/>
  <c r="AB422" i="8"/>
  <c r="AB421" i="8"/>
  <c r="S453" i="8"/>
  <c r="O453" i="8"/>
  <c r="T402" i="8"/>
  <c r="T460" i="8" s="1"/>
  <c r="Q402" i="8"/>
  <c r="Q460" i="8" s="1"/>
  <c r="U402" i="8"/>
  <c r="U460" i="8" s="1"/>
  <c r="R402" i="8"/>
  <c r="R460" i="8" s="1"/>
  <c r="O402" i="8"/>
  <c r="O460" i="8" s="1"/>
  <c r="S402" i="8"/>
  <c r="S460" i="8" s="1"/>
  <c r="T367" i="8"/>
  <c r="T368" i="8" s="1"/>
  <c r="P367" i="8"/>
  <c r="P368" i="8" s="1"/>
  <c r="Q365" i="8"/>
  <c r="S367" i="8"/>
  <c r="S368" i="8" s="1"/>
  <c r="P455" i="8"/>
  <c r="P456" i="8" s="1"/>
  <c r="O367" i="8"/>
  <c r="O368" i="8" s="1"/>
  <c r="R367" i="8"/>
  <c r="R368" i="8" s="1"/>
  <c r="T455" i="8"/>
  <c r="T456" i="8" s="1"/>
  <c r="Q455" i="8"/>
  <c r="Q456" i="8" s="1"/>
  <c r="U455" i="8"/>
  <c r="U456" i="8" s="1"/>
  <c r="R455" i="8"/>
  <c r="R456" i="8" s="1"/>
  <c r="U356" i="8" l="1"/>
  <c r="T356" i="8"/>
  <c r="S356" i="8"/>
  <c r="R356" i="8"/>
  <c r="Q356" i="8"/>
  <c r="P356" i="8"/>
  <c r="O356" i="8"/>
  <c r="U355" i="8"/>
  <c r="T355" i="8"/>
  <c r="S355" i="8"/>
  <c r="R355" i="8"/>
  <c r="Q355" i="8"/>
  <c r="P355" i="8"/>
  <c r="O355" i="8"/>
  <c r="U354" i="8"/>
  <c r="T354" i="8"/>
  <c r="S354" i="8"/>
  <c r="R354" i="8"/>
  <c r="Q354" i="8"/>
  <c r="P354" i="8"/>
  <c r="O354" i="8"/>
  <c r="U353" i="8"/>
  <c r="T353" i="8"/>
  <c r="S353" i="8"/>
  <c r="R353" i="8"/>
  <c r="Q353" i="8"/>
  <c r="P353" i="8"/>
  <c r="O353" i="8"/>
  <c r="U350" i="8"/>
  <c r="U357" i="8" s="1"/>
  <c r="T350" i="8"/>
  <c r="T357" i="8" s="1"/>
  <c r="S350" i="8"/>
  <c r="S357" i="8" s="1"/>
  <c r="R350" i="8"/>
  <c r="R357" i="8" s="1"/>
  <c r="Q350" i="8"/>
  <c r="Q357" i="8" s="1"/>
  <c r="P350" i="8"/>
  <c r="P357" i="8" s="1"/>
  <c r="O350" i="8"/>
  <c r="O357" i="8" s="1"/>
  <c r="U327" i="8"/>
  <c r="T327" i="8"/>
  <c r="S327" i="8"/>
  <c r="R327" i="8"/>
  <c r="Q327" i="8"/>
  <c r="P327" i="8"/>
  <c r="O327" i="8"/>
  <c r="U326" i="8"/>
  <c r="T326" i="8"/>
  <c r="S326" i="8"/>
  <c r="R326" i="8"/>
  <c r="Q326" i="8"/>
  <c r="P326" i="8"/>
  <c r="O326" i="8"/>
  <c r="U325" i="8"/>
  <c r="T325" i="8"/>
  <c r="S325" i="8"/>
  <c r="R325" i="8"/>
  <c r="Q325" i="8"/>
  <c r="P325" i="8"/>
  <c r="O325" i="8"/>
  <c r="U324" i="8"/>
  <c r="T324" i="8"/>
  <c r="S324" i="8"/>
  <c r="R324" i="8"/>
  <c r="Q324" i="8"/>
  <c r="P324" i="8"/>
  <c r="O324" i="8"/>
  <c r="U321" i="8"/>
  <c r="U328" i="8" s="1"/>
  <c r="T321" i="8"/>
  <c r="T328" i="8" s="1"/>
  <c r="S321" i="8"/>
  <c r="S328" i="8" s="1"/>
  <c r="R321" i="8"/>
  <c r="R328" i="8" s="1"/>
  <c r="Q321" i="8"/>
  <c r="Q328" i="8" s="1"/>
  <c r="P321" i="8"/>
  <c r="P328" i="8" s="1"/>
  <c r="O321" i="8"/>
  <c r="O328" i="8" s="1"/>
  <c r="U341" i="8"/>
  <c r="T341" i="8"/>
  <c r="S341" i="8"/>
  <c r="R341" i="8"/>
  <c r="Q341" i="8"/>
  <c r="P341" i="8"/>
  <c r="O341" i="8"/>
  <c r="U340" i="8"/>
  <c r="T340" i="8"/>
  <c r="S340" i="8"/>
  <c r="R340" i="8"/>
  <c r="Q340" i="8"/>
  <c r="P340" i="8"/>
  <c r="O340" i="8"/>
  <c r="U339" i="8"/>
  <c r="T339" i="8"/>
  <c r="S339" i="8"/>
  <c r="R339" i="8"/>
  <c r="Q339" i="8"/>
  <c r="P339" i="8"/>
  <c r="O339" i="8"/>
  <c r="U338" i="8"/>
  <c r="T338" i="8"/>
  <c r="S338" i="8"/>
  <c r="R338" i="8"/>
  <c r="Q338" i="8"/>
  <c r="P338" i="8"/>
  <c r="O338" i="8"/>
  <c r="U335" i="8"/>
  <c r="U342" i="8" s="1"/>
  <c r="T335" i="8"/>
  <c r="T342" i="8" s="1"/>
  <c r="S335" i="8"/>
  <c r="S342" i="8" s="1"/>
  <c r="R335" i="8"/>
  <c r="R342" i="8" s="1"/>
  <c r="Q335" i="8"/>
  <c r="Q342" i="8" s="1"/>
  <c r="P335" i="8"/>
  <c r="P342" i="8" s="1"/>
  <c r="O335" i="8"/>
  <c r="O342" i="8" s="1"/>
  <c r="U313" i="8"/>
  <c r="T313" i="8"/>
  <c r="S313" i="8"/>
  <c r="R313" i="8"/>
  <c r="Q313" i="8"/>
  <c r="P313" i="8"/>
  <c r="U312" i="8"/>
  <c r="T312" i="8"/>
  <c r="S312" i="8"/>
  <c r="R312" i="8"/>
  <c r="Q312" i="8"/>
  <c r="P312" i="8"/>
  <c r="U311" i="8"/>
  <c r="T311" i="8"/>
  <c r="S311" i="8"/>
  <c r="R311" i="8"/>
  <c r="Q311" i="8"/>
  <c r="P311" i="8"/>
  <c r="U310" i="8"/>
  <c r="T310" i="8"/>
  <c r="S310" i="8"/>
  <c r="R310" i="8"/>
  <c r="Q310" i="8"/>
  <c r="P310" i="8"/>
  <c r="O313" i="8"/>
  <c r="O312" i="8"/>
  <c r="O311" i="8"/>
  <c r="O310" i="8"/>
  <c r="U307" i="8"/>
  <c r="U372" i="8" s="1"/>
  <c r="T307" i="8"/>
  <c r="T372" i="8" s="1"/>
  <c r="S307" i="8"/>
  <c r="S372" i="8" s="1"/>
  <c r="R307" i="8"/>
  <c r="R372" i="8" s="1"/>
  <c r="Q307" i="8"/>
  <c r="Q372" i="8" s="1"/>
  <c r="P307" i="8"/>
  <c r="P372" i="8" s="1"/>
  <c r="O307" i="8"/>
  <c r="O372" i="8" s="1"/>
  <c r="R314" i="8" l="1"/>
  <c r="R373" i="8" s="1"/>
  <c r="R377" i="8"/>
  <c r="R376" i="8"/>
  <c r="O314" i="8"/>
  <c r="O373" i="8" s="1"/>
  <c r="S314" i="8"/>
  <c r="S373" i="8" s="1"/>
  <c r="Q377" i="8"/>
  <c r="Q376" i="8"/>
  <c r="O376" i="8"/>
  <c r="O377" i="8"/>
  <c r="S376" i="8"/>
  <c r="S377" i="8"/>
  <c r="P314" i="8"/>
  <c r="P373" i="8" s="1"/>
  <c r="T314" i="8"/>
  <c r="T373" i="8" s="1"/>
  <c r="U377" i="8"/>
  <c r="U376" i="8"/>
  <c r="P377" i="8"/>
  <c r="P376" i="8"/>
  <c r="T377" i="8"/>
  <c r="T376" i="8"/>
  <c r="Q314" i="8"/>
  <c r="Q373" i="8" s="1"/>
  <c r="U314" i="8"/>
  <c r="U373" i="8" s="1"/>
  <c r="Y243" i="8"/>
  <c r="AA245" i="8"/>
  <c r="X246" i="8"/>
  <c r="U254" i="8"/>
  <c r="U255" i="8" s="1"/>
  <c r="T254" i="8"/>
  <c r="S254" i="8"/>
  <c r="S255" i="8" s="1"/>
  <c r="R254" i="8"/>
  <c r="R255" i="8" s="1"/>
  <c r="Q254" i="8"/>
  <c r="Q255" i="8" s="1"/>
  <c r="P254" i="8"/>
  <c r="P255" i="8" s="1"/>
  <c r="O254" i="8"/>
  <c r="O255" i="8" s="1"/>
  <c r="P258" i="8"/>
  <c r="Q258" i="8"/>
  <c r="R258" i="8"/>
  <c r="S258" i="8"/>
  <c r="T258" i="8"/>
  <c r="U258" i="8"/>
  <c r="O258" i="8"/>
  <c r="T255" i="8"/>
  <c r="Q259" i="8" l="1"/>
  <c r="U259" i="8"/>
  <c r="R259" i="8"/>
  <c r="P259" i="8"/>
  <c r="T259" i="8"/>
  <c r="AA244" i="8"/>
  <c r="AB247" i="8"/>
  <c r="Y246" i="8"/>
  <c r="Z246" i="8"/>
  <c r="AA243" i="8"/>
  <c r="O259" i="8"/>
  <c r="S259" i="8"/>
  <c r="AD247" i="8" l="1"/>
  <c r="AC247" i="8"/>
  <c r="AC248" i="8" s="1"/>
  <c r="AA246" i="8"/>
  <c r="AD248" i="8" l="1"/>
  <c r="AE247" i="8"/>
  <c r="AE248" i="8" s="1"/>
  <c r="Y214" i="8" l="1"/>
  <c r="Z214" i="8" s="1"/>
  <c r="Y213" i="8"/>
  <c r="Y210" i="8" s="1"/>
  <c r="AC215" i="8"/>
  <c r="Z215" i="8"/>
  <c r="AA215" i="8" s="1"/>
  <c r="AC214" i="8"/>
  <c r="AC213" i="8"/>
  <c r="AD215" i="8" l="1"/>
  <c r="AE215" i="8" s="1"/>
  <c r="AD216" i="8"/>
  <c r="AD214" i="8"/>
  <c r="AE214" i="8" s="1"/>
  <c r="AD213" i="8"/>
  <c r="AE213" i="8" s="1"/>
  <c r="AA214" i="8"/>
  <c r="Z213" i="8"/>
  <c r="P228" i="8"/>
  <c r="Q228" i="8"/>
  <c r="R228" i="8"/>
  <c r="S228" i="8"/>
  <c r="T228" i="8"/>
  <c r="U228" i="8"/>
  <c r="O228" i="8"/>
  <c r="AA213" i="8" l="1"/>
  <c r="AA210" i="8" s="1"/>
  <c r="Z210" i="8"/>
  <c r="AE216" i="8"/>
  <c r="U224" i="8"/>
  <c r="U225" i="8" s="1"/>
  <c r="U229" i="8" s="1"/>
  <c r="T224" i="8"/>
  <c r="T225" i="8" s="1"/>
  <c r="T229" i="8" s="1"/>
  <c r="S224" i="8"/>
  <c r="S225" i="8" s="1"/>
  <c r="S229" i="8" s="1"/>
  <c r="R224" i="8"/>
  <c r="R225" i="8" s="1"/>
  <c r="R229" i="8" s="1"/>
  <c r="Q224" i="8"/>
  <c r="Q225" i="8" s="1"/>
  <c r="Q229" i="8" s="1"/>
  <c r="P224" i="8"/>
  <c r="P225" i="8" s="1"/>
  <c r="P229" i="8" s="1"/>
  <c r="O224" i="8"/>
  <c r="O225" i="8" s="1"/>
  <c r="O229" i="8" s="1"/>
  <c r="X216" i="8" l="1"/>
  <c r="C4" i="13"/>
  <c r="D4" i="13"/>
  <c r="E4" i="13"/>
  <c r="F4" i="13"/>
  <c r="G4" i="13"/>
  <c r="H4" i="13"/>
  <c r="I4" i="13"/>
  <c r="J4" i="13"/>
  <c r="K4" i="13"/>
  <c r="L4" i="13"/>
  <c r="M4" i="13"/>
  <c r="B4" i="13"/>
  <c r="Z477" i="8" l="1"/>
  <c r="AA477" i="8"/>
  <c r="AA488" i="8" s="1"/>
  <c r="AA521" i="8" s="1"/>
  <c r="AB477" i="8"/>
  <c r="AB488" i="8" s="1"/>
  <c r="AB521" i="8" s="1"/>
  <c r="P4" i="13"/>
  <c r="R4" i="13"/>
  <c r="Q4" i="13"/>
  <c r="O4" i="13"/>
  <c r="Z489" i="8"/>
  <c r="Z522" i="8" s="1"/>
  <c r="Z490" i="8"/>
  <c r="Z523" i="8" s="1"/>
  <c r="Z488" i="8"/>
  <c r="Z521" i="8" s="1"/>
  <c r="AA490" i="8"/>
  <c r="AA523" i="8" s="1"/>
  <c r="AB489" i="8"/>
  <c r="AB522" i="8" s="1"/>
  <c r="Z216" i="8"/>
  <c r="Y216" i="8"/>
  <c r="AA489" i="8" l="1"/>
  <c r="AA522" i="8" s="1"/>
  <c r="AB490" i="8"/>
  <c r="AB523" i="8" s="1"/>
  <c r="AA500" i="8"/>
  <c r="AA491" i="8"/>
  <c r="Z528" i="8"/>
  <c r="AB500" i="8"/>
  <c r="AB491" i="8"/>
  <c r="Z491" i="8"/>
  <c r="AA502" i="8"/>
  <c r="Z502" i="8"/>
  <c r="AB501" i="8"/>
  <c r="AA501" i="8"/>
  <c r="Z501" i="8"/>
  <c r="AA528" i="8"/>
  <c r="AA537" i="8" s="1"/>
  <c r="AB502" i="8" l="1"/>
  <c r="AB503" i="8" s="1"/>
  <c r="AB528" i="8"/>
  <c r="AB537" i="8" s="1"/>
  <c r="Z524" i="8"/>
  <c r="AA524" i="8"/>
  <c r="AB524" i="8"/>
  <c r="Z503" i="8"/>
  <c r="Z537" i="8"/>
  <c r="AC540" i="8"/>
  <c r="AC541" i="8" s="1"/>
  <c r="AA503" i="8"/>
  <c r="AA216" i="8"/>
  <c r="AC537" i="8" l="1"/>
  <c r="AC524" i="8"/>
  <c r="X237" i="8"/>
  <c r="AF245" i="8" l="1"/>
  <c r="AF246" i="8"/>
  <c r="AF243" i="8"/>
  <c r="Y387" i="8"/>
  <c r="Y393" i="8" s="1"/>
  <c r="AF244" i="8"/>
  <c r="AF247" i="8" l="1"/>
  <c r="AF249" i="8" s="1"/>
  <c r="Y395" i="8"/>
  <c r="Y397" i="8" s="1"/>
  <c r="Y399" i="8" s="1"/>
  <c r="Y400" i="8" s="1"/>
  <c r="Y412" i="8" l="1"/>
  <c r="Y413" i="8"/>
  <c r="Y427" i="8" s="1"/>
  <c r="Y415" i="8"/>
  <c r="Y429" i="8" s="1"/>
  <c r="Y414" i="8"/>
  <c r="Y428" i="8" s="1"/>
  <c r="Y401" i="8"/>
  <c r="Y298" i="8"/>
  <c r="AF214" i="8"/>
  <c r="AF216" i="8"/>
  <c r="AF215" i="8"/>
  <c r="Y304" i="8" l="1"/>
  <c r="Y306" i="8" s="1"/>
  <c r="Y308" i="8" s="1"/>
  <c r="Y309" i="8" s="1"/>
  <c r="AA327" i="8" s="1"/>
  <c r="AA326" i="8" s="1"/>
  <c r="AA340" i="8" s="1"/>
  <c r="AD723" i="8"/>
  <c r="AD722" i="8" s="1"/>
  <c r="AF217" i="8"/>
  <c r="AJ213" i="8" s="1"/>
  <c r="Y416" i="8"/>
  <c r="Y426" i="8"/>
  <c r="Y430" i="8" s="1"/>
  <c r="AJ243" i="8" l="1"/>
  <c r="AA323" i="8"/>
  <c r="AA337" i="8" s="1"/>
  <c r="AA324" i="8"/>
  <c r="AA338" i="8" s="1"/>
  <c r="AJ216" i="8"/>
  <c r="AJ246" i="8"/>
  <c r="AA325" i="8"/>
  <c r="AA339" i="8" s="1"/>
  <c r="Z327" i="8"/>
  <c r="Z323" i="8" s="1"/>
  <c r="Z337" i="8" s="1"/>
  <c r="AB327" i="8"/>
  <c r="AB324" i="8" s="1"/>
  <c r="AB338" i="8" s="1"/>
  <c r="Y324" i="8"/>
  <c r="Y338" i="8" s="1"/>
  <c r="AJ245" i="8"/>
  <c r="AJ215" i="8"/>
  <c r="AJ244" i="8"/>
  <c r="AF219" i="8"/>
  <c r="AJ214" i="8"/>
  <c r="Y310" i="8"/>
  <c r="P268" i="8"/>
  <c r="P275" i="8" l="1"/>
  <c r="P274" i="8"/>
  <c r="AA341" i="8"/>
  <c r="AB323" i="8"/>
  <c r="AB337" i="8" s="1"/>
  <c r="AB326" i="8"/>
  <c r="AB340" i="8" s="1"/>
  <c r="AB325" i="8"/>
  <c r="AB339" i="8" s="1"/>
  <c r="Y325" i="8"/>
  <c r="Y339" i="8" s="1"/>
  <c r="Y337" i="8"/>
  <c r="AC337" i="8" s="1"/>
  <c r="Z324" i="8"/>
  <c r="Z338" i="8" s="1"/>
  <c r="AC338" i="8" s="1"/>
  <c r="Z325" i="8"/>
  <c r="Z339" i="8" s="1"/>
  <c r="Z326" i="8"/>
  <c r="Z340" i="8" s="1"/>
  <c r="Y326" i="8"/>
  <c r="Y340" i="8" s="1"/>
  <c r="R268" i="8"/>
  <c r="P276" i="8" l="1"/>
  <c r="R274" i="8"/>
  <c r="R275" i="8"/>
  <c r="AB341" i="8"/>
  <c r="Y341" i="8"/>
  <c r="AC339" i="8"/>
  <c r="Z341" i="8"/>
  <c r="AC340" i="8"/>
  <c r="Q268" i="8"/>
  <c r="R276" i="8" l="1"/>
  <c r="Q275" i="8"/>
  <c r="Q274" i="8"/>
  <c r="AC341" i="8"/>
  <c r="Y237" i="8"/>
  <c r="AG244" i="8" s="1"/>
  <c r="Z298" i="8"/>
  <c r="Q276" i="8" l="1"/>
  <c r="Z304" i="8"/>
  <c r="Z306" i="8" s="1"/>
  <c r="AE723" i="8"/>
  <c r="AE722" i="8" s="1"/>
  <c r="AG245" i="8"/>
  <c r="Z387" i="8"/>
  <c r="Z393" i="8" s="1"/>
  <c r="Z395" i="8" s="1"/>
  <c r="Z397" i="8" s="1"/>
  <c r="Z399" i="8" s="1"/>
  <c r="Z400" i="8" s="1"/>
  <c r="Z414" i="8" s="1"/>
  <c r="Z428" i="8" s="1"/>
  <c r="AG243" i="8"/>
  <c r="AG246" i="8"/>
  <c r="AG213" i="8"/>
  <c r="AG215" i="8"/>
  <c r="AG214" i="8"/>
  <c r="AG216" i="8"/>
  <c r="Z415" i="8" l="1"/>
  <c r="Z429" i="8" s="1"/>
  <c r="Z413" i="8"/>
  <c r="Z427" i="8" s="1"/>
  <c r="Z401" i="8"/>
  <c r="Z412" i="8"/>
  <c r="Z308" i="8"/>
  <c r="Z309" i="8" s="1"/>
  <c r="AG247" i="8"/>
  <c r="AG249" i="8" s="1"/>
  <c r="AG217" i="8"/>
  <c r="AK243" i="8" s="1"/>
  <c r="Z416" i="8" l="1"/>
  <c r="Z426" i="8"/>
  <c r="Z430" i="8" s="1"/>
  <c r="AG327" i="8"/>
  <c r="AF327" i="8"/>
  <c r="AH327" i="8"/>
  <c r="AI327" i="8"/>
  <c r="AK216" i="8"/>
  <c r="AG219" i="8"/>
  <c r="AK246" i="8"/>
  <c r="AK245" i="8"/>
  <c r="AK214" i="8"/>
  <c r="AK213" i="8"/>
  <c r="AK244" i="8"/>
  <c r="AK215" i="8"/>
  <c r="T268" i="8"/>
  <c r="S267" i="8"/>
  <c r="S269" i="8" l="1"/>
  <c r="S270" i="8"/>
  <c r="T275" i="8"/>
  <c r="T274" i="8"/>
  <c r="S268" i="8"/>
  <c r="AF323" i="8"/>
  <c r="AF337" i="8" s="1"/>
  <c r="AF325" i="8"/>
  <c r="AF339" i="8" s="1"/>
  <c r="AF326" i="8"/>
  <c r="AF340" i="8" s="1"/>
  <c r="AF324" i="8"/>
  <c r="AF338" i="8" s="1"/>
  <c r="AH326" i="8"/>
  <c r="AH340" i="8" s="1"/>
  <c r="AH325" i="8"/>
  <c r="AH339" i="8" s="1"/>
  <c r="AH324" i="8"/>
  <c r="AH338" i="8" s="1"/>
  <c r="AH323" i="8"/>
  <c r="AH337" i="8" s="1"/>
  <c r="AG326" i="8"/>
  <c r="AG340" i="8" s="1"/>
  <c r="AG325" i="8"/>
  <c r="AG339" i="8" s="1"/>
  <c r="AG323" i="8"/>
  <c r="AG337" i="8" s="1"/>
  <c r="AG324" i="8"/>
  <c r="AG338" i="8" s="1"/>
  <c r="AI323" i="8"/>
  <c r="AI337" i="8" s="1"/>
  <c r="AI324" i="8"/>
  <c r="AI338" i="8" s="1"/>
  <c r="AI326" i="8"/>
  <c r="AI340" i="8" s="1"/>
  <c r="AI325" i="8"/>
  <c r="AI339" i="8" s="1"/>
  <c r="T267" i="8"/>
  <c r="T276" i="8" l="1"/>
  <c r="T269" i="8"/>
  <c r="T270" i="8"/>
  <c r="S274" i="8"/>
  <c r="S275" i="8"/>
  <c r="AG341" i="8"/>
  <c r="AJ340" i="8"/>
  <c r="AJ338" i="8"/>
  <c r="AJ339" i="8"/>
  <c r="AH341" i="8"/>
  <c r="AI341" i="8"/>
  <c r="AF341" i="8"/>
  <c r="AJ337" i="8"/>
  <c r="S276" i="8" l="1"/>
  <c r="AJ341" i="8"/>
  <c r="U267" i="8" l="1"/>
  <c r="U269" i="8" l="1"/>
  <c r="U270" i="8"/>
  <c r="U268" i="8"/>
  <c r="Z237" i="8"/>
  <c r="AA298" i="8"/>
  <c r="U275" i="8" l="1"/>
  <c r="U274" i="8"/>
  <c r="AA304" i="8"/>
  <c r="AA306" i="8" s="1"/>
  <c r="AA308" i="8" s="1"/>
  <c r="AA309" i="8" s="1"/>
  <c r="AM327" i="8" s="1"/>
  <c r="AF723" i="8"/>
  <c r="AF722" i="8" s="1"/>
  <c r="AH245" i="8"/>
  <c r="AA387" i="8"/>
  <c r="AA393" i="8" s="1"/>
  <c r="AA395" i="8" s="1"/>
  <c r="AA397" i="8" s="1"/>
  <c r="AA399" i="8" s="1"/>
  <c r="AA400" i="8" s="1"/>
  <c r="AH243" i="8"/>
  <c r="AH244" i="8"/>
  <c r="AH246" i="8"/>
  <c r="AH213" i="8"/>
  <c r="AH214" i="8"/>
  <c r="AH216" i="8"/>
  <c r="AH215" i="8"/>
  <c r="U276" i="8" l="1"/>
  <c r="AN327" i="8"/>
  <c r="AN326" i="8" s="1"/>
  <c r="AN340" i="8" s="1"/>
  <c r="AP327" i="8"/>
  <c r="AP326" i="8" s="1"/>
  <c r="AP340" i="8" s="1"/>
  <c r="AO327" i="8"/>
  <c r="AO326" i="8" s="1"/>
  <c r="AO340" i="8" s="1"/>
  <c r="AA415" i="8"/>
  <c r="AA429" i="8" s="1"/>
  <c r="AA412" i="8"/>
  <c r="AA414" i="8"/>
  <c r="AA428" i="8" s="1"/>
  <c r="AA401" i="8"/>
  <c r="AA413" i="8"/>
  <c r="AA427" i="8" s="1"/>
  <c r="AN324" i="8"/>
  <c r="AN338" i="8" s="1"/>
  <c r="AM323" i="8"/>
  <c r="AM337" i="8" s="1"/>
  <c r="AM325" i="8"/>
  <c r="AM339" i="8" s="1"/>
  <c r="AM326" i="8"/>
  <c r="AM340" i="8" s="1"/>
  <c r="AM324" i="8"/>
  <c r="AM338" i="8" s="1"/>
  <c r="AP325" i="8"/>
  <c r="AP339" i="8" s="1"/>
  <c r="AH247" i="8"/>
  <c r="AH249" i="8" s="1"/>
  <c r="AH217" i="8"/>
  <c r="AL216" i="8" s="1"/>
  <c r="V267" i="8"/>
  <c r="AN325" i="8" l="1"/>
  <c r="AN339" i="8" s="1"/>
  <c r="AP324" i="8"/>
  <c r="AP338" i="8" s="1"/>
  <c r="V269" i="8"/>
  <c r="V270" i="8"/>
  <c r="AN323" i="8"/>
  <c r="AN337" i="8" s="1"/>
  <c r="AN341" i="8" s="1"/>
  <c r="AP323" i="8"/>
  <c r="AP337" i="8" s="1"/>
  <c r="AP341" i="8" s="1"/>
  <c r="AO323" i="8"/>
  <c r="AO337" i="8" s="1"/>
  <c r="AO324" i="8"/>
  <c r="AO338" i="8" s="1"/>
  <c r="AQ338" i="8" s="1"/>
  <c r="AO325" i="8"/>
  <c r="AO339" i="8" s="1"/>
  <c r="AQ339" i="8" s="1"/>
  <c r="V268" i="8"/>
  <c r="AA426" i="8"/>
  <c r="AA430" i="8" s="1"/>
  <c r="AA416" i="8"/>
  <c r="AQ340" i="8"/>
  <c r="AM341" i="8"/>
  <c r="AL213" i="8"/>
  <c r="AL244" i="8"/>
  <c r="AL215" i="8"/>
  <c r="AH219" i="8"/>
  <c r="AL246" i="8"/>
  <c r="AL214" i="8"/>
  <c r="AL245" i="8"/>
  <c r="AL243" i="8"/>
  <c r="V275" i="8" l="1"/>
  <c r="V274" i="8"/>
  <c r="AQ337" i="8"/>
  <c r="AO341" i="8"/>
  <c r="AQ341" i="8" s="1"/>
  <c r="W267" i="8"/>
  <c r="W269" i="8" l="1"/>
  <c r="W270" i="8"/>
  <c r="V276" i="8"/>
  <c r="W268" i="8"/>
  <c r="W274" i="8" l="1"/>
  <c r="W275" i="8"/>
  <c r="X267" i="8"/>
  <c r="X269" i="8" l="1"/>
  <c r="Y269" i="8" s="1"/>
  <c r="X270" i="8"/>
  <c r="Y270" i="8" s="1"/>
  <c r="W276" i="8"/>
  <c r="X268" i="8"/>
  <c r="AA237" i="8"/>
  <c r="AB298" i="8"/>
  <c r="X275" i="8" l="1"/>
  <c r="X274" i="8"/>
  <c r="AB304" i="8"/>
  <c r="AB306" i="8" s="1"/>
  <c r="AB308" i="8" s="1"/>
  <c r="AB309" i="8" s="1"/>
  <c r="AG723" i="8"/>
  <c r="AG722" i="8" s="1"/>
  <c r="AB387" i="8"/>
  <c r="AB393" i="8" s="1"/>
  <c r="AB395" i="8" s="1"/>
  <c r="AB397" i="8" s="1"/>
  <c r="AB399" i="8" s="1"/>
  <c r="AB400" i="8" s="1"/>
  <c r="AI245" i="8"/>
  <c r="AI244" i="8"/>
  <c r="AI243" i="8"/>
  <c r="AI246" i="8"/>
  <c r="AI214" i="8"/>
  <c r="AI213" i="8"/>
  <c r="AI215" i="8"/>
  <c r="AI216" i="8"/>
  <c r="AC726" i="8" l="1"/>
  <c r="AC727" i="8" s="1"/>
  <c r="G40" i="22" s="1"/>
  <c r="G36" i="22" s="1"/>
  <c r="X276" i="8"/>
  <c r="Y276" i="8" s="1"/>
  <c r="Q262" i="8" s="1"/>
  <c r="G32" i="22" s="1"/>
  <c r="AB413" i="8"/>
  <c r="AB427" i="8" s="1"/>
  <c r="AB415" i="8"/>
  <c r="AB429" i="8" s="1"/>
  <c r="AB412" i="8"/>
  <c r="AB401" i="8"/>
  <c r="AB414" i="8"/>
  <c r="AB428" i="8" s="1"/>
  <c r="AU327" i="8"/>
  <c r="AW327" i="8"/>
  <c r="AV327" i="8"/>
  <c r="AT327" i="8"/>
  <c r="AI217" i="8"/>
  <c r="AM214" i="8" s="1"/>
  <c r="AI247" i="8"/>
  <c r="AI249" i="8" s="1"/>
  <c r="Q708" i="8" l="1"/>
  <c r="F44" i="18"/>
  <c r="F40" i="18" s="1"/>
  <c r="F36" i="18"/>
  <c r="G35" i="22"/>
  <c r="AB426" i="8"/>
  <c r="AB430" i="8" s="1"/>
  <c r="AB416" i="8"/>
  <c r="AV326" i="8"/>
  <c r="AV340" i="8" s="1"/>
  <c r="AV324" i="8"/>
  <c r="AV338" i="8" s="1"/>
  <c r="AV325" i="8"/>
  <c r="AV339" i="8" s="1"/>
  <c r="AV323" i="8"/>
  <c r="AV337" i="8" s="1"/>
  <c r="AW325" i="8"/>
  <c r="AW339" i="8" s="1"/>
  <c r="AW326" i="8"/>
  <c r="AW340" i="8" s="1"/>
  <c r="AW323" i="8"/>
  <c r="AW337" i="8" s="1"/>
  <c r="AW324" i="8"/>
  <c r="AW338" i="8" s="1"/>
  <c r="AT325" i="8"/>
  <c r="AT339" i="8" s="1"/>
  <c r="AT326" i="8"/>
  <c r="AT340" i="8" s="1"/>
  <c r="AT324" i="8"/>
  <c r="AT338" i="8" s="1"/>
  <c r="AT323" i="8"/>
  <c r="AT337" i="8" s="1"/>
  <c r="AU323" i="8"/>
  <c r="AU337" i="8" s="1"/>
  <c r="AU324" i="8"/>
  <c r="AU338" i="8" s="1"/>
  <c r="AU325" i="8"/>
  <c r="AU339" i="8" s="1"/>
  <c r="AU326" i="8"/>
  <c r="AU340" i="8" s="1"/>
  <c r="AM216" i="8"/>
  <c r="AI219" i="8"/>
  <c r="AM215" i="8"/>
  <c r="AM245" i="8"/>
  <c r="AM244" i="8"/>
  <c r="AM246" i="8"/>
  <c r="AM243" i="8"/>
  <c r="AM213" i="8"/>
  <c r="F39" i="18" l="1"/>
  <c r="AT341" i="8"/>
  <c r="AX337" i="8"/>
  <c r="AX338" i="8"/>
  <c r="AW341" i="8"/>
  <c r="AX340" i="8"/>
  <c r="AV341" i="8"/>
  <c r="AU341" i="8"/>
  <c r="AX339" i="8"/>
  <c r="AX353" i="8" l="1"/>
  <c r="AX354" i="8"/>
  <c r="AX351" i="8"/>
  <c r="AX352" i="8"/>
  <c r="AX341" i="8"/>
  <c r="B167" i="1" l="1"/>
  <c r="B168" i="1"/>
  <c r="B169" i="1"/>
  <c r="B170" i="1"/>
  <c r="Z143" i="8" l="1"/>
  <c r="Y143" i="8"/>
  <c r="X143" i="8"/>
  <c r="O159" i="8" l="1"/>
  <c r="I4" i="2" l="1"/>
  <c r="H4" i="2"/>
  <c r="I3" i="2"/>
  <c r="H3" i="2"/>
  <c r="C47" i="2"/>
  <c r="E47" i="2" l="1"/>
  <c r="E44" i="2"/>
  <c r="R161" i="8" l="1"/>
  <c r="S161" i="8"/>
  <c r="T160" i="8"/>
  <c r="P160" i="8"/>
  <c r="Q161" i="8"/>
  <c r="O161" i="8"/>
  <c r="Q160" i="8"/>
  <c r="O160" i="8"/>
  <c r="Q159" i="8"/>
  <c r="P159" i="8"/>
  <c r="O162" i="8"/>
  <c r="T159" i="8" l="1"/>
  <c r="U161" i="8"/>
  <c r="U160" i="8"/>
  <c r="R159" i="8"/>
  <c r="T161" i="8"/>
  <c r="T162" i="8" s="1"/>
  <c r="Q162" i="8"/>
  <c r="R160" i="8"/>
  <c r="S160" i="8"/>
  <c r="S159" i="8"/>
  <c r="P161" i="8"/>
  <c r="P162" i="8" s="1"/>
  <c r="D44" i="2"/>
  <c r="D47" i="2" s="1"/>
  <c r="U162" i="8" l="1"/>
  <c r="S162" i="8"/>
  <c r="R162" i="8"/>
  <c r="C28" i="2"/>
  <c r="C23" i="2"/>
  <c r="C14" i="2"/>
  <c r="F2" i="2"/>
  <c r="C40" i="2" s="1"/>
  <c r="C8" i="2" l="1"/>
  <c r="C31" i="2"/>
  <c r="C37" i="2"/>
  <c r="C45" i="2"/>
  <c r="C9" i="2"/>
  <c r="C12" i="2"/>
  <c r="C24" i="2"/>
  <c r="C32" i="2"/>
  <c r="C36" i="2" s="1"/>
  <c r="C38" i="2"/>
  <c r="C13" i="2"/>
  <c r="C25" i="2"/>
  <c r="C33" i="2"/>
  <c r="C44" i="2" l="1"/>
  <c r="C46" i="2" l="1"/>
  <c r="U175" i="8" l="1"/>
  <c r="U176" i="8" s="1"/>
  <c r="T175" i="8"/>
  <c r="T176" i="8" s="1"/>
  <c r="S175" i="8"/>
  <c r="S176" i="8" s="1"/>
  <c r="R175" i="8"/>
  <c r="R176" i="8" s="1"/>
  <c r="Q175" i="8"/>
  <c r="Q176" i="8" s="1"/>
  <c r="P175" i="8"/>
  <c r="P176" i="8" s="1"/>
  <c r="O175" i="8"/>
  <c r="O176" i="8" s="1"/>
  <c r="U168" i="8"/>
  <c r="U169" i="8" s="1"/>
  <c r="T168" i="8"/>
  <c r="T169" i="8" s="1"/>
  <c r="S168" i="8"/>
  <c r="S169" i="8" s="1"/>
  <c r="R168" i="8"/>
  <c r="R169" i="8" s="1"/>
  <c r="Q168" i="8"/>
  <c r="Q169" i="8" s="1"/>
  <c r="P168" i="8"/>
  <c r="O168" i="8"/>
  <c r="O169" i="8" s="1"/>
  <c r="U155" i="8"/>
  <c r="T155" i="8"/>
  <c r="S155" i="8"/>
  <c r="R155" i="8"/>
  <c r="Q155" i="8"/>
  <c r="P155" i="8"/>
  <c r="O155" i="8"/>
  <c r="U148" i="8"/>
  <c r="T148" i="8"/>
  <c r="S148" i="8"/>
  <c r="R148" i="8"/>
  <c r="Q148" i="8"/>
  <c r="P148" i="8"/>
  <c r="O148" i="8"/>
  <c r="U147" i="8"/>
  <c r="T147" i="8"/>
  <c r="S147" i="8"/>
  <c r="R147" i="8"/>
  <c r="Q147" i="8"/>
  <c r="P147" i="8"/>
  <c r="O147" i="8"/>
  <c r="U146" i="8"/>
  <c r="T146" i="8"/>
  <c r="S146" i="8"/>
  <c r="R146" i="8"/>
  <c r="Q146" i="8"/>
  <c r="P146" i="8"/>
  <c r="O146" i="8"/>
  <c r="U143" i="8"/>
  <c r="T143" i="8"/>
  <c r="S143" i="8"/>
  <c r="R143" i="8"/>
  <c r="Q143" i="8"/>
  <c r="P143" i="8"/>
  <c r="O143" i="8"/>
  <c r="O149" i="8" l="1"/>
  <c r="P179" i="8"/>
  <c r="P180" i="8" s="1"/>
  <c r="T179" i="8"/>
  <c r="T180" i="8" s="1"/>
  <c r="P169" i="8"/>
  <c r="S179" i="8"/>
  <c r="S180" i="8" s="1"/>
  <c r="O179" i="8"/>
  <c r="O180" i="8" s="1"/>
  <c r="R179" i="8"/>
  <c r="R180" i="8" s="1"/>
  <c r="U179" i="8"/>
  <c r="U180" i="8" s="1"/>
  <c r="Q179" i="8"/>
  <c r="Q180" i="8" s="1"/>
  <c r="S149" i="8"/>
  <c r="T149" i="8"/>
  <c r="P149" i="8"/>
  <c r="Q149" i="8"/>
  <c r="U149" i="8"/>
  <c r="R149" i="8"/>
  <c r="AU63" i="8" l="1"/>
  <c r="AU64" i="8"/>
  <c r="AU65" i="8"/>
  <c r="AU66" i="8"/>
  <c r="AU67" i="8"/>
  <c r="AU68" i="8"/>
  <c r="U67" i="8"/>
  <c r="U68" i="8"/>
  <c r="U69" i="8"/>
  <c r="U70" i="8"/>
  <c r="U71" i="8"/>
  <c r="U72" i="8"/>
  <c r="U57" i="8"/>
  <c r="U58" i="8"/>
  <c r="U59" i="8"/>
  <c r="U60" i="8"/>
  <c r="U61" i="8"/>
  <c r="U62" i="8"/>
  <c r="U63" i="8" l="1"/>
  <c r="U73" i="8"/>
  <c r="AO63" i="8"/>
  <c r="AO64" i="8"/>
  <c r="AP64" i="8"/>
  <c r="AQ64" i="8"/>
  <c r="AR64" i="8"/>
  <c r="AS64" i="8"/>
  <c r="AT64" i="8"/>
  <c r="AO65" i="8"/>
  <c r="AP65" i="8"/>
  <c r="AQ65" i="8"/>
  <c r="AR65" i="8"/>
  <c r="AS65" i="8"/>
  <c r="AT65" i="8"/>
  <c r="AO66" i="8"/>
  <c r="AP66" i="8"/>
  <c r="AQ66" i="8"/>
  <c r="AR66" i="8"/>
  <c r="AS66" i="8"/>
  <c r="AT66" i="8"/>
  <c r="AO67" i="8"/>
  <c r="AP67" i="8"/>
  <c r="AQ67" i="8"/>
  <c r="AR67" i="8"/>
  <c r="AS67" i="8"/>
  <c r="AT67" i="8"/>
  <c r="AO68" i="8"/>
  <c r="AP68" i="8"/>
  <c r="AQ68" i="8"/>
  <c r="AR68" i="8"/>
  <c r="AS68" i="8"/>
  <c r="AT68" i="8"/>
  <c r="AP63" i="8"/>
  <c r="AQ63" i="8"/>
  <c r="AR63" i="8"/>
  <c r="AS63" i="8"/>
  <c r="AT63" i="8"/>
  <c r="AL64" i="8" l="1"/>
  <c r="AM64" i="8" s="1"/>
  <c r="AL65" i="8"/>
  <c r="AM65" i="8" s="1"/>
  <c r="AL66" i="8"/>
  <c r="AM66" i="8" s="1"/>
  <c r="AL67" i="8"/>
  <c r="AM67" i="8" s="1"/>
  <c r="AL68" i="8"/>
  <c r="AM68" i="8" s="1"/>
  <c r="C13" i="13"/>
  <c r="D13" i="13"/>
  <c r="E13" i="13"/>
  <c r="F13" i="13"/>
  <c r="G13" i="13"/>
  <c r="H13" i="13"/>
  <c r="I13" i="13"/>
  <c r="J13" i="13"/>
  <c r="K13" i="13"/>
  <c r="L13" i="13"/>
  <c r="M13" i="13"/>
  <c r="C14" i="13"/>
  <c r="D14" i="13"/>
  <c r="E14" i="13"/>
  <c r="F14" i="13"/>
  <c r="G14" i="13"/>
  <c r="H14" i="13"/>
  <c r="I14" i="13"/>
  <c r="J14" i="13"/>
  <c r="K14" i="13"/>
  <c r="L14" i="13"/>
  <c r="M14" i="13"/>
  <c r="B14" i="13"/>
  <c r="B13" i="13"/>
  <c r="C12" i="13"/>
  <c r="C15" i="13" s="1"/>
  <c r="EG7" i="19" s="1"/>
  <c r="D12" i="13"/>
  <c r="D15" i="13" s="1"/>
  <c r="EH7" i="19" s="1"/>
  <c r="E12" i="13"/>
  <c r="E15" i="13" s="1"/>
  <c r="EI7" i="19" s="1"/>
  <c r="F12" i="13"/>
  <c r="F15" i="13" s="1"/>
  <c r="EJ7" i="19" s="1"/>
  <c r="G12" i="13"/>
  <c r="G15" i="13" s="1"/>
  <c r="EK7" i="19" s="1"/>
  <c r="H12" i="13"/>
  <c r="H15" i="13" s="1"/>
  <c r="EL7" i="19" s="1"/>
  <c r="I12" i="13"/>
  <c r="I15" i="13" s="1"/>
  <c r="EM7" i="19" s="1"/>
  <c r="J12" i="13"/>
  <c r="J15" i="13" s="1"/>
  <c r="EN7" i="19" s="1"/>
  <c r="K12" i="13"/>
  <c r="K15" i="13" s="1"/>
  <c r="EO7" i="19" s="1"/>
  <c r="L12" i="13"/>
  <c r="L15" i="13" s="1"/>
  <c r="EP7" i="19" s="1"/>
  <c r="M12" i="13"/>
  <c r="M15" i="13" s="1"/>
  <c r="EQ7" i="19" s="1"/>
  <c r="B12" i="13"/>
  <c r="C11" i="13"/>
  <c r="D11" i="13"/>
  <c r="E11" i="13"/>
  <c r="F11" i="13"/>
  <c r="G11" i="13"/>
  <c r="H11" i="13"/>
  <c r="I11" i="13"/>
  <c r="J11" i="13"/>
  <c r="K11" i="13"/>
  <c r="L11" i="13"/>
  <c r="M11" i="13"/>
  <c r="B11" i="13"/>
  <c r="C10" i="13"/>
  <c r="D10" i="13"/>
  <c r="E10" i="13"/>
  <c r="F10" i="13"/>
  <c r="G10" i="13"/>
  <c r="H10" i="13"/>
  <c r="I10" i="13"/>
  <c r="J10" i="13"/>
  <c r="K10" i="13"/>
  <c r="L10" i="13"/>
  <c r="M10" i="13"/>
  <c r="B10" i="13"/>
  <c r="C9" i="13"/>
  <c r="D9" i="13"/>
  <c r="E9" i="13"/>
  <c r="F9" i="13"/>
  <c r="G9" i="13"/>
  <c r="H9" i="13"/>
  <c r="I9" i="13"/>
  <c r="J9" i="13"/>
  <c r="K9" i="13"/>
  <c r="L9" i="13"/>
  <c r="M9" i="13"/>
  <c r="B9" i="13"/>
  <c r="C8" i="13"/>
  <c r="D8" i="13"/>
  <c r="E8" i="13"/>
  <c r="F8" i="13"/>
  <c r="G8" i="13"/>
  <c r="H8" i="13"/>
  <c r="I8" i="13"/>
  <c r="J8" i="13"/>
  <c r="K8" i="13"/>
  <c r="L8" i="13"/>
  <c r="M8" i="13"/>
  <c r="B8" i="13"/>
  <c r="C7" i="13"/>
  <c r="D7" i="13"/>
  <c r="E7" i="13"/>
  <c r="F7" i="13"/>
  <c r="G7" i="13"/>
  <c r="H7" i="13"/>
  <c r="I7" i="13"/>
  <c r="J7" i="13"/>
  <c r="K7" i="13"/>
  <c r="L7" i="13"/>
  <c r="M7" i="13"/>
  <c r="B7" i="13"/>
  <c r="C6" i="13"/>
  <c r="D6" i="13"/>
  <c r="E6" i="13"/>
  <c r="F6" i="13"/>
  <c r="G6" i="13"/>
  <c r="H6" i="13"/>
  <c r="I6" i="13"/>
  <c r="J6" i="13"/>
  <c r="K6" i="13"/>
  <c r="L6" i="13"/>
  <c r="M6" i="13"/>
  <c r="B6" i="13"/>
  <c r="C5" i="13"/>
  <c r="D5" i="13"/>
  <c r="E5" i="13"/>
  <c r="F5" i="13"/>
  <c r="G5" i="13"/>
  <c r="H5" i="13"/>
  <c r="I5" i="13"/>
  <c r="J5" i="13"/>
  <c r="K5" i="13"/>
  <c r="L5" i="13"/>
  <c r="M5" i="13"/>
  <c r="B5" i="13"/>
  <c r="C3" i="13"/>
  <c r="D3" i="13"/>
  <c r="E3" i="13"/>
  <c r="F3" i="13"/>
  <c r="G3" i="13"/>
  <c r="H3" i="13"/>
  <c r="I3" i="13"/>
  <c r="J3" i="13"/>
  <c r="K3" i="13"/>
  <c r="L3" i="13"/>
  <c r="M3" i="13"/>
  <c r="B3" i="13"/>
  <c r="U93" i="8"/>
  <c r="T93" i="8"/>
  <c r="T94" i="8" s="1"/>
  <c r="S93" i="8"/>
  <c r="R93" i="8"/>
  <c r="R94" i="8" s="1"/>
  <c r="Q93" i="8"/>
  <c r="Q94" i="8" s="1"/>
  <c r="P93" i="8"/>
  <c r="P94" i="8" s="1"/>
  <c r="O93" i="8"/>
  <c r="O94" i="8" s="1"/>
  <c r="T72" i="8"/>
  <c r="S72" i="8"/>
  <c r="R72" i="8"/>
  <c r="Q72" i="8"/>
  <c r="P72" i="8"/>
  <c r="T71" i="8"/>
  <c r="S71" i="8"/>
  <c r="R71" i="8"/>
  <c r="Q71" i="8"/>
  <c r="P71" i="8"/>
  <c r="T70" i="8"/>
  <c r="S70" i="8"/>
  <c r="R70" i="8"/>
  <c r="Q70" i="8"/>
  <c r="P70" i="8"/>
  <c r="T69" i="8"/>
  <c r="S69" i="8"/>
  <c r="R69" i="8"/>
  <c r="Q69" i="8"/>
  <c r="P69" i="8"/>
  <c r="T68" i="8"/>
  <c r="S68" i="8"/>
  <c r="R68" i="8"/>
  <c r="Q68" i="8"/>
  <c r="P68" i="8"/>
  <c r="T67" i="8"/>
  <c r="S67" i="8"/>
  <c r="R67" i="8"/>
  <c r="Q67" i="8"/>
  <c r="P67" i="8"/>
  <c r="O72" i="8"/>
  <c r="O71" i="8"/>
  <c r="O70" i="8"/>
  <c r="O69" i="8"/>
  <c r="O68" i="8"/>
  <c r="O67" i="8"/>
  <c r="U83" i="8"/>
  <c r="T83" i="8"/>
  <c r="S83" i="8"/>
  <c r="R83" i="8"/>
  <c r="Q83" i="8"/>
  <c r="P83" i="8"/>
  <c r="O83" i="8"/>
  <c r="Q62" i="8"/>
  <c r="P62" i="8"/>
  <c r="O62" i="8"/>
  <c r="T62" i="8"/>
  <c r="S62" i="8"/>
  <c r="R62" i="8"/>
  <c r="T61" i="8"/>
  <c r="S61" i="8"/>
  <c r="R61" i="8"/>
  <c r="Q61" i="8"/>
  <c r="P61" i="8"/>
  <c r="T60" i="8"/>
  <c r="S60" i="8"/>
  <c r="R60" i="8"/>
  <c r="Q60" i="8"/>
  <c r="P60" i="8"/>
  <c r="T59" i="8"/>
  <c r="S59" i="8"/>
  <c r="R59" i="8"/>
  <c r="Q59" i="8"/>
  <c r="P59" i="8"/>
  <c r="T58" i="8"/>
  <c r="S58" i="8"/>
  <c r="R58" i="8"/>
  <c r="Q58" i="8"/>
  <c r="P58" i="8"/>
  <c r="T57" i="8"/>
  <c r="S57" i="8"/>
  <c r="R57" i="8"/>
  <c r="Q57" i="8"/>
  <c r="P57" i="8"/>
  <c r="O61" i="8"/>
  <c r="O60" i="8"/>
  <c r="O59" i="8"/>
  <c r="O58" i="8"/>
  <c r="O57" i="8"/>
  <c r="U53" i="8"/>
  <c r="T53" i="8"/>
  <c r="AI48" i="8" s="1"/>
  <c r="S53" i="8"/>
  <c r="R53" i="8"/>
  <c r="Q53" i="8"/>
  <c r="P53" i="8"/>
  <c r="O53" i="8"/>
  <c r="S99" i="8" l="1"/>
  <c r="S94" i="8"/>
  <c r="X58" i="8"/>
  <c r="X60" i="8" s="1"/>
  <c r="AD63" i="8" s="1"/>
  <c r="Y58" i="8"/>
  <c r="Y60" i="8" s="1"/>
  <c r="AE68" i="8" s="1"/>
  <c r="AB88" i="8" s="1"/>
  <c r="AB99" i="8" s="1"/>
  <c r="AB110" i="8" s="1"/>
  <c r="AA58" i="8"/>
  <c r="AA136" i="8" s="1"/>
  <c r="Z58" i="8"/>
  <c r="Z60" i="8" s="1"/>
  <c r="AF64" i="8" s="1"/>
  <c r="AF84" i="8" s="1"/>
  <c r="AF95" i="8" s="1"/>
  <c r="AF106" i="8" s="1"/>
  <c r="EG50" i="19"/>
  <c r="EG14" i="19"/>
  <c r="EI50" i="19"/>
  <c r="EI14" i="19"/>
  <c r="EH50" i="19"/>
  <c r="EH14" i="19"/>
  <c r="O3" i="13"/>
  <c r="O17" i="13" s="1"/>
  <c r="AB217" i="8" s="1"/>
  <c r="EQ50" i="19"/>
  <c r="EQ14" i="19"/>
  <c r="EM50" i="19"/>
  <c r="EM14" i="19"/>
  <c r="EP50" i="19"/>
  <c r="EP14" i="19"/>
  <c r="EL50" i="19"/>
  <c r="EL14" i="19"/>
  <c r="EO50" i="19"/>
  <c r="EO14" i="19"/>
  <c r="EK50" i="19"/>
  <c r="EK14" i="19"/>
  <c r="EN50" i="19"/>
  <c r="EN14" i="19"/>
  <c r="EJ50" i="19"/>
  <c r="EJ14" i="19"/>
  <c r="AH51" i="8"/>
  <c r="S63" i="8"/>
  <c r="P96" i="8"/>
  <c r="P97" i="8" s="1"/>
  <c r="Z83" i="8"/>
  <c r="Z94" i="8" s="1"/>
  <c r="Z105" i="8" s="1"/>
  <c r="X136" i="8"/>
  <c r="AA140" i="8" s="1"/>
  <c r="R73" i="8"/>
  <c r="O73" i="8"/>
  <c r="O5" i="13"/>
  <c r="O6" i="13"/>
  <c r="O11" i="13"/>
  <c r="P5" i="13"/>
  <c r="P6" i="13"/>
  <c r="P7" i="13"/>
  <c r="P11" i="13"/>
  <c r="P3" i="13"/>
  <c r="P17" i="13" s="1"/>
  <c r="R3" i="13"/>
  <c r="R17" i="13" s="1"/>
  <c r="R5" i="13"/>
  <c r="R6" i="13"/>
  <c r="R7" i="13"/>
  <c r="R11" i="13"/>
  <c r="R15" i="13"/>
  <c r="O8" i="13"/>
  <c r="N12" i="13"/>
  <c r="Q3" i="13"/>
  <c r="Q17" i="13" s="1"/>
  <c r="Q5" i="13"/>
  <c r="Q6" i="13"/>
  <c r="Q8" i="13"/>
  <c r="Q11" i="13"/>
  <c r="P15" i="13"/>
  <c r="Q15" i="13"/>
  <c r="O7" i="13"/>
  <c r="R8" i="13"/>
  <c r="R12" i="13"/>
  <c r="O12" i="13"/>
  <c r="O14" i="13" s="1"/>
  <c r="B15" i="13"/>
  <c r="EF7" i="19" s="1"/>
  <c r="Q7" i="13"/>
  <c r="P8" i="13"/>
  <c r="P12" i="13"/>
  <c r="Q12" i="13"/>
  <c r="S73" i="8"/>
  <c r="T73" i="8"/>
  <c r="Q73" i="8"/>
  <c r="P73" i="8"/>
  <c r="T96" i="8"/>
  <c r="T97" i="8" s="1"/>
  <c r="U96" i="8"/>
  <c r="U97" i="8" s="1"/>
  <c r="U94" i="8"/>
  <c r="R96" i="8"/>
  <c r="R97" i="8" s="1"/>
  <c r="AH50" i="8"/>
  <c r="AI51" i="8"/>
  <c r="AI47" i="8"/>
  <c r="O96" i="8"/>
  <c r="O97" i="8" s="1"/>
  <c r="Q96" i="8"/>
  <c r="Q97" i="8" s="1"/>
  <c r="AH47" i="8"/>
  <c r="AH49" i="8"/>
  <c r="AI50" i="8"/>
  <c r="AH52" i="8"/>
  <c r="AH48" i="8"/>
  <c r="AI49" i="8"/>
  <c r="S96" i="8"/>
  <c r="S97" i="8" s="1"/>
  <c r="AI52" i="8"/>
  <c r="AL63" i="8"/>
  <c r="AM63" i="8" s="1"/>
  <c r="P63" i="8"/>
  <c r="T63" i="8"/>
  <c r="Q63" i="8"/>
  <c r="O63" i="8"/>
  <c r="R63" i="8"/>
  <c r="AA60" i="8" l="1"/>
  <c r="AG67" i="8" s="1"/>
  <c r="Z136" i="8"/>
  <c r="Y136" i="8"/>
  <c r="AB140" i="8" s="1"/>
  <c r="AG134" i="8" s="1"/>
  <c r="AG140" i="8"/>
  <c r="AF134" i="8"/>
  <c r="AE217" i="8"/>
  <c r="AC217" i="8"/>
  <c r="AC218" i="8" s="1"/>
  <c r="Y57" i="8"/>
  <c r="Y206" i="8" s="1"/>
  <c r="Z299" i="8" s="1"/>
  <c r="AA57" i="8"/>
  <c r="AA206" i="8" s="1"/>
  <c r="AB299" i="8" s="1"/>
  <c r="AD217" i="8"/>
  <c r="Z57" i="8"/>
  <c r="Z135" i="8" s="1"/>
  <c r="EF50" i="19"/>
  <c r="EF14" i="19"/>
  <c r="EG97" i="19"/>
  <c r="EG57" i="19"/>
  <c r="EH97" i="19"/>
  <c r="EH57" i="19"/>
  <c r="EI97" i="19"/>
  <c r="EI57" i="19"/>
  <c r="EJ97" i="19"/>
  <c r="EJ57" i="19"/>
  <c r="EK97" i="19"/>
  <c r="EK57" i="19"/>
  <c r="EL97" i="19"/>
  <c r="EL57" i="19"/>
  <c r="EM97" i="19"/>
  <c r="EM57" i="19"/>
  <c r="EN97" i="19"/>
  <c r="EN57" i="19"/>
  <c r="EO97" i="19"/>
  <c r="EO57" i="19"/>
  <c r="EP97" i="19"/>
  <c r="EP57" i="19"/>
  <c r="EQ97" i="19"/>
  <c r="EQ57" i="19"/>
  <c r="AE64" i="8"/>
  <c r="AC84" i="8" s="1"/>
  <c r="AC95" i="8" s="1"/>
  <c r="AC106" i="8" s="1"/>
  <c r="AE67" i="8"/>
  <c r="AA87" i="8" s="1"/>
  <c r="AA98" i="8" s="1"/>
  <c r="AA109" i="8" s="1"/>
  <c r="AE63" i="8"/>
  <c r="AB83" i="8" s="1"/>
  <c r="AB94" i="8" s="1"/>
  <c r="AB105" i="8" s="1"/>
  <c r="AE66" i="8"/>
  <c r="AC86" i="8" s="1"/>
  <c r="AC97" i="8" s="1"/>
  <c r="AC108" i="8" s="1"/>
  <c r="AE65" i="8"/>
  <c r="AB85" i="8" s="1"/>
  <c r="AB96" i="8" s="1"/>
  <c r="AB107" i="8" s="1"/>
  <c r="X83" i="8"/>
  <c r="AF67" i="8"/>
  <c r="AF87" i="8" s="1"/>
  <c r="AF98" i="8" s="1"/>
  <c r="AF109" i="8" s="1"/>
  <c r="AE84" i="8"/>
  <c r="AE95" i="8" s="1"/>
  <c r="AE106" i="8" s="1"/>
  <c r="AF66" i="8"/>
  <c r="AF86" i="8" s="1"/>
  <c r="AF97" i="8" s="1"/>
  <c r="AF108" i="8" s="1"/>
  <c r="AD64" i="8"/>
  <c r="AD67" i="8"/>
  <c r="Z87" i="8" s="1"/>
  <c r="Z98" i="8" s="1"/>
  <c r="Z109" i="8" s="1"/>
  <c r="Y83" i="8"/>
  <c r="Y94" i="8" s="1"/>
  <c r="Y105" i="8" s="1"/>
  <c r="AF63" i="8"/>
  <c r="AF83" i="8" s="1"/>
  <c r="AF94" i="8" s="1"/>
  <c r="AF105" i="8" s="1"/>
  <c r="AD66" i="8"/>
  <c r="X86" i="8" s="1"/>
  <c r="X97" i="8" s="1"/>
  <c r="X108" i="8" s="1"/>
  <c r="AD65" i="8"/>
  <c r="X85" i="8" s="1"/>
  <c r="X96" i="8" s="1"/>
  <c r="X107" i="8" s="1"/>
  <c r="AF65" i="8"/>
  <c r="AF85" i="8" s="1"/>
  <c r="AF96" i="8" s="1"/>
  <c r="AF107" i="8" s="1"/>
  <c r="AF68" i="8"/>
  <c r="AD88" i="8" s="1"/>
  <c r="AD99" i="8" s="1"/>
  <c r="AD110" i="8" s="1"/>
  <c r="AD84" i="8"/>
  <c r="AD95" i="8" s="1"/>
  <c r="AD106" i="8" s="1"/>
  <c r="AC88" i="8"/>
  <c r="AC99" i="8" s="1"/>
  <c r="AC110" i="8" s="1"/>
  <c r="AA88" i="8"/>
  <c r="AA99" i="8" s="1"/>
  <c r="AA110" i="8" s="1"/>
  <c r="AD68" i="8"/>
  <c r="Z88" i="8" s="1"/>
  <c r="Z99" i="8" s="1"/>
  <c r="Z110" i="8" s="1"/>
  <c r="AA135" i="8"/>
  <c r="P9" i="13"/>
  <c r="AG66" i="8"/>
  <c r="AH86" i="8" s="1"/>
  <c r="AH97" i="8" s="1"/>
  <c r="AH108" i="8" s="1"/>
  <c r="AG65" i="8"/>
  <c r="AG85" i="8" s="1"/>
  <c r="AG96" i="8" s="1"/>
  <c r="AG107" i="8" s="1"/>
  <c r="AG64" i="8"/>
  <c r="AI84" i="8" s="1"/>
  <c r="AI95" i="8" s="1"/>
  <c r="AI106" i="8" s="1"/>
  <c r="AG68" i="8"/>
  <c r="AG88" i="8" s="1"/>
  <c r="AG99" i="8" s="1"/>
  <c r="AG110" i="8" s="1"/>
  <c r="AG63" i="8"/>
  <c r="AH83" i="8" s="1"/>
  <c r="AH94" i="8" s="1"/>
  <c r="AH105" i="8" s="1"/>
  <c r="AA142" i="8"/>
  <c r="AF136" i="8" s="1"/>
  <c r="AA141" i="8"/>
  <c r="AC140" i="8"/>
  <c r="AC141" i="8"/>
  <c r="AH135" i="8" s="1"/>
  <c r="AC142" i="8"/>
  <c r="AH136" i="8" s="1"/>
  <c r="AB142" i="8"/>
  <c r="AG136" i="8" s="1"/>
  <c r="R9" i="13"/>
  <c r="Q9" i="13"/>
  <c r="O9" i="13"/>
  <c r="Q14" i="13"/>
  <c r="Q13" i="13"/>
  <c r="Q10" i="13"/>
  <c r="N15" i="13"/>
  <c r="O15" i="13"/>
  <c r="P14" i="13"/>
  <c r="P13" i="13"/>
  <c r="P10" i="13"/>
  <c r="O13" i="13"/>
  <c r="O10" i="13"/>
  <c r="R14" i="13"/>
  <c r="R13" i="13"/>
  <c r="R10" i="13"/>
  <c r="AH87" i="8"/>
  <c r="AH98" i="8" s="1"/>
  <c r="AH109" i="8" s="1"/>
  <c r="AG87" i="8"/>
  <c r="AG98" i="8" s="1"/>
  <c r="AG109" i="8" s="1"/>
  <c r="AI87" i="8"/>
  <c r="AI98" i="8" s="1"/>
  <c r="AI109" i="8" s="1"/>
  <c r="AB141" i="8" l="1"/>
  <c r="AG135" i="8" s="1"/>
  <c r="AD218" i="8"/>
  <c r="AF135" i="8"/>
  <c r="AB156" i="8"/>
  <c r="Z206" i="8"/>
  <c r="AA299" i="8" s="1"/>
  <c r="Y135" i="8"/>
  <c r="AJ140" i="8" s="1"/>
  <c r="AI140" i="8"/>
  <c r="AL140" i="8" s="1"/>
  <c r="AH134" i="8"/>
  <c r="AE218" i="8"/>
  <c r="X57" i="8"/>
  <c r="R22" i="8" s="1"/>
  <c r="AA84" i="8"/>
  <c r="AA95" i="8" s="1"/>
  <c r="AA106" i="8" s="1"/>
  <c r="AB84" i="8"/>
  <c r="AB95" i="8" s="1"/>
  <c r="AB106" i="8" s="1"/>
  <c r="EF97" i="19"/>
  <c r="EF57" i="19"/>
  <c r="EG143" i="19"/>
  <c r="EG150" i="19" s="1"/>
  <c r="EG104" i="19"/>
  <c r="EI143" i="19"/>
  <c r="EI150" i="19" s="1"/>
  <c r="EI104" i="19"/>
  <c r="EH143" i="19"/>
  <c r="EH150" i="19" s="1"/>
  <c r="EH104" i="19"/>
  <c r="O116" i="8"/>
  <c r="O118" i="8" s="1"/>
  <c r="O120" i="8" s="1"/>
  <c r="P122" i="8" s="1"/>
  <c r="Q122" i="8" s="1"/>
  <c r="R122" i="8" s="1"/>
  <c r="S122" i="8" s="1"/>
  <c r="G6" i="22"/>
  <c r="F6" i="18"/>
  <c r="AC156" i="8"/>
  <c r="AC165" i="8" s="1"/>
  <c r="EQ143" i="19"/>
  <c r="EQ150" i="19" s="1"/>
  <c r="EQ104" i="19"/>
  <c r="EO143" i="19"/>
  <c r="EO150" i="19" s="1"/>
  <c r="EO104" i="19"/>
  <c r="EM143" i="19"/>
  <c r="EM150" i="19" s="1"/>
  <c r="EM104" i="19"/>
  <c r="EK143" i="19"/>
  <c r="EK150" i="19" s="1"/>
  <c r="EK104" i="19"/>
  <c r="R16" i="13"/>
  <c r="AH140" i="8"/>
  <c r="AA156" i="8"/>
  <c r="AA165" i="8" s="1"/>
  <c r="AB165" i="8"/>
  <c r="EP143" i="19"/>
  <c r="EP150" i="19" s="1"/>
  <c r="EP104" i="19"/>
  <c r="EN143" i="19"/>
  <c r="EN150" i="19" s="1"/>
  <c r="EN104" i="19"/>
  <c r="EL143" i="19"/>
  <c r="EL150" i="19" s="1"/>
  <c r="EL104" i="19"/>
  <c r="EJ143" i="19"/>
  <c r="EJ150" i="19" s="1"/>
  <c r="EJ104" i="19"/>
  <c r="X94" i="8"/>
  <c r="X105" i="8" s="1"/>
  <c r="AK140" i="8"/>
  <c r="AE83" i="8"/>
  <c r="AE94" i="8" s="1"/>
  <c r="AE105" i="8" s="1"/>
  <c r="AC85" i="8"/>
  <c r="AC96" i="8" s="1"/>
  <c r="AC107" i="8" s="1"/>
  <c r="AC87" i="8"/>
  <c r="AC98" i="8" s="1"/>
  <c r="AC109" i="8" s="1"/>
  <c r="AA86" i="8"/>
  <c r="AA97" i="8" s="1"/>
  <c r="AA108" i="8" s="1"/>
  <c r="AB87" i="8"/>
  <c r="AB98" i="8" s="1"/>
  <c r="AB109" i="8" s="1"/>
  <c r="AE86" i="8"/>
  <c r="AE97" i="8" s="1"/>
  <c r="AE108" i="8" s="1"/>
  <c r="AA85" i="8"/>
  <c r="AA96" i="8" s="1"/>
  <c r="AA107" i="8" s="1"/>
  <c r="AC83" i="8"/>
  <c r="AC94" i="8" s="1"/>
  <c r="AC105" i="8" s="1"/>
  <c r="AA83" i="8"/>
  <c r="AA94" i="8" s="1"/>
  <c r="AA105" i="8" s="1"/>
  <c r="P16" i="13"/>
  <c r="Q16" i="13"/>
  <c r="AK69" i="8"/>
  <c r="AK70" i="8" s="1"/>
  <c r="AB86" i="8"/>
  <c r="AB97" i="8" s="1"/>
  <c r="AB108" i="8" s="1"/>
  <c r="AC151" i="8"/>
  <c r="AI151" i="8" s="1"/>
  <c r="AI142" i="8"/>
  <c r="AL142" i="8" s="1"/>
  <c r="AC150" i="8"/>
  <c r="AI150" i="8" s="1"/>
  <c r="AI141" i="8"/>
  <c r="AB151" i="8"/>
  <c r="AH151" i="8" s="1"/>
  <c r="AH142" i="8"/>
  <c r="AK142" i="8" s="1"/>
  <c r="AB150" i="8"/>
  <c r="AH150" i="8" s="1"/>
  <c r="AH141" i="8"/>
  <c r="AA151" i="8"/>
  <c r="AG151" i="8" s="1"/>
  <c r="AG142" i="8"/>
  <c r="AA150" i="8"/>
  <c r="AG150" i="8" s="1"/>
  <c r="AG141" i="8"/>
  <c r="AA149" i="8"/>
  <c r="AG149" i="8" s="1"/>
  <c r="AJ69" i="8"/>
  <c r="X84" i="8"/>
  <c r="X95" i="8" s="1"/>
  <c r="X106" i="8" s="1"/>
  <c r="Y84" i="8"/>
  <c r="Y95" i="8" s="1"/>
  <c r="Y106" i="8" s="1"/>
  <c r="AI85" i="8"/>
  <c r="AI96" i="8" s="1"/>
  <c r="AI107" i="8" s="1"/>
  <c r="Z84" i="8"/>
  <c r="Z95" i="8" s="1"/>
  <c r="Z106" i="8" s="1"/>
  <c r="AH84" i="8"/>
  <c r="AH95" i="8" s="1"/>
  <c r="AH106" i="8" s="1"/>
  <c r="AG84" i="8"/>
  <c r="AG95" i="8" s="1"/>
  <c r="AG106" i="8" s="1"/>
  <c r="AD87" i="8"/>
  <c r="AD98" i="8" s="1"/>
  <c r="AD109" i="8" s="1"/>
  <c r="Y85" i="8"/>
  <c r="Y96" i="8" s="1"/>
  <c r="Y107" i="8" s="1"/>
  <c r="Y87" i="8"/>
  <c r="Y98" i="8" s="1"/>
  <c r="Y109" i="8" s="1"/>
  <c r="AE87" i="8"/>
  <c r="AE98" i="8" s="1"/>
  <c r="AE109" i="8" s="1"/>
  <c r="X87" i="8"/>
  <c r="X98" i="8" s="1"/>
  <c r="X109" i="8" s="1"/>
  <c r="Z85" i="8"/>
  <c r="Z96" i="8" s="1"/>
  <c r="Z107" i="8" s="1"/>
  <c r="AB388" i="8"/>
  <c r="AB434" i="8" s="1"/>
  <c r="AB478" i="8"/>
  <c r="AA388" i="8"/>
  <c r="AA435" i="8" s="1"/>
  <c r="AA478" i="8"/>
  <c r="Z388" i="8"/>
  <c r="Z434" i="8" s="1"/>
  <c r="Z478" i="8"/>
  <c r="AH85" i="8"/>
  <c r="AH96" i="8" s="1"/>
  <c r="AH107" i="8" s="1"/>
  <c r="AD85" i="8"/>
  <c r="AD96" i="8" s="1"/>
  <c r="AD107" i="8" s="1"/>
  <c r="AM69" i="8"/>
  <c r="AM70" i="8" s="1"/>
  <c r="Y88" i="8"/>
  <c r="Y99" i="8" s="1"/>
  <c r="Y110" i="8" s="1"/>
  <c r="X88" i="8"/>
  <c r="X99" i="8" s="1"/>
  <c r="X110" i="8" s="1"/>
  <c r="AH88" i="8"/>
  <c r="AH99" i="8" s="1"/>
  <c r="AH110" i="8" s="1"/>
  <c r="AE85" i="8"/>
  <c r="AE96" i="8" s="1"/>
  <c r="AE107" i="8" s="1"/>
  <c r="AI88" i="8"/>
  <c r="AI99" i="8" s="1"/>
  <c r="AI110" i="8" s="1"/>
  <c r="AU346" i="8"/>
  <c r="AW345" i="8"/>
  <c r="AT347" i="8"/>
  <c r="AU344" i="8"/>
  <c r="AW346" i="8"/>
  <c r="AW344" i="8"/>
  <c r="AV346" i="8"/>
  <c r="AV345" i="8"/>
  <c r="AV344" i="8"/>
  <c r="AT346" i="8"/>
  <c r="AT344" i="8"/>
  <c r="AW347" i="8"/>
  <c r="AU347" i="8"/>
  <c r="AU345" i="8"/>
  <c r="AT345" i="8"/>
  <c r="AV347" i="8"/>
  <c r="AX346" i="8"/>
  <c r="AX347" i="8"/>
  <c r="AU348" i="8"/>
  <c r="AW348" i="8"/>
  <c r="AX344" i="8"/>
  <c r="AX345" i="8"/>
  <c r="AV348" i="8"/>
  <c r="AT348" i="8"/>
  <c r="AX348" i="8"/>
  <c r="AN347" i="8"/>
  <c r="AN346" i="8"/>
  <c r="AP346" i="8"/>
  <c r="AN344" i="8"/>
  <c r="AM345" i="8"/>
  <c r="AM346" i="8"/>
  <c r="AO346" i="8"/>
  <c r="AO344" i="8"/>
  <c r="AO345" i="8"/>
  <c r="AM347" i="8"/>
  <c r="AO347" i="8"/>
  <c r="AP347" i="8"/>
  <c r="AM344" i="8"/>
  <c r="AP345" i="8"/>
  <c r="AP344" i="8"/>
  <c r="AN345" i="8"/>
  <c r="AP348" i="8"/>
  <c r="AQ346" i="8"/>
  <c r="AM348" i="8"/>
  <c r="AQ347" i="8"/>
  <c r="AN348" i="8"/>
  <c r="AQ344" i="8"/>
  <c r="AQ345" i="8"/>
  <c r="AO348" i="8"/>
  <c r="AQ348" i="8"/>
  <c r="AG344" i="8"/>
  <c r="AI345" i="8"/>
  <c r="AG345" i="8"/>
  <c r="AF344" i="8"/>
  <c r="AI347" i="8"/>
  <c r="AH345" i="8"/>
  <c r="AG346" i="8"/>
  <c r="AG347" i="8"/>
  <c r="AH347" i="8"/>
  <c r="AI346" i="8"/>
  <c r="AF345" i="8"/>
  <c r="AH344" i="8"/>
  <c r="AI344" i="8"/>
  <c r="AF347" i="8"/>
  <c r="AH346" i="8"/>
  <c r="AF346" i="8"/>
  <c r="AF348" i="8"/>
  <c r="AI348" i="8"/>
  <c r="AJ344" i="8"/>
  <c r="AJ347" i="8"/>
  <c r="AG348" i="8"/>
  <c r="AH348" i="8"/>
  <c r="AJ346" i="8"/>
  <c r="AJ345" i="8"/>
  <c r="AJ348" i="8"/>
  <c r="AL69" i="8"/>
  <c r="AL70" i="8" s="1"/>
  <c r="AE88" i="8"/>
  <c r="AE99" i="8" s="1"/>
  <c r="AE110" i="8" s="1"/>
  <c r="AD86" i="8"/>
  <c r="AD97" i="8" s="1"/>
  <c r="AD108" i="8" s="1"/>
  <c r="AI86" i="8"/>
  <c r="AI97" i="8" s="1"/>
  <c r="AI108" i="8" s="1"/>
  <c r="AF88" i="8"/>
  <c r="AF99" i="8" s="1"/>
  <c r="AF110" i="8" s="1"/>
  <c r="AI83" i="8"/>
  <c r="AI94" i="8" s="1"/>
  <c r="AI105" i="8" s="1"/>
  <c r="AD83" i="8"/>
  <c r="AD94" i="8" s="1"/>
  <c r="AD105" i="8" s="1"/>
  <c r="AG86" i="8"/>
  <c r="AG97" i="8" s="1"/>
  <c r="AG108" i="8" s="1"/>
  <c r="AG83" i="8"/>
  <c r="AG94" i="8" s="1"/>
  <c r="AG105" i="8" s="1"/>
  <c r="AA236" i="8"/>
  <c r="Z236" i="8"/>
  <c r="Y236" i="8"/>
  <c r="Y86" i="8"/>
  <c r="Y97" i="8" s="1"/>
  <c r="Y108" i="8" s="1"/>
  <c r="Z86" i="8"/>
  <c r="Z97" i="8" s="1"/>
  <c r="Z108" i="8" s="1"/>
  <c r="AC143" i="8"/>
  <c r="AC149" i="8"/>
  <c r="AB149" i="8"/>
  <c r="AB143" i="8"/>
  <c r="AA143" i="8"/>
  <c r="F69" i="18" l="1"/>
  <c r="P68" i="18"/>
  <c r="P70" i="18" s="1"/>
  <c r="F70" i="18" s="1"/>
  <c r="F49" i="18"/>
  <c r="P66" i="18"/>
  <c r="GV8" i="19"/>
  <c r="GV51" i="19" s="1"/>
  <c r="GV98" i="19" s="1"/>
  <c r="GV144" i="19" s="1"/>
  <c r="HB8" i="19"/>
  <c r="HB51" i="19" s="1"/>
  <c r="HB98" i="19" s="1"/>
  <c r="HB144" i="19" s="1"/>
  <c r="GS8" i="19"/>
  <c r="GS51" i="19" s="1"/>
  <c r="GS98" i="19" s="1"/>
  <c r="GS144" i="19" s="1"/>
  <c r="GT8" i="19"/>
  <c r="GT51" i="19" s="1"/>
  <c r="GT98" i="19" s="1"/>
  <c r="GT144" i="19" s="1"/>
  <c r="GU8" i="19"/>
  <c r="GU51" i="19" s="1"/>
  <c r="GU98" i="19" s="1"/>
  <c r="GU144" i="19" s="1"/>
  <c r="GW8" i="19"/>
  <c r="GW51" i="19" s="1"/>
  <c r="GW98" i="19" s="1"/>
  <c r="GW144" i="19" s="1"/>
  <c r="GY8" i="19"/>
  <c r="GY51" i="19" s="1"/>
  <c r="GY98" i="19" s="1"/>
  <c r="GY144" i="19" s="1"/>
  <c r="GZ8" i="19"/>
  <c r="GZ51" i="19" s="1"/>
  <c r="GZ98" i="19" s="1"/>
  <c r="GZ144" i="19" s="1"/>
  <c r="HA8" i="19"/>
  <c r="HA51" i="19" s="1"/>
  <c r="HA98" i="19" s="1"/>
  <c r="HA144" i="19" s="1"/>
  <c r="GX8" i="19"/>
  <c r="GX51" i="19" s="1"/>
  <c r="GX98" i="19" s="1"/>
  <c r="GX144" i="19" s="1"/>
  <c r="HC8" i="19"/>
  <c r="HC51" i="19" s="1"/>
  <c r="HC98" i="19" s="1"/>
  <c r="HC144" i="19" s="1"/>
  <c r="HD8" i="19"/>
  <c r="HD51" i="19" s="1"/>
  <c r="HD98" i="19" s="1"/>
  <c r="HD144" i="19" s="1"/>
  <c r="GQ8" i="19"/>
  <c r="GQ51" i="19" s="1"/>
  <c r="GQ98" i="19" s="1"/>
  <c r="GQ144" i="19" s="1"/>
  <c r="GA8" i="19"/>
  <c r="GA51" i="19" s="1"/>
  <c r="GA98" i="19" s="1"/>
  <c r="GA144" i="19" s="1"/>
  <c r="FW8" i="19"/>
  <c r="FW51" i="19" s="1"/>
  <c r="FW98" i="19" s="1"/>
  <c r="FW144" i="19" s="1"/>
  <c r="FS8" i="19"/>
  <c r="FS51" i="19" s="1"/>
  <c r="FS98" i="19" s="1"/>
  <c r="FS144" i="19" s="1"/>
  <c r="FJ8" i="19"/>
  <c r="FJ51" i="19" s="1"/>
  <c r="FJ98" i="19" s="1"/>
  <c r="FJ144" i="19" s="1"/>
  <c r="FL8" i="19"/>
  <c r="FL51" i="19" s="1"/>
  <c r="FL98" i="19" s="1"/>
  <c r="FL144" i="19" s="1"/>
  <c r="FK8" i="19"/>
  <c r="FK51" i="19" s="1"/>
  <c r="FK98" i="19" s="1"/>
  <c r="FK144" i="19" s="1"/>
  <c r="GI8" i="19"/>
  <c r="GI51" i="19" s="1"/>
  <c r="GI98" i="19" s="1"/>
  <c r="GI144" i="19" s="1"/>
  <c r="GN8" i="19"/>
  <c r="GN51" i="19" s="1"/>
  <c r="GN98" i="19" s="1"/>
  <c r="GN144" i="19" s="1"/>
  <c r="GK8" i="19"/>
  <c r="GK51" i="19" s="1"/>
  <c r="GK98" i="19" s="1"/>
  <c r="GK144" i="19" s="1"/>
  <c r="GL8" i="19"/>
  <c r="GL51" i="19" s="1"/>
  <c r="GL98" i="19" s="1"/>
  <c r="GL144" i="19" s="1"/>
  <c r="GB8" i="19"/>
  <c r="GB51" i="19" s="1"/>
  <c r="GB98" i="19" s="1"/>
  <c r="GB144" i="19" s="1"/>
  <c r="FY8" i="19"/>
  <c r="FY51" i="19" s="1"/>
  <c r="FY98" i="19" s="1"/>
  <c r="FY144" i="19" s="1"/>
  <c r="FZ8" i="19"/>
  <c r="FZ51" i="19" s="1"/>
  <c r="FZ98" i="19" s="1"/>
  <c r="FZ144" i="19" s="1"/>
  <c r="FM8" i="19"/>
  <c r="FM51" i="19" s="1"/>
  <c r="FM98" i="19" s="1"/>
  <c r="FM144" i="19" s="1"/>
  <c r="FQ8" i="19"/>
  <c r="FQ51" i="19" s="1"/>
  <c r="FQ98" i="19" s="1"/>
  <c r="FQ144" i="19" s="1"/>
  <c r="FH8" i="19"/>
  <c r="FH51" i="19" s="1"/>
  <c r="FH98" i="19" s="1"/>
  <c r="FH144" i="19" s="1"/>
  <c r="FI8" i="19"/>
  <c r="FI51" i="19" s="1"/>
  <c r="FI98" i="19" s="1"/>
  <c r="FI144" i="19" s="1"/>
  <c r="GM8" i="19"/>
  <c r="GM51" i="19" s="1"/>
  <c r="GM98" i="19" s="1"/>
  <c r="GM144" i="19" s="1"/>
  <c r="GO8" i="19"/>
  <c r="GO51" i="19" s="1"/>
  <c r="GO98" i="19" s="1"/>
  <c r="GO144" i="19" s="1"/>
  <c r="GP8" i="19"/>
  <c r="GP51" i="19" s="1"/>
  <c r="GP98" i="19" s="1"/>
  <c r="GP144" i="19" s="1"/>
  <c r="GC8" i="19"/>
  <c r="GC51" i="19" s="1"/>
  <c r="GC98" i="19" s="1"/>
  <c r="GC144" i="19" s="1"/>
  <c r="GD8" i="19"/>
  <c r="GD51" i="19" s="1"/>
  <c r="GD98" i="19" s="1"/>
  <c r="GD144" i="19" s="1"/>
  <c r="FP8" i="19"/>
  <c r="FP51" i="19" s="1"/>
  <c r="FP98" i="19" s="1"/>
  <c r="FP144" i="19" s="1"/>
  <c r="GJ8" i="19"/>
  <c r="GJ51" i="19" s="1"/>
  <c r="GJ98" i="19" s="1"/>
  <c r="GJ144" i="19" s="1"/>
  <c r="GH8" i="19"/>
  <c r="GH51" i="19" s="1"/>
  <c r="GH98" i="19" s="1"/>
  <c r="GH144" i="19" s="1"/>
  <c r="FX8" i="19"/>
  <c r="FX51" i="19" s="1"/>
  <c r="FX98" i="19" s="1"/>
  <c r="FX144" i="19" s="1"/>
  <c r="FN8" i="19"/>
  <c r="FN51" i="19" s="1"/>
  <c r="FN98" i="19" s="1"/>
  <c r="FN144" i="19" s="1"/>
  <c r="GF8" i="19"/>
  <c r="GF51" i="19" s="1"/>
  <c r="GF98" i="19" s="1"/>
  <c r="GF144" i="19" s="1"/>
  <c r="FT8" i="19"/>
  <c r="FT51" i="19" s="1"/>
  <c r="FT98" i="19" s="1"/>
  <c r="FT144" i="19" s="1"/>
  <c r="FF8" i="19"/>
  <c r="FF51" i="19" s="1"/>
  <c r="FF98" i="19" s="1"/>
  <c r="FF144" i="19" s="1"/>
  <c r="FG8" i="19"/>
  <c r="FG51" i="19" s="1"/>
  <c r="FG98" i="19" s="1"/>
  <c r="FG144" i="19" s="1"/>
  <c r="GG8" i="19"/>
  <c r="GG51" i="19" s="1"/>
  <c r="GG98" i="19" s="1"/>
  <c r="GG144" i="19" s="1"/>
  <c r="FU8" i="19"/>
  <c r="FU51" i="19" s="1"/>
  <c r="FU98" i="19" s="1"/>
  <c r="FU144" i="19" s="1"/>
  <c r="FV8" i="19"/>
  <c r="FV51" i="19" s="1"/>
  <c r="FV98" i="19" s="1"/>
  <c r="FV144" i="19" s="1"/>
  <c r="FO8" i="19"/>
  <c r="FO51" i="19" s="1"/>
  <c r="FO98" i="19" s="1"/>
  <c r="FO144" i="19" s="1"/>
  <c r="ES8" i="19"/>
  <c r="ES51" i="19" s="1"/>
  <c r="ES98" i="19" s="1"/>
  <c r="ES144" i="19" s="1"/>
  <c r="EV8" i="19"/>
  <c r="EV51" i="19" s="1"/>
  <c r="EV98" i="19" s="1"/>
  <c r="EV144" i="19" s="1"/>
  <c r="FD8" i="19"/>
  <c r="FD51" i="19" s="1"/>
  <c r="FD98" i="19" s="1"/>
  <c r="FD144" i="19" s="1"/>
  <c r="EW8" i="19"/>
  <c r="EW51" i="19" s="1"/>
  <c r="EW98" i="19" s="1"/>
  <c r="EW144" i="19" s="1"/>
  <c r="FB8" i="19"/>
  <c r="FB51" i="19" s="1"/>
  <c r="FB98" i="19" s="1"/>
  <c r="FB144" i="19" s="1"/>
  <c r="EZ8" i="19"/>
  <c r="EZ51" i="19" s="1"/>
  <c r="EZ98" i="19" s="1"/>
  <c r="EZ144" i="19" s="1"/>
  <c r="ET8" i="19"/>
  <c r="ET51" i="19" s="1"/>
  <c r="ET98" i="19" s="1"/>
  <c r="ET144" i="19" s="1"/>
  <c r="EU8" i="19"/>
  <c r="EU51" i="19" s="1"/>
  <c r="EU98" i="19" s="1"/>
  <c r="EU144" i="19" s="1"/>
  <c r="FA8" i="19"/>
  <c r="FA51" i="19" s="1"/>
  <c r="FA98" i="19" s="1"/>
  <c r="FA144" i="19" s="1"/>
  <c r="EX8" i="19"/>
  <c r="EX51" i="19" s="1"/>
  <c r="EX98" i="19" s="1"/>
  <c r="EX144" i="19" s="1"/>
  <c r="FC8" i="19"/>
  <c r="FC51" i="19" s="1"/>
  <c r="FC98" i="19" s="1"/>
  <c r="FC144" i="19" s="1"/>
  <c r="EY8" i="19"/>
  <c r="EY51" i="19" s="1"/>
  <c r="EY98" i="19" s="1"/>
  <c r="EY144" i="19" s="1"/>
  <c r="X206" i="8"/>
  <c r="R262" i="8"/>
  <c r="R676" i="8"/>
  <c r="X135" i="8"/>
  <c r="AJ70" i="8"/>
  <c r="R550" i="8"/>
  <c r="R708" i="8"/>
  <c r="R730" i="8"/>
  <c r="P123" i="8"/>
  <c r="Q123" i="8" s="1"/>
  <c r="R123" i="8" s="1"/>
  <c r="S123" i="8" s="1"/>
  <c r="EF143" i="19"/>
  <c r="EF150" i="19" s="1"/>
  <c r="EF104" i="19"/>
  <c r="P53" i="18"/>
  <c r="P52" i="18"/>
  <c r="AD165" i="8"/>
  <c r="P65" i="18"/>
  <c r="P59" i="18"/>
  <c r="P22" i="18"/>
  <c r="P63" i="18"/>
  <c r="P18" i="18"/>
  <c r="P50" i="18"/>
  <c r="P64" i="18"/>
  <c r="P62" i="18"/>
  <c r="P57" i="18"/>
  <c r="P51" i="18"/>
  <c r="P61" i="18"/>
  <c r="P58" i="18"/>
  <c r="P56" i="18"/>
  <c r="P32" i="18"/>
  <c r="P42" i="18"/>
  <c r="P41" i="18"/>
  <c r="P43" i="18"/>
  <c r="P45" i="18"/>
  <c r="P46" i="18"/>
  <c r="P36" i="18"/>
  <c r="P44" i="18"/>
  <c r="P40" i="18"/>
  <c r="P39" i="18"/>
  <c r="R28" i="22"/>
  <c r="R59" i="22"/>
  <c r="R58" i="22"/>
  <c r="R41" i="22"/>
  <c r="R42" i="22"/>
  <c r="R55" i="22"/>
  <c r="R14" i="22"/>
  <c r="R18" i="22"/>
  <c r="R61" i="22"/>
  <c r="R60" i="22"/>
  <c r="R47" i="22"/>
  <c r="R33" i="22"/>
  <c r="R54" i="22"/>
  <c r="G45" i="22"/>
  <c r="R57" i="22"/>
  <c r="R53" i="22"/>
  <c r="R52" i="22"/>
  <c r="R46" i="22"/>
  <c r="R38" i="22"/>
  <c r="R39" i="22"/>
  <c r="R37" i="22"/>
  <c r="R32" i="22"/>
  <c r="R40" i="22"/>
  <c r="R36" i="22"/>
  <c r="R35" i="22"/>
  <c r="V672" i="8"/>
  <c r="AC672" i="8"/>
  <c r="S672" i="8"/>
  <c r="U672" i="8"/>
  <c r="R672" i="8"/>
  <c r="X672" i="8"/>
  <c r="Z672" i="8"/>
  <c r="T672" i="8"/>
  <c r="AA672" i="8"/>
  <c r="Y672" i="8"/>
  <c r="AB672" i="8"/>
  <c r="W672" i="8"/>
  <c r="Z640" i="8"/>
  <c r="R640" i="8"/>
  <c r="U640" i="8"/>
  <c r="Y640" i="8"/>
  <c r="AC640" i="8"/>
  <c r="V640" i="8"/>
  <c r="T640" i="8"/>
  <c r="X640" i="8"/>
  <c r="W640" i="8"/>
  <c r="AA640" i="8"/>
  <c r="S640" i="8"/>
  <c r="AB640" i="8"/>
  <c r="U618" i="8"/>
  <c r="Y618" i="8"/>
  <c r="AC618" i="8"/>
  <c r="S618" i="8"/>
  <c r="AA618" i="8"/>
  <c r="X618" i="8"/>
  <c r="AB618" i="8"/>
  <c r="V618" i="8"/>
  <c r="Z618" i="8"/>
  <c r="R618" i="8"/>
  <c r="W618" i="8"/>
  <c r="T618" i="8"/>
  <c r="AA514" i="8"/>
  <c r="AN140" i="8"/>
  <c r="AO140" i="8"/>
  <c r="AP140" i="8"/>
  <c r="AI351" i="8"/>
  <c r="AW353" i="8"/>
  <c r="Z352" i="8"/>
  <c r="AN352" i="8"/>
  <c r="Z441" i="8"/>
  <c r="Z223" i="8"/>
  <c r="Y252" i="8"/>
  <c r="AM351" i="8"/>
  <c r="Y224" i="8"/>
  <c r="AU351" i="8"/>
  <c r="AO353" i="8"/>
  <c r="AH354" i="8"/>
  <c r="Y352" i="8"/>
  <c r="X223" i="8"/>
  <c r="AA444" i="8"/>
  <c r="Y253" i="8"/>
  <c r="AT353" i="8"/>
  <c r="AF351" i="8"/>
  <c r="AA353" i="8"/>
  <c r="AA443" i="8"/>
  <c r="AB444" i="8"/>
  <c r="AV354" i="8"/>
  <c r="AA222" i="8"/>
  <c r="AP354" i="8"/>
  <c r="AG354" i="8"/>
  <c r="AB351" i="8"/>
  <c r="Y441" i="8"/>
  <c r="Z443" i="8"/>
  <c r="Z514" i="8"/>
  <c r="S596" i="8"/>
  <c r="AC596" i="8"/>
  <c r="X596" i="8"/>
  <c r="T596" i="8"/>
  <c r="W596" i="8"/>
  <c r="Y596" i="8"/>
  <c r="Z596" i="8"/>
  <c r="AA596" i="8"/>
  <c r="R596" i="8"/>
  <c r="U596" i="8"/>
  <c r="AB596" i="8"/>
  <c r="V596" i="8"/>
  <c r="AC111" i="8"/>
  <c r="Y41" i="8" s="1"/>
  <c r="Y42" i="8" s="1"/>
  <c r="AV352" i="8"/>
  <c r="AW354" i="8"/>
  <c r="AT354" i="8"/>
  <c r="AU352" i="8"/>
  <c r="AA221" i="8"/>
  <c r="AN354" i="8"/>
  <c r="AM353" i="8"/>
  <c r="AO354" i="8"/>
  <c r="AP351" i="8"/>
  <c r="Z221" i="8"/>
  <c r="AF353" i="8"/>
  <c r="AH353" i="8"/>
  <c r="AG353" i="8"/>
  <c r="AI352" i="8"/>
  <c r="Y221" i="8"/>
  <c r="Y354" i="8"/>
  <c r="AB352" i="8"/>
  <c r="Z351" i="8"/>
  <c r="AA352" i="8"/>
  <c r="X221" i="8"/>
  <c r="Y442" i="8"/>
  <c r="AA441" i="8"/>
  <c r="AA251" i="8"/>
  <c r="AB441" i="8"/>
  <c r="Y251" i="8"/>
  <c r="X253" i="8"/>
  <c r="X251" i="8"/>
  <c r="AA252" i="8"/>
  <c r="Z515" i="8"/>
  <c r="AV353" i="8"/>
  <c r="AW351" i="8"/>
  <c r="AT352" i="8"/>
  <c r="AU353" i="8"/>
  <c r="AA224" i="8"/>
  <c r="AN351" i="8"/>
  <c r="AM354" i="8"/>
  <c r="AO352" i="8"/>
  <c r="AP353" i="8"/>
  <c r="Z222" i="8"/>
  <c r="AF354" i="8"/>
  <c r="AH352" i="8"/>
  <c r="AG351" i="8"/>
  <c r="AI354" i="8"/>
  <c r="Y223" i="8"/>
  <c r="Y351" i="8"/>
  <c r="AB354" i="8"/>
  <c r="Z353" i="8"/>
  <c r="AA354" i="8"/>
  <c r="X222" i="8"/>
  <c r="Y444" i="8"/>
  <c r="Z442" i="8"/>
  <c r="AA254" i="8"/>
  <c r="AA442" i="8"/>
  <c r="X254" i="8"/>
  <c r="Z252" i="8"/>
  <c r="X252" i="8"/>
  <c r="AC542" i="8"/>
  <c r="AC548" i="8" s="1"/>
  <c r="AA513" i="8"/>
  <c r="AV351" i="8"/>
  <c r="AW352" i="8"/>
  <c r="AT351" i="8"/>
  <c r="AU354" i="8"/>
  <c r="AA223" i="8"/>
  <c r="AN353" i="8"/>
  <c r="AM352" i="8"/>
  <c r="AO351" i="8"/>
  <c r="AP352" i="8"/>
  <c r="Z224" i="8"/>
  <c r="AF352" i="8"/>
  <c r="AH351" i="8"/>
  <c r="AG352" i="8"/>
  <c r="AI353" i="8"/>
  <c r="Y222" i="8"/>
  <c r="Y353" i="8"/>
  <c r="AB353" i="8"/>
  <c r="Z354" i="8"/>
  <c r="AA351" i="8"/>
  <c r="X224" i="8"/>
  <c r="Y443" i="8"/>
  <c r="Z254" i="8"/>
  <c r="Y254" i="8"/>
  <c r="Z444" i="8"/>
  <c r="AB443" i="8"/>
  <c r="AA253" i="8"/>
  <c r="Z251" i="8"/>
  <c r="AB514" i="8"/>
  <c r="AA515" i="8"/>
  <c r="Z513" i="8"/>
  <c r="AH143" i="8"/>
  <c r="AI143" i="8"/>
  <c r="Z253" i="8"/>
  <c r="AB442" i="8"/>
  <c r="AB515" i="8"/>
  <c r="AB513" i="8"/>
  <c r="EO8" i="19"/>
  <c r="EO51" i="19" s="1"/>
  <c r="EO98" i="19" s="1"/>
  <c r="EO144" i="19" s="1"/>
  <c r="EG8" i="19"/>
  <c r="EG51" i="19" s="1"/>
  <c r="EG98" i="19" s="1"/>
  <c r="EG144" i="19" s="1"/>
  <c r="EN8" i="19"/>
  <c r="EN51" i="19" s="1"/>
  <c r="EN98" i="19" s="1"/>
  <c r="EN144" i="19" s="1"/>
  <c r="EK8" i="19"/>
  <c r="EK51" i="19" s="1"/>
  <c r="EK98" i="19" s="1"/>
  <c r="EK144" i="19" s="1"/>
  <c r="EL8" i="19"/>
  <c r="EL51" i="19" s="1"/>
  <c r="EL98" i="19" s="1"/>
  <c r="EL144" i="19" s="1"/>
  <c r="EI8" i="19"/>
  <c r="EI51" i="19" s="1"/>
  <c r="EI98" i="19" s="1"/>
  <c r="EI144" i="19" s="1"/>
  <c r="EP8" i="19"/>
  <c r="EP51" i="19" s="1"/>
  <c r="EP98" i="19" s="1"/>
  <c r="EP144" i="19" s="1"/>
  <c r="EQ8" i="19"/>
  <c r="EQ51" i="19" s="1"/>
  <c r="EQ98" i="19" s="1"/>
  <c r="EQ144" i="19" s="1"/>
  <c r="EJ8" i="19"/>
  <c r="EJ51" i="19" s="1"/>
  <c r="EJ98" i="19" s="1"/>
  <c r="EJ144" i="19" s="1"/>
  <c r="EM8" i="19"/>
  <c r="EM51" i="19" s="1"/>
  <c r="EM98" i="19" s="1"/>
  <c r="EM144" i="19" s="1"/>
  <c r="EH8" i="19"/>
  <c r="EH51" i="19" s="1"/>
  <c r="EH98" i="19" s="1"/>
  <c r="EH144" i="19" s="1"/>
  <c r="EF8" i="19"/>
  <c r="EF51" i="19" s="1"/>
  <c r="EF98" i="19" s="1"/>
  <c r="EF144" i="19" s="1"/>
  <c r="AA152" i="8"/>
  <c r="AA153" i="8" s="1"/>
  <c r="AA436" i="8"/>
  <c r="AJ141" i="8"/>
  <c r="AN141" i="8"/>
  <c r="AB152" i="8"/>
  <c r="AB153" i="8" s="1"/>
  <c r="AH149" i="8"/>
  <c r="AJ150" i="8"/>
  <c r="AN150" i="8"/>
  <c r="AK151" i="8"/>
  <c r="AO151" i="8"/>
  <c r="AL150" i="8"/>
  <c r="AP150" i="8"/>
  <c r="AC152" i="8"/>
  <c r="AC153" i="8" s="1"/>
  <c r="AI149" i="8"/>
  <c r="AJ142" i="8"/>
  <c r="AN142" i="8"/>
  <c r="AJ149" i="8"/>
  <c r="AN149" i="8"/>
  <c r="AG152" i="8"/>
  <c r="AJ151" i="8"/>
  <c r="AN151" i="8"/>
  <c r="AK150" i="8"/>
  <c r="AO150" i="8"/>
  <c r="AL151" i="8"/>
  <c r="AP151" i="8"/>
  <c r="AP142" i="8"/>
  <c r="AL141" i="8"/>
  <c r="AP141" i="8"/>
  <c r="AO142" i="8"/>
  <c r="AK141" i="8"/>
  <c r="AO141" i="8"/>
  <c r="AG143" i="8"/>
  <c r="Z435" i="8"/>
  <c r="AA437" i="8"/>
  <c r="AA438" i="8"/>
  <c r="AB435" i="8"/>
  <c r="AB436" i="8"/>
  <c r="Z437" i="8"/>
  <c r="AA434" i="8"/>
  <c r="Z438" i="8"/>
  <c r="Z436" i="8"/>
  <c r="AB438" i="8"/>
  <c r="AB437" i="8"/>
  <c r="AA508" i="8"/>
  <c r="AA506" i="8"/>
  <c r="AA507" i="8"/>
  <c r="AA509" i="8"/>
  <c r="AB508" i="8"/>
  <c r="AB506" i="8"/>
  <c r="AB507" i="8"/>
  <c r="AB509" i="8"/>
  <c r="Z508" i="8"/>
  <c r="Z509" i="8"/>
  <c r="Z507" i="8"/>
  <c r="Z506" i="8"/>
  <c r="AF111" i="8"/>
  <c r="Z41" i="8" s="1"/>
  <c r="Z42" i="8" s="1"/>
  <c r="X236" i="8"/>
  <c r="Y299" i="8"/>
  <c r="AI111" i="8"/>
  <c r="Z111" i="8"/>
  <c r="X41" i="8" s="1"/>
  <c r="S124" i="8"/>
  <c r="Q113" i="8" s="1"/>
  <c r="G22" i="22" s="1"/>
  <c r="R22" i="22" s="1"/>
  <c r="R45" i="22" l="1"/>
  <c r="G44" i="22"/>
  <c r="R44" i="22" s="1"/>
  <c r="F48" i="18"/>
  <c r="P48" i="18" s="1"/>
  <c r="P49" i="18"/>
  <c r="AD640" i="8"/>
  <c r="AD672" i="8"/>
  <c r="AB253" i="8"/>
  <c r="AD618" i="8"/>
  <c r="AC353" i="8"/>
  <c r="Z445" i="8"/>
  <c r="Z446" i="8" s="1"/>
  <c r="Z516" i="8"/>
  <c r="AA516" i="8"/>
  <c r="AQ354" i="8"/>
  <c r="AJ351" i="8"/>
  <c r="AB223" i="8"/>
  <c r="AM355" i="8"/>
  <c r="AJ354" i="8"/>
  <c r="AI355" i="8"/>
  <c r="AB445" i="8"/>
  <c r="AB446" i="8" s="1"/>
  <c r="AB254" i="8"/>
  <c r="AC354" i="8"/>
  <c r="AW355" i="8"/>
  <c r="AA445" i="8"/>
  <c r="AA446" i="8" s="1"/>
  <c r="X225" i="8"/>
  <c r="X226" i="8" s="1"/>
  <c r="AV355" i="8"/>
  <c r="AC351" i="8"/>
  <c r="AJ352" i="8"/>
  <c r="AQ352" i="8"/>
  <c r="Y255" i="8"/>
  <c r="Y256" i="8" s="1"/>
  <c r="Y445" i="8"/>
  <c r="AB355" i="8"/>
  <c r="AG355" i="8"/>
  <c r="AP355" i="8"/>
  <c r="AA225" i="8"/>
  <c r="AA226" i="8" s="1"/>
  <c r="AN143" i="8"/>
  <c r="AN144" i="8" s="1"/>
  <c r="AA548" i="8"/>
  <c r="AB548" i="8"/>
  <c r="AB224" i="8"/>
  <c r="Y355" i="8"/>
  <c r="AO355" i="8"/>
  <c r="AU355" i="8"/>
  <c r="AC352" i="8"/>
  <c r="AD596" i="8"/>
  <c r="AB221" i="8"/>
  <c r="Z355" i="8"/>
  <c r="AB516" i="8"/>
  <c r="Z255" i="8"/>
  <c r="Z256" i="8" s="1"/>
  <c r="Z225" i="8"/>
  <c r="Z226" i="8" s="1"/>
  <c r="AQ351" i="8"/>
  <c r="X255" i="8"/>
  <c r="X256" i="8" s="1"/>
  <c r="AA255" i="8"/>
  <c r="AA256" i="8" s="1"/>
  <c r="AJ353" i="8"/>
  <c r="AQ353" i="8"/>
  <c r="AT355" i="8"/>
  <c r="AB252" i="8"/>
  <c r="AH355" i="8"/>
  <c r="AB222" i="8"/>
  <c r="AF355" i="8"/>
  <c r="AB251" i="8"/>
  <c r="Y225" i="8"/>
  <c r="Y226" i="8" s="1"/>
  <c r="AA355" i="8"/>
  <c r="AN355" i="8"/>
  <c r="R113" i="8"/>
  <c r="F26" i="18"/>
  <c r="AJ143" i="8"/>
  <c r="AO143" i="8"/>
  <c r="AO144" i="8" s="1"/>
  <c r="AJ152" i="8"/>
  <c r="AO149" i="8"/>
  <c r="AO152" i="8" s="1"/>
  <c r="AO153" i="8" s="1"/>
  <c r="AH152" i="8"/>
  <c r="AK149" i="8"/>
  <c r="AK152" i="8" s="1"/>
  <c r="AN152" i="8"/>
  <c r="AP149" i="8"/>
  <c r="AP152" i="8" s="1"/>
  <c r="AP153" i="8" s="1"/>
  <c r="AI152" i="8"/>
  <c r="AL149" i="8"/>
  <c r="AL152" i="8" s="1"/>
  <c r="AL143" i="8"/>
  <c r="AK143" i="8"/>
  <c r="AP143" i="8"/>
  <c r="AP144" i="8" s="1"/>
  <c r="AA41" i="8"/>
  <c r="AA42" i="8" s="1"/>
  <c r="Y388" i="8"/>
  <c r="Y434" i="8" s="1"/>
  <c r="Y478" i="8"/>
  <c r="AD166" i="8" s="1"/>
  <c r="AA347" i="8"/>
  <c r="AB345" i="8"/>
  <c r="AB344" i="8"/>
  <c r="AB347" i="8"/>
  <c r="Y347" i="8"/>
  <c r="Z346" i="8"/>
  <c r="AB346" i="8"/>
  <c r="Z347" i="8"/>
  <c r="AA345" i="8"/>
  <c r="AA346" i="8"/>
  <c r="Y346" i="8"/>
  <c r="Y344" i="8"/>
  <c r="AA344" i="8"/>
  <c r="Z344" i="8"/>
  <c r="Z345" i="8"/>
  <c r="Y345" i="8"/>
  <c r="AB348" i="8"/>
  <c r="AC347" i="8"/>
  <c r="AC346" i="8"/>
  <c r="Y348" i="8"/>
  <c r="AA348" i="8"/>
  <c r="AC345" i="8"/>
  <c r="Z348" i="8"/>
  <c r="AC344" i="8"/>
  <c r="AC348" i="8"/>
  <c r="X42" i="8"/>
  <c r="I34" i="1"/>
  <c r="I35" i="1"/>
  <c r="I36" i="1"/>
  <c r="I33" i="1"/>
  <c r="R283" i="8" l="1"/>
  <c r="Q569" i="8"/>
  <c r="G31" i="22" s="1"/>
  <c r="AC445" i="8"/>
  <c r="Q381" i="8" s="1"/>
  <c r="G25" i="22" s="1"/>
  <c r="R25" i="22" s="1"/>
  <c r="AB255" i="8"/>
  <c r="F23" i="18" s="1"/>
  <c r="P23" i="18" s="1"/>
  <c r="AJ355" i="8"/>
  <c r="AJ356" i="8" s="1"/>
  <c r="AC516" i="8"/>
  <c r="AC517" i="8" s="1"/>
  <c r="AC544" i="8"/>
  <c r="AB225" i="8"/>
  <c r="AC355" i="8"/>
  <c r="AC356" i="8" s="1"/>
  <c r="AQ355" i="8"/>
  <c r="AQ356" i="8" s="1"/>
  <c r="AX355" i="8"/>
  <c r="AX356" i="8" s="1"/>
  <c r="AN153" i="8"/>
  <c r="AQ152" i="8"/>
  <c r="AQ143" i="8"/>
  <c r="P26" i="18"/>
  <c r="Q37" i="8"/>
  <c r="G23" i="22" s="1"/>
  <c r="R23" i="22" s="1"/>
  <c r="AB41" i="8"/>
  <c r="AB42" i="8" s="1"/>
  <c r="Y446" i="8"/>
  <c r="Y437" i="8"/>
  <c r="Y436" i="8"/>
  <c r="Y438" i="8"/>
  <c r="Y435" i="8"/>
  <c r="AC538" i="8"/>
  <c r="AC525" i="8"/>
  <c r="V31" i="8"/>
  <c r="T33" i="8"/>
  <c r="P29" i="8"/>
  <c r="N34" i="8"/>
  <c r="AC446" i="8" l="1"/>
  <c r="R381" i="8"/>
  <c r="R569" i="8"/>
  <c r="Q130" i="8"/>
  <c r="F35" i="18"/>
  <c r="F34" i="18" s="1"/>
  <c r="P34" i="18" s="1"/>
  <c r="G30" i="22"/>
  <c r="R30" i="22" s="1"/>
  <c r="R31" i="22"/>
  <c r="F29" i="18"/>
  <c r="P29" i="18" s="1"/>
  <c r="F21" i="18"/>
  <c r="P21" i="18" s="1"/>
  <c r="G17" i="22"/>
  <c r="R17" i="22" s="1"/>
  <c r="AB256" i="8"/>
  <c r="G19" i="22"/>
  <c r="P35" i="18"/>
  <c r="Q231" i="8"/>
  <c r="R231" i="8" s="1"/>
  <c r="Q201" i="8"/>
  <c r="R201" i="8" s="1"/>
  <c r="AB226" i="8"/>
  <c r="Q471" i="8"/>
  <c r="Q292" i="8"/>
  <c r="F27" i="18"/>
  <c r="R37" i="8"/>
  <c r="H193" i="1"/>
  <c r="H194" i="1"/>
  <c r="H195" i="1"/>
  <c r="H192" i="1"/>
  <c r="F20" i="18" l="1"/>
  <c r="P20" i="18" s="1"/>
  <c r="G16" i="22"/>
  <c r="R16" i="22" s="1"/>
  <c r="R19" i="22"/>
  <c r="R292" i="8"/>
  <c r="G24" i="22"/>
  <c r="R24" i="22" s="1"/>
  <c r="R471" i="8"/>
  <c r="G27" i="22"/>
  <c r="R27" i="22" s="1"/>
  <c r="F30" i="18"/>
  <c r="P30" i="18" s="1"/>
  <c r="G26" i="22"/>
  <c r="F31" i="18"/>
  <c r="P31" i="18" s="1"/>
  <c r="F28" i="18"/>
  <c r="P28" i="18" s="1"/>
  <c r="R130" i="8"/>
  <c r="P27" i="18"/>
  <c r="J169" i="1"/>
  <c r="J168" i="1"/>
  <c r="J170" i="1"/>
  <c r="J167" i="1"/>
  <c r="R26" i="22" l="1"/>
  <c r="G21" i="22"/>
  <c r="F25" i="18"/>
  <c r="F14" i="18" s="1"/>
  <c r="F13" i="18" l="1"/>
  <c r="R21" i="22"/>
  <c r="G11" i="22"/>
  <c r="G9" i="22"/>
  <c r="G10" i="22"/>
  <c r="P25" i="18"/>
  <c r="F12" i="18"/>
  <c r="F11" i="18"/>
  <c r="P14" i="18" l="1"/>
  <c r="P13" i="18"/>
  <c r="R11" i="22"/>
  <c r="R9" i="22"/>
  <c r="R10" i="22"/>
  <c r="P11" i="18"/>
  <c r="P12" i="18"/>
  <c r="I65" i="9" l="1"/>
  <c r="U148" i="1" l="1"/>
  <c r="T148" i="1"/>
  <c r="S148" i="1"/>
  <c r="W406" i="1"/>
  <c r="T406" i="1"/>
  <c r="S406" i="1"/>
  <c r="R406" i="1"/>
  <c r="V374" i="1"/>
  <c r="S374" i="1"/>
  <c r="R374" i="1"/>
  <c r="R358" i="1"/>
  <c r="U345" i="1"/>
  <c r="S345" i="1"/>
  <c r="R345" i="1"/>
  <c r="T195" i="1"/>
  <c r="T194" i="1"/>
  <c r="T193" i="1"/>
  <c r="T192" i="1"/>
</calcChain>
</file>

<file path=xl/comments1.xml><?xml version="1.0" encoding="utf-8"?>
<comments xmlns="http://schemas.openxmlformats.org/spreadsheetml/2006/main">
  <authors>
    <author>Chau Huynh</author>
  </authors>
  <commentList>
    <comment ref="F45" authorId="0" shapeId="0">
      <text>
        <r>
          <rPr>
            <b/>
            <sz val="9"/>
            <color indexed="81"/>
            <rFont val="Tahoma"/>
            <family val="2"/>
            <charset val="163"/>
          </rPr>
          <t>Chau Huynh:</t>
        </r>
        <r>
          <rPr>
            <sz val="9"/>
            <color indexed="81"/>
            <rFont val="Tahoma"/>
            <family val="2"/>
            <charset val="163"/>
          </rPr>
          <t xml:space="preserve">
including some payment to Ky An, Lam Phuong Bao</t>
        </r>
      </text>
    </comment>
    <comment ref="F59" authorId="0" shapeId="0">
      <text>
        <r>
          <rPr>
            <b/>
            <sz val="9"/>
            <color indexed="81"/>
            <rFont val="Tahoma"/>
            <family val="2"/>
            <charset val="163"/>
          </rPr>
          <t>Chau Huynh:</t>
        </r>
        <r>
          <rPr>
            <sz val="9"/>
            <color indexed="81"/>
            <rFont val="Tahoma"/>
            <family val="2"/>
            <charset val="163"/>
          </rPr>
          <t xml:space="preserve">
including payment to SM-GA</t>
        </r>
      </text>
    </comment>
  </commentList>
</comments>
</file>

<file path=xl/comments2.xml><?xml version="1.0" encoding="utf-8"?>
<comments xmlns="http://schemas.openxmlformats.org/spreadsheetml/2006/main">
  <authors>
    <author>Chau Huynh</author>
  </authors>
  <commentList>
    <comment ref="E49" authorId="0" shapeId="0">
      <text>
        <r>
          <rPr>
            <b/>
            <sz val="9"/>
            <color indexed="81"/>
            <rFont val="Tahoma"/>
            <family val="2"/>
            <charset val="163"/>
          </rPr>
          <t>Chau Huynh:</t>
        </r>
        <r>
          <rPr>
            <sz val="9"/>
            <color indexed="81"/>
            <rFont val="Tahoma"/>
            <family val="2"/>
            <charset val="163"/>
          </rPr>
          <t xml:space="preserve">
including some payment to Ky An, Lam Phuong Bao</t>
        </r>
      </text>
    </comment>
    <comment ref="B51" authorId="0" shapeId="0">
      <text>
        <r>
          <rPr>
            <b/>
            <sz val="9"/>
            <color indexed="81"/>
            <rFont val="Tahoma"/>
            <charset val="1"/>
          </rPr>
          <t>Chau Huynh:</t>
        </r>
        <r>
          <rPr>
            <sz val="9"/>
            <color indexed="81"/>
            <rFont val="Tahoma"/>
            <charset val="1"/>
          </rPr>
          <t xml:space="preserve">
From 2017, combine in Annual Convention Trip</t>
        </r>
      </text>
    </comment>
    <comment ref="E63" authorId="0" shapeId="0">
      <text>
        <r>
          <rPr>
            <b/>
            <sz val="9"/>
            <color indexed="81"/>
            <rFont val="Tahoma"/>
            <family val="2"/>
            <charset val="163"/>
          </rPr>
          <t>Chau Huynh:</t>
        </r>
        <r>
          <rPr>
            <sz val="9"/>
            <color indexed="81"/>
            <rFont val="Tahoma"/>
            <family val="2"/>
            <charset val="163"/>
          </rPr>
          <t xml:space="preserve">
including payment to SM-GA</t>
        </r>
      </text>
    </comment>
  </commentList>
</comments>
</file>

<file path=xl/comments3.xml><?xml version="1.0" encoding="utf-8"?>
<comments xmlns="http://schemas.openxmlformats.org/spreadsheetml/2006/main">
  <authors>
    <author>Chau Huynh</author>
    <author>Tung Nguyen</author>
  </authors>
  <commentList>
    <comment ref="Q22" authorId="0" shapeId="0">
      <text>
        <r>
          <rPr>
            <b/>
            <sz val="9"/>
            <color indexed="81"/>
            <rFont val="Tahoma"/>
            <family val="2"/>
            <charset val="163"/>
          </rPr>
          <t>Chau Huynh:</t>
        </r>
        <r>
          <rPr>
            <sz val="9"/>
            <color indexed="81"/>
            <rFont val="Tahoma"/>
            <family val="2"/>
            <charset val="163"/>
          </rPr>
          <t xml:space="preserve">
projection from Actuary</t>
        </r>
      </text>
    </comment>
    <comment ref="X59" authorId="0" shapeId="0">
      <text>
        <r>
          <rPr>
            <b/>
            <sz val="9"/>
            <color indexed="81"/>
            <rFont val="Tahoma"/>
            <family val="2"/>
            <charset val="163"/>
          </rPr>
          <t>Chau Huynh:</t>
        </r>
        <r>
          <rPr>
            <sz val="9"/>
            <color indexed="81"/>
            <rFont val="Tahoma"/>
            <family val="2"/>
            <charset val="163"/>
          </rPr>
          <t xml:space="preserve">
Mix qualifier lower vs. Q1'16 as productivity decrease 57%
~3000 agents inactive</t>
        </r>
      </text>
    </comment>
    <comment ref="AB217" authorId="0" shapeId="0">
      <text>
        <r>
          <rPr>
            <b/>
            <sz val="9"/>
            <color indexed="81"/>
            <rFont val="Tahoma"/>
            <family val="2"/>
            <charset val="163"/>
          </rPr>
          <t>Chau Huynh:</t>
        </r>
        <r>
          <rPr>
            <sz val="9"/>
            <color indexed="81"/>
            <rFont val="Tahoma"/>
            <family val="2"/>
            <charset val="163"/>
          </rPr>
          <t xml:space="preserve">
Test avg productivity </t>
        </r>
      </text>
    </comment>
    <comment ref="W237" authorId="0" shapeId="0">
      <text>
        <r>
          <rPr>
            <b/>
            <sz val="9"/>
            <color indexed="81"/>
            <rFont val="Tahoma"/>
            <family val="2"/>
            <charset val="163"/>
          </rPr>
          <t>Chau Huynh:</t>
        </r>
        <r>
          <rPr>
            <sz val="9"/>
            <color indexed="81"/>
            <rFont val="Tahoma"/>
            <family val="2"/>
            <charset val="163"/>
          </rPr>
          <t xml:space="preserve">
excluding US
</t>
        </r>
      </text>
    </comment>
    <comment ref="AB247" authorId="0" shapeId="0">
      <text>
        <r>
          <rPr>
            <b/>
            <sz val="9"/>
            <color indexed="81"/>
            <rFont val="Tahoma"/>
            <family val="2"/>
            <charset val="163"/>
          </rPr>
          <t>Chau Huynh:</t>
        </r>
        <r>
          <rPr>
            <sz val="9"/>
            <color indexed="81"/>
            <rFont val="Tahoma"/>
            <family val="2"/>
            <charset val="163"/>
          </rPr>
          <t xml:space="preserve">
Test avg productivity </t>
        </r>
      </text>
    </comment>
    <comment ref="X313" authorId="0" shapeId="0">
      <text>
        <r>
          <rPr>
            <b/>
            <sz val="9"/>
            <color indexed="81"/>
            <rFont val="Tahoma"/>
            <family val="2"/>
            <charset val="163"/>
          </rPr>
          <t>Chau Huynh:</t>
        </r>
        <r>
          <rPr>
            <sz val="9"/>
            <color indexed="81"/>
            <rFont val="Tahoma"/>
            <family val="2"/>
            <charset val="163"/>
          </rPr>
          <t xml:space="preserve">
% of column</t>
        </r>
      </text>
    </comment>
    <comment ref="AE313" authorId="0" shapeId="0">
      <text>
        <r>
          <rPr>
            <b/>
            <sz val="9"/>
            <color indexed="81"/>
            <rFont val="Tahoma"/>
            <family val="2"/>
            <charset val="163"/>
          </rPr>
          <t>Chau Huynh:</t>
        </r>
        <r>
          <rPr>
            <sz val="9"/>
            <color indexed="81"/>
            <rFont val="Tahoma"/>
            <family val="2"/>
            <charset val="163"/>
          </rPr>
          <t xml:space="preserve">
% of column</t>
        </r>
      </text>
    </comment>
    <comment ref="AL313" authorId="0" shapeId="0">
      <text>
        <r>
          <rPr>
            <b/>
            <sz val="9"/>
            <color indexed="81"/>
            <rFont val="Tahoma"/>
            <family val="2"/>
            <charset val="163"/>
          </rPr>
          <t>Chau Huynh:</t>
        </r>
        <r>
          <rPr>
            <sz val="9"/>
            <color indexed="81"/>
            <rFont val="Tahoma"/>
            <family val="2"/>
            <charset val="163"/>
          </rPr>
          <t xml:space="preserve">
% of column</t>
        </r>
      </text>
    </comment>
    <comment ref="AS313" authorId="0" shapeId="0">
      <text>
        <r>
          <rPr>
            <b/>
            <sz val="9"/>
            <color indexed="81"/>
            <rFont val="Tahoma"/>
            <family val="2"/>
            <charset val="163"/>
          </rPr>
          <t>Chau Huynh:</t>
        </r>
        <r>
          <rPr>
            <sz val="9"/>
            <color indexed="81"/>
            <rFont val="Tahoma"/>
            <family val="2"/>
            <charset val="163"/>
          </rPr>
          <t xml:space="preserve">
% of column</t>
        </r>
      </text>
    </comment>
    <comment ref="AB412" authorId="1" shapeId="0">
      <text>
        <r>
          <rPr>
            <b/>
            <sz val="9"/>
            <color indexed="81"/>
            <rFont val="Tahoma"/>
            <charset val="1"/>
          </rPr>
          <t>Tung Nguyen:</t>
        </r>
        <r>
          <rPr>
            <sz val="9"/>
            <color indexed="81"/>
            <rFont val="Tahoma"/>
            <charset val="1"/>
          </rPr>
          <t xml:space="preserve">
Ban có 2 tỷ 3 trong quý 4
</t>
        </r>
      </text>
    </comment>
    <comment ref="M481" authorId="0" shapeId="0">
      <text>
        <r>
          <rPr>
            <b/>
            <sz val="9"/>
            <color indexed="81"/>
            <rFont val="Tahoma"/>
            <family val="2"/>
            <charset val="163"/>
          </rPr>
          <t>Chau Huynh:</t>
        </r>
        <r>
          <rPr>
            <sz val="9"/>
            <color indexed="81"/>
            <rFont val="Tahoma"/>
            <family val="2"/>
            <charset val="163"/>
          </rPr>
          <t xml:space="preserve">
Not take into account other requirement (# New recruit active, # us promotion, Persistency…)
</t>
        </r>
      </text>
    </comment>
    <comment ref="M493" authorId="0" shapeId="0">
      <text>
        <r>
          <rPr>
            <b/>
            <sz val="9"/>
            <color indexed="81"/>
            <rFont val="Tahoma"/>
            <family val="2"/>
            <charset val="163"/>
          </rPr>
          <t>Chau Huynh:</t>
        </r>
        <r>
          <rPr>
            <sz val="9"/>
            <color indexed="81"/>
            <rFont val="Tahoma"/>
            <family val="2"/>
            <charset val="163"/>
          </rPr>
          <t xml:space="preserve">
Production in last 06 months
</t>
        </r>
      </text>
    </comment>
    <comment ref="M505" authorId="0" shapeId="0">
      <text>
        <r>
          <rPr>
            <b/>
            <sz val="9"/>
            <color indexed="81"/>
            <rFont val="Tahoma"/>
            <family val="2"/>
            <charset val="163"/>
          </rPr>
          <t>Chau Huynh:</t>
        </r>
        <r>
          <rPr>
            <sz val="9"/>
            <color indexed="81"/>
            <rFont val="Tahoma"/>
            <family val="2"/>
            <charset val="163"/>
          </rPr>
          <t xml:space="preserve">
Take into account all 
requirement (# New recruit active, # us promotion, Persistency…)
</t>
        </r>
      </text>
    </comment>
    <comment ref="M517" authorId="0" shapeId="0">
      <text>
        <r>
          <rPr>
            <b/>
            <sz val="9"/>
            <color indexed="81"/>
            <rFont val="Tahoma"/>
            <family val="2"/>
            <charset val="163"/>
          </rPr>
          <t>Chau Huynh:</t>
        </r>
        <r>
          <rPr>
            <sz val="9"/>
            <color indexed="81"/>
            <rFont val="Tahoma"/>
            <family val="2"/>
            <charset val="163"/>
          </rPr>
          <t xml:space="preserve">
Production in last 06 months
</t>
        </r>
      </text>
    </comment>
    <comment ref="Y556" authorId="1" shapeId="0">
      <text>
        <r>
          <rPr>
            <b/>
            <sz val="9"/>
            <color indexed="81"/>
            <rFont val="Tahoma"/>
            <charset val="1"/>
          </rPr>
          <t>Tung Nguyen:</t>
        </r>
        <r>
          <rPr>
            <sz val="9"/>
            <color indexed="81"/>
            <rFont val="Tahoma"/>
            <charset val="1"/>
          </rPr>
          <t xml:space="preserve">
18 ông gen captian: có khả năng không?</t>
        </r>
      </text>
    </comment>
  </commentList>
</comments>
</file>

<file path=xl/comments4.xml><?xml version="1.0" encoding="utf-8"?>
<comments xmlns="http://schemas.openxmlformats.org/spreadsheetml/2006/main">
  <authors>
    <author>Chau Huynh</author>
  </authors>
  <commentList>
    <comment ref="O154" authorId="0" shapeId="0">
      <text>
        <r>
          <rPr>
            <b/>
            <sz val="9"/>
            <color indexed="81"/>
            <rFont val="Tahoma"/>
            <family val="2"/>
            <charset val="163"/>
          </rPr>
          <t>Chau Huynh:</t>
        </r>
        <r>
          <rPr>
            <sz val="9"/>
            <color indexed="81"/>
            <rFont val="Tahoma"/>
            <family val="2"/>
            <charset val="163"/>
          </rPr>
          <t xml:space="preserve">
100% QUALIFIED</t>
        </r>
      </text>
    </comment>
  </commentList>
</comments>
</file>

<file path=xl/sharedStrings.xml><?xml version="1.0" encoding="utf-8"?>
<sst xmlns="http://schemas.openxmlformats.org/spreadsheetml/2006/main" count="5024" uniqueCount="1489">
  <si>
    <t>GVL Agency Compensation Scheme - Approach &amp; Proposed Change</t>
  </si>
  <si>
    <t xml:space="preserve"> </t>
  </si>
  <si>
    <t>1.1) Basic Commission</t>
  </si>
  <si>
    <t>Commission varies from products &amp; premium term as approved by MOF</t>
  </si>
  <si>
    <t>1.2) Quarterly Production Bonus</t>
  </si>
  <si>
    <t>Apply to all Agents &amp; Agency Leaders on individual production</t>
  </si>
  <si>
    <t>1.3) CI Product Bonus</t>
  </si>
  <si>
    <t>- Premium Term 12 years:</t>
  </si>
  <si>
    <t>- Premium Term 15 years:</t>
  </si>
  <si>
    <t>7% FYP (Jan + Feb/2016)</t>
  </si>
  <si>
    <t>5% FYP (Jan + Feb/2016)</t>
  </si>
  <si>
    <t>1.4) UL Product Bonus</t>
  </si>
  <si>
    <t>- Minium 12 Mil IP + 2 Riders:</t>
  </si>
  <si>
    <t>FYP in Quarter</t>
  </si>
  <si>
    <t>Bonus Rate</t>
  </si>
  <si>
    <t>(% FYC)</t>
  </si>
  <si>
    <t>(Mil VND)</t>
  </si>
  <si>
    <t>Level 3</t>
  </si>
  <si>
    <t>Level 2</t>
  </si>
  <si>
    <t>Level 1</t>
  </si>
  <si>
    <t>Level</t>
  </si>
  <si>
    <t>Bonus</t>
  </si>
  <si>
    <t>Bonus = % Bonus rate x total FYC in quarter</t>
  </si>
  <si>
    <t>- Minimum 85% First year Persistency</t>
  </si>
  <si>
    <t>- Minimum 75% Second year Persistency</t>
  </si>
  <si>
    <t>Key Changes:</t>
  </si>
  <si>
    <t>1. Remove CI Product Bonus:</t>
  </si>
  <si>
    <t>2. Change UL Product Bonus:</t>
  </si>
  <si>
    <t>Increase minimum IP/# Rider requirement as entry level for bonus earning</t>
  </si>
  <si>
    <t>Create different bonus rate for different # Rider attachment</t>
  </si>
  <si>
    <t>Commission = % Commission rate x premium</t>
  </si>
  <si>
    <t>1.3) UL Product Bonus</t>
  </si>
  <si>
    <t>B) AGENCY LEADER COMPENSATION</t>
  </si>
  <si>
    <t>B1) OVERRIDE COMMISSION</t>
  </si>
  <si>
    <t>Unit leader</t>
  </si>
  <si>
    <t>Monthly Bonus</t>
  </si>
  <si>
    <t>Branch Override</t>
  </si>
  <si>
    <t>Direct OR</t>
  </si>
  <si>
    <t xml:space="preserve">15% FYC of direct unit </t>
  </si>
  <si>
    <t xml:space="preserve"> = 5% FYC of direct branch production</t>
  </si>
  <si>
    <t>Extra bonus</t>
  </si>
  <si>
    <t>(Required min FYP15mil)</t>
  </si>
  <si>
    <t>and 50% direct US's team (**)</t>
  </si>
  <si>
    <t xml:space="preserve"> FYC of direct unit of</t>
  </si>
  <si>
    <t>FYC of direct branch including</t>
  </si>
  <si>
    <t>BM/SB + direct/indirect agents + direct/indirect USs +</t>
  </si>
  <si>
    <t xml:space="preserve"> + direct/indirect UMs + direct/indirect SMs (pic 8)</t>
  </si>
  <si>
    <t>BM including BM + direct agents + direct US (pic 4)</t>
  </si>
  <si>
    <t>excluding downline branches (daughter BM) if any</t>
  </si>
  <si>
    <t>SB including SB + direct agents + direct US (pic 5)</t>
  </si>
  <si>
    <t>(**) FYC of unit of</t>
  </si>
  <si>
    <t>Unit Quarterly Production Bonus</t>
  </si>
  <si>
    <t>Unit Bonus =  % Bonus rate x total unit FYC in quarter</t>
  </si>
  <si>
    <t>Bonus scheme for UM/SUM/BM</t>
  </si>
  <si>
    <t>Total unit  FYP</t>
  </si>
  <si>
    <t>no. active in quarter</t>
  </si>
  <si>
    <t>(mn VND)</t>
  </si>
  <si>
    <t>Level 4</t>
  </si>
  <si>
    <t>Active agents &amp; Activitty Ratio: 1 case 7m IP in month</t>
  </si>
  <si>
    <t>Min unit FY Persistency required from 85%</t>
  </si>
  <si>
    <t>Min unit SY Persistency required from 70%</t>
  </si>
  <si>
    <t>For UM/SM/BM/SB newly appointed in quarter, allow prorating production (FYP only) &amp; no. active agents by actual no. of working month in quarter (30 days/month)</t>
  </si>
  <si>
    <t>Bonus scheme for US</t>
  </si>
  <si>
    <t>Total US unit  FYP</t>
  </si>
  <si>
    <t>%FYC</t>
  </si>
  <si>
    <t xml:space="preserve">Min 4 active agent months in quarter. </t>
  </si>
  <si>
    <t>Allow prorating production &amp; no. active agents by no. of working month in quarter (30 days/month) for newly recruited or newly promoted US within the quarter</t>
  </si>
  <si>
    <t>Branch Quarterly Production Bonus</t>
  </si>
  <si>
    <t>Branch Bonus =  % Bonus rate x branch FYC in quarter</t>
  </si>
  <si>
    <t>Quarterly branch FYP</t>
  </si>
  <si>
    <t>Bonus rate</t>
  </si>
  <si>
    <t>Actual 2015</t>
  </si>
  <si>
    <t>Direct branch FY Persistency required is from 85%, Direct branch SY Persistency required is from 70%</t>
  </si>
  <si>
    <t>For BM/SB newly appointed/promoted in quarter, allow prorating production (FYP only) &amp; no. active agents by actual no. of working month in quarter (30 days/month)</t>
  </si>
  <si>
    <t>B3) QUARTERLY PRODUCTION BONUS</t>
  </si>
  <si>
    <t>Lumpsum bonus to mother (SM) on daughter UM promotion:</t>
  </si>
  <si>
    <t>mln on UM promotion with 150mln team FYP + 6 agents last 6 mths</t>
  </si>
  <si>
    <t>mln on UM promotion with 250mln team FYP + 6 agents last 6 mths</t>
  </si>
  <si>
    <t>UM Development bonus to SM</t>
  </si>
  <si>
    <t>Only eligible to SM, not BM</t>
  </si>
  <si>
    <t>Also eligible for SM on his directly recruited UMs/SMs (depends on recruitment rules)</t>
  </si>
  <si>
    <t>Both mother and daughter SM/UM must maintain SM/UM position on payment time</t>
  </si>
  <si>
    <t>If the SM to be promoted to BM position, he will earn BM benefit instead and</t>
  </si>
  <si>
    <t>stop earning this SM bonus</t>
  </si>
  <si>
    <t>BM Development bonus to MBM</t>
  </si>
  <si>
    <t>Daughter BM year</t>
  </si>
  <si>
    <t>% FYC of daughter branch</t>
  </si>
  <si>
    <t>FY</t>
  </si>
  <si>
    <t>SY</t>
  </si>
  <si>
    <t>3Y</t>
  </si>
  <si>
    <t>Both mother and daughter SB/BM must maintain SB/BM position on payment time</t>
  </si>
  <si>
    <t>Also eligible for SB on his directly recruited BMs/SBs (depends on recruitment rules)</t>
  </si>
  <si>
    <t>'Daughter BM year' considered from BM promotion month or from DSB recruited month</t>
  </si>
  <si>
    <t>C) RECRUITMENT SUPPORT PROGRAM</t>
  </si>
  <si>
    <t>C1) ROOKIES RECRUITMENT SUPPORT PROGRAM</t>
  </si>
  <si>
    <t>Bangkok trip for rookies</t>
  </si>
  <si>
    <t>Requirements:</t>
  </si>
  <si>
    <t xml:space="preserve">90m FYP + 5 cases in first 90 days </t>
  </si>
  <si>
    <t>Reward:</t>
  </si>
  <si>
    <t xml:space="preserve">Bangkok trip (4D3N) </t>
  </si>
  <si>
    <t>Bangkok trip for recruiters</t>
  </si>
  <si>
    <t>2 Bangkok qualifiers who appointed in a same quarter</t>
  </si>
  <si>
    <t>Training allowance</t>
  </si>
  <si>
    <t>Rookie period</t>
  </si>
  <si>
    <t>Requirement</t>
  </si>
  <si>
    <t>Reward</t>
  </si>
  <si>
    <t>in month 1</t>
  </si>
  <si>
    <t>1 case + 7mln IP</t>
  </si>
  <si>
    <t>300K training allowance</t>
  </si>
  <si>
    <t xml:space="preserve">Financial Support to AL on quality recruitment </t>
  </si>
  <si>
    <t>2m for direct leader if rookie agent produce 20m IP in first 2 months</t>
  </si>
  <si>
    <t>C2) LEADER RECRUITMENT SUPPORT PROGRAM</t>
  </si>
  <si>
    <t>Financial Supports to Recruited UM</t>
  </si>
  <si>
    <t>service</t>
  </si>
  <si>
    <t>month</t>
  </si>
  <si>
    <t>unit FYP</t>
  </si>
  <si>
    <t>active</t>
  </si>
  <si>
    <t>MP</t>
  </si>
  <si>
    <t>bonus (m)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</si>
  <si>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</si>
  <si>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</si>
  <si>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</si>
  <si>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</si>
  <si>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</si>
  <si>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</si>
  <si>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</si>
  <si>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</si>
  <si>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</si>
  <si>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Total 9mths L1</t>
  </si>
  <si>
    <t>Require minimum 3 manpower and 100mil unit FYP in first 6 months, otherwise demoted to AG</t>
  </si>
  <si>
    <t>If AL terminate within first 12 service months period, all RSP bonus paid in first 3 months will be clawed back</t>
  </si>
  <si>
    <t>(*) all targets required include UM's personal sale</t>
  </si>
  <si>
    <t>(**) Ending manpower who pass the agency contract maintenance requirement. Excluding tranferred agents</t>
  </si>
  <si>
    <t>(***) Active agent month required minimum 7mln IP</t>
  </si>
  <si>
    <t>Extra bonus on service month 18th (NEW)</t>
  </si>
  <si>
    <t>Applicable for UMs firstly promoted in 2016 only.</t>
  </si>
  <si>
    <t>Productivity assumptions:</t>
  </si>
  <si>
    <t>FYP per active</t>
  </si>
  <si>
    <t>Cases per active:</t>
  </si>
  <si>
    <t>Case size:</t>
  </si>
  <si>
    <t>FYP / APE:</t>
  </si>
  <si>
    <t>Financial Supports to Recruited SM</t>
  </si>
  <si>
    <t>Group FYP (*)</t>
  </si>
  <si>
    <t>active (**)</t>
  </si>
  <si>
    <t>DUMs</t>
  </si>
  <si>
    <t>Group MP</t>
  </si>
  <si>
    <t>Total 9mths</t>
  </si>
  <si>
    <t>(*) include 100% FYP of (SM's direct unit, including direct unit of promoted US/UMs under SM)</t>
  </si>
  <si>
    <t xml:space="preserve"> &amp; 50% FYP of (Recruited DUMs, including direct unit of promoted US/UMs under Recruited DUMs)</t>
  </si>
  <si>
    <t>(**) include 100% active of SM's direct unit &amp; Recruited DUMs, including direct unit of promoted US/UMs</t>
  </si>
  <si>
    <t>(***) No. DUMs include directly recruited UM only and exclude promoted US/UM</t>
  </si>
  <si>
    <t>Eligible for development bonus on directly recruited UMs</t>
  </si>
  <si>
    <t>Earn total bonus if qualified accumulate production &amp; active &amp; recruited DUMs  for 9mths</t>
  </si>
  <si>
    <t>if fail the validation, to be demoted to UM (all downline DUMs will become independent)</t>
  </si>
  <si>
    <t xml:space="preserve">Require minimum 150mil group FYP (*), 6 manpower in group and 1 recruited DUM (still active at M6 end (not terminated)) in first 6 months, </t>
  </si>
  <si>
    <t>otherwise demoted to UM (-&gt; DUM will report to BM/SB, if any, or become independent)</t>
  </si>
  <si>
    <t>Applicable for SMs firstly promoted in 2016 only.</t>
  </si>
  <si>
    <t>Financial Supports to Recruited BM</t>
  </si>
  <si>
    <t>Branch FYP (*)</t>
  </si>
  <si>
    <t>Unit 
FYP</t>
  </si>
  <si>
    <t>Branch active</t>
  </si>
  <si>
    <t>UMs/SUMs
 (**)</t>
  </si>
  <si>
    <t>Branch MP</t>
  </si>
  <si>
    <t>M10</t>
  </si>
  <si>
    <t>M11</t>
  </si>
  <si>
    <t>6 (**)</t>
  </si>
  <si>
    <t>M12</t>
  </si>
  <si>
    <t>Total 12mths</t>
  </si>
  <si>
    <t>(*) included promoted UM</t>
  </si>
  <si>
    <t>(**) min 2 direct UMs</t>
  </si>
  <si>
    <t>Catch-up rule: earn total bonus if qualify all criteria for 12 mths and min 85% branch persistency</t>
  </si>
  <si>
    <t>6 months validation:</t>
  </si>
  <si>
    <t>minimum 300mil branch FYP in first 6 months,</t>
  </si>
  <si>
    <t>9 manpower in in branch, including 2 recruited Ums. All manpower still qualify agency MoC as end of month 6.</t>
  </si>
  <si>
    <t xml:space="preserve">if fail the validation, to be demoted to SUM </t>
  </si>
  <si>
    <t>Claw-back rule: If AL leave within 18 service months period, clawback all paid RSP in first 3 months</t>
  </si>
  <si>
    <t>B1) US PROMOTION</t>
  </si>
  <si>
    <t>US bonus for first 6 months from promotion</t>
  </si>
  <si>
    <t>US service month</t>
  </si>
  <si>
    <t>team FYP (*)</t>
  </si>
  <si>
    <t>(*) FYP of downline agents, excluding US personal sale</t>
  </si>
  <si>
    <t>INDIVIDUAL COMPENSATION</t>
  </si>
  <si>
    <t>Introduce Gen-Lion Club</t>
  </si>
  <si>
    <t xml:space="preserve">4. New add-in: Core Agent Development: </t>
  </si>
  <si>
    <t>Propose segmentation with cash &amp; non-cash benefits</t>
  </si>
  <si>
    <t>This payment had been structured under Leader Recruitment Support Program in the past</t>
  </si>
  <si>
    <t>B2) US PROMOTION</t>
  </si>
  <si>
    <t>B5) LEADER DEVELOPMENT SUPPORT</t>
  </si>
  <si>
    <t>B4) LEADER CORE PROGRAM - GEN-CHAMPION CLUB</t>
  </si>
  <si>
    <t>2017 PROPOSED SCHEME</t>
  </si>
  <si>
    <t>2016 SCHEME</t>
  </si>
  <si>
    <t>B4) BM ALLOWANCE</t>
  </si>
  <si>
    <t>Eligibility: BMs who have at least 12 service months (establised BMs)</t>
  </si>
  <si>
    <t>Evaluation frequency: quarterly basis</t>
  </si>
  <si>
    <t>Requirements on last 12 months</t>
  </si>
  <si>
    <t>Branch FYP</t>
  </si>
  <si>
    <t>no. active recruits</t>
  </si>
  <si>
    <t>Monthly allowance</t>
  </si>
  <si>
    <t># Rider</t>
  </si>
  <si>
    <t>Minium IP per policy: 15 Mil</t>
  </si>
  <si>
    <t>ASSUMPTION &amp; COST PROJECTION</t>
  </si>
  <si>
    <t>1.4) GEN-LION Club</t>
  </si>
  <si>
    <t>Segment</t>
  </si>
  <si>
    <t>Diamond</t>
  </si>
  <si>
    <t>Gold</t>
  </si>
  <si>
    <t>Silver</t>
  </si>
  <si>
    <t>FYP</t>
  </si>
  <si>
    <t># Policy</t>
  </si>
  <si>
    <t>Q1'15</t>
  </si>
  <si>
    <t>Q2'15</t>
  </si>
  <si>
    <t>Q3'16</t>
  </si>
  <si>
    <t>Q4'15</t>
  </si>
  <si>
    <t>Q3'15</t>
  </si>
  <si>
    <t>Q1'16</t>
  </si>
  <si>
    <t>Q2'16</t>
  </si>
  <si>
    <t>Q1'17</t>
  </si>
  <si>
    <t>Q2'17</t>
  </si>
  <si>
    <t>Q3'17</t>
  </si>
  <si>
    <t>Q4'17</t>
  </si>
  <si>
    <t># Qualifier</t>
  </si>
  <si>
    <t>FYP Criteria</t>
  </si>
  <si>
    <t>TOTAL</t>
  </si>
  <si>
    <t>Mix Qualifier</t>
  </si>
  <si>
    <t>FYP Contribution</t>
  </si>
  <si>
    <t>Key Highlights:</t>
  </si>
  <si>
    <t>1. Basic Commission</t>
  </si>
  <si>
    <t>2. UL Product Bonus</t>
  </si>
  <si>
    <t>Min: IP per policy 20 Mil</t>
  </si>
  <si>
    <t>3. Quarterly Production Bonus</t>
  </si>
  <si>
    <t>No. Policy</t>
  </si>
  <si>
    <t>4. Gen-Lion Bonus</t>
  </si>
  <si>
    <t>Active: Min 1 policy + 8 Mil IP</t>
  </si>
  <si>
    <t>Extra Bonus if AG active 3/3 Month</t>
  </si>
  <si>
    <t>Xét cuối năm</t>
  </si>
  <si>
    <t>Các đối tượng đạt danh hiệu Gen-Lion liên tục trong 04 quý</t>
  </si>
  <si>
    <t>Đạt tối thiểu danh hiệu Gen-Lion Gold</t>
  </si>
  <si>
    <t>1. Bảo hiểm Health insurance cho bản thân + gia đình (spouse, children)</t>
  </si>
  <si>
    <t>2. Sổ tay</t>
  </si>
  <si>
    <t>3. Voucher Health Check 1.5 Mil</t>
  </si>
  <si>
    <t xml:space="preserve">Riêng các đối tượng liên tục đạt Gen-Lion Kim Cương trong 04 quý: </t>
  </si>
  <si>
    <t>Thưởng năm 15% FYC của nguyên năm</t>
  </si>
  <si>
    <t>If hoạt động 3/3 tháng</t>
  </si>
  <si>
    <t>II. Leaders</t>
  </si>
  <si>
    <t>Chương trình phát triển US</t>
  </si>
  <si>
    <t>Chương trình hỗ trợ đào tạo US trong vòng 06 tháng</t>
  </si>
  <si>
    <t>Chương trình hỗ trợ bắt đầu kể từ tháng AG được promote lên US</t>
  </si>
  <si>
    <t>a. Hỗ trợ đào tạo</t>
  </si>
  <si>
    <t>b. Hỗ trợ phát triển nhóm</t>
  </si>
  <si>
    <t>Thang 1</t>
  </si>
  <si>
    <t>Thang 2</t>
  </si>
  <si>
    <t>Thang 3</t>
  </si>
  <si>
    <t>Thang 4</t>
  </si>
  <si>
    <t>Thang 5</t>
  </si>
  <si>
    <t>Thang 6</t>
  </si>
  <si>
    <t>Total</t>
  </si>
  <si>
    <t># New recruit</t>
  </si>
  <si>
    <t>Tháng hoạt động</t>
  </si>
  <si>
    <t>c. Thưởng thăng tiến</t>
  </si>
  <si>
    <t>US thăng tiến trong vòng 03 tháng</t>
  </si>
  <si>
    <t>US thăng tiến trong vòng 06 tháng</t>
  </si>
  <si>
    <t>Điều kiện</t>
  </si>
  <si>
    <t>10 triệu</t>
  </si>
  <si>
    <t>a. Thưởng huấn luyện</t>
  </si>
  <si>
    <t>1 triệu đồng sau khi lên US và hoàn tất chương trình huấn luyện US của công ty</t>
  </si>
  <si>
    <t># New Active recruit (*)</t>
  </si>
  <si>
    <t xml:space="preserve">(*) New Active Recruit: tính trên các AG mới tuyển thuộc US có thời gian làm việc &lt;7 tháng </t>
  </si>
  <si>
    <t>5 triệu</t>
  </si>
  <si>
    <t>20% FYC</t>
  </si>
  <si>
    <t>Chính sách trợ cấp đào tạo và thưởng nhóm</t>
  </si>
  <si>
    <t>b. Thưởng quý</t>
  </si>
  <si>
    <t>FYP nhóm</t>
  </si>
  <si>
    <t>% FYC</t>
  </si>
  <si>
    <t>&lt; 50 Mil</t>
  </si>
  <si>
    <t>&gt;= 50 Mil</t>
  </si>
  <si>
    <t>&gt;= 150 Mil</t>
  </si>
  <si>
    <t>a. Trợ cấp đào tạo tháng (override) (nhóm trực tiếp)</t>
  </si>
  <si>
    <t>Chính sách trợ cấp đào tạo &amp; thưởng ban</t>
  </si>
  <si>
    <t>a. Trợ cấp đào tạo tháng (override) (ban trực tiếp)</t>
  </si>
  <si>
    <t>FYP ban</t>
  </si>
  <si>
    <t>&gt;= 100 Mil</t>
  </si>
  <si>
    <t>&lt; 100 Mil</t>
  </si>
  <si>
    <t xml:space="preserve">Đếm 25% doanh thu của ban con năm nhất </t>
  </si>
  <si>
    <t>Đếm 10% doanh thu của ban con năm hoạt động thứ 2</t>
  </si>
  <si>
    <t>Chương trình thưởng Gen-Champion</t>
  </si>
  <si>
    <t>FYP nhóm 
trực tiếp trong 06 tháng vừa qua</t>
  </si>
  <si>
    <t># New Recruit active M1 in last 06 months</t>
  </si>
  <si>
    <t>Xét duyệt mỗi quý (đầu tháng 4, 7, 10)</t>
  </si>
  <si>
    <t>Benefits</t>
  </si>
  <si>
    <t>Thưởng trên doanh số quý tiếp theo</t>
  </si>
  <si>
    <t>Monthly Allowance</t>
  </si>
  <si>
    <t>x</t>
  </si>
  <si>
    <t>Double Unit Override (Monthly)</t>
  </si>
  <si>
    <t>Các đối tượng đạt danh hiệu Gen-Champion liên tục trong 04 quý</t>
  </si>
  <si>
    <t>Đạt tối thiểu danh hiệu Gen-Champion Gold</t>
  </si>
  <si>
    <t xml:space="preserve">Riêng các đối tượng liên tục đạt Gen-Champion Kim Cương trong 04 quý: </t>
  </si>
  <si>
    <t>Dành cho UM/SM/BM/SB</t>
  </si>
  <si>
    <t>Chương trình thưởng dành cho BM/SB</t>
  </si>
  <si>
    <t>Gen-Captain</t>
  </si>
  <si>
    <t>Xét duyệt mỗi đầu quý ( tháng 4, 7, 10)</t>
  </si>
  <si>
    <t>Điều kiện:</t>
  </si>
  <si>
    <t>- # New UM promotion trong 06 tháng gần nhất: 2</t>
  </si>
  <si>
    <t>- Trong nhóm Có 1 Gen-Champion tại thời điểm xét duyệt</t>
  </si>
  <si>
    <t>- Doanh số toàn ban: 2.5 tỷ FYP</t>
  </si>
  <si>
    <t>- Persistency K1 85%</t>
  </si>
  <si>
    <t>- Persistency K2 75%</t>
  </si>
  <si>
    <t>Thưởng:</t>
  </si>
  <si>
    <t>Double Branch Override trong Quý tiếp theo</t>
  </si>
  <si>
    <t>Đếm 25% doanh số của ban con đang hoạt động năm đầu tiên</t>
  </si>
  <si>
    <t>Đếm 10% doanh số của ban con đang hoạt động năm thứ 02</t>
  </si>
  <si>
    <t xml:space="preserve">III. </t>
  </si>
  <si>
    <t>Chương trình thưởng phát triển đội ngũ</t>
  </si>
  <si>
    <t>Persistency K1 85%</t>
  </si>
  <si>
    <t>Persistency K2 75%</t>
  </si>
  <si>
    <t>Nhóm có ít nhất 02 AG thăng chức lên US trong 06 tháng vừa qua</t>
  </si>
  <si>
    <t>Giữ nguyên như 2015</t>
  </si>
  <si>
    <t>Lưu ý: không tính trường hợp tuyển ngang</t>
  </si>
  <si>
    <t>IV</t>
  </si>
  <si>
    <t>Chương trình đào tạo hỗ trợ TVV mới</t>
  </si>
  <si>
    <t>V</t>
  </si>
  <si>
    <t>Chương trình hỗ trợ tuyển dụng &amp; phát triển đội ngũ</t>
  </si>
  <si>
    <t xml:space="preserve">a. Hỗ trợ đào tạo </t>
  </si>
  <si>
    <t>Sau khi hoàn tất chương trình huấn luyện xxx</t>
  </si>
  <si>
    <t>Nhận Training Allowance 300K</t>
  </si>
  <si>
    <t>b. Thưởng khởi nghiệp</t>
  </si>
  <si>
    <t>Thưởng</t>
  </si>
  <si>
    <t>1 Mil</t>
  </si>
  <si>
    <t>15 ngày đầu tiên</t>
  </si>
  <si>
    <t>sau khi có MS</t>
  </si>
  <si>
    <t>c. ThaiLand Trip</t>
  </si>
  <si>
    <t>5 HĐ</t>
  </si>
  <si>
    <t>90 Mil FYP</t>
  </si>
  <si>
    <t>Hoạt động: Min 1 Case + 8 Mil IP</t>
  </si>
  <si>
    <t>c. Rookie ThaiLand Trip</t>
  </si>
  <si>
    <t>Có hoạt động 2/3 tháng</t>
  </si>
  <si>
    <t>a. Thưởng tuyển dụng</t>
  </si>
  <si>
    <t>New recruit có active trong 15 ngày đầu</t>
  </si>
  <si>
    <t>500 K</t>
  </si>
  <si>
    <t>b. Thưởng phát triển đội ngũ</t>
  </si>
  <si>
    <t>% FYC of tất cả rookies tuyển dụng trong 06 tháng gần nhất</t>
  </si>
  <si>
    <t># New recruit 
Active M1</t>
  </si>
  <si>
    <t>(nhóm trực tiếp)</t>
  </si>
  <si>
    <t>1 HĐ + 10 Mil IP</t>
  </si>
  <si>
    <t>FYP in last 
06 mths</t>
  </si>
  <si>
    <t>Bonus on 
FYC next Q</t>
  </si>
  <si>
    <t>Extra Bonus on FYC next Q</t>
  </si>
  <si>
    <t>Monthly Payment</t>
  </si>
  <si>
    <t>Quarter End Payment</t>
  </si>
  <si>
    <t>If hoạt động 1 or 2/3 tháng</t>
  </si>
  <si>
    <r>
      <rPr>
        <b/>
        <sz val="12"/>
        <color theme="1"/>
        <rFont val="Calibri"/>
        <family val="2"/>
        <charset val="163"/>
        <scheme val="minor"/>
      </rPr>
      <t xml:space="preserve">I. </t>
    </r>
    <r>
      <rPr>
        <b/>
        <u/>
        <sz val="12"/>
        <color theme="1"/>
        <rFont val="Calibri"/>
        <family val="2"/>
        <charset val="163"/>
        <scheme val="minor"/>
      </rPr>
      <t>Individual</t>
    </r>
  </si>
  <si>
    <t>- Quản lý tuyển dụng thành công 2 TVBH mới trong cùng một quý đạt vé du lịch Bangkok</t>
  </si>
  <si>
    <t>=&gt; Nhận 01 vé đi ThaiLand Trip</t>
  </si>
  <si>
    <t>Increase minimum IP &amp; # Rider requirement as entry level for bonus earning</t>
  </si>
  <si>
    <t xml:space="preserve">3. Change Quarterly Production Bonus: </t>
  </si>
  <si>
    <t>Re-arrange production level &amp; bonus rate</t>
  </si>
  <si>
    <t>Bonus (%FYC)</t>
  </si>
  <si>
    <t>1.4) Gen-Lion Club</t>
  </si>
  <si>
    <t>5. Change Active definition: Active in month - 1 policy + 8 Mil IP</t>
  </si>
  <si>
    <t>Criteria</t>
  </si>
  <si>
    <t>Financial Benefits</t>
  </si>
  <si>
    <t>Gen-Lion Bonus</t>
  </si>
  <si>
    <r>
      <rPr>
        <b/>
        <sz val="11"/>
        <color rgb="FF0000F0"/>
        <rFont val="Arial"/>
        <family val="2"/>
      </rPr>
      <t>5%</t>
    </r>
    <r>
      <rPr>
        <sz val="11"/>
        <color theme="1"/>
        <rFont val="Arial"/>
        <family val="2"/>
      </rPr>
      <t xml:space="preserve"> FYP (From Mar/2016)</t>
    </r>
  </si>
  <si>
    <r>
      <rPr>
        <b/>
        <sz val="11"/>
        <color rgb="FF0000F0"/>
        <rFont val="Arial"/>
        <family val="2"/>
      </rPr>
      <t>3%</t>
    </r>
    <r>
      <rPr>
        <sz val="11"/>
        <color theme="1"/>
        <rFont val="Arial"/>
        <family val="2"/>
      </rPr>
      <t xml:space="preserve"> FYP (From Mar/2016)</t>
    </r>
  </si>
  <si>
    <r>
      <rPr>
        <b/>
        <sz val="11"/>
        <color rgb="FF0000F0"/>
        <rFont val="Arial"/>
        <family val="2"/>
      </rPr>
      <t>8%</t>
    </r>
    <r>
      <rPr>
        <sz val="11"/>
        <color theme="1"/>
        <rFont val="Arial"/>
        <family val="2"/>
      </rPr>
      <t xml:space="preserve"> FYP (basic premium)</t>
    </r>
  </si>
  <si>
    <t>US including direct agents (pic 1)</t>
  </si>
  <si>
    <r>
      <t>UM including UM + direct agents + direct US</t>
    </r>
    <r>
      <rPr>
        <sz val="11"/>
        <color rgb="FFFF0000"/>
        <rFont val="Arial"/>
        <family val="2"/>
      </rPr>
      <t xml:space="preserve"> </t>
    </r>
    <r>
      <rPr>
        <sz val="11"/>
        <rFont val="Arial"/>
        <family val="2"/>
      </rPr>
      <t>(pic 2)</t>
    </r>
  </si>
  <si>
    <r>
      <t>SM including SM + direct agents + direct US</t>
    </r>
    <r>
      <rPr>
        <sz val="11"/>
        <color rgb="FFFF0000"/>
        <rFont val="Arial"/>
        <family val="2"/>
      </rPr>
      <t xml:space="preserve"> </t>
    </r>
    <r>
      <rPr>
        <sz val="11"/>
        <rFont val="Arial"/>
        <family val="2"/>
      </rPr>
      <t>(pic 3)</t>
    </r>
  </si>
  <si>
    <r>
      <t>UM/SM including UM/SM + direct agents + direct US</t>
    </r>
    <r>
      <rPr>
        <sz val="11"/>
        <color rgb="FFFF0000"/>
        <rFont val="Arial"/>
        <family val="2"/>
      </rPr>
      <t xml:space="preserve"> </t>
    </r>
    <r>
      <rPr>
        <sz val="11"/>
        <color rgb="FF0000FF"/>
        <rFont val="Arial"/>
        <family val="2"/>
      </rPr>
      <t>+ 50% agents of direct US</t>
    </r>
    <r>
      <rPr>
        <sz val="11"/>
        <color rgb="FFFF0000"/>
        <rFont val="Arial"/>
        <family val="2"/>
      </rPr>
      <t xml:space="preserve"> </t>
    </r>
    <r>
      <rPr>
        <sz val="11"/>
        <rFont val="Arial"/>
        <family val="2"/>
      </rPr>
      <t>(pic 6)</t>
    </r>
  </si>
  <si>
    <r>
      <t xml:space="preserve">BM/SB including BM/SB + direct agents + direct US </t>
    </r>
    <r>
      <rPr>
        <sz val="11"/>
        <color rgb="FF0000FF"/>
        <rFont val="Arial"/>
        <family val="2"/>
      </rPr>
      <t>+ 50% agents of direct US</t>
    </r>
    <r>
      <rPr>
        <sz val="11"/>
        <rFont val="Arial"/>
        <family val="2"/>
      </rPr>
      <t xml:space="preserve"> (pic 7)</t>
    </r>
  </si>
  <si>
    <r>
      <t xml:space="preserve">Minimum </t>
    </r>
    <r>
      <rPr>
        <sz val="11"/>
        <color rgb="FFFF0000"/>
        <rFont val="Arial"/>
        <family val="2"/>
      </rPr>
      <t>27</t>
    </r>
    <r>
      <rPr>
        <sz val="11"/>
        <rFont val="Arial"/>
        <family val="2"/>
      </rPr>
      <t xml:space="preserve"> active agent months &amp; 30% branch AR in quarter; </t>
    </r>
    <r>
      <rPr>
        <sz val="11"/>
        <color rgb="FFFF0000"/>
        <rFont val="Arial"/>
        <family val="2"/>
      </rPr>
      <t>Active agents &amp; Activity Ratio: 1 case 7m IP in month</t>
    </r>
  </si>
  <si>
    <r>
      <t xml:space="preserve">15% FYC </t>
    </r>
    <r>
      <rPr>
        <sz val="11"/>
        <rFont val="Arial"/>
        <family val="2"/>
      </rPr>
      <t xml:space="preserve">of daughter unit in the first year from promotion of direct daughter UM </t>
    </r>
  </si>
  <si>
    <r>
      <t>7% FYC</t>
    </r>
    <r>
      <rPr>
        <sz val="11"/>
        <rFont val="Arial"/>
        <family val="2"/>
      </rPr>
      <t xml:space="preserve"> of daughter unit in the 2nd year</t>
    </r>
  </si>
  <si>
    <r>
      <t>Earn total bonus if qualified accumulate production &amp; active for 9mths &amp; min 85%</t>
    </r>
    <r>
      <rPr>
        <sz val="11"/>
        <color rgb="FFFF0000"/>
        <rFont val="Arial"/>
        <family val="2"/>
      </rPr>
      <t xml:space="preserve"> FY</t>
    </r>
    <r>
      <rPr>
        <sz val="11"/>
        <rFont val="Arial"/>
        <family val="2"/>
      </rPr>
      <t xml:space="preserve"> direct unit persistency</t>
    </r>
  </si>
  <si>
    <r>
      <t>mln if qualify full 9mths RSP targets (</t>
    </r>
    <r>
      <rPr>
        <sz val="11"/>
        <rFont val="Calibri"/>
        <family val="2"/>
        <scheme val="minor"/>
      </rPr>
      <t>300</t>
    </r>
    <r>
      <rPr>
        <sz val="11"/>
        <color theme="1"/>
        <rFont val="Calibri"/>
        <family val="2"/>
        <scheme val="minor"/>
      </rPr>
      <t xml:space="preserve">mln FYP + 24 active months + 85% </t>
    </r>
    <r>
      <rPr>
        <sz val="11"/>
        <color rgb="FFFF0000"/>
        <rFont val="Calibri"/>
        <family val="2"/>
        <scheme val="minor"/>
      </rPr>
      <t>FY</t>
    </r>
    <r>
      <rPr>
        <sz val="11"/>
        <color theme="1"/>
        <rFont val="Calibri"/>
        <family val="2"/>
        <scheme val="minor"/>
      </rPr>
      <t xml:space="preserve"> unit persistency) and 80% </t>
    </r>
    <r>
      <rPr>
        <sz val="11"/>
        <color rgb="FFFF0000"/>
        <rFont val="Calibri"/>
        <family val="2"/>
        <scheme val="minor"/>
      </rPr>
      <t xml:space="preserve">SY </t>
    </r>
    <r>
      <rPr>
        <sz val="11"/>
        <color theme="1"/>
        <rFont val="Calibri"/>
        <family val="2"/>
        <scheme val="minor"/>
      </rPr>
      <t>unit persistency at end of month 18th</t>
    </r>
  </si>
  <si>
    <r>
      <t xml:space="preserve">&amp; min 85% </t>
    </r>
    <r>
      <rPr>
        <sz val="11"/>
        <color rgb="FFFF0000"/>
        <rFont val="Arial"/>
        <family val="2"/>
      </rPr>
      <t>FY</t>
    </r>
    <r>
      <rPr>
        <sz val="11"/>
        <rFont val="Arial"/>
        <family val="2"/>
      </rPr>
      <t xml:space="preserve"> direct unit persistency</t>
    </r>
  </si>
  <si>
    <r>
      <t xml:space="preserve">mln if qualify full 9mths RSP targets and </t>
    </r>
    <r>
      <rPr>
        <sz val="11"/>
        <color rgb="FFFF0000"/>
        <rFont val="Calibri"/>
        <family val="2"/>
        <scheme val="minor"/>
      </rPr>
      <t>85% FY direct unit persistency +</t>
    </r>
    <r>
      <rPr>
        <sz val="11"/>
        <color theme="1"/>
        <rFont val="Calibri"/>
        <family val="2"/>
        <scheme val="minor"/>
      </rPr>
      <t xml:space="preserve"> 80%</t>
    </r>
    <r>
      <rPr>
        <sz val="11"/>
        <color rgb="FFFF0000"/>
        <rFont val="Calibri"/>
        <family val="2"/>
        <scheme val="minor"/>
      </rPr>
      <t xml:space="preserve"> SY </t>
    </r>
    <r>
      <rPr>
        <sz val="11"/>
        <rFont val="Calibri"/>
        <family val="2"/>
        <scheme val="minor"/>
      </rPr>
      <t xml:space="preserve">direct unit </t>
    </r>
    <r>
      <rPr>
        <sz val="11"/>
        <color theme="1"/>
        <rFont val="Calibri"/>
        <family val="2"/>
        <scheme val="minor"/>
      </rPr>
      <t>persistency at end of month 18</t>
    </r>
  </si>
  <si>
    <t>Consistency Bonus (*)</t>
  </si>
  <si>
    <t xml:space="preserve">Consistency Bonus: if Agents active consistently in 03 months/quarter. </t>
  </si>
  <si>
    <t>Other Benefits</t>
  </si>
  <si>
    <t>Level Term + ADD</t>
  </si>
  <si>
    <t>Annual Health Check</t>
  </si>
  <si>
    <t xml:space="preserve">Priority Counter </t>
  </si>
  <si>
    <t>Health insurance</t>
  </si>
  <si>
    <t>Health insurance for spouse/children</t>
  </si>
  <si>
    <t>Special training/workshop</t>
  </si>
  <si>
    <t>50 Mil</t>
  </si>
  <si>
    <t>Pin/Certificate</t>
  </si>
  <si>
    <t>1. Remove extra Unit Override</t>
  </si>
  <si>
    <t>Revise # Active Agents/Activity Ratio condition</t>
  </si>
  <si>
    <t>Unit Leader Override</t>
  </si>
  <si>
    <t>US Support program in 06 months from promotion</t>
  </si>
  <si>
    <t>US Support Allowance:</t>
  </si>
  <si>
    <t xml:space="preserve">Training Allowance: </t>
  </si>
  <si>
    <t>Active agents &amp; Activitty Ratio: 1 case 8m IP in month</t>
  </si>
  <si>
    <t>Min unit SY Persistency required from 75%</t>
  </si>
  <si>
    <t>Activity Ratio: 25%</t>
  </si>
  <si>
    <r>
      <t xml:space="preserve">Minimum </t>
    </r>
    <r>
      <rPr>
        <sz val="11"/>
        <color rgb="FFFF0000"/>
        <rFont val="Arial"/>
        <family val="2"/>
      </rPr>
      <t>27</t>
    </r>
    <r>
      <rPr>
        <sz val="11"/>
        <rFont val="Arial"/>
        <family val="2"/>
      </rPr>
      <t xml:space="preserve"> active agent months</t>
    </r>
  </si>
  <si>
    <t>Remove this allowance</t>
  </si>
  <si>
    <t>Offer fixed allowance to Gen-Champion</t>
  </si>
  <si>
    <t>Direct Unit FYP in last 06 mths</t>
  </si>
  <si>
    <t># New recruit active in last 06 mths</t>
  </si>
  <si>
    <t>At least 01 AG promoted to US in last 06 mths</t>
  </si>
  <si>
    <t>4 Mil</t>
  </si>
  <si>
    <t>2 Mil</t>
  </si>
  <si>
    <t>Direct Unit FYP does not include Leader's individual production</t>
  </si>
  <si>
    <t>100 Mil</t>
  </si>
  <si>
    <t>UM/SM/BM/SB</t>
  </si>
  <si>
    <t>Long Term Incentive to Gen-Champion Diamond</t>
  </si>
  <si>
    <t>Leaders qualify at least 02 times Gen-Champion Diamond per year</t>
  </si>
  <si>
    <t xml:space="preserve">LTI: Accumulate 15% of total Direct Unit FYP </t>
  </si>
  <si>
    <t xml:space="preserve">Payment is deferred to Y3 </t>
  </si>
  <si>
    <t>Y1</t>
  </si>
  <si>
    <t>Y2</t>
  </si>
  <si>
    <t>Y3</t>
  </si>
  <si>
    <t>Y4</t>
  </si>
  <si>
    <t>Y5</t>
  </si>
  <si>
    <t>15% FYC</t>
  </si>
  <si>
    <t>25% of LIT</t>
  </si>
  <si>
    <t>25% of LTI</t>
  </si>
  <si>
    <t>Y6</t>
  </si>
  <si>
    <t>B5) LEADER CORE PROGRAM - GEN-CAPTAIN</t>
  </si>
  <si>
    <t>B6) LEADER DEVELOPMENT SUPPORT</t>
  </si>
  <si>
    <t>Criteria:</t>
  </si>
  <si>
    <t>Branch FYP in last 12 months: 6 Billion</t>
  </si>
  <si>
    <t>- # New UM promotion in last 12 months: 2</t>
  </si>
  <si>
    <t xml:space="preserve">- At least 01 Gen-Champion in Branch </t>
  </si>
  <si>
    <t>Keep unchanged</t>
  </si>
  <si>
    <t>Rookie Support Program</t>
  </si>
  <si>
    <t>1 Ticket</t>
  </si>
  <si>
    <t>Production increase vs. 2016</t>
  </si>
  <si>
    <t>Bonus rate
% FYC</t>
  </si>
  <si>
    <t>AR 25%</t>
  </si>
  <si>
    <t>Product Mix</t>
  </si>
  <si>
    <t>Existing product</t>
  </si>
  <si>
    <t>ULP1</t>
  </si>
  <si>
    <t>EDU1</t>
  </si>
  <si>
    <t>END1</t>
  </si>
  <si>
    <t>YCB1</t>
  </si>
  <si>
    <t>CIB1</t>
  </si>
  <si>
    <t>WLP1</t>
  </si>
  <si>
    <t>EDU3</t>
  </si>
  <si>
    <t>TLB1</t>
  </si>
  <si>
    <t>Sum</t>
  </si>
  <si>
    <t>New products</t>
  </si>
  <si>
    <t>ULP2</t>
  </si>
  <si>
    <t>CIB2</t>
  </si>
  <si>
    <t>ROP1</t>
  </si>
  <si>
    <t>Riders</t>
  </si>
  <si>
    <t>TLR1</t>
  </si>
  <si>
    <t>ADD1</t>
  </si>
  <si>
    <t>HSR1</t>
  </si>
  <si>
    <t>FSR1</t>
  </si>
  <si>
    <t>CIR1</t>
  </si>
  <si>
    <t>WOP1</t>
  </si>
  <si>
    <t>WOP2</t>
  </si>
  <si>
    <t>HSR2</t>
  </si>
  <si>
    <t>CIR2</t>
  </si>
  <si>
    <t>WOP3</t>
  </si>
  <si>
    <t>CIR3</t>
  </si>
  <si>
    <t>HSR3</t>
  </si>
  <si>
    <t>Basic</t>
  </si>
  <si>
    <t>Cost projection</t>
  </si>
  <si>
    <t>Active 1 
month</t>
  </si>
  <si>
    <t>Active 2 months</t>
  </si>
  <si>
    <t>Active 3 months</t>
  </si>
  <si>
    <t>% FYP</t>
  </si>
  <si>
    <t>Avg MP</t>
  </si>
  <si>
    <t>Cost</t>
  </si>
  <si>
    <t>Actual cost_old scheme</t>
  </si>
  <si>
    <t>Difference_New vs. old scheme</t>
  </si>
  <si>
    <t>Difference_% FYP</t>
  </si>
  <si>
    <t>New scheme testing on current performance</t>
  </si>
  <si>
    <t xml:space="preserve">2017 Projection </t>
  </si>
  <si>
    <t>Active_1</t>
  </si>
  <si>
    <t>Active_2</t>
  </si>
  <si>
    <t>Active_3</t>
  </si>
  <si>
    <t>Prod_Level</t>
  </si>
  <si>
    <t>Mix Agent_No. Active in Quarter</t>
  </si>
  <si>
    <t>Assumption</t>
  </si>
  <si>
    <t>Avg Productivity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</si>
  <si>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</si>
  <si>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</si>
  <si>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</si>
  <si>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</si>
  <si>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</si>
  <si>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</si>
  <si>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</si>
  <si>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</si>
  <si>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</si>
  <si>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</si>
  <si>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</si>
  <si>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</si>
  <si>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Ending MP</t>
  </si>
  <si>
    <t># New recruited AL</t>
  </si>
  <si>
    <t># New recruited Agent</t>
  </si>
  <si>
    <t># Active Agent</t>
  </si>
  <si>
    <t>Activity Ratio</t>
  </si>
  <si>
    <t># Case/Active</t>
  </si>
  <si>
    <t>CaseSize</t>
  </si>
  <si>
    <t># Case</t>
  </si>
  <si>
    <t>APE</t>
  </si>
  <si>
    <t>APE/Active</t>
  </si>
  <si>
    <t>APE/MP</t>
  </si>
  <si>
    <t>Q1</t>
  </si>
  <si>
    <t>Q2</t>
  </si>
  <si>
    <t>Q3</t>
  </si>
  <si>
    <t>Q4</t>
  </si>
  <si>
    <t>SUM</t>
  </si>
  <si>
    <t>UL Mix</t>
  </si>
  <si>
    <t>UL FYP Mix</t>
  </si>
  <si>
    <t>Total FYP</t>
  </si>
  <si>
    <t>Avg CaseSize</t>
  </si>
  <si>
    <t>IP Basic Segment</t>
  </si>
  <si>
    <t>5+</t>
  </si>
  <si>
    <t>5 Rider/15 Mil IP</t>
  </si>
  <si>
    <t>3 Rider/15 Mil IP</t>
  </si>
  <si>
    <t>Mix Policy</t>
  </si>
  <si>
    <t>FYP/IP</t>
  </si>
  <si>
    <t>FYP/IP Basic</t>
  </si>
  <si>
    <t>Pru</t>
  </si>
  <si>
    <t>AIA</t>
  </si>
  <si>
    <t>Dai-ichi</t>
  </si>
  <si>
    <t>Bonus as % FYC</t>
  </si>
  <si>
    <t>Basic Bonus</t>
  </si>
  <si>
    <t>Consistency Bonus</t>
  </si>
  <si>
    <t>Total Bonus</t>
  </si>
  <si>
    <t>Amount</t>
  </si>
  <si>
    <t>3. Change Quarterly Production Bonus</t>
  </si>
  <si>
    <t>Increase production requirement</t>
  </si>
  <si>
    <t>Increase Persistency K2 to 75%</t>
  </si>
  <si>
    <t>Add-in 1 new production segment</t>
  </si>
  <si>
    <t>Bonus rate varies from # Active in Quarter to drive consistent active</t>
  </si>
  <si>
    <t>UM Promotion Bonus</t>
  </si>
  <si>
    <t>Promoted to UM in 03 months</t>
  </si>
  <si>
    <t>Promoted to UM in 06 months</t>
  </si>
  <si>
    <t>5 Mil</t>
  </si>
  <si>
    <t>10 Mil</t>
  </si>
  <si>
    <t>Bonus rate varies to different level of Active Ratio</t>
  </si>
  <si>
    <t>Remove US override/US Quarterly production bonus (as in reality very few US qualified this bonus)</t>
  </si>
  <si>
    <t>Reward one-off payment to US when US get promotion to UM</t>
  </si>
  <si>
    <t>Require Leader have at least 1 AG to be promoted to US -&gt; encourage AL to develop their agents</t>
  </si>
  <si>
    <t>Bonus as double override: (1) reward high performance (2) compensate for the "loss" when their AG promoted to AL</t>
  </si>
  <si>
    <t>6. Introduce Gen-Champion Club to reward &amp; build core leaders</t>
  </si>
  <si>
    <t>2. Structure new US support program to drive internal promotion</t>
  </si>
  <si>
    <t>3. Change Unit/Branch Override: different bonus rate at different production</t>
  </si>
  <si>
    <t>4. Quarterly Production Bonus:</t>
  </si>
  <si>
    <t>5. Structure KPIs to address the issue that Leaders don't have motivation to develop their agents</t>
  </si>
  <si>
    <t>6. Reward Leaders who develop their agents to be promoted</t>
  </si>
  <si>
    <t>7. Introduce Gen-Champion Club to reward &amp; build core leaders</t>
  </si>
  <si>
    <t>8. Introduce Gen-Captain Reward</t>
  </si>
  <si>
    <t>2017 Cost projection</t>
  </si>
  <si>
    <t>Commission</t>
  </si>
  <si>
    <t>Individual Production Bonus</t>
  </si>
  <si>
    <t>Other benefits</t>
  </si>
  <si>
    <t>US Promotion</t>
  </si>
  <si>
    <t>Training Allowance</t>
  </si>
  <si>
    <t>Unit development bonus</t>
  </si>
  <si>
    <t>Unit Override</t>
  </si>
  <si>
    <t>Unit Quarterly Bonus</t>
  </si>
  <si>
    <t>Branch Quarterly Bonus</t>
  </si>
  <si>
    <t>Gen-Champion</t>
  </si>
  <si>
    <t>Double Override</t>
  </si>
  <si>
    <t>LTI</t>
  </si>
  <si>
    <t>New Rookies Support Program</t>
  </si>
  <si>
    <t>Bonus in first 15 dáy</t>
  </si>
  <si>
    <t>ThaiLand Trip</t>
  </si>
  <si>
    <t>Leader Recruitment Support</t>
  </si>
  <si>
    <t>Bonus active rookie in first 15 dáy</t>
  </si>
  <si>
    <t>Unit Development Bonus</t>
  </si>
  <si>
    <t>RSP + MDRT</t>
  </si>
  <si>
    <t>Development Bonus</t>
  </si>
  <si>
    <t>GA Cost</t>
  </si>
  <si>
    <t>Total Compensation</t>
  </si>
  <si>
    <t>Budget</t>
  </si>
  <si>
    <t>Extra monthly bonus</t>
  </si>
  <si>
    <t>Contest</t>
  </si>
  <si>
    <t>Total Agent Comp</t>
  </si>
  <si>
    <t>Key Changes</t>
  </si>
  <si>
    <t>Impact</t>
  </si>
  <si>
    <t>Drive product mix, reduce CIB product</t>
  </si>
  <si>
    <t>Improve profitability</t>
  </si>
  <si>
    <t>Drive UL Mix, Rider Mix</t>
  </si>
  <si>
    <t>Bonus rate varies from # Active in Quarter to drive consistency performance</t>
  </si>
  <si>
    <t>Drive consistency performance</t>
  </si>
  <si>
    <t>Focus: 8% Manpower - contribute 60% production</t>
  </si>
  <si>
    <t xml:space="preserve">FYP </t>
  </si>
  <si>
    <t>Focus: 23% MP - contribute 87% production</t>
  </si>
  <si>
    <t>Top perfomer retention, long term commitment</t>
  </si>
  <si>
    <t>Create perception: core agents - active every month (1 pol+12 Mil IP)</t>
  </si>
  <si>
    <t>Create a new segment to encourage agents to become core agents</t>
  </si>
  <si>
    <t>Drive productivity</t>
  </si>
  <si>
    <t xml:space="preserve"> As this scheme doesn't effectively drive Unit Leader to support their agent promotion</t>
  </si>
  <si>
    <t xml:space="preserve"> Despite of very rich scheme to US, it doesn't help more US promotion as key issue at Unit Leader</t>
  </si>
  <si>
    <t>Reduce paying to US</t>
  </si>
  <si>
    <t xml:space="preserve"> Focus on changing AL's behaviors &amp; career path's aspiration to AG </t>
  </si>
  <si>
    <t xml:space="preserve"> Incentivize high production performer</t>
  </si>
  <si>
    <t>Don't count AL's individual production</t>
  </si>
  <si>
    <t xml:space="preserve"> Add requirement of having AG promotion to be qualified Core Leader Club
 Core program bonus incentivizes the true leader role</t>
  </si>
  <si>
    <t xml:space="preserve"> Drive Leader to focus on their "leader role"</t>
  </si>
  <si>
    <t xml:space="preserve"> Top performer retention</t>
  </si>
  <si>
    <t>Long Term Incentive to Diamond Segment</t>
  </si>
  <si>
    <t>Require Leader have at least 1 AG/US to be promoted to UM -&gt; encourage AL to develop their agents</t>
  </si>
  <si>
    <t xml:space="preserve"> Create honor for very top Leader BM/SB</t>
  </si>
  <si>
    <t>UL/CI Bonus</t>
  </si>
  <si>
    <t>2 bn</t>
  </si>
  <si>
    <t>1.5 bn</t>
  </si>
  <si>
    <t>Mix FYP</t>
  </si>
  <si>
    <t>Basic Gen-Lion Bonus</t>
  </si>
  <si>
    <t>Apr Batch</t>
  </si>
  <si>
    <t>Jul Batch</t>
  </si>
  <si>
    <t>Oct Batch</t>
  </si>
  <si>
    <r>
      <rPr>
        <b/>
        <u/>
        <sz val="10"/>
        <color rgb="FF0000FF"/>
        <rFont val="Calibri"/>
        <family val="2"/>
        <charset val="163"/>
        <scheme val="minor"/>
      </rPr>
      <t xml:space="preserve"># </t>
    </r>
    <r>
      <rPr>
        <u/>
        <sz val="10"/>
        <color rgb="FF0000FF"/>
        <rFont val="Calibri"/>
        <family val="2"/>
        <scheme val="minor"/>
      </rPr>
      <t>Qualifier</t>
    </r>
  </si>
  <si>
    <t>FYP Contribution Mix</t>
  </si>
  <si>
    <t>Rate</t>
  </si>
  <si>
    <t>Performance Bonus</t>
  </si>
  <si>
    <t>Mix Qualifier_Active 3/3</t>
  </si>
  <si>
    <r>
      <rPr>
        <b/>
        <u/>
        <sz val="10"/>
        <color rgb="FF0000FF"/>
        <rFont val="Calibri"/>
        <family val="2"/>
        <charset val="163"/>
        <scheme val="minor"/>
      </rPr>
      <t xml:space="preserve"># </t>
    </r>
    <r>
      <rPr>
        <u/>
        <sz val="10"/>
        <color rgb="FF0000FF"/>
        <rFont val="Calibri"/>
        <family val="2"/>
        <scheme val="minor"/>
      </rPr>
      <t>Qualifier_Active 3/3</t>
    </r>
  </si>
  <si>
    <t>Unit FYP</t>
  </si>
  <si>
    <t>Ending AL</t>
  </si>
  <si>
    <t># AL</t>
  </si>
  <si>
    <t>Mix Qualifer</t>
  </si>
  <si>
    <t>Avg Unit production</t>
  </si>
  <si>
    <t>Production Mix</t>
  </si>
  <si>
    <t>Override Cost</t>
  </si>
  <si>
    <t>Override Rate</t>
  </si>
  <si>
    <t>Override cost</t>
  </si>
  <si>
    <t>Total Cost</t>
  </si>
  <si>
    <t>2016 Scheme</t>
  </si>
  <si>
    <t>Diff</t>
  </si>
  <si>
    <t>UM</t>
  </si>
  <si>
    <t>BM</t>
  </si>
  <si>
    <t>SBM</t>
  </si>
  <si>
    <t>Avg prod_agent in unit</t>
  </si>
  <si>
    <t xml:space="preserve">Avg 86% contribution of direct branch to total production </t>
  </si>
  <si>
    <t># Unit Leader</t>
  </si>
  <si>
    <t># Qualifier_Production</t>
  </si>
  <si>
    <t>Mix Qualifier_Production</t>
  </si>
  <si>
    <t># Active</t>
  </si>
  <si>
    <t># Qualifier_Production &amp; Persistency</t>
  </si>
  <si>
    <t>Mix Qualifier_Production &amp; Persistency</t>
  </si>
  <si>
    <t># Qualifier_Production &amp; #Active &amp; Persistency</t>
  </si>
  <si>
    <t>Mix Qualifier_Production &amp; #Active &amp; Persistency</t>
  </si>
  <si>
    <t>Final Qualifier_FYP Contribution</t>
  </si>
  <si>
    <t>Final Qualifier_FYP Mix</t>
  </si>
  <si>
    <t># Unit qualified FYP</t>
  </si>
  <si>
    <t>% AL qualified FYP</t>
  </si>
  <si>
    <t># Unit disqualified # Active agent</t>
  </si>
  <si>
    <t># Unit disqualified # Persistency</t>
  </si>
  <si>
    <t>% AL disqualified bonus as fail #Active</t>
  </si>
  <si>
    <t>% AL disqualified bonus as fail Persistency</t>
  </si>
  <si>
    <t>Final Qualifier_Cost</t>
  </si>
  <si>
    <t>Active agents: 1 case 8m IP in month</t>
  </si>
  <si>
    <t>Unit Quarterly Production Bonus (UM, SUM, BM, SBM)</t>
  </si>
  <si>
    <t xml:space="preserve">Qualifer_FYP </t>
  </si>
  <si>
    <t>% Fail Persistency</t>
  </si>
  <si>
    <t xml:space="preserve">% </t>
  </si>
  <si>
    <t>% Fail # Active</t>
  </si>
  <si>
    <t>%</t>
  </si>
  <si>
    <t>Unit Leader</t>
  </si>
  <si>
    <t>Final Qualifier</t>
  </si>
  <si>
    <t>6 Active</t>
  </si>
  <si>
    <t>10 Active</t>
  </si>
  <si>
    <t>18 Active</t>
  </si>
  <si>
    <t>24 Active</t>
  </si>
  <si>
    <t>Avg Prod</t>
  </si>
  <si>
    <t xml:space="preserve">FYP Mix </t>
  </si>
  <si>
    <t>Mix qualifier_#Active</t>
  </si>
  <si>
    <t>Branch Quarterly Production Bonus (BM, SBM)</t>
  </si>
  <si>
    <t># Branch Leader</t>
  </si>
  <si>
    <t># Qualifier_Production &amp; #Active,AR &amp; Persistency</t>
  </si>
  <si>
    <t>Mix Qualifier_Production &amp; #Active, AR &amp; Persistency</t>
  </si>
  <si>
    <t># Unit disqualified AR</t>
  </si>
  <si>
    <t>% AL disqualified bonus as fail AR</t>
  </si>
  <si>
    <t>% Fail # AR</t>
  </si>
  <si>
    <t># Qualifier_Mix</t>
  </si>
  <si>
    <t>FYP Mix</t>
  </si>
  <si>
    <t xml:space="preserve">B4) LEADER CORE PROGRAM </t>
  </si>
  <si>
    <t>GEN - CHAMPION CLUB</t>
  </si>
  <si>
    <t>Active agent: 1 case 8m IP in month</t>
  </si>
  <si>
    <t>Monthly extra override</t>
  </si>
  <si>
    <t>Annual Health Check (Voucher)</t>
  </si>
  <si>
    <t>1.5 Mil</t>
  </si>
  <si>
    <t>1.0 Mil</t>
  </si>
  <si>
    <t>200 Mil</t>
  </si>
  <si>
    <t>LTI: Accumulate 15% of total Direct Unit FYC</t>
  </si>
  <si>
    <t>Qualifier</t>
  </si>
  <si>
    <t>Qualifier Mix</t>
  </si>
  <si>
    <t>Qualifier_Production</t>
  </si>
  <si>
    <t>Qualifier_Final</t>
  </si>
  <si>
    <t>Avg Prod in Quarter</t>
  </si>
  <si>
    <t>Apr/Q2</t>
  </si>
  <si>
    <t>Jul/Q3</t>
  </si>
  <si>
    <t>Oct/Q4</t>
  </si>
  <si>
    <t>Jan/Q1</t>
  </si>
  <si>
    <t># Unit Leader at month</t>
  </si>
  <si>
    <t>Monthly Fix Allowance</t>
  </si>
  <si>
    <t>Other Benefit_Cost</t>
  </si>
  <si>
    <t>Unit cost</t>
  </si>
  <si>
    <t>Long Term Incentive</t>
  </si>
  <si>
    <t>Est. FYP</t>
  </si>
  <si>
    <t>Payment schedule</t>
  </si>
  <si>
    <t>Payment amount</t>
  </si>
  <si>
    <t>Cost (discount value)</t>
  </si>
  <si>
    <t>GEN - CAPTAIN AWARDS</t>
  </si>
  <si>
    <t>- Persistency K2 70%</t>
  </si>
  <si>
    <t>- # New UM promotion from AG in last 12 months: 2</t>
  </si>
  <si>
    <t># Qualifer</t>
  </si>
  <si>
    <t>% Qualifier</t>
  </si>
  <si>
    <t>Monthly Bonus (%FYC)</t>
  </si>
  <si>
    <t>Validate twice/year: Apr, Oct</t>
  </si>
  <si>
    <t>New recruit active</t>
  </si>
  <si>
    <t>Active new recruit: Min 1 Case + 8 Mil IP in first 30 days</t>
  </si>
  <si>
    <t>Unit Override (US, UM, SUM, BM, SBM)</t>
  </si>
  <si>
    <t># US</t>
  </si>
  <si>
    <t># US promoted to UM</t>
  </si>
  <si>
    <t>after Training completion</t>
  </si>
  <si>
    <t>per new active recruit</t>
  </si>
  <si>
    <t>US support allowance</t>
  </si>
  <si>
    <t>Period</t>
  </si>
  <si>
    <t>IP</t>
  </si>
  <si>
    <t>VND Mil</t>
  </si>
  <si>
    <t>Awards</t>
  </si>
  <si>
    <t>Rookie financial support</t>
  </si>
  <si>
    <t>Rookie_Bangkok Trip in first 03 months</t>
  </si>
  <si>
    <t>Unit Cost</t>
  </si>
  <si>
    <t xml:space="preserve">2 Bangkok qualifiers who </t>
  </si>
  <si>
    <t>appointed in a same quarter</t>
  </si>
  <si>
    <t>-&gt; AL get 1 Bangkok ticket</t>
  </si>
  <si>
    <t>2014A</t>
  </si>
  <si>
    <t>2015A</t>
  </si>
  <si>
    <t>FY Basic commission</t>
  </si>
  <si>
    <t>Override</t>
  </si>
  <si>
    <t>Extra Unit override</t>
  </si>
  <si>
    <t>Production Bonus</t>
  </si>
  <si>
    <t>CI/UL Bonus</t>
  </si>
  <si>
    <t>Individual Quarterly Bonus</t>
  </si>
  <si>
    <t>Gen-Lion Club Bonus</t>
  </si>
  <si>
    <t>Gen-Champion Bonus</t>
  </si>
  <si>
    <t>Gen-Captain Club Bonus</t>
  </si>
  <si>
    <t>Builder bonus to mother</t>
  </si>
  <si>
    <t>US Support Program</t>
  </si>
  <si>
    <t>Leader Promotion Bonus</t>
  </si>
  <si>
    <t>Recruitment Support Program</t>
  </si>
  <si>
    <t>Rookie Bonus in first 03 month</t>
  </si>
  <si>
    <t>Rookie Thailand Trip</t>
  </si>
  <si>
    <t>Recruitment bonus to Leader</t>
  </si>
  <si>
    <t>Thailand Trip_Leader</t>
  </si>
  <si>
    <t>AG Recruitment program</t>
  </si>
  <si>
    <t>MDRT Recruitment</t>
  </si>
  <si>
    <t>Leader RSP</t>
  </si>
  <si>
    <t>Tatical contest in month</t>
  </si>
  <si>
    <t>Annual Convention Trip</t>
  </si>
  <si>
    <t>Other Trip contest</t>
  </si>
  <si>
    <t>New GA set up &amp; support</t>
  </si>
  <si>
    <t>Initial Financial Support</t>
  </si>
  <si>
    <t>First 12 month support</t>
  </si>
  <si>
    <t>Regular compensation expense</t>
  </si>
  <si>
    <t>HCM/HN Support 1% FYP</t>
  </si>
  <si>
    <t>GA Monthly Development Allowance</t>
  </si>
  <si>
    <t>Quarterly Production Bonus</t>
  </si>
  <si>
    <t>Customer Service Allowance</t>
  </si>
  <si>
    <t>Total Compensation expense</t>
  </si>
  <si>
    <t>Unit: VND Mil</t>
  </si>
  <si>
    <t>Unit: % FYP</t>
  </si>
  <si>
    <t>C1) ROOKIES RECRUITMENT SUPPORT PROGRAM_BONUS TO ROOKIES</t>
  </si>
  <si>
    <t>C2) ROOKIES RECRUITMENT SUPPORT PROGRAM_BONUS TO LEADERS</t>
  </si>
  <si>
    <t>C3) LEADER RECRUITMENT SUPPORT PROGRAM</t>
  </si>
  <si>
    <t>REGION NAME</t>
  </si>
  <si>
    <t>ZONE NAME</t>
  </si>
  <si>
    <t>TEAM NAME</t>
  </si>
  <si>
    <t>AGCode</t>
  </si>
  <si>
    <t>AGName</t>
  </si>
  <si>
    <t>TypeStart</t>
  </si>
  <si>
    <t>CURRENT STATUS</t>
  </si>
  <si>
    <t>EffDateFrom</t>
  </si>
  <si>
    <t>EffDateTo</t>
  </si>
  <si>
    <t>PaymentEnd</t>
  </si>
  <si>
    <t>MDRT Scheme</t>
  </si>
  <si>
    <t>NORTH 1</t>
  </si>
  <si>
    <t>N_ZONE 2</t>
  </si>
  <si>
    <t>THE POWER</t>
  </si>
  <si>
    <t>AG002463</t>
  </si>
  <si>
    <t>NGUYỄN THỊ MINH TÂM</t>
  </si>
  <si>
    <t>Active</t>
  </si>
  <si>
    <t>MDRT 2015</t>
  </si>
  <si>
    <t>SOUTH 1</t>
  </si>
  <si>
    <t>S_ZONE 2</t>
  </si>
  <si>
    <t>MDRT HCM</t>
  </si>
  <si>
    <t>AG005353</t>
  </si>
  <si>
    <t>NGUYỄN THỊ PHÙNG LIÊN</t>
  </si>
  <si>
    <t>AG004626</t>
  </si>
  <si>
    <t>PHAN MINH TRÍ</t>
  </si>
  <si>
    <t>N_ZONE 3</t>
  </si>
  <si>
    <t>THE SKY</t>
  </si>
  <si>
    <t>AG007815</t>
  </si>
  <si>
    <t>PHẠM VĂN CƯỜNG</t>
  </si>
  <si>
    <t>N_ZONE 7</t>
  </si>
  <si>
    <t>THE STARS 1</t>
  </si>
  <si>
    <t>AG011189</t>
  </si>
  <si>
    <t>NGUYỄN ĐỨC CHÍNH</t>
  </si>
  <si>
    <t>MDRT 2016</t>
  </si>
  <si>
    <t>N_ZONE 1</t>
  </si>
  <si>
    <t>ELITE</t>
  </si>
  <si>
    <t>AG002914</t>
  </si>
  <si>
    <t>ĐỖ KIỀU ANH</t>
  </si>
  <si>
    <t>NORTH 2</t>
  </si>
  <si>
    <t>N_ZONE 4</t>
  </si>
  <si>
    <t>SUNFLOWER</t>
  </si>
  <si>
    <t>AG003144</t>
  </si>
  <si>
    <t>LÊ THỊ CHUNG</t>
  </si>
  <si>
    <t>S_ZONE 4</t>
  </si>
  <si>
    <t>BIG HERO</t>
  </si>
  <si>
    <t>AG003441</t>
  </si>
  <si>
    <t>NGUYỄN THỊ THẮM</t>
  </si>
  <si>
    <t>AG003446</t>
  </si>
  <si>
    <t>NGUYỄN THỊ THỂ HỒNG</t>
  </si>
  <si>
    <t>AG003449</t>
  </si>
  <si>
    <t>HÀ THỊ BÍCH HƯỜNG</t>
  </si>
  <si>
    <t>SOUTH 2</t>
  </si>
  <si>
    <t>S_ZONE 7</t>
  </si>
  <si>
    <t>MDRT VT</t>
  </si>
  <si>
    <t>AG005118</t>
  </si>
  <si>
    <t>VŨ THỊ NGỌC</t>
  </si>
  <si>
    <t>THÁI DƯƠNG</t>
  </si>
  <si>
    <t>AG003543</t>
  </si>
  <si>
    <t>TRƯƠNG THỊ THU THÚY</t>
  </si>
  <si>
    <t>F.B.I</t>
  </si>
  <si>
    <t>AG003606</t>
  </si>
  <si>
    <t>MA THANH HUYỀN</t>
  </si>
  <si>
    <t>SOUTH 3</t>
  </si>
  <si>
    <t>S_ZONE 8</t>
  </si>
  <si>
    <t>MEKONG 2</t>
  </si>
  <si>
    <t>AG003880</t>
  </si>
  <si>
    <t>HOÀNG  THỦY</t>
  </si>
  <si>
    <t>AG004029</t>
  </si>
  <si>
    <t>TRƯƠNG CÔNG ÂU</t>
  </si>
  <si>
    <t>AG004034</t>
  </si>
  <si>
    <t>NGUYỄN THỊ LEN</t>
  </si>
  <si>
    <t>AG004171</t>
  </si>
  <si>
    <t>TRẦN ĐỨC KHÁNH</t>
  </si>
  <si>
    <t>AG004172</t>
  </si>
  <si>
    <t>TRẦN THỊ KiỀU HOA</t>
  </si>
  <si>
    <t>AG</t>
  </si>
  <si>
    <t>BORN TO WIN</t>
  </si>
  <si>
    <t>AG004412</t>
  </si>
  <si>
    <t>PHAN THỊ TIỀN TUYẾN</t>
  </si>
  <si>
    <t>AG004413</t>
  </si>
  <si>
    <t>NGUYỄN THỊ BÍCH HUYỀN</t>
  </si>
  <si>
    <t>AG004414</t>
  </si>
  <si>
    <t>TRẦN MINH VŨ</t>
  </si>
  <si>
    <t>AG004415</t>
  </si>
  <si>
    <t>LÊ PHAN ANH KHOA</t>
  </si>
  <si>
    <t>AG004416</t>
  </si>
  <si>
    <t>TRẦN QUANG HiỂN</t>
  </si>
  <si>
    <t>G-G</t>
  </si>
  <si>
    <t>AG004496</t>
  </si>
  <si>
    <t>NGUYỄN THỊ THU HÀ</t>
  </si>
  <si>
    <t>AG004516</t>
  </si>
  <si>
    <t>NGUYỄN THỊ HƯƠNG</t>
  </si>
  <si>
    <t>LUCKY CAT</t>
  </si>
  <si>
    <t>AG009290</t>
  </si>
  <si>
    <t>ĐINH THANH TRANG</t>
  </si>
  <si>
    <t>AG004618</t>
  </si>
  <si>
    <t>ĐẶNG PHƯƠNG THỦY</t>
  </si>
  <si>
    <t>AG004660</t>
  </si>
  <si>
    <t>TRẦN KHÁNH VÂN</t>
  </si>
  <si>
    <t>S_ZONE 3</t>
  </si>
  <si>
    <t>COT GENCASA</t>
  </si>
  <si>
    <t>AG004775</t>
  </si>
  <si>
    <t>LÝ THANH HẢO</t>
  </si>
  <si>
    <t>AG004831</t>
  </si>
  <si>
    <t>NGUYỄN THỊ NGỌC THỦY</t>
  </si>
  <si>
    <t>CUPID</t>
  </si>
  <si>
    <t>AG004865</t>
  </si>
  <si>
    <t>PHẠM VĂN THẠCH</t>
  </si>
  <si>
    <t>AG004903</t>
  </si>
  <si>
    <t>NGUYỄN THỊ NHƠN</t>
  </si>
  <si>
    <t>AG004913</t>
  </si>
  <si>
    <t>TRỊNH ĐÌNH ViỆT</t>
  </si>
  <si>
    <t>AG004945</t>
  </si>
  <si>
    <t>NGUYỄN PHÚ QUÝ</t>
  </si>
  <si>
    <t>AG009960</t>
  </si>
  <si>
    <t>ĐINH THÁI BÌNH</t>
  </si>
  <si>
    <t>AG005079</t>
  </si>
  <si>
    <t>LÊ THỊ TƯỜNG OANH</t>
  </si>
  <si>
    <t>MEKONG 1</t>
  </si>
  <si>
    <t>AG005137</t>
  </si>
  <si>
    <t>NGUYỄN THỊ PHÚC HẬU</t>
  </si>
  <si>
    <t>AG005431</t>
  </si>
  <si>
    <t>BÙI THẾ THÁI</t>
  </si>
  <si>
    <t>AG005683</t>
  </si>
  <si>
    <t>LÊ THỊ THÚY HÀ</t>
  </si>
  <si>
    <t>THE CAPITAL</t>
  </si>
  <si>
    <t>AG005778</t>
  </si>
  <si>
    <t>TRẦN THỊ KHÁNH</t>
  </si>
  <si>
    <t>AG005898</t>
  </si>
  <si>
    <t>VÕ THỊ KHÓI</t>
  </si>
  <si>
    <t>AG006282</t>
  </si>
  <si>
    <t>CAO THỊ HẢI HẰNG</t>
  </si>
  <si>
    <t>AG006073</t>
  </si>
  <si>
    <t>ĐỚI THỊ THANH THỦY</t>
  </si>
  <si>
    <t>LION 1</t>
  </si>
  <si>
    <t>AG006640</t>
  </si>
  <si>
    <t>LÊ THỊ HỒNG MINH</t>
  </si>
  <si>
    <t>AG006641</t>
  </si>
  <si>
    <t>NGUYỄN THỊ ÚT</t>
  </si>
  <si>
    <t>AG006642</t>
  </si>
  <si>
    <t>DƯƠNG THỊ HÀ</t>
  </si>
  <si>
    <t>DIAMOND</t>
  </si>
  <si>
    <t>AG006863</t>
  </si>
  <si>
    <t>NGUYỄN THỊ VONGA</t>
  </si>
  <si>
    <t>AG006868</t>
  </si>
  <si>
    <t>NGUYỄN THỊ THÚY VÂN</t>
  </si>
  <si>
    <t>AG006939</t>
  </si>
  <si>
    <t>ĐỖ KIM DUNG</t>
  </si>
  <si>
    <t>SM</t>
  </si>
  <si>
    <t>AG006944</t>
  </si>
  <si>
    <t>NGUYỄN THỊ NGUYỆT VÂN</t>
  </si>
  <si>
    <t>N_ZONE 5</t>
  </si>
  <si>
    <t>VICTORY</t>
  </si>
  <si>
    <t>AG009973</t>
  </si>
  <si>
    <t>TRẦN THỊ THANH VÂN</t>
  </si>
  <si>
    <t>AG010102</t>
  </si>
  <si>
    <t>NGUYỄN XUÂN CƯỜNG</t>
  </si>
  <si>
    <t>AG010170</t>
  </si>
  <si>
    <t>TRƯƠNG ANH ĐÀO</t>
  </si>
  <si>
    <t>AG007473</t>
  </si>
  <si>
    <t>NGUYỄN THỊ HẠNH</t>
  </si>
  <si>
    <t>GREEN DRAGON</t>
  </si>
  <si>
    <t>AG010551</t>
  </si>
  <si>
    <t>ĐINH THỊ THƠM</t>
  </si>
  <si>
    <t>N_ZONE 6</t>
  </si>
  <si>
    <t>HẢI ĐĂNG</t>
  </si>
  <si>
    <t>AG004493</t>
  </si>
  <si>
    <t>NGUYỄN THẾ HIỆP</t>
  </si>
  <si>
    <t>AG007614</t>
  </si>
  <si>
    <t>PHẠM MINH TÂN</t>
  </si>
  <si>
    <t>AG007616</t>
  </si>
  <si>
    <t>LƯU VĂN TÁM</t>
  </si>
  <si>
    <t>AG007631</t>
  </si>
  <si>
    <t>NGUYỄN THỊ THANH</t>
  </si>
  <si>
    <t>AG010634</t>
  </si>
  <si>
    <t>VÕ HỒ THẾ PHƯƠNG</t>
  </si>
  <si>
    <t>AG010693</t>
  </si>
  <si>
    <t>NGUYỄN THỊ THẢO</t>
  </si>
  <si>
    <t>THIÊN SƠN</t>
  </si>
  <si>
    <t>AG010880</t>
  </si>
  <si>
    <t>ĐẶNG THỊ HƯƠNG GIANG</t>
  </si>
  <si>
    <t>AG010944</t>
  </si>
  <si>
    <t>NGUYỄN UYÊN NGHI</t>
  </si>
  <si>
    <t>AG010945</t>
  </si>
  <si>
    <t>NGUYỄN ANH TUẤN</t>
  </si>
  <si>
    <t>AG011044</t>
  </si>
  <si>
    <t>ĐINH VIẾT LONG</t>
  </si>
  <si>
    <t>AG000442</t>
  </si>
  <si>
    <t>NGÔ THỊ THUẬN</t>
  </si>
  <si>
    <t>AG008479</t>
  </si>
  <si>
    <t>PHAN NGỌC THÚY</t>
  </si>
  <si>
    <t>AG011302</t>
  </si>
  <si>
    <t>LÊ THỊ LINH</t>
  </si>
  <si>
    <t>CENTRAL 1</t>
  </si>
  <si>
    <t>S_ZONE 9</t>
  </si>
  <si>
    <t>DANANG1</t>
  </si>
  <si>
    <t>AG011355</t>
  </si>
  <si>
    <t>NGÔ THỊ TUYẾT VÂN</t>
  </si>
  <si>
    <t>AG011392</t>
  </si>
  <si>
    <t>PHẠM THANH HUYỀN</t>
  </si>
  <si>
    <t>AG011394</t>
  </si>
  <si>
    <t>VÕ THÚY HẠNH</t>
  </si>
  <si>
    <t>AG011596</t>
  </si>
  <si>
    <t>LÊ THỊ QUỲNH CHÂU</t>
  </si>
  <si>
    <t>AG011662</t>
  </si>
  <si>
    <t>NGUYỄN MINH HẢI</t>
  </si>
  <si>
    <t>AG008694</t>
  </si>
  <si>
    <t>NGUYỄN THANH QUANG</t>
  </si>
  <si>
    <t>AG008864</t>
  </si>
  <si>
    <t>TRẦN THỊ BÍCH NGỌC</t>
  </si>
  <si>
    <t>MEGA</t>
  </si>
  <si>
    <t>AG009036</t>
  </si>
  <si>
    <t>TRẦN THỊ THANH TÙNG</t>
  </si>
  <si>
    <t>AG009099</t>
  </si>
  <si>
    <t>NGUYỄN THỊ VÂN ANH</t>
  </si>
  <si>
    <t>AG009510</t>
  </si>
  <si>
    <t>HỒ THỊ TUYẾT MAI</t>
  </si>
  <si>
    <t>WHITE HORSE</t>
  </si>
  <si>
    <t>AG009538</t>
  </si>
  <si>
    <t>NGUYỄN THỊ NGUYỆT ÁNH</t>
  </si>
  <si>
    <t>AG009553</t>
  </si>
  <si>
    <t>ĐINH THỊ HIỀN</t>
  </si>
  <si>
    <t>AG011938</t>
  </si>
  <si>
    <t>PHẠM ĐÌNH TRÁNH</t>
  </si>
  <si>
    <t>AG012011</t>
  </si>
  <si>
    <t>TRẦN VĂN THỌ</t>
  </si>
  <si>
    <t>EVEREST</t>
  </si>
  <si>
    <t>AG012015</t>
  </si>
  <si>
    <t>LẠI THỊ BÍCH NGỌC</t>
  </si>
  <si>
    <t>BLUE WAVES</t>
  </si>
  <si>
    <t>AG012048</t>
  </si>
  <si>
    <t>NGUYỄN THỊ MAI</t>
  </si>
  <si>
    <t>AG012536</t>
  </si>
  <si>
    <t>TRẦN THỊ THANH BÌNH</t>
  </si>
  <si>
    <t>S_ZONE 1</t>
  </si>
  <si>
    <t>LIB</t>
  </si>
  <si>
    <t>AG009636</t>
  </si>
  <si>
    <t>CAO THỊ MỸ PHƯỚC</t>
  </si>
  <si>
    <t>AG009698</t>
  </si>
  <si>
    <t>TRẦN THANH NGA</t>
  </si>
  <si>
    <t>AG009699</t>
  </si>
  <si>
    <t>HÀ THỊ NGỌC SƯƠNG</t>
  </si>
  <si>
    <t>AG013192</t>
  </si>
  <si>
    <t>PHAN THỊ TRÚC LY</t>
  </si>
  <si>
    <t>AG013512</t>
  </si>
  <si>
    <t>ĐINH THỊ DƯƠNG</t>
  </si>
  <si>
    <t>AG014679</t>
  </si>
  <si>
    <t>HUỲNH TẤN KIỆM</t>
  </si>
  <si>
    <t>AG010330</t>
  </si>
  <si>
    <t>ĐỖ THỊ ÁNH NGUYỆT</t>
  </si>
  <si>
    <t>AG011072</t>
  </si>
  <si>
    <t>NGUYỄN THỊ MỸ LINH</t>
  </si>
  <si>
    <t>AG009929</t>
  </si>
  <si>
    <t>LÊ THỊ NGỌC HÀ</t>
  </si>
  <si>
    <t>AG009930</t>
  </si>
  <si>
    <t>ĐẶNG THỊ NGỌC ANH</t>
  </si>
  <si>
    <t>AG009931</t>
  </si>
  <si>
    <t>VŨ ĐÌNH HÓA</t>
  </si>
  <si>
    <t>AG009932</t>
  </si>
  <si>
    <t>TRƯƠNG BỬU HOA</t>
  </si>
  <si>
    <t>Allowance</t>
  </si>
  <si>
    <t>Joining 
Month</t>
  </si>
  <si>
    <t>Assume % qualified full scheme</t>
  </si>
  <si>
    <t>Total est. cost</t>
  </si>
  <si>
    <t>Scheme</t>
  </si>
  <si>
    <t>Actual Data</t>
  </si>
  <si>
    <t>Mix</t>
  </si>
  <si>
    <t>Projection</t>
  </si>
  <si>
    <t>Average</t>
  </si>
  <si>
    <t>FYC</t>
  </si>
  <si>
    <t>Using Average rates</t>
  </si>
  <si>
    <t>Risk mitigation:</t>
  </si>
  <si>
    <t>Using Jun-16 rates (as FYP &gt;40bil)</t>
  </si>
  <si>
    <t>Using seasonable rate</t>
  </si>
  <si>
    <t>%FYP</t>
  </si>
  <si>
    <t>Bonus Paid</t>
  </si>
  <si>
    <t>Bonus Paid/FYP</t>
  </si>
  <si>
    <t>3mths</t>
  </si>
  <si>
    <t>Total Qualified Bonus of</t>
  </si>
  <si>
    <t>M1: promoted before 15th of the month: M1 = promoted month</t>
  </si>
  <si>
    <t>promoted from 15th of the month: M1 = promoted month + 1</t>
  </si>
  <si>
    <t>M2 = M1+1; M3 = M2+1….</t>
  </si>
  <si>
    <t>Buffer 1.3 for Accum bonus</t>
  </si>
  <si>
    <t>Special New recruited UM support (09 months)</t>
  </si>
  <si>
    <t xml:space="preserve">This is special financial support for recruiting experienced leaders </t>
  </si>
  <si>
    <t>unit FYP (*)</t>
  </si>
  <si>
    <t>active(***)</t>
  </si>
  <si>
    <t>MP (**)</t>
  </si>
  <si>
    <t>Total UM</t>
  </si>
  <si>
    <t>Total UM under RSP</t>
  </si>
  <si>
    <t>Total UM under RSP/UM</t>
  </si>
  <si>
    <t>Total UM recruited</t>
  </si>
  <si>
    <t>Total UM of</t>
  </si>
  <si>
    <t>9mths L1</t>
  </si>
  <si>
    <t>9mths</t>
  </si>
  <si>
    <t>Earn total bonus if qualified accumulate production &amp; active for 9mths &amp; min 85% FY direct unit persistency</t>
  </si>
  <si>
    <t>M18</t>
  </si>
  <si>
    <t>Extra bonus on service month 18th</t>
  </si>
  <si>
    <t>mln if qualify full 9mths RSP targets (300mln FYP + 24 active months + 85% FY unit persistency)</t>
  </si>
  <si>
    <t>and 80% SY unit persistency at end of month 18th</t>
  </si>
  <si>
    <t>Assume : 50% promoted before 15 &amp; no UM ter during 9mth</t>
  </si>
  <si>
    <t>+ Computed &amp; paid after 1 month to exclude cancelled cases</t>
  </si>
  <si>
    <t>+ add requirement of MP to mitigate the risk in first 3 mths</t>
  </si>
  <si>
    <t>5.6.</t>
  </si>
  <si>
    <t>Special New recruited SM support (09 months)</t>
  </si>
  <si>
    <t>Group active (**)</t>
  </si>
  <si>
    <t>Direct Recruited DUMs (***)</t>
  </si>
  <si>
    <t>Total SM</t>
  </si>
  <si>
    <t>Total SM under RSP</t>
  </si>
  <si>
    <t>Total SM under RSP/SM</t>
  </si>
  <si>
    <t>Total SM recruited</t>
  </si>
  <si>
    <t>Total SM of</t>
  </si>
  <si>
    <t>&amp; min 85% FY direct unit persistency</t>
  </si>
  <si>
    <t>Not eligible for UM's RSP on direct unit</t>
  </si>
  <si>
    <t>DUMs will follow SM when SM promote to BM</t>
  </si>
  <si>
    <t>If AL leave within 12 service months period, clawback all paid RSP in first 3 months</t>
  </si>
  <si>
    <t>Extra bonus on service month 18th (scheme 2)</t>
  </si>
  <si>
    <r>
      <t xml:space="preserve">mln if qualify full 9mths RSP targets and </t>
    </r>
    <r>
      <rPr>
        <sz val="11"/>
        <rFont val="Calibri"/>
        <family val="2"/>
        <charset val="163"/>
        <scheme val="minor"/>
      </rPr>
      <t>85% FY direct unit persistency +</t>
    </r>
    <r>
      <rPr>
        <sz val="11"/>
        <rFont val="Calibri"/>
        <family val="2"/>
        <scheme val="minor"/>
      </rPr>
      <t xml:space="preserve"> 80%</t>
    </r>
    <r>
      <rPr>
        <sz val="11"/>
        <rFont val="Calibri"/>
        <family val="2"/>
        <charset val="163"/>
        <scheme val="minor"/>
      </rPr>
      <t xml:space="preserve"> SY direct unit </t>
    </r>
    <r>
      <rPr>
        <sz val="11"/>
        <rFont val="Calibri"/>
        <family val="2"/>
        <scheme val="minor"/>
      </rPr>
      <t>persistency at end of month 18</t>
    </r>
  </si>
  <si>
    <t>+ Require minimum 7mil IP for active agent</t>
  </si>
  <si>
    <t>5.7.</t>
  </si>
  <si>
    <t>Special New recruited BM support (12 months)</t>
  </si>
  <si>
    <t>DirectUnit 
FYP</t>
  </si>
  <si>
    <t>Branch active (*)</t>
  </si>
  <si>
    <t>No. Recruited UMs/
SMs</t>
  </si>
  <si>
    <t>Total BM</t>
  </si>
  <si>
    <t>Total BM under RSP</t>
  </si>
  <si>
    <t>Total BM under RSP/BM</t>
  </si>
  <si>
    <t>Total BM recruited</t>
  </si>
  <si>
    <t>Total BM of</t>
  </si>
  <si>
    <r>
      <t xml:space="preserve">(**) min 2 direct UMs </t>
    </r>
    <r>
      <rPr>
        <sz val="10"/>
        <color rgb="FFFF0000"/>
        <rFont val="Arial"/>
        <family val="2"/>
      </rPr>
      <t>recruited</t>
    </r>
  </si>
  <si>
    <r>
      <t>Earn total bonus if qualified accumulate production &amp; active</t>
    </r>
    <r>
      <rPr>
        <sz val="10"/>
        <color rgb="FFFF0000"/>
        <rFont val="Arial"/>
        <family val="2"/>
      </rPr>
      <t xml:space="preserve"> &amp; Recruited UMs/
SUMs</t>
    </r>
    <r>
      <rPr>
        <sz val="10"/>
        <rFont val="Arial"/>
        <family val="2"/>
      </rPr>
      <t xml:space="preserve"> for 12mths</t>
    </r>
  </si>
  <si>
    <t>&amp; min 85% FY branch persistency</t>
  </si>
  <si>
    <t>If AL leave within 18 service months period, clawback all paid RSP in first 3 months</t>
  </si>
  <si>
    <r>
      <t xml:space="preserve">mln if qualify full 12mths RSP targets and </t>
    </r>
    <r>
      <rPr>
        <sz val="11"/>
        <rFont val="Calibri"/>
        <family val="2"/>
        <charset val="163"/>
        <scheme val="minor"/>
      </rPr>
      <t>85% FY branch persistency +</t>
    </r>
    <r>
      <rPr>
        <sz val="11"/>
        <rFont val="Calibri"/>
        <family val="2"/>
        <scheme val="minor"/>
      </rPr>
      <t xml:space="preserve"> 80% </t>
    </r>
    <r>
      <rPr>
        <sz val="11"/>
        <rFont val="Calibri"/>
        <family val="2"/>
        <charset val="163"/>
        <scheme val="minor"/>
      </rPr>
      <t>SY</t>
    </r>
    <r>
      <rPr>
        <sz val="11"/>
        <rFont val="Calibri"/>
        <family val="2"/>
        <scheme val="minor"/>
      </rPr>
      <t xml:space="preserve"> branch persistency at month 18th</t>
    </r>
  </si>
  <si>
    <t>Applicable for BMs firstly promoted in 2016 only.</t>
  </si>
  <si>
    <t>5.8.</t>
  </si>
  <si>
    <t>Special New recruited SB support (12 months)</t>
  </si>
  <si>
    <t>Direct Branch FYP (*)</t>
  </si>
  <si>
    <t>Direct Unit 
FYP</t>
  </si>
  <si>
    <t>Direct branch Recruited UMs/
SMs</t>
  </si>
  <si>
    <t>Direct Branch MP</t>
  </si>
  <si>
    <t>Total SB</t>
  </si>
  <si>
    <t>Total SB under RSP</t>
  </si>
  <si>
    <t>Total SB under RSP/SB</t>
  </si>
  <si>
    <t>Total SB recruited</t>
  </si>
  <si>
    <t>Total SB of</t>
  </si>
  <si>
    <t>Earn total bonus if qualified accumulate production &amp; active &amp; Recruited UMs/
SUMs for 12mths</t>
  </si>
  <si>
    <t>&amp; min 85% FY direct branch persistency</t>
  </si>
  <si>
    <t>mln if qualify full 12mths RSP targets and 85% FY branch persistency</t>
  </si>
  <si>
    <t>+ 80% SY direct branch persistency at month 18th</t>
  </si>
  <si>
    <t>Applicable for SBs firstly promoted in 2016 only.</t>
  </si>
  <si>
    <t>SB</t>
  </si>
  <si>
    <t>% Qualifier_5 Mil</t>
  </si>
  <si>
    <t>% Qualifier_8 Mil</t>
  </si>
  <si>
    <t># UM Promotion</t>
  </si>
  <si>
    <t>UM Promotion</t>
  </si>
  <si>
    <t>Production of daughter UM unit</t>
  </si>
  <si>
    <t>Monthly Unit FYP</t>
  </si>
  <si>
    <t>Mix qualifier</t>
  </si>
  <si>
    <t>Production Segment</t>
  </si>
  <si>
    <t>First year bonus</t>
  </si>
  <si>
    <t>Bonus on second year</t>
  </si>
  <si>
    <t>201601</t>
  </si>
  <si>
    <t>201602</t>
  </si>
  <si>
    <t>201603</t>
  </si>
  <si>
    <t>201604</t>
  </si>
  <si>
    <t>201605</t>
  </si>
  <si>
    <t>201606</t>
  </si>
  <si>
    <t>201607</t>
  </si>
  <si>
    <t>201608</t>
  </si>
  <si>
    <t>201609</t>
  </si>
  <si>
    <t>201610</t>
  </si>
  <si>
    <t>Total Recruitment</t>
  </si>
  <si>
    <t>M1_Total AG</t>
  </si>
  <si>
    <t>M1_Qualifier</t>
  </si>
  <si>
    <t>M1_% Qualifier</t>
  </si>
  <si>
    <t>Total AG qualified 3mth</t>
  </si>
  <si>
    <t>Rookie_Bangkok Trip</t>
  </si>
  <si>
    <t>1 Ticket_Qualifier</t>
  </si>
  <si>
    <t>1 Ticket_% Qualifier</t>
  </si>
  <si>
    <t>Total cost</t>
  </si>
  <si>
    <t>2017 Projection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</si>
  <si>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</si>
  <si>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</si>
  <si>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</si>
  <si>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</si>
  <si>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</si>
  <si>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</si>
  <si>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</si>
  <si>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</si>
  <si>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Qualified AL</t>
  </si>
  <si>
    <t>1. New Rookie Active in M1</t>
  </si>
  <si>
    <t># Qualified Rookies</t>
  </si>
  <si>
    <t>Bonus to Leader</t>
  </si>
  <si>
    <t>3. Thailand trip to Leader</t>
  </si>
  <si>
    <t>2017Q1</t>
  </si>
  <si>
    <t>2017Q2</t>
  </si>
  <si>
    <t>2017Q3</t>
  </si>
  <si>
    <t>2017Q4</t>
  </si>
  <si>
    <t># Qualified Leader</t>
  </si>
  <si>
    <t>Medical insurance for ALs</t>
  </si>
  <si>
    <t>BM Allowance</t>
  </si>
  <si>
    <t>GA Model 2016-2022</t>
  </si>
  <si>
    <t>(Spread out up-front fee by month)</t>
  </si>
  <si>
    <t>Growth</t>
  </si>
  <si>
    <t>GA Contribution</t>
  </si>
  <si>
    <t>Year</t>
  </si>
  <si>
    <t>Total APE of GAs</t>
  </si>
  <si>
    <t>Total FYP of GAs</t>
  </si>
  <si>
    <t>New GAs in year</t>
  </si>
  <si>
    <t>Big</t>
  </si>
  <si>
    <t>Med</t>
  </si>
  <si>
    <t>Small</t>
  </si>
  <si>
    <t>Total GA</t>
  </si>
  <si>
    <r>
      <t xml:space="preserve">Total GA expenses </t>
    </r>
    <r>
      <rPr>
        <sz val="10"/>
        <rFont val="Arial"/>
        <family val="2"/>
        <charset val="163"/>
      </rPr>
      <t>(Mn dong)</t>
    </r>
  </si>
  <si>
    <t>Payment</t>
  </si>
  <si>
    <t>NPV</t>
  </si>
  <si>
    <t>Agency Statistics:</t>
  </si>
  <si>
    <t>Total ALs recruited</t>
  </si>
  <si>
    <t>Total AGs recruited</t>
  </si>
  <si>
    <t>Ending manpower</t>
  </si>
  <si>
    <t>Average AL</t>
  </si>
  <si>
    <t>Average APE per agent</t>
  </si>
  <si>
    <t>KPIs:</t>
  </si>
  <si>
    <t>Cases</t>
  </si>
  <si>
    <t>Agent months</t>
  </si>
  <si>
    <t>AR</t>
  </si>
  <si>
    <t>Case size</t>
  </si>
  <si>
    <t>Cases per active</t>
  </si>
  <si>
    <t>Recruited AG per AL/month</t>
  </si>
  <si>
    <t>Growth of agent months</t>
  </si>
  <si>
    <t>Growth of case size</t>
  </si>
  <si>
    <t>Growth of case per active</t>
  </si>
  <si>
    <t>Growth of recruited AG per AL</t>
  </si>
  <si>
    <t>Growth of average AL</t>
  </si>
  <si>
    <t>Medium</t>
  </si>
  <si>
    <t>Annual Convention Trip (Gen-Star Trip)</t>
  </si>
  <si>
    <t>Asia trip</t>
  </si>
  <si>
    <t>Euroupe Trip</t>
  </si>
  <si>
    <t>Management + Support</t>
  </si>
  <si>
    <t>GA APE Contribution</t>
  </si>
  <si>
    <t>Comp - non GA</t>
  </si>
  <si>
    <t xml:space="preserve">Avg 96% contribution of direct unit to total production </t>
  </si>
  <si>
    <t>Cost new MDRT in 2017</t>
  </si>
  <si>
    <t>Comp - non GA + MDRT + RSP</t>
  </si>
  <si>
    <t>Avg Prod in next quarter</t>
  </si>
  <si>
    <t>Total UM in 1st year</t>
  </si>
  <si>
    <t>Total UM in 2nd year</t>
  </si>
  <si>
    <t>UM in first year</t>
  </si>
  <si>
    <t>UM in second year</t>
  </si>
  <si>
    <t>i) Bonus to UM</t>
  </si>
  <si>
    <t>ii) Bonus on first year for new UM promotion in 2017</t>
  </si>
  <si>
    <t>iii) Bonus on first year/second year for UM promotion/recruited UM in 2016</t>
  </si>
  <si>
    <t>MUM Bonus</t>
  </si>
  <si>
    <t>MBM Bonus</t>
  </si>
  <si>
    <t>i) Bonus on first year for new UM promotion in 2017</t>
  </si>
  <si>
    <t>ii) Bonus on first year/second year for UM promotion/recruited UM in 2016</t>
  </si>
  <si>
    <t># Promoted BM in 2017</t>
  </si>
  <si>
    <t>Total BM in 1st year</t>
  </si>
  <si>
    <t>Total BM in 2nd year</t>
  </si>
  <si>
    <t>Total BM in 3rd year</t>
  </si>
  <si>
    <t>BM in first year</t>
  </si>
  <si>
    <t>BM in second year</t>
  </si>
  <si>
    <t>BM in third year</t>
  </si>
  <si>
    <t>2016 P</t>
  </si>
  <si>
    <t>2017 P</t>
  </si>
  <si>
    <t>2016 YTDSep A</t>
  </si>
  <si>
    <t>New rookie active M1</t>
  </si>
  <si>
    <t>(1 pol + 12 Mil IP)</t>
  </si>
  <si>
    <t>Buffer 1.15 for Accum bonus</t>
  </si>
  <si>
    <t>Medical insurance for MDRT/BM/SB</t>
  </si>
  <si>
    <t xml:space="preserve">Health insurance </t>
  </si>
  <si>
    <t>MDRT</t>
  </si>
  <si>
    <t>BM/SBM</t>
  </si>
  <si>
    <t>unit Cost</t>
  </si>
  <si>
    <t>Comp - (non GA/MDRT/RSP)</t>
  </si>
  <si>
    <t>Comp - (non GA/MDRT/RSP/Contest)</t>
  </si>
  <si>
    <t>Promotion</t>
  </si>
  <si>
    <t>AG to US</t>
  </si>
  <si>
    <t>US to UM</t>
  </si>
  <si>
    <t>Maintenance of Contract</t>
  </si>
  <si>
    <t xml:space="preserve">Evaluation frequency: monthly </t>
  </si>
  <si>
    <t>if average BD team activity ratio (1 case 6m IP) in last 3 months at least 35%, NO auto termination</t>
  </si>
  <si>
    <r>
      <rPr>
        <strike/>
        <sz val="10"/>
        <color rgb="FFFF0000"/>
        <rFont val="Arial"/>
        <family val="2"/>
        <charset val="163"/>
      </rPr>
      <t xml:space="preserve">if average BD team activity ratio (1 case 6m IP) in last 3 months lower than 35%, </t>
    </r>
    <r>
      <rPr>
        <sz val="10"/>
        <rFont val="Arial"/>
        <family val="2"/>
        <charset val="163"/>
      </rPr>
      <t>apply 3 months MoC validation that require minimum 1 case per 3 last months</t>
    </r>
  </si>
  <si>
    <t>The auto termination process still include BD review</t>
  </si>
  <si>
    <t>PFA</t>
  </si>
  <si>
    <t>Evaluation frequency: quarterly</t>
  </si>
  <si>
    <t>Evaluation frequency: 6 months (min 6mths service)</t>
  </si>
  <si>
    <t>Production for last 12 months: (min 3mths service)</t>
  </si>
  <si>
    <t>same as promotion evaluation</t>
  </si>
  <si>
    <t>250m FYP + 12 cases</t>
  </si>
  <si>
    <t>if fail MOC, to be demoted to agent</t>
  </si>
  <si>
    <t>60% activity ratio</t>
  </si>
  <si>
    <t>Min 85% persistency</t>
  </si>
  <si>
    <t>SPFA</t>
  </si>
  <si>
    <t>Evaluation frequency: 6 months (min 6 mths service)</t>
  </si>
  <si>
    <t>(MDRT)</t>
  </si>
  <si>
    <t>Production for last 12 months: (min 6mths service)</t>
  </si>
  <si>
    <t>500m FYP + 20 cases</t>
  </si>
  <si>
    <t>if fail MOC, to be demoted to PFA</t>
  </si>
  <si>
    <t>US</t>
  </si>
  <si>
    <t>Individual Production for last 6 months:</t>
  </si>
  <si>
    <t xml:space="preserve">if can not achieve UM promotion within 12mths, </t>
  </si>
  <si>
    <t xml:space="preserve">50m FYP (excl referred agents) + 5cases </t>
  </si>
  <si>
    <t>or</t>
  </si>
  <si>
    <t>70m FYP (incl referred agents but max 35mil) + 5 cases</t>
  </si>
  <si>
    <t>to be demoted to agent</t>
  </si>
  <si>
    <t xml:space="preserve">Active 2 months </t>
  </si>
  <si>
    <t>Referred 2 agents (still active at the time of evaluation)</t>
  </si>
  <si>
    <t>Completed 4/12 sections of Skillful Program</t>
  </si>
  <si>
    <t>Daughter US of US</t>
  </si>
  <si>
    <t>in case agent of US (US1) to be promoted to US (US2) when the mother is still in US position</t>
  </si>
  <si>
    <t>the daugther US (US2) will report directly to direct leader of the mother US (US1)</t>
  </si>
  <si>
    <t>since US 2 promotion, US 2 personal sale to be counted for direct leader of US 1</t>
  </si>
  <si>
    <t>When US1 to be promoted to UM (UM1), AD can send request for moving back the US2 to UM1</t>
  </si>
  <si>
    <t>if US already promoted to UM (UM2) before UM1 promotion, the builder bonus will be paid to UM 1 from</t>
  </si>
  <si>
    <t>the tranferred date. The 2 years bonus period is still counted from UM 2 promotion date</t>
  </si>
  <si>
    <t>AG 2 promote to US2</t>
  </si>
  <si>
    <t>US 1 promote to UM1</t>
  </si>
  <si>
    <t>Evaluation frequency: monthly</t>
  </si>
  <si>
    <t>Evaluation frequency: 6 months (for UM more than or equal 12 servicing months)</t>
  </si>
  <si>
    <t>Production of downline agents and 50% US personal production for last 6 months:</t>
  </si>
  <si>
    <t>Unit production for 6 months</t>
  </si>
  <si>
    <t>150m FYP + 10 cases (maximum 50mln + 4 cases from US personal)</t>
  </si>
  <si>
    <t>100m FYP</t>
  </si>
  <si>
    <t>30% avg unit activity ratio</t>
  </si>
  <si>
    <t>min 2 recruits</t>
  </si>
  <si>
    <t>6 agents at evaluation</t>
  </si>
  <si>
    <t>min 20% avg direct unit activity ratio</t>
  </si>
  <si>
    <t>Min 85% unit persistency</t>
  </si>
  <si>
    <t>if fail, to be demoted to agent</t>
  </si>
  <si>
    <t>Completed 8/12 sections of Skillful Program (Huan luyen ky nang hang tuan)</t>
  </si>
  <si>
    <t>having min 1 DUM &amp; still maintain UM contract</t>
  </si>
  <si>
    <t>Evaluation frequency: 6 months (for SM more than or equal 12 servicing months)</t>
  </si>
  <si>
    <t>having min 1 DUM promoted or recruited in last 2 years &amp; still maintain UM contract</t>
  </si>
  <si>
    <t>if fail, to be demoted to UM</t>
  </si>
  <si>
    <t>Evaluation frequency: yearly (min 12mths service)</t>
  </si>
  <si>
    <t>Evaluation frequency: yearly  (for BM more than or equal 12 servicing months)</t>
  </si>
  <si>
    <t xml:space="preserve">Minimum 3 downline UMs  (including DUMs promoted at the same validation time) </t>
  </si>
  <si>
    <t>Production of whole branch for last 12 months</t>
  </si>
  <si>
    <t>Production of own unit &amp; downline units:</t>
  </si>
  <si>
    <t>1bn / 12mths</t>
  </si>
  <si>
    <t>1bn group FYP/ 12mths</t>
  </si>
  <si>
    <t>and Production of own unit for last 12 months</t>
  </si>
  <si>
    <t>total 100 active months/12mths</t>
  </si>
  <si>
    <t xml:space="preserve">200m / 12mths </t>
  </si>
  <si>
    <t>30% avg activity ratio of the whole group</t>
  </si>
  <si>
    <t>min 20% branch avg activity ratio</t>
  </si>
  <si>
    <t>Min 85% persistency for each of units</t>
  </si>
  <si>
    <t>if fail, to be demoted to SM</t>
  </si>
  <si>
    <t>and Production of own unit: 400mil / 12mths</t>
  </si>
  <si>
    <t>Full-time working</t>
  </si>
  <si>
    <t>having min 1 DBM &amp; still maintain BM contract</t>
  </si>
  <si>
    <t>Evaluation frequency: yearly (for SB more than or equal 12 servicing months)</t>
  </si>
  <si>
    <t>Production of whole mother-branch (including Daughter branch)</t>
  </si>
  <si>
    <t>2bil FYP/ 12mths</t>
  </si>
  <si>
    <t>min 1 DBM</t>
  </si>
  <si>
    <t>min 20% direct branch avg activity ratio</t>
  </si>
  <si>
    <t>if fail, to be demoted to BM</t>
  </si>
  <si>
    <t>Evaluation frequency: monthly (min 3 servicing months)</t>
  </si>
  <si>
    <t>2017 Scheme</t>
  </si>
  <si>
    <r>
      <t>if can not achieve UM promotion within</t>
    </r>
    <r>
      <rPr>
        <u/>
        <sz val="10"/>
        <color rgb="FFFF0000"/>
        <rFont val="Arial"/>
        <family val="2"/>
        <charset val="163"/>
      </rPr>
      <t xml:space="preserve"> 09mths</t>
    </r>
    <r>
      <rPr>
        <sz val="10"/>
        <color rgb="FFFF0000"/>
        <rFont val="Arial"/>
        <family val="2"/>
        <charset val="163"/>
      </rPr>
      <t xml:space="preserve">, </t>
    </r>
  </si>
  <si>
    <t>AGENT</t>
  </si>
  <si>
    <t>AGENCY VALIDATION &amp; PROMOTION</t>
  </si>
  <si>
    <t xml:space="preserve">50m FYP (excl referred agents) + 4cases </t>
  </si>
  <si>
    <t>Ref: 32% AG qualified FYP but disqualified # policies</t>
  </si>
  <si>
    <t>Suggest to reduce # policy requirement</t>
  </si>
  <si>
    <t>Use 01 scheme (count individual production)</t>
  </si>
  <si>
    <t>Referred 2 agents (still active at the time of evaluation)??</t>
  </si>
  <si>
    <t>Completed 4/12 sections of Skillful Program??</t>
  </si>
  <si>
    <r>
      <t xml:space="preserve">Evaluation frequency: </t>
    </r>
    <r>
      <rPr>
        <u/>
        <sz val="10"/>
        <color rgb="FFFF0000"/>
        <rFont val="Arial"/>
        <family val="2"/>
        <charset val="163"/>
      </rPr>
      <t>Quarterly</t>
    </r>
    <r>
      <rPr>
        <sz val="10"/>
        <rFont val="Arial"/>
        <family val="2"/>
        <charset val="163"/>
      </rPr>
      <t xml:space="preserve"> (for UM more than or equal </t>
    </r>
    <r>
      <rPr>
        <u/>
        <sz val="10"/>
        <color rgb="FFFF0000"/>
        <rFont val="Arial"/>
        <family val="2"/>
        <charset val="163"/>
      </rPr>
      <t>06 servicing months</t>
    </r>
    <r>
      <rPr>
        <sz val="10"/>
        <rFont val="Arial"/>
        <family val="2"/>
        <charset val="163"/>
      </rPr>
      <t>)</t>
    </r>
  </si>
  <si>
    <t>min 08 # Active Agents in last 06 mths</t>
  </si>
  <si>
    <t>min 5 agents in team (including UM) at validation time</t>
  </si>
  <si>
    <t>Production of downline agents for last 6 months:</t>
  </si>
  <si>
    <t xml:space="preserve">min 06 #Active </t>
  </si>
  <si>
    <t>130m FYP + 08 cases</t>
  </si>
  <si>
    <t>UM to SUM</t>
  </si>
  <si>
    <t>Evaluation frequency: Quarterly</t>
  </si>
  <si>
    <t>Production in last 06 months</t>
  </si>
  <si>
    <t>At least 3 month as UM</t>
  </si>
  <si>
    <t>At least 6 month as SUM</t>
  </si>
  <si>
    <t>At least 6 month as BM</t>
  </si>
  <si>
    <t>From</t>
  </si>
  <si>
    <t>To</t>
  </si>
  <si>
    <t>Monthly</t>
  </si>
  <si>
    <t>Quarterly</t>
  </si>
  <si>
    <t>Semi-Annual</t>
  </si>
  <si>
    <t>At least 03 servicing months at AG</t>
  </si>
  <si>
    <t>Frequency</t>
  </si>
  <si>
    <t>Last 03 months</t>
  </si>
  <si>
    <t>Last 06 months</t>
  </si>
  <si>
    <t>Last 12 months</t>
  </si>
  <si>
    <t>Servicing month</t>
  </si>
  <si>
    <t>NA</t>
  </si>
  <si>
    <t>Persistency 02 years: 85%</t>
  </si>
  <si>
    <t>Training</t>
  </si>
  <si>
    <t>50 Mil FYP + 4 policies
(individual production)</t>
  </si>
  <si>
    <t xml:space="preserve">6 Active Agent Month </t>
  </si>
  <si>
    <t>5 Agents in Unit</t>
  </si>
  <si>
    <t>Persistency 02 year 85%</t>
  </si>
  <si>
    <t>Group FYP &gt;=250mil + 15 policies
(direct + indirect unit)</t>
  </si>
  <si>
    <t xml:space="preserve">15 Active Agent Month </t>
  </si>
  <si>
    <t>Dev 01 UM + 01 US</t>
  </si>
  <si>
    <t>Production of own unit: 400mil</t>
  </si>
  <si>
    <t>Dev 03 UM</t>
  </si>
  <si>
    <t>80 Active Agent Month</t>
  </si>
  <si>
    <t>Dev 01 BM</t>
  </si>
  <si>
    <t>Production of direct branch: 1.5 bil</t>
  </si>
  <si>
    <t>-&gt; Servicing AG</t>
  </si>
  <si>
    <t>No new business + min 01 IF policy</t>
  </si>
  <si>
    <t>Servicing AG in 12 months + no IF policy</t>
  </si>
  <si>
    <t>-&gt; Terminate</t>
  </si>
  <si>
    <t>Servicing AG active in month</t>
  </si>
  <si>
    <t>-&gt; Next month: Active AG</t>
  </si>
  <si>
    <t>No promotion to UM within 09 months</t>
  </si>
  <si>
    <t>-&gt; demoted to AG</t>
  </si>
  <si>
    <t>UM min. 06 servicing months</t>
  </si>
  <si>
    <t>SUM min. 06 servicing months</t>
  </si>
  <si>
    <t>Direct unit: 100 m FYP</t>
  </si>
  <si>
    <t>BM min. 06 servicing months</t>
  </si>
  <si>
    <t>Group FYP &gt;= 1.0 bil</t>
  </si>
  <si>
    <t>Key focus</t>
  </si>
  <si>
    <t>Key changes</t>
  </si>
  <si>
    <t>Promote consistency performance</t>
  </si>
  <si>
    <t>Build &amp; retain core agents/leaders</t>
  </si>
  <si>
    <t xml:space="preserve">Improve Agency Leader’s role &amp; performance </t>
  </si>
  <si>
    <t>Shift investment to internal promotion, gradually reduce external leader recruitment</t>
  </si>
  <si>
    <t>Improve productivity</t>
  </si>
  <si>
    <t>Improve product mix</t>
  </si>
  <si>
    <r>
      <t>-</t>
    </r>
    <r>
      <rPr>
        <sz val="10"/>
        <color rgb="FF000000"/>
        <rFont val="Arial Regular"/>
      </rPr>
      <t>Individual quarterly production bonus: more incentive to performer who active consistently in Quarter</t>
    </r>
  </si>
  <si>
    <r>
      <t>-</t>
    </r>
    <r>
      <rPr>
        <sz val="10"/>
        <color rgb="FF000000"/>
        <rFont val="Arial Regular"/>
      </rPr>
      <t>Gen-Lion: offer additional bonus to consistency performance</t>
    </r>
  </si>
  <si>
    <r>
      <t>-</t>
    </r>
    <r>
      <rPr>
        <sz val="10"/>
        <color rgb="FF000000"/>
        <rFont val="Arial Regular"/>
      </rPr>
      <t>Introduce core agent/leader program: Gen-Lion, Gen-Champion, Gen-Captain</t>
    </r>
  </si>
  <si>
    <r>
      <t>-</t>
    </r>
    <r>
      <rPr>
        <sz val="10"/>
        <color rgb="FF000000"/>
        <rFont val="Arial Regular"/>
      </rPr>
      <t>Create perception: core agent = consistent active 1 pol + 12 Mil IP</t>
    </r>
  </si>
  <si>
    <r>
      <t>-</t>
    </r>
    <r>
      <rPr>
        <sz val="10"/>
        <color rgb="FF000000"/>
        <rFont val="Arial Regular"/>
      </rPr>
      <t>Long term incentive to very top performers</t>
    </r>
  </si>
  <si>
    <r>
      <t>-</t>
    </r>
    <r>
      <rPr>
        <sz val="10"/>
        <color rgb="FF000000"/>
        <rFont val="Arial Regular"/>
      </rPr>
      <t>Development bonus: only incentivize AL who develop their internal agents</t>
    </r>
  </si>
  <si>
    <r>
      <t>-</t>
    </r>
    <r>
      <rPr>
        <sz val="10"/>
        <color rgb="FF000000"/>
        <rFont val="Arial Regular"/>
      </rPr>
      <t>Require # promoted AG as key KPI to eligible Core Leader bonus</t>
    </r>
  </si>
  <si>
    <r>
      <t>-</t>
    </r>
    <r>
      <rPr>
        <sz val="10"/>
        <color rgb="FF000000"/>
        <rFont val="Arial Regular"/>
      </rPr>
      <t>Some schemes don’t take into account AL’s individual production</t>
    </r>
  </si>
  <si>
    <r>
      <t>-</t>
    </r>
    <r>
      <rPr>
        <sz val="10"/>
        <color rgb="FF000000"/>
        <rFont val="Arial Regular"/>
      </rPr>
      <t>Restrict # external recruited AL</t>
    </r>
  </si>
  <si>
    <r>
      <t>-</t>
    </r>
    <r>
      <rPr>
        <sz val="10"/>
        <color rgb="FF000000"/>
        <rFont val="Arial Regular"/>
      </rPr>
      <t>Structure new US promotion program to develop more competent UM layer</t>
    </r>
  </si>
  <si>
    <r>
      <t>-</t>
    </r>
    <r>
      <rPr>
        <sz val="10"/>
        <color rgb="FF000000"/>
        <rFont val="Arial Regular"/>
      </rPr>
      <t>Rich incentive to AG who get promotion and AL who develop successfully their AG to be AL</t>
    </r>
  </si>
  <si>
    <r>
      <t>-</t>
    </r>
    <r>
      <rPr>
        <sz val="10"/>
        <color rgb="FF000000"/>
        <rFont val="Arial Regular"/>
      </rPr>
      <t>Increase requirement of production level in all production bonus scheme</t>
    </r>
  </si>
  <si>
    <r>
      <t>-</t>
    </r>
    <r>
      <rPr>
        <sz val="10"/>
        <color rgb="FF000000"/>
        <rFont val="Arial Regular"/>
      </rPr>
      <t>Increase definition of active AG: 1 pol + 8 Mil IP</t>
    </r>
  </si>
  <si>
    <r>
      <t>-</t>
    </r>
    <r>
      <rPr>
        <sz val="10"/>
        <color rgb="FF000000"/>
        <rFont val="Arial Regular"/>
      </rPr>
      <t>Stop CI product bonus</t>
    </r>
  </si>
  <si>
    <r>
      <t>-</t>
    </r>
    <r>
      <rPr>
        <sz val="10"/>
        <color rgb="FF000000"/>
        <rFont val="Arial Regular"/>
      </rPr>
      <t>More incentive to UL product</t>
    </r>
  </si>
  <si>
    <r>
      <t>-</t>
    </r>
    <r>
      <rPr>
        <sz val="10"/>
        <color rgb="FF000000"/>
        <rFont val="Arial Regular"/>
      </rPr>
      <t>More incentive to high rider attachment ratio</t>
    </r>
  </si>
  <si>
    <t xml:space="preserve">Approach: Build more productive &amp; long term sustainable agency force </t>
  </si>
  <si>
    <t>Frequency: every quarter (Jan, Apr, Jul, Oct)</t>
  </si>
  <si>
    <t>Bonus on next quarter's production</t>
  </si>
  <si>
    <t>Monthly payment</t>
  </si>
  <si>
    <t>Quarter end payment</t>
  </si>
  <si>
    <t>Frequency: Quarterly (Jan, Apr, Jul, Oct)</t>
  </si>
  <si>
    <t>Frequency: semi-annually (Apr, Oct)</t>
  </si>
  <si>
    <t>Remove US Quarterly production bonus &amp; RSP (as in reality very few US qualified this bonus)</t>
  </si>
  <si>
    <t xml:space="preserve">Structure US promotion 6 month support program support </t>
  </si>
  <si>
    <t>Unit FYP &gt;=120mil + 08 policies
(not including US sales)</t>
  </si>
  <si>
    <t>- Minimum 70% Second year Persistency</t>
  </si>
  <si>
    <t>Mil</t>
  </si>
  <si>
    <t>UM promoted in 03 months</t>
  </si>
  <si>
    <t>UM promoted in 06 months</t>
  </si>
  <si>
    <t>Apr'17</t>
  </si>
  <si>
    <t>Oct'17</t>
  </si>
  <si>
    <t># BM/SB</t>
  </si>
  <si>
    <t>Monthly fixed allowance</t>
  </si>
  <si>
    <t>(in next 06 months)</t>
  </si>
  <si>
    <t>GVL Agency Compensation - Long term projection</t>
  </si>
  <si>
    <t>Consider:</t>
  </si>
  <si>
    <t>remove non-fincial benefits</t>
  </si>
  <si>
    <t>monthly phone allowance</t>
  </si>
  <si>
    <t>&lt;50</t>
  </si>
  <si>
    <t>&lt;150</t>
  </si>
  <si>
    <t>Active new recruit: Min 1 Case + 8 Mil IP M1</t>
  </si>
  <si>
    <t>HEALTH INSURANCE</t>
  </si>
  <si>
    <t>Avg Unit Productivity</t>
  </si>
  <si>
    <t>Agency Sales Plan  2017 - 2022</t>
  </si>
  <si>
    <t>KPI</t>
  </si>
  <si>
    <t>Recruitment &amp; Manpower</t>
  </si>
  <si>
    <t># Ending AL</t>
  </si>
  <si>
    <t>% Active AL</t>
  </si>
  <si>
    <t># New recruit/Active AL</t>
  </si>
  <si>
    <t># New recruit AL</t>
  </si>
  <si>
    <t># Total New recruit</t>
  </si>
  <si>
    <t># Manpower</t>
  </si>
  <si>
    <t>Production &amp; Productivity</t>
  </si>
  <si>
    <t>Case/Active</t>
  </si>
  <si>
    <t>APE/Active Agent</t>
  </si>
  <si>
    <t>APE/Manpower</t>
  </si>
  <si>
    <t>APE Growth</t>
  </si>
  <si>
    <t>APE contribution_New recruit</t>
  </si>
  <si>
    <t># Unit AL</t>
  </si>
  <si>
    <t># Avg AL</t>
  </si>
  <si>
    <t># Branch</t>
  </si>
  <si>
    <t>Production requirement is supposed to adjust every year</t>
  </si>
  <si>
    <t>Avg Prod/Quarter</t>
  </si>
  <si>
    <t>TOTAL COST</t>
  </si>
  <si>
    <t>FYP/APE</t>
  </si>
  <si>
    <t># New recruits</t>
  </si>
  <si>
    <t>% Qualifier_M1</t>
  </si>
  <si>
    <t>M1 Active Bonus</t>
  </si>
  <si>
    <t>Bangkok Trip</t>
  </si>
  <si>
    <t>%Qualifier</t>
  </si>
  <si>
    <t>(Assume Unit cost inflat 10% every year)</t>
  </si>
  <si>
    <t>Bangkok_Leader</t>
  </si>
  <si>
    <t>% AL_Qualifier</t>
  </si>
  <si>
    <t>Monthly Fixed Allowance</t>
  </si>
  <si>
    <t>Accumulated bonus</t>
  </si>
  <si>
    <t>Discounted value</t>
  </si>
  <si>
    <t>Y0</t>
  </si>
  <si>
    <t>Payment schedule:</t>
  </si>
  <si>
    <t xml:space="preserve">Present value at Y0: </t>
  </si>
  <si>
    <t>Assumption of IR</t>
  </si>
  <si>
    <t>BM/SB</t>
  </si>
  <si>
    <t># MDRT</t>
  </si>
  <si>
    <t>COST</t>
  </si>
  <si>
    <t>Targeted Qualifier Mix</t>
  </si>
  <si>
    <t>Targeted Mix Qualifer</t>
  </si>
  <si>
    <t>Targeted Mix Qualifier</t>
  </si>
  <si>
    <t>1. Basic commission</t>
  </si>
  <si>
    <t>2. Quarterly Production Bonus</t>
  </si>
  <si>
    <t>(from Actuarial Team)</t>
  </si>
  <si>
    <t>OAC (excluding contest and allowances)</t>
  </si>
  <si>
    <t>OAC Loading</t>
  </si>
  <si>
    <t>Saving from OAC</t>
  </si>
  <si>
    <t>Total Comp less OAC Saving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</si>
</sst>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3" formatCode="_(* #,##0.00_);_(* \(#,##0.00\);_(* &quot;-&quot;??_);_(@_)"/>
    <numFmt numFmtId="164" formatCode="_-* #,##0.00\ _₫_-;\-* #,##0.00\ _₫_-;_-* &quot;-&quot;??\ _₫_-;_-@_-"/>
    <numFmt numFmtId="165" formatCode="_-* #,##0.0\ _₫_-;\-* #,##0.0\ _₫_-;_-* &quot;-&quot;??\ _₫_-;_-@_-"/>
    <numFmt numFmtId="166" formatCode="0.0%"/>
    <numFmt numFmtId="167" formatCode="_(* #,##0.0_);_(* \(#,##0.0\);_(* &quot;-&quot;??_);_(@_)"/>
    <numFmt numFmtId="168" formatCode="_-* #,##0\ _₫_-;\-* #,##0\ _₫_-;_-* &quot;-&quot;??\ _₫_-;_-@_-"/>
    <numFmt numFmtId="169" formatCode="#,##0_ ;\-#,##0\ "/>
    <numFmt numFmtId="170" formatCode="0_);\(0\)"/>
    <numFmt numFmtId="171" formatCode="_(* #,##0_);_(* \(#,##0\);_(* &quot;-&quot;??_);_(@_)"/>
    <numFmt numFmtId="172" formatCode="0.0"/>
    <numFmt numFmtId="173" formatCode="#,##0.0"/>
    <numFmt numFmtId="174" formatCode="B1mmm\-yy"/>
    <numFmt numFmtId="175" formatCode="_-[$€]* #,##0.00_-;\-[$€]* #,##0.00_-;_-[$€]* &quot;-&quot;??_-;_-@_-"/>
    <numFmt numFmtId="176" formatCode="_-* #,##0.0_-;\-* #,##0.0_-;_-* &quot;-&quot;??_-;_-@_-"/>
    <numFmt numFmtId="177" formatCode="_-* #,##0.000\ _₫_-;\-* #,##0.000\ _₫_-;_-* &quot;-&quot;??\ _₫_-;_-@_-"/>
    <numFmt numFmtId="178" formatCode="_(* #,##0_);_(* \(#,##0\);_(* &quot;-&quot;?_);_(@_)"/>
  </numFmts>
  <fonts count="18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u/>
      <sz val="11"/>
      <color theme="1"/>
      <name val="Calibri"/>
      <family val="2"/>
      <charset val="163"/>
      <scheme val="minor"/>
    </font>
    <font>
      <sz val="14"/>
      <color theme="1"/>
      <name val="Arial"/>
      <family val="2"/>
    </font>
    <font>
      <b/>
      <u/>
      <sz val="10"/>
      <color theme="1"/>
      <name val="Arial"/>
      <family val="2"/>
    </font>
    <font>
      <sz val="10"/>
      <color theme="1"/>
      <name val="Arial"/>
      <family val="2"/>
    </font>
    <font>
      <b/>
      <u/>
      <sz val="10"/>
      <color theme="1"/>
      <name val="Arial"/>
      <family val="2"/>
      <charset val="163"/>
    </font>
    <font>
      <sz val="10"/>
      <color rgb="FFFF0000"/>
      <name val="Arial"/>
      <family val="2"/>
      <charset val="163"/>
    </font>
    <font>
      <sz val="11"/>
      <color theme="1"/>
      <name val="Calibri"/>
      <family val="2"/>
      <charset val="163"/>
      <scheme val="minor"/>
    </font>
    <font>
      <b/>
      <sz val="10"/>
      <color rgb="FF0000FF"/>
      <name val="Arial"/>
      <family val="2"/>
      <charset val="163"/>
    </font>
    <font>
      <sz val="10"/>
      <color rgb="FFFF0000"/>
      <name val="Arial"/>
      <family val="2"/>
    </font>
    <font>
      <sz val="10"/>
      <color rgb="FF0000FF"/>
      <name val="Arial"/>
      <family val="2"/>
    </font>
    <font>
      <b/>
      <u/>
      <sz val="11"/>
      <color rgb="FF0000FF"/>
      <name val="Calibri"/>
      <family val="2"/>
      <charset val="163"/>
      <scheme val="minor"/>
    </font>
    <font>
      <sz val="11"/>
      <color rgb="FF0000FF"/>
      <name val="Calibri"/>
      <family val="2"/>
      <scheme val="minor"/>
    </font>
    <font>
      <sz val="10"/>
      <color rgb="FF0000FF"/>
      <name val="Arial"/>
      <family val="2"/>
      <charset val="163"/>
    </font>
    <font>
      <sz val="10"/>
      <name val="Arial"/>
      <family val="2"/>
      <charset val="163"/>
    </font>
    <font>
      <b/>
      <sz val="10"/>
      <name val="Arial"/>
      <family val="2"/>
      <charset val="163"/>
    </font>
    <font>
      <b/>
      <sz val="10"/>
      <color rgb="FF0000FF"/>
      <name val="Arial"/>
      <family val="2"/>
    </font>
    <font>
      <sz val="11"/>
      <name val="Calibri"/>
      <family val="2"/>
      <charset val="163"/>
      <scheme val="minor"/>
    </font>
    <font>
      <b/>
      <sz val="15"/>
      <color theme="1"/>
      <name val="Calibri"/>
      <family val="2"/>
      <charset val="163"/>
      <scheme val="minor"/>
    </font>
    <font>
      <b/>
      <u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name val="Calibri"/>
      <family val="2"/>
      <scheme val="minor"/>
    </font>
    <font>
      <sz val="10"/>
      <name val="Calibri"/>
      <family val="2"/>
      <scheme val="minor"/>
    </font>
    <font>
      <u/>
      <sz val="12"/>
      <color theme="0"/>
      <name val="Calibri"/>
      <family val="2"/>
      <scheme val="minor"/>
    </font>
    <font>
      <b/>
      <sz val="12"/>
      <color theme="0"/>
      <name val="Calibri"/>
      <family val="2"/>
      <charset val="163"/>
      <scheme val="minor"/>
    </font>
    <font>
      <b/>
      <sz val="12"/>
      <color theme="0"/>
      <name val="Calibri"/>
      <family val="2"/>
      <scheme val="minor"/>
    </font>
    <font>
      <sz val="10"/>
      <color rgb="FF0000FF"/>
      <name val="Calibri"/>
      <family val="2"/>
      <scheme val="minor"/>
    </font>
    <font>
      <u/>
      <sz val="10"/>
      <color rgb="FF0000FF"/>
      <name val="Calibri"/>
      <family val="2"/>
      <scheme val="minor"/>
    </font>
    <font>
      <b/>
      <u/>
      <sz val="10"/>
      <color rgb="FF0000FF"/>
      <name val="Arial"/>
      <family val="2"/>
    </font>
    <font>
      <b/>
      <sz val="10"/>
      <color theme="1"/>
      <name val="Calibri"/>
      <family val="2"/>
      <charset val="163"/>
      <scheme val="minor"/>
    </font>
    <font>
      <b/>
      <u/>
      <sz val="10"/>
      <color theme="1"/>
      <name val="Calibri"/>
      <family val="2"/>
      <charset val="163"/>
      <scheme val="minor"/>
    </font>
    <font>
      <b/>
      <sz val="10"/>
      <color rgb="FF0000FF"/>
      <name val="Calibri"/>
      <family val="2"/>
      <charset val="163"/>
      <scheme val="minor"/>
    </font>
    <font>
      <b/>
      <u/>
      <sz val="12"/>
      <color theme="1"/>
      <name val="Calibri"/>
      <family val="2"/>
      <charset val="163"/>
      <scheme val="minor"/>
    </font>
    <font>
      <b/>
      <sz val="12"/>
      <color theme="1"/>
      <name val="Calibri"/>
      <family val="2"/>
      <charset val="163"/>
      <scheme val="minor"/>
    </font>
    <font>
      <sz val="12"/>
      <color theme="1"/>
      <name val="Calibri"/>
      <family val="2"/>
      <charset val="163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11"/>
      <color theme="0"/>
      <name val="Arial"/>
      <family val="2"/>
    </font>
    <font>
      <b/>
      <u/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u/>
      <sz val="11"/>
      <color theme="1"/>
      <name val="Arial"/>
      <family val="2"/>
    </font>
    <font>
      <b/>
      <sz val="11"/>
      <color rgb="FF0000FF"/>
      <name val="Arial"/>
      <family val="2"/>
    </font>
    <font>
      <b/>
      <sz val="11"/>
      <color rgb="FF0000FF"/>
      <name val="Calibri"/>
      <family val="2"/>
      <scheme val="minor"/>
    </font>
    <font>
      <sz val="11"/>
      <color rgb="FFFF0000"/>
      <name val="Arial"/>
      <family val="2"/>
    </font>
    <font>
      <sz val="11"/>
      <color rgb="FF0000FF"/>
      <name val="Arial"/>
      <family val="2"/>
    </font>
    <font>
      <b/>
      <sz val="11"/>
      <color rgb="FF0000F0"/>
      <name val="Arial"/>
      <family val="2"/>
    </font>
    <font>
      <sz val="11"/>
      <color rgb="FF0070C0"/>
      <name val="Arial"/>
      <family val="2"/>
    </font>
    <font>
      <sz val="11"/>
      <name val="Arial"/>
      <family val="2"/>
    </font>
    <font>
      <i/>
      <sz val="11"/>
      <color theme="1"/>
      <name val="Arial"/>
      <family val="2"/>
    </font>
    <font>
      <strike/>
      <sz val="11"/>
      <name val="Arial"/>
      <family val="2"/>
    </font>
    <font>
      <b/>
      <i/>
      <sz val="11"/>
      <name val="Arial"/>
      <family val="2"/>
    </font>
    <font>
      <u/>
      <sz val="11"/>
      <name val="Arial"/>
      <family val="2"/>
    </font>
    <font>
      <b/>
      <u/>
      <sz val="11"/>
      <color rgb="FF0000FF"/>
      <name val="Arial"/>
      <family val="2"/>
    </font>
    <font>
      <b/>
      <sz val="11"/>
      <name val="Arial"/>
      <family val="2"/>
    </font>
    <font>
      <sz val="11"/>
      <color rgb="FF002060"/>
      <name val="Arial"/>
      <family val="2"/>
    </font>
    <font>
      <b/>
      <sz val="11"/>
      <color rgb="FFFF0000"/>
      <name val="Arial"/>
      <family val="2"/>
    </font>
    <font>
      <u/>
      <sz val="11"/>
      <color rgb="FF7030A0"/>
      <name val="Arial"/>
      <family val="2"/>
    </font>
    <font>
      <sz val="11"/>
      <color rgb="FF7030A0"/>
      <name val="Arial"/>
      <family val="2"/>
    </font>
    <font>
      <sz val="11"/>
      <color theme="0" tint="-0.499984740745262"/>
      <name val="Arial"/>
      <family val="2"/>
    </font>
    <font>
      <u/>
      <sz val="11"/>
      <color theme="1"/>
      <name val="Arial"/>
      <family val="2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Arial"/>
      <family val="2"/>
    </font>
    <font>
      <b/>
      <sz val="11"/>
      <name val="Calibri"/>
      <family val="2"/>
      <charset val="163"/>
      <scheme val="minor"/>
    </font>
    <font>
      <sz val="11"/>
      <color rgb="FF0000FF"/>
      <name val="Calibri"/>
      <family val="2"/>
      <charset val="163"/>
      <scheme val="minor"/>
    </font>
    <font>
      <i/>
      <sz val="11"/>
      <color theme="0" tint="-0.499984740745262"/>
      <name val="Calibri"/>
      <family val="2"/>
      <charset val="163"/>
      <scheme val="minor"/>
    </font>
    <font>
      <i/>
      <sz val="11"/>
      <color theme="1"/>
      <name val="Calibri"/>
      <family val="2"/>
      <charset val="163"/>
      <scheme val="minor"/>
    </font>
    <font>
      <b/>
      <sz val="11"/>
      <name val="Arial"/>
      <family val="2"/>
      <charset val="163"/>
    </font>
    <font>
      <b/>
      <sz val="10"/>
      <color theme="1"/>
      <name val="Arial"/>
      <family val="2"/>
      <charset val="163"/>
    </font>
    <font>
      <b/>
      <sz val="10"/>
      <color rgb="FFFF0000"/>
      <name val="Arial"/>
      <family val="2"/>
      <charset val="163"/>
    </font>
    <font>
      <b/>
      <u/>
      <sz val="11"/>
      <color rgb="FFFF0000"/>
      <name val="Calibri"/>
      <family val="2"/>
      <charset val="163"/>
      <scheme val="minor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  <charset val="163"/>
    </font>
    <font>
      <i/>
      <sz val="11"/>
      <color theme="1"/>
      <name val="Arial"/>
      <family val="2"/>
      <charset val="163"/>
    </font>
    <font>
      <sz val="10"/>
      <color rgb="FFFF0000"/>
      <name val="Calibri"/>
      <family val="2"/>
      <scheme val="minor"/>
    </font>
    <font>
      <b/>
      <sz val="11"/>
      <color rgb="FF0000FF"/>
      <name val="Calibri"/>
      <family val="2"/>
      <charset val="163"/>
      <scheme val="minor"/>
    </font>
    <font>
      <sz val="10"/>
      <color theme="1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i/>
      <sz val="10"/>
      <color theme="1"/>
      <name val="Calibri"/>
      <family val="2"/>
      <charset val="163"/>
      <scheme val="minor"/>
    </font>
    <font>
      <i/>
      <sz val="10"/>
      <color theme="0" tint="-0.499984740745262"/>
      <name val="Calibri"/>
      <family val="2"/>
      <charset val="163"/>
      <scheme val="minor"/>
    </font>
    <font>
      <b/>
      <sz val="11"/>
      <color rgb="FFFF0000"/>
      <name val="Arial"/>
      <family val="2"/>
      <charset val="163"/>
    </font>
    <font>
      <sz val="10"/>
      <name val="Arial"/>
      <family val="2"/>
    </font>
    <font>
      <b/>
      <sz val="10"/>
      <name val="Arial"/>
      <family val="2"/>
    </font>
    <font>
      <i/>
      <sz val="11"/>
      <color rgb="FFFF0000"/>
      <name val="Calibri"/>
      <family val="2"/>
      <charset val="163"/>
      <scheme val="minor"/>
    </font>
    <font>
      <u/>
      <sz val="10"/>
      <color theme="1"/>
      <name val="Calibri"/>
      <family val="2"/>
      <scheme val="minor"/>
    </font>
    <font>
      <i/>
      <sz val="10"/>
      <color theme="0" tint="-0.249977111117893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0"/>
      <color rgb="FF0000FF"/>
      <name val="Calibri"/>
      <family val="2"/>
      <charset val="163"/>
      <scheme val="minor"/>
    </font>
    <font>
      <u/>
      <sz val="10"/>
      <color rgb="FF0000FF"/>
      <name val="Calibri"/>
      <family val="2"/>
      <charset val="163"/>
      <scheme val="minor"/>
    </font>
    <font>
      <b/>
      <sz val="10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i/>
      <sz val="10"/>
      <color rgb="FFFF0000"/>
      <name val="Calibri"/>
      <family val="2"/>
      <charset val="163"/>
      <scheme val="minor"/>
    </font>
    <font>
      <i/>
      <sz val="10"/>
      <color theme="0" tint="-0.34998626667073579"/>
      <name val="Calibri"/>
      <family val="2"/>
      <charset val="163"/>
      <scheme val="minor"/>
    </font>
    <font>
      <i/>
      <sz val="10"/>
      <color theme="1"/>
      <name val="Arial"/>
      <family val="2"/>
      <charset val="163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i/>
      <sz val="10"/>
      <color rgb="FFFF0000"/>
      <name val="Calibri"/>
      <family val="2"/>
      <scheme val="minor"/>
    </font>
    <font>
      <i/>
      <sz val="10"/>
      <color theme="0" tint="-0.499984740745262"/>
      <name val="Calibri"/>
      <family val="2"/>
      <scheme val="minor"/>
    </font>
    <font>
      <i/>
      <sz val="10"/>
      <color rgb="FF0000FF"/>
      <name val="Arial"/>
      <family val="2"/>
      <charset val="163"/>
    </font>
    <font>
      <i/>
      <sz val="10"/>
      <color rgb="FF0000FF"/>
      <name val="Calibri"/>
      <family val="2"/>
      <charset val="163"/>
      <scheme val="minor"/>
    </font>
    <font>
      <b/>
      <i/>
      <sz val="10"/>
      <color theme="1"/>
      <name val="Calibri"/>
      <family val="2"/>
      <charset val="163"/>
      <scheme val="minor"/>
    </font>
    <font>
      <i/>
      <sz val="10"/>
      <color rgb="FF00B050"/>
      <name val="Calibri"/>
      <family val="2"/>
      <charset val="163"/>
      <scheme val="minor"/>
    </font>
    <font>
      <b/>
      <sz val="10"/>
      <color rgb="FFFF0000"/>
      <name val="Calibri"/>
      <family val="2"/>
      <charset val="163"/>
      <scheme val="minor"/>
    </font>
    <font>
      <sz val="10"/>
      <color rgb="FFFF0000"/>
      <name val="Calibri"/>
      <family val="2"/>
      <charset val="163"/>
      <scheme val="minor"/>
    </font>
    <font>
      <sz val="11"/>
      <color rgb="FFFF0000"/>
      <name val="Calibri"/>
      <family val="2"/>
      <charset val="163"/>
      <scheme val="minor"/>
    </font>
    <font>
      <b/>
      <sz val="11"/>
      <color rgb="FFFF0000"/>
      <name val="Calibri"/>
      <family val="2"/>
      <charset val="163"/>
      <scheme val="minor"/>
    </font>
    <font>
      <sz val="11"/>
      <name val="Arial"/>
      <family val="2"/>
      <charset val="163"/>
    </font>
    <font>
      <b/>
      <sz val="11"/>
      <color theme="1"/>
      <name val="Calibri"/>
      <family val="2"/>
      <scheme val="minor"/>
    </font>
    <font>
      <b/>
      <i/>
      <sz val="11"/>
      <name val="Calibri"/>
      <family val="2"/>
      <charset val="163"/>
      <scheme val="minor"/>
    </font>
    <font>
      <sz val="10"/>
      <color indexed="8"/>
      <name val="Arial"/>
      <family val="2"/>
      <charset val="163"/>
    </font>
    <font>
      <b/>
      <sz val="11"/>
      <color indexed="8"/>
      <name val="Calibri"/>
      <family val="2"/>
      <charset val="163"/>
    </font>
    <font>
      <b/>
      <sz val="10"/>
      <color theme="1"/>
      <name val="Arial"/>
      <family val="2"/>
    </font>
    <font>
      <sz val="11"/>
      <color indexed="8"/>
      <name val="Calibri"/>
      <family val="2"/>
      <charset val="163"/>
    </font>
    <font>
      <sz val="11"/>
      <color theme="1"/>
      <name val="Calibri"/>
      <family val="2"/>
      <charset val="163"/>
    </font>
    <font>
      <sz val="10"/>
      <color indexed="8"/>
      <name val="Calibri"/>
      <family val="2"/>
      <charset val="163"/>
    </font>
    <font>
      <b/>
      <u/>
      <sz val="10"/>
      <name val="Arial"/>
      <family val="2"/>
    </font>
    <font>
      <b/>
      <sz val="10"/>
      <color rgb="FFC00000"/>
      <name val="Arial"/>
      <family val="2"/>
    </font>
    <font>
      <b/>
      <u/>
      <sz val="10"/>
      <color rgb="FFC00000"/>
      <name val="Arial"/>
      <family val="2"/>
    </font>
    <font>
      <i/>
      <sz val="10"/>
      <color theme="1"/>
      <name val="Arial"/>
      <family val="2"/>
    </font>
    <font>
      <i/>
      <sz val="10"/>
      <color rgb="FF0070C0"/>
      <name val="Arial"/>
      <family val="2"/>
    </font>
    <font>
      <b/>
      <i/>
      <sz val="10"/>
      <color rgb="FF0070C0"/>
      <name val="Arial"/>
      <family val="2"/>
    </font>
    <font>
      <sz val="10"/>
      <color theme="2" tint="-0.499984740745262"/>
      <name val="Arial"/>
      <family val="2"/>
    </font>
    <font>
      <i/>
      <sz val="10"/>
      <color theme="5" tint="-0.499984740745262"/>
      <name val="Arial"/>
      <family val="2"/>
    </font>
    <font>
      <u/>
      <sz val="10"/>
      <name val="Arial"/>
      <family val="2"/>
    </font>
    <font>
      <sz val="10"/>
      <color theme="1"/>
      <name val="Arial"/>
      <family val="2"/>
      <charset val="163"/>
    </font>
    <font>
      <b/>
      <i/>
      <sz val="10"/>
      <name val="Arial"/>
      <family val="2"/>
      <charset val="163"/>
    </font>
    <font>
      <u/>
      <sz val="10"/>
      <name val="Arial"/>
      <family val="2"/>
      <charset val="163"/>
    </font>
    <font>
      <sz val="10"/>
      <color theme="0" tint="-0.499984740745262"/>
      <name val="Arial"/>
      <family val="2"/>
      <charset val="163"/>
    </font>
    <font>
      <sz val="10"/>
      <color theme="0" tint="-0.499984740745262"/>
      <name val="Arial"/>
      <family val="2"/>
    </font>
    <font>
      <sz val="10"/>
      <color rgb="FF002060"/>
      <name val="Arial"/>
      <family val="2"/>
    </font>
    <font>
      <u/>
      <sz val="10"/>
      <color theme="1"/>
      <name val="Arial"/>
      <family val="2"/>
    </font>
    <font>
      <b/>
      <sz val="10"/>
      <color rgb="FFFF0000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b/>
      <i/>
      <sz val="10"/>
      <color rgb="FF002060"/>
      <name val="Arial"/>
      <family val="2"/>
    </font>
    <font>
      <i/>
      <sz val="10"/>
      <color rgb="FF002060"/>
      <name val="Arial"/>
      <family val="2"/>
    </font>
    <font>
      <b/>
      <sz val="11"/>
      <color theme="1"/>
      <name val="Arial"/>
      <family val="2"/>
      <charset val="163"/>
    </font>
    <font>
      <u/>
      <sz val="10"/>
      <color rgb="FFFF0000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2" tint="-0.49998474074526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name val="Arial"/>
      <family val="2"/>
      <charset val="163"/>
    </font>
    <font>
      <i/>
      <sz val="10"/>
      <name val="Arial"/>
      <family val="2"/>
      <charset val="163"/>
    </font>
    <font>
      <i/>
      <sz val="10"/>
      <color theme="0" tint="-0.499984740745262"/>
      <name val="Arial"/>
      <family val="2"/>
      <charset val="163"/>
    </font>
    <font>
      <i/>
      <sz val="10"/>
      <color rgb="FFFF0000"/>
      <name val="Arial"/>
      <family val="2"/>
      <charset val="163"/>
    </font>
    <font>
      <b/>
      <u val="singleAccounting"/>
      <sz val="10"/>
      <name val="Arial"/>
      <family val="2"/>
      <charset val="163"/>
    </font>
    <font>
      <sz val="8"/>
      <color theme="0" tint="-0.249977111117893"/>
      <name val="Arial"/>
      <family val="2"/>
    </font>
    <font>
      <b/>
      <i/>
      <sz val="10"/>
      <name val="Arial"/>
      <family val="2"/>
    </font>
    <font>
      <sz val="10"/>
      <color theme="1" tint="0.499984740745262"/>
      <name val="Arial"/>
      <family val="2"/>
      <charset val="163"/>
    </font>
    <font>
      <sz val="10"/>
      <color theme="0" tint="-0.249977111117893"/>
      <name val="Arial"/>
      <family val="2"/>
      <charset val="163"/>
    </font>
    <font>
      <b/>
      <i/>
      <sz val="11"/>
      <color theme="2" tint="-0.499984740745262"/>
      <name val="Calibri"/>
      <family val="2"/>
      <charset val="163"/>
      <scheme val="minor"/>
    </font>
    <font>
      <sz val="11"/>
      <color theme="1"/>
      <name val="Arial"/>
      <family val="2"/>
      <charset val="163"/>
    </font>
    <font>
      <b/>
      <sz val="10"/>
      <color rgb="FFC00000"/>
      <name val="Arial"/>
      <family val="2"/>
      <charset val="163"/>
    </font>
    <font>
      <strike/>
      <sz val="10"/>
      <color rgb="FFFF0000"/>
      <name val="Arial"/>
      <family val="2"/>
      <charset val="163"/>
    </font>
    <font>
      <sz val="10"/>
      <color rgb="FFC00000"/>
      <name val="Arial"/>
      <family val="2"/>
      <charset val="163"/>
    </font>
    <font>
      <b/>
      <sz val="10"/>
      <color rgb="FF002060"/>
      <name val="Arial"/>
      <family val="2"/>
      <charset val="163"/>
    </font>
    <font>
      <sz val="10"/>
      <color rgb="FF002060"/>
      <name val="Arial"/>
      <family val="2"/>
      <charset val="163"/>
    </font>
    <font>
      <b/>
      <u/>
      <sz val="10"/>
      <color rgb="FFFF0000"/>
      <name val="Arial"/>
      <family val="2"/>
      <charset val="163"/>
    </font>
    <font>
      <u/>
      <sz val="10"/>
      <color rgb="FFFF0000"/>
      <name val="Arial"/>
      <family val="2"/>
      <charset val="163"/>
    </font>
    <font>
      <b/>
      <u/>
      <sz val="10"/>
      <color rgb="FF0000FF"/>
      <name val="Arial"/>
      <family val="2"/>
      <charset val="163"/>
    </font>
    <font>
      <b/>
      <sz val="10"/>
      <color rgb="FFFFFFFF"/>
      <name val="Arial Regular"/>
    </font>
    <font>
      <sz val="10"/>
      <color rgb="FF000000"/>
      <name val="Arial Regular"/>
    </font>
    <font>
      <sz val="10"/>
      <name val="Calibri"/>
      <family val="2"/>
      <charset val="163"/>
      <scheme val="minor"/>
    </font>
    <font>
      <sz val="14"/>
      <color rgb="FFBD2027"/>
      <name val="Arial Regular"/>
    </font>
    <font>
      <i/>
      <sz val="10"/>
      <color rgb="FFC00000"/>
      <name val="Calibri"/>
      <family val="2"/>
      <charset val="163"/>
      <scheme val="minor"/>
    </font>
    <font>
      <b/>
      <sz val="16"/>
      <color theme="1"/>
      <name val="Calibri"/>
      <family val="2"/>
      <charset val="163"/>
      <scheme val="minor"/>
    </font>
    <font>
      <b/>
      <u/>
      <sz val="11"/>
      <name val="Calibri"/>
      <family val="2"/>
      <charset val="163"/>
      <scheme val="minor"/>
    </font>
    <font>
      <i/>
      <sz val="11"/>
      <color theme="0" tint="-0.249977111117893"/>
      <name val="Calibri"/>
      <family val="2"/>
      <charset val="163"/>
      <scheme val="minor"/>
    </font>
    <font>
      <i/>
      <sz val="11"/>
      <color theme="0" tint="-0.34998626667073579"/>
      <name val="Calibri"/>
      <family val="2"/>
      <charset val="163"/>
      <scheme val="minor"/>
    </font>
    <font>
      <i/>
      <sz val="10"/>
      <name val="Calibri"/>
      <family val="2"/>
      <scheme val="minor"/>
    </font>
    <font>
      <u/>
      <sz val="11"/>
      <name val="Calibri"/>
      <family val="2"/>
      <charset val="163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0"/>
      <name val="Calibri"/>
      <family val="2"/>
      <charset val="163"/>
      <scheme val="minor"/>
    </font>
    <font>
      <i/>
      <sz val="11"/>
      <name val="Calibri"/>
      <family val="2"/>
      <scheme val="minor"/>
    </font>
    <font>
      <b/>
      <u/>
      <sz val="10"/>
      <color rgb="FF0000FF"/>
      <name val="Calibri"/>
      <family val="2"/>
      <scheme val="minor"/>
    </font>
    <font>
      <sz val="11"/>
      <color rgb="FF000000"/>
      <name val="Arial"/>
      <family val="2"/>
      <charset val="163"/>
    </font>
  </fonts>
  <fills count="2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BD2027"/>
        <bgColor indexed="64"/>
      </patternFill>
    </fill>
    <fill>
      <patternFill patternType="solid">
        <fgColor rgb="FFE8CCCD"/>
        <bgColor indexed="64"/>
      </patternFill>
    </fill>
    <fill>
      <patternFill patternType="solid">
        <fgColor rgb="FFF4E7E8"/>
        <bgColor indexed="64"/>
      </patternFill>
    </fill>
    <fill>
      <patternFill patternType="solid">
        <fgColor rgb="FFFFFF9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18" fillId="0" borderId="0"/>
    <xf numFmtId="9" fontId="6" fillId="0" borderId="0" applyFont="0" applyFill="0" applyBorder="0" applyAlignment="0" applyProtection="0"/>
    <xf numFmtId="0" fontId="1" fillId="0" borderId="0"/>
  </cellStyleXfs>
  <cellXfs count="1685">
    <xf numFmtId="0" fontId="0" fillId="0" borderId="0" xfId="0"/>
    <xf numFmtId="0" fontId="3" fillId="0" borderId="0" xfId="0" applyFont="1"/>
    <xf numFmtId="0" fontId="0" fillId="0" borderId="0" xfId="0" applyFill="1"/>
    <xf numFmtId="0" fontId="4" fillId="0" borderId="0" xfId="0" applyFont="1" applyBorder="1" applyProtection="1"/>
    <xf numFmtId="0" fontId="6" fillId="0" borderId="0" xfId="0" applyFont="1" applyBorder="1" applyProtection="1"/>
    <xf numFmtId="0" fontId="6" fillId="0" borderId="7" xfId="0" applyFont="1" applyBorder="1" applyProtection="1"/>
    <xf numFmtId="0" fontId="6" fillId="0" borderId="0" xfId="0" quotePrefix="1" applyFont="1" applyBorder="1" applyProtection="1"/>
    <xf numFmtId="0" fontId="14" fillId="0" borderId="0" xfId="0" applyFont="1"/>
    <xf numFmtId="0" fontId="0" fillId="0" borderId="0" xfId="0" applyAlignment="1">
      <alignment horizontal="center"/>
    </xf>
    <xf numFmtId="0" fontId="0" fillId="0" borderId="10" xfId="0" applyBorder="1"/>
    <xf numFmtId="0" fontId="6" fillId="0" borderId="0" xfId="0" applyFont="1" applyBorder="1" applyAlignment="1" applyProtection="1">
      <alignment horizontal="left" indent="3"/>
    </xf>
    <xf numFmtId="0" fontId="10" fillId="0" borderId="0" xfId="3" applyFont="1" applyBorder="1" applyAlignment="1">
      <alignment horizontal="left" indent="3"/>
    </xf>
    <xf numFmtId="0" fontId="0" fillId="0" borderId="0" xfId="0" applyBorder="1"/>
    <xf numFmtId="0" fontId="16" fillId="0" borderId="12" xfId="3" applyNumberFormat="1" applyFont="1" applyFill="1" applyBorder="1" applyAlignment="1">
      <alignment horizontal="center" vertical="top" wrapText="1"/>
    </xf>
    <xf numFmtId="0" fontId="16" fillId="0" borderId="13" xfId="3" applyNumberFormat="1" applyFont="1" applyFill="1" applyBorder="1" applyAlignment="1">
      <alignment horizontal="center" vertical="top" wrapText="1"/>
    </xf>
    <xf numFmtId="0" fontId="16" fillId="0" borderId="14" xfId="3" applyNumberFormat="1" applyFont="1" applyFill="1" applyBorder="1" applyAlignment="1">
      <alignment horizontal="center" vertical="top" wrapText="1"/>
    </xf>
    <xf numFmtId="0" fontId="16" fillId="0" borderId="15" xfId="3" applyFont="1" applyBorder="1" applyAlignment="1">
      <alignment horizontal="center" vertical="top" wrapText="1"/>
    </xf>
    <xf numFmtId="0" fontId="8" fillId="0" borderId="15" xfId="3" applyFont="1" applyBorder="1" applyAlignment="1">
      <alignment horizontal="center" vertical="top" wrapText="1"/>
    </xf>
    <xf numFmtId="9" fontId="16" fillId="0" borderId="16" xfId="3" applyNumberFormat="1" applyFont="1" applyBorder="1" applyAlignment="1">
      <alignment horizontal="center" vertical="top" wrapText="1"/>
    </xf>
    <xf numFmtId="0" fontId="16" fillId="0" borderId="16" xfId="3" applyFont="1" applyBorder="1" applyAlignment="1">
      <alignment horizontal="center" vertical="top" wrapText="1"/>
    </xf>
    <xf numFmtId="0" fontId="8" fillId="0" borderId="16" xfId="3" applyFont="1" applyBorder="1" applyAlignment="1">
      <alignment horizontal="center" vertical="top" wrapText="1"/>
    </xf>
    <xf numFmtId="0" fontId="8" fillId="3" borderId="16" xfId="3" applyFont="1" applyFill="1" applyBorder="1" applyAlignment="1">
      <alignment horizontal="center" vertical="top" wrapText="1"/>
    </xf>
    <xf numFmtId="0" fontId="16" fillId="0" borderId="17" xfId="3" applyFont="1" applyBorder="1" applyAlignment="1">
      <alignment horizontal="center" vertical="top" wrapText="1"/>
    </xf>
    <xf numFmtId="0" fontId="8" fillId="3" borderId="17" xfId="3" applyFont="1" applyFill="1" applyBorder="1" applyAlignment="1">
      <alignment horizontal="center" vertical="top" wrapText="1"/>
    </xf>
    <xf numFmtId="9" fontId="16" fillId="0" borderId="17" xfId="3" applyNumberFormat="1" applyFont="1" applyBorder="1" applyAlignment="1">
      <alignment horizontal="center" vertical="top" wrapText="1"/>
    </xf>
    <xf numFmtId="0" fontId="17" fillId="0" borderId="18" xfId="3" applyFont="1" applyBorder="1" applyAlignment="1">
      <alignment horizontal="center" vertical="top" wrapText="1"/>
    </xf>
    <xf numFmtId="9" fontId="16" fillId="0" borderId="19" xfId="3" applyNumberFormat="1" applyFont="1" applyBorder="1" applyAlignment="1">
      <alignment horizontal="center" vertical="top" wrapText="1"/>
    </xf>
    <xf numFmtId="166" fontId="15" fillId="0" borderId="15" xfId="3" applyNumberFormat="1" applyFont="1" applyBorder="1" applyAlignment="1">
      <alignment horizontal="center" vertical="top" wrapText="1"/>
    </xf>
    <xf numFmtId="166" fontId="15" fillId="0" borderId="16" xfId="3" applyNumberFormat="1" applyFont="1" applyBorder="1" applyAlignment="1">
      <alignment horizontal="center" vertical="top" wrapText="1"/>
    </xf>
    <xf numFmtId="0" fontId="8" fillId="0" borderId="17" xfId="3" applyFont="1" applyBorder="1" applyAlignment="1">
      <alignment horizontal="center" vertical="top" wrapText="1"/>
    </xf>
    <xf numFmtId="166" fontId="15" fillId="0" borderId="17" xfId="3" applyNumberFormat="1" applyFont="1" applyBorder="1" applyAlignment="1">
      <alignment horizontal="center" vertical="top" wrapText="1"/>
    </xf>
    <xf numFmtId="0" fontId="2" fillId="0" borderId="0" xfId="0" applyFont="1"/>
    <xf numFmtId="0" fontId="2" fillId="0" borderId="0" xfId="0" applyFont="1" applyFill="1"/>
    <xf numFmtId="0" fontId="20" fillId="0" borderId="0" xfId="0" applyFont="1"/>
    <xf numFmtId="0" fontId="21" fillId="6" borderId="0" xfId="0" applyFont="1" applyFill="1" applyAlignment="1">
      <alignment vertical="center"/>
    </xf>
    <xf numFmtId="0" fontId="22" fillId="6" borderId="0" xfId="0" applyFont="1" applyFill="1" applyAlignment="1">
      <alignment vertical="center"/>
    </xf>
    <xf numFmtId="0" fontId="13" fillId="7" borderId="0" xfId="0" applyFont="1" applyFill="1"/>
    <xf numFmtId="0" fontId="0" fillId="7" borderId="0" xfId="0" applyFill="1"/>
    <xf numFmtId="0" fontId="3" fillId="7" borderId="0" xfId="0" applyFont="1" applyFill="1"/>
    <xf numFmtId="0" fontId="14" fillId="7" borderId="0" xfId="0" applyFont="1" applyFill="1"/>
    <xf numFmtId="0" fontId="21" fillId="8" borderId="0" xfId="0" applyFont="1" applyFill="1" applyAlignment="1">
      <alignment vertical="center"/>
    </xf>
    <xf numFmtId="0" fontId="22" fillId="8" borderId="0" xfId="0" applyFont="1" applyFill="1" applyAlignment="1">
      <alignment vertical="center"/>
    </xf>
    <xf numFmtId="0" fontId="0" fillId="9" borderId="0" xfId="0" applyFill="1"/>
    <xf numFmtId="0" fontId="6" fillId="9" borderId="0" xfId="0" applyFont="1" applyFill="1" applyBorder="1" applyProtection="1"/>
    <xf numFmtId="0" fontId="23" fillId="2" borderId="0" xfId="0" applyFont="1" applyFill="1"/>
    <xf numFmtId="0" fontId="24" fillId="2" borderId="0" xfId="0" applyFont="1" applyFill="1"/>
    <xf numFmtId="0" fontId="25" fillId="2" borderId="0" xfId="0" applyFont="1" applyFill="1"/>
    <xf numFmtId="0" fontId="26" fillId="2" borderId="0" xfId="0" applyFont="1" applyFill="1"/>
    <xf numFmtId="0" fontId="27" fillId="10" borderId="0" xfId="0" applyFont="1" applyFill="1" applyAlignment="1">
      <alignment vertical="center"/>
    </xf>
    <xf numFmtId="0" fontId="28" fillId="10" borderId="0" xfId="0" applyFont="1" applyFill="1" applyAlignment="1">
      <alignment vertical="center"/>
    </xf>
    <xf numFmtId="0" fontId="29" fillId="10" borderId="0" xfId="0" applyFont="1" applyFill="1" applyAlignment="1">
      <alignment vertical="center"/>
    </xf>
    <xf numFmtId="0" fontId="5" fillId="9" borderId="0" xfId="0" applyFont="1" applyFill="1" applyBorder="1" applyProtection="1"/>
    <xf numFmtId="0" fontId="4" fillId="9" borderId="0" xfId="0" applyFont="1" applyFill="1" applyBorder="1" applyProtection="1"/>
    <xf numFmtId="0" fontId="7" fillId="9" borderId="0" xfId="0" applyFont="1" applyFill="1" applyBorder="1" applyProtection="1"/>
    <xf numFmtId="0" fontId="6" fillId="0" borderId="12" xfId="0" applyFont="1" applyBorder="1" applyAlignment="1" applyProtection="1">
      <alignment horizontal="center"/>
    </xf>
    <xf numFmtId="0" fontId="6" fillId="0" borderId="14" xfId="0" applyFont="1" applyBorder="1" applyAlignment="1" applyProtection="1">
      <alignment horizontal="center"/>
    </xf>
    <xf numFmtId="0" fontId="11" fillId="0" borderId="0" xfId="0" applyFont="1" applyBorder="1" applyProtection="1"/>
    <xf numFmtId="0" fontId="0" fillId="0" borderId="0" xfId="0" applyAlignment="1">
      <alignment horizontal="left" indent="3"/>
    </xf>
    <xf numFmtId="0" fontId="6" fillId="0" borderId="7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6" fillId="0" borderId="0" xfId="0" applyFont="1" applyBorder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6" fillId="0" borderId="7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 vertical="center"/>
    </xf>
    <xf numFmtId="0" fontId="24" fillId="0" borderId="1" xfId="0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4" fillId="0" borderId="0" xfId="0" applyFont="1"/>
    <xf numFmtId="0" fontId="24" fillId="0" borderId="0" xfId="0" applyFont="1" applyAlignment="1">
      <alignment horizontal="center"/>
    </xf>
    <xf numFmtId="0" fontId="31" fillId="0" borderId="0" xfId="0" applyFont="1"/>
    <xf numFmtId="0" fontId="24" fillId="0" borderId="8" xfId="0" applyFont="1" applyBorder="1" applyAlignment="1">
      <alignment horizontal="center"/>
    </xf>
    <xf numFmtId="0" fontId="24" fillId="0" borderId="8" xfId="0" applyFont="1" applyBorder="1" applyAlignment="1">
      <alignment horizontal="right"/>
    </xf>
    <xf numFmtId="0" fontId="6" fillId="0" borderId="8" xfId="0" applyFont="1" applyBorder="1" applyAlignment="1" applyProtection="1">
      <alignment horizontal="right"/>
    </xf>
    <xf numFmtId="0" fontId="6" fillId="0" borderId="9" xfId="0" applyFont="1" applyBorder="1" applyAlignment="1" applyProtection="1">
      <alignment horizontal="right"/>
    </xf>
    <xf numFmtId="0" fontId="24" fillId="0" borderId="0" xfId="0" applyFont="1" applyAlignment="1">
      <alignment horizontal="right"/>
    </xf>
    <xf numFmtId="0" fontId="24" fillId="0" borderId="6" xfId="0" applyFont="1" applyBorder="1" applyAlignment="1">
      <alignment horizontal="right"/>
    </xf>
    <xf numFmtId="0" fontId="6" fillId="0" borderId="0" xfId="0" applyFont="1" applyBorder="1" applyAlignment="1" applyProtection="1">
      <alignment horizontal="right"/>
    </xf>
    <xf numFmtId="0" fontId="24" fillId="0" borderId="9" xfId="0" applyFont="1" applyBorder="1" applyAlignment="1">
      <alignment horizontal="right"/>
    </xf>
    <xf numFmtId="0" fontId="24" fillId="0" borderId="9" xfId="0" applyFont="1" applyBorder="1" applyAlignment="1">
      <alignment horizontal="center"/>
    </xf>
    <xf numFmtId="0" fontId="24" fillId="0" borderId="6" xfId="0" applyFont="1" applyBorder="1" applyAlignment="1">
      <alignment horizontal="center"/>
    </xf>
    <xf numFmtId="0" fontId="31" fillId="0" borderId="0" xfId="0" applyFont="1" applyAlignment="1">
      <alignment horizontal="right"/>
    </xf>
    <xf numFmtId="0" fontId="24" fillId="0" borderId="0" xfId="0" applyFont="1" applyBorder="1" applyAlignment="1">
      <alignment horizontal="right"/>
    </xf>
    <xf numFmtId="0" fontId="6" fillId="0" borderId="8" xfId="0" applyFont="1" applyFill="1" applyBorder="1" applyAlignment="1" applyProtection="1">
      <alignment horizontal="right"/>
    </xf>
    <xf numFmtId="0" fontId="5" fillId="0" borderId="0" xfId="0" applyFont="1" applyFill="1" applyBorder="1" applyProtection="1"/>
    <xf numFmtId="0" fontId="6" fillId="0" borderId="0" xfId="0" applyFont="1" applyFill="1" applyBorder="1" applyProtection="1"/>
    <xf numFmtId="0" fontId="4" fillId="0" borderId="0" xfId="0" applyFont="1" applyFill="1" applyBorder="1" applyProtection="1"/>
    <xf numFmtId="0" fontId="32" fillId="0" borderId="0" xfId="0" applyFont="1" applyFill="1" applyBorder="1" applyProtection="1"/>
    <xf numFmtId="9" fontId="12" fillId="0" borderId="6" xfId="0" applyNumberFormat="1" applyFont="1" applyBorder="1" applyAlignment="1" applyProtection="1">
      <alignment horizontal="center" vertical="center"/>
    </xf>
    <xf numFmtId="0" fontId="24" fillId="0" borderId="7" xfId="0" applyFont="1" applyBorder="1" applyAlignment="1">
      <alignment horizontal="center" vertical="center"/>
    </xf>
    <xf numFmtId="9" fontId="30" fillId="0" borderId="9" xfId="0" applyNumberFormat="1" applyFont="1" applyBorder="1" applyAlignment="1">
      <alignment horizontal="center" vertical="center"/>
    </xf>
    <xf numFmtId="9" fontId="18" fillId="0" borderId="6" xfId="0" applyNumberFormat="1" applyFont="1" applyBorder="1" applyAlignment="1" applyProtection="1">
      <alignment horizontal="center"/>
    </xf>
    <xf numFmtId="9" fontId="18" fillId="0" borderId="9" xfId="0" applyNumberFormat="1" applyFont="1" applyBorder="1" applyAlignment="1" applyProtection="1">
      <alignment horizontal="center"/>
    </xf>
    <xf numFmtId="0" fontId="24" fillId="0" borderId="21" xfId="0" applyFont="1" applyBorder="1"/>
    <xf numFmtId="0" fontId="33" fillId="0" borderId="0" xfId="0" applyFont="1"/>
    <xf numFmtId="0" fontId="24" fillId="0" borderId="21" xfId="0" applyFont="1" applyBorder="1" applyAlignment="1">
      <alignment horizontal="center"/>
    </xf>
    <xf numFmtId="9" fontId="24" fillId="0" borderId="21" xfId="0" applyNumberFormat="1" applyFont="1" applyBorder="1" applyAlignment="1">
      <alignment horizontal="center"/>
    </xf>
    <xf numFmtId="9" fontId="24" fillId="0" borderId="0" xfId="0" applyNumberFormat="1" applyFont="1"/>
    <xf numFmtId="9" fontId="18" fillId="0" borderId="0" xfId="0" applyNumberFormat="1" applyFont="1" applyBorder="1" applyAlignment="1" applyProtection="1">
      <alignment horizontal="center"/>
    </xf>
    <xf numFmtId="0" fontId="24" fillId="0" borderId="18" xfId="0" applyFont="1" applyBorder="1" applyAlignment="1">
      <alignment horizontal="center"/>
    </xf>
    <xf numFmtId="0" fontId="24" fillId="0" borderId="19" xfId="0" applyFont="1" applyBorder="1" applyAlignment="1">
      <alignment horizontal="center"/>
    </xf>
    <xf numFmtId="0" fontId="34" fillId="0" borderId="0" xfId="0" applyFont="1"/>
    <xf numFmtId="9" fontId="24" fillId="0" borderId="0" xfId="0" applyNumberFormat="1" applyFont="1" applyAlignment="1">
      <alignment horizontal="center"/>
    </xf>
    <xf numFmtId="0" fontId="24" fillId="0" borderId="0" xfId="0" applyFont="1" applyAlignment="1">
      <alignment horizontal="center" wrapText="1"/>
    </xf>
    <xf numFmtId="0" fontId="24" fillId="11" borderId="12" xfId="0" applyFont="1" applyFill="1" applyBorder="1" applyAlignment="1">
      <alignment horizontal="left"/>
    </xf>
    <xf numFmtId="9" fontId="24" fillId="11" borderId="13" xfId="0" applyNumberFormat="1" applyFont="1" applyFill="1" applyBorder="1" applyAlignment="1">
      <alignment horizontal="center"/>
    </xf>
    <xf numFmtId="0" fontId="24" fillId="11" borderId="13" xfId="0" applyFont="1" applyFill="1" applyBorder="1"/>
    <xf numFmtId="0" fontId="33" fillId="11" borderId="14" xfId="0" applyFont="1" applyFill="1" applyBorder="1" applyAlignment="1">
      <alignment horizontal="right"/>
    </xf>
    <xf numFmtId="0" fontId="24" fillId="0" borderId="7" xfId="0" applyFont="1" applyBorder="1"/>
    <xf numFmtId="0" fontId="33" fillId="0" borderId="9" xfId="0" applyFont="1" applyBorder="1"/>
    <xf numFmtId="0" fontId="33" fillId="0" borderId="14" xfId="0" applyFont="1" applyBorder="1" applyAlignment="1">
      <alignment horizontal="center"/>
    </xf>
    <xf numFmtId="0" fontId="33" fillId="0" borderId="7" xfId="0" applyFont="1" applyBorder="1"/>
    <xf numFmtId="0" fontId="33" fillId="0" borderId="8" xfId="0" applyFont="1" applyBorder="1" applyAlignment="1">
      <alignment horizontal="center"/>
    </xf>
    <xf numFmtId="0" fontId="34" fillId="0" borderId="0" xfId="0" applyFont="1" applyAlignment="1">
      <alignment horizontal="left"/>
    </xf>
    <xf numFmtId="0" fontId="33" fillId="0" borderId="12" xfId="0" applyFont="1" applyBorder="1"/>
    <xf numFmtId="0" fontId="33" fillId="0" borderId="13" xfId="0" applyFont="1" applyBorder="1"/>
    <xf numFmtId="0" fontId="24" fillId="0" borderId="3" xfId="0" applyFont="1" applyBorder="1"/>
    <xf numFmtId="0" fontId="24" fillId="0" borderId="4" xfId="0" applyFont="1" applyBorder="1"/>
    <xf numFmtId="0" fontId="24" fillId="0" borderId="8" xfId="0" applyFont="1" applyBorder="1"/>
    <xf numFmtId="0" fontId="33" fillId="0" borderId="21" xfId="0" applyFont="1" applyBorder="1" applyAlignment="1">
      <alignment horizontal="center"/>
    </xf>
    <xf numFmtId="0" fontId="24" fillId="0" borderId="0" xfId="0" applyFont="1" applyAlignment="1">
      <alignment vertical="center"/>
    </xf>
    <xf numFmtId="0" fontId="24" fillId="0" borderId="12" xfId="0" applyFont="1" applyBorder="1" applyAlignment="1">
      <alignment horizontal="left" vertical="center" wrapText="1"/>
    </xf>
    <xf numFmtId="170" fontId="24" fillId="0" borderId="13" xfId="1" applyNumberFormat="1" applyFont="1" applyBorder="1" applyAlignment="1">
      <alignment horizontal="center" vertical="center"/>
    </xf>
    <xf numFmtId="0" fontId="33" fillId="0" borderId="14" xfId="0" applyFont="1" applyBorder="1" applyAlignment="1">
      <alignment horizontal="center" vertical="center"/>
    </xf>
    <xf numFmtId="0" fontId="24" fillId="0" borderId="12" xfId="0" applyFont="1" applyBorder="1" applyAlignment="1">
      <alignment vertical="center"/>
    </xf>
    <xf numFmtId="0" fontId="24" fillId="0" borderId="13" xfId="0" applyFont="1" applyBorder="1" applyAlignment="1">
      <alignment horizontal="center" vertical="center"/>
    </xf>
    <xf numFmtId="0" fontId="33" fillId="0" borderId="14" xfId="0" applyFont="1" applyBorder="1" applyAlignment="1">
      <alignment vertical="center"/>
    </xf>
    <xf numFmtId="0" fontId="24" fillId="0" borderId="21" xfId="0" applyFont="1" applyBorder="1" applyAlignment="1">
      <alignment horizontal="center" vertical="center" wrapText="1"/>
    </xf>
    <xf numFmtId="3" fontId="24" fillId="0" borderId="21" xfId="0" applyNumberFormat="1" applyFont="1" applyBorder="1" applyAlignment="1">
      <alignment horizontal="center"/>
    </xf>
    <xf numFmtId="0" fontId="33" fillId="0" borderId="21" xfId="0" applyFont="1" applyBorder="1" applyAlignment="1">
      <alignment vertical="center"/>
    </xf>
    <xf numFmtId="0" fontId="33" fillId="0" borderId="21" xfId="0" applyFont="1" applyBorder="1" applyAlignment="1">
      <alignment horizontal="center" vertical="center" wrapText="1"/>
    </xf>
    <xf numFmtId="0" fontId="24" fillId="0" borderId="0" xfId="0" quotePrefix="1" applyFont="1"/>
    <xf numFmtId="9" fontId="24" fillId="0" borderId="0" xfId="2" applyFont="1"/>
    <xf numFmtId="0" fontId="24" fillId="0" borderId="0" xfId="0" applyFont="1" applyFill="1"/>
    <xf numFmtId="0" fontId="24" fillId="11" borderId="21" xfId="0" applyFont="1" applyFill="1" applyBorder="1" applyAlignment="1">
      <alignment vertical="center"/>
    </xf>
    <xf numFmtId="0" fontId="24" fillId="11" borderId="21" xfId="0" applyFont="1" applyFill="1" applyBorder="1" applyAlignment="1">
      <alignment horizontal="center" vertical="center" wrapText="1"/>
    </xf>
    <xf numFmtId="9" fontId="35" fillId="0" borderId="22" xfId="0" applyNumberFormat="1" applyFont="1" applyBorder="1" applyAlignment="1">
      <alignment horizontal="center"/>
    </xf>
    <xf numFmtId="9" fontId="35" fillId="0" borderId="19" xfId="0" applyNumberFormat="1" applyFont="1" applyBorder="1" applyAlignment="1">
      <alignment horizontal="center"/>
    </xf>
    <xf numFmtId="0" fontId="36" fillId="0" borderId="0" xfId="0" applyFont="1"/>
    <xf numFmtId="0" fontId="37" fillId="0" borderId="0" xfId="0" applyFont="1" applyAlignment="1">
      <alignment horizontal="right"/>
    </xf>
    <xf numFmtId="0" fontId="38" fillId="0" borderId="0" xfId="0" applyFont="1"/>
    <xf numFmtId="0" fontId="42" fillId="0" borderId="0" xfId="0" applyFont="1"/>
    <xf numFmtId="0" fontId="0" fillId="0" borderId="0" xfId="0" applyFont="1"/>
    <xf numFmtId="0" fontId="0" fillId="0" borderId="2" xfId="0" applyFont="1" applyBorder="1"/>
    <xf numFmtId="0" fontId="0" fillId="0" borderId="0" xfId="0" applyFont="1" applyBorder="1"/>
    <xf numFmtId="0" fontId="43" fillId="10" borderId="0" xfId="0" applyFont="1" applyFill="1" applyAlignment="1">
      <alignment vertical="center"/>
    </xf>
    <xf numFmtId="0" fontId="44" fillId="10" borderId="0" xfId="0" applyFont="1" applyFill="1" applyAlignment="1">
      <alignment vertical="center"/>
    </xf>
    <xf numFmtId="0" fontId="44" fillId="10" borderId="2" xfId="0" applyFont="1" applyFill="1" applyBorder="1" applyAlignment="1">
      <alignment vertical="center"/>
    </xf>
    <xf numFmtId="0" fontId="43" fillId="10" borderId="0" xfId="0" applyFont="1" applyFill="1" applyBorder="1" applyAlignment="1">
      <alignment vertical="center"/>
    </xf>
    <xf numFmtId="0" fontId="43" fillId="6" borderId="0" xfId="0" applyFont="1" applyFill="1" applyAlignment="1">
      <alignment vertical="center"/>
    </xf>
    <xf numFmtId="0" fontId="40" fillId="6" borderId="0" xfId="0" applyFont="1" applyFill="1" applyAlignment="1">
      <alignment vertical="center"/>
    </xf>
    <xf numFmtId="0" fontId="40" fillId="6" borderId="2" xfId="0" applyFont="1" applyFill="1" applyBorder="1" applyAlignment="1">
      <alignment vertical="center"/>
    </xf>
    <xf numFmtId="0" fontId="43" fillId="6" borderId="0" xfId="0" applyFont="1" applyFill="1" applyBorder="1" applyAlignment="1">
      <alignment vertical="center"/>
    </xf>
    <xf numFmtId="0" fontId="45" fillId="6" borderId="0" xfId="0" applyFont="1" applyFill="1" applyBorder="1" applyAlignment="1" applyProtection="1">
      <alignment vertical="center"/>
    </xf>
    <xf numFmtId="0" fontId="45" fillId="6" borderId="0" xfId="0" applyFont="1" applyFill="1" applyBorder="1" applyAlignment="1" applyProtection="1">
      <alignment horizontal="left" vertical="center" readingOrder="1"/>
    </xf>
    <xf numFmtId="0" fontId="46" fillId="0" borderId="0" xfId="0" applyFont="1"/>
    <xf numFmtId="0" fontId="47" fillId="7" borderId="0" xfId="0" applyFont="1" applyFill="1"/>
    <xf numFmtId="0" fontId="0" fillId="7" borderId="0" xfId="0" applyFont="1" applyFill="1"/>
    <xf numFmtId="0" fontId="0" fillId="0" borderId="2" xfId="0" applyFont="1" applyFill="1" applyBorder="1"/>
    <xf numFmtId="0" fontId="46" fillId="7" borderId="0" xfId="0" applyFont="1" applyFill="1"/>
    <xf numFmtId="0" fontId="2" fillId="0" borderId="0" xfId="0" applyFont="1" applyBorder="1" applyProtection="1"/>
    <xf numFmtId="0" fontId="2" fillId="0" borderId="0" xfId="0" applyFont="1" applyProtection="1"/>
    <xf numFmtId="0" fontId="48" fillId="0" borderId="0" xfId="0" applyFont="1" applyBorder="1" applyProtection="1"/>
    <xf numFmtId="0" fontId="2" fillId="0" borderId="0" xfId="0" applyFont="1" applyBorder="1" applyAlignment="1" applyProtection="1">
      <alignment horizontal="left" indent="3"/>
    </xf>
    <xf numFmtId="0" fontId="2" fillId="0" borderId="0" xfId="0" quotePrefix="1" applyFont="1" applyBorder="1" applyProtection="1"/>
    <xf numFmtId="0" fontId="49" fillId="0" borderId="0" xfId="3" applyFont="1" applyBorder="1" applyAlignment="1">
      <alignment horizontal="left" indent="3"/>
    </xf>
    <xf numFmtId="0" fontId="2" fillId="0" borderId="3" xfId="0" applyFont="1" applyBorder="1" applyAlignment="1" applyProtection="1">
      <alignment horizontal="center"/>
    </xf>
    <xf numFmtId="0" fontId="2" fillId="0" borderId="5" xfId="0" applyFont="1" applyBorder="1" applyAlignment="1" applyProtection="1">
      <alignment horizontal="center"/>
    </xf>
    <xf numFmtId="0" fontId="2" fillId="0" borderId="7" xfId="0" applyFont="1" applyBorder="1" applyProtection="1"/>
    <xf numFmtId="0" fontId="2" fillId="0" borderId="9" xfId="0" applyFont="1" applyBorder="1" applyAlignment="1" applyProtection="1">
      <alignment horizontal="center" wrapText="1"/>
    </xf>
    <xf numFmtId="0" fontId="2" fillId="0" borderId="9" xfId="0" applyFont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/>
    </xf>
    <xf numFmtId="9" fontId="49" fillId="0" borderId="6" xfId="0" applyNumberFormat="1" applyFont="1" applyBorder="1" applyAlignment="1" applyProtection="1">
      <alignment horizontal="center"/>
    </xf>
    <xf numFmtId="9" fontId="49" fillId="0" borderId="22" xfId="2" applyFont="1" applyBorder="1" applyAlignment="1" applyProtection="1">
      <alignment horizontal="center"/>
    </xf>
    <xf numFmtId="0" fontId="0" fillId="0" borderId="1" xfId="0" applyFont="1" applyBorder="1" applyAlignment="1">
      <alignment horizontal="center"/>
    </xf>
    <xf numFmtId="9" fontId="50" fillId="0" borderId="22" xfId="2" applyFont="1" applyBorder="1" applyAlignment="1">
      <alignment horizontal="center"/>
    </xf>
    <xf numFmtId="0" fontId="2" fillId="0" borderId="7" xfId="0" applyFont="1" applyBorder="1" applyAlignment="1" applyProtection="1">
      <alignment horizontal="center"/>
    </xf>
    <xf numFmtId="9" fontId="49" fillId="0" borderId="9" xfId="0" applyNumberFormat="1" applyFont="1" applyBorder="1" applyAlignment="1" applyProtection="1">
      <alignment horizontal="center"/>
    </xf>
    <xf numFmtId="9" fontId="49" fillId="0" borderId="19" xfId="2" applyFont="1" applyBorder="1" applyAlignment="1" applyProtection="1">
      <alignment horizontal="center"/>
    </xf>
    <xf numFmtId="0" fontId="51" fillId="0" borderId="0" xfId="0" applyFont="1" applyBorder="1" applyProtection="1"/>
    <xf numFmtId="0" fontId="52" fillId="0" borderId="0" xfId="0" quotePrefix="1" applyFont="1" applyBorder="1" applyProtection="1"/>
    <xf numFmtId="0" fontId="52" fillId="0" borderId="0" xfId="0" applyFont="1" applyBorder="1" applyProtection="1"/>
    <xf numFmtId="0" fontId="2" fillId="0" borderId="12" xfId="0" applyFont="1" applyBorder="1" applyAlignment="1" applyProtection="1">
      <alignment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9" fontId="49" fillId="0" borderId="6" xfId="0" applyNumberFormat="1" applyFont="1" applyBorder="1" applyAlignment="1" applyProtection="1">
      <alignment horizontal="center" vertical="center"/>
    </xf>
    <xf numFmtId="0" fontId="0" fillId="0" borderId="7" xfId="0" applyFont="1" applyBorder="1" applyAlignment="1">
      <alignment horizontal="center" vertical="center"/>
    </xf>
    <xf numFmtId="9" fontId="50" fillId="0" borderId="9" xfId="0" applyNumberFormat="1" applyFont="1" applyBorder="1" applyAlignment="1">
      <alignment horizontal="center" vertical="center"/>
    </xf>
    <xf numFmtId="0" fontId="0" fillId="0" borderId="21" xfId="0" applyFont="1" applyFill="1" applyBorder="1" applyAlignment="1">
      <alignment vertical="center"/>
    </xf>
    <xf numFmtId="0" fontId="0" fillId="0" borderId="21" xfId="0" applyFont="1" applyFill="1" applyBorder="1" applyAlignment="1">
      <alignment horizontal="center" vertical="center" wrapText="1"/>
    </xf>
    <xf numFmtId="0" fontId="0" fillId="0" borderId="22" xfId="0" applyFont="1" applyBorder="1"/>
    <xf numFmtId="0" fontId="0" fillId="0" borderId="22" xfId="0" applyFont="1" applyBorder="1" applyAlignment="1">
      <alignment horizontal="center"/>
    </xf>
    <xf numFmtId="0" fontId="0" fillId="0" borderId="19" xfId="0" applyFont="1" applyBorder="1"/>
    <xf numFmtId="0" fontId="0" fillId="0" borderId="19" xfId="0" applyFont="1" applyBorder="1" applyAlignment="1">
      <alignment horizontal="center"/>
    </xf>
    <xf numFmtId="0" fontId="42" fillId="0" borderId="0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43" fillId="8" borderId="0" xfId="0" applyFont="1" applyFill="1" applyAlignment="1">
      <alignment vertical="center"/>
    </xf>
    <xf numFmtId="0" fontId="40" fillId="8" borderId="0" xfId="0" applyFont="1" applyFill="1" applyAlignment="1">
      <alignment vertical="center"/>
    </xf>
    <xf numFmtId="0" fontId="40" fillId="8" borderId="2" xfId="0" applyFont="1" applyFill="1" applyBorder="1" applyAlignment="1">
      <alignment vertical="center"/>
    </xf>
    <xf numFmtId="0" fontId="40" fillId="8" borderId="0" xfId="0" applyFont="1" applyFill="1" applyBorder="1" applyAlignment="1">
      <alignment vertical="center"/>
    </xf>
    <xf numFmtId="0" fontId="46" fillId="2" borderId="0" xfId="0" applyFont="1" applyFill="1"/>
    <xf numFmtId="0" fontId="0" fillId="2" borderId="0" xfId="0" applyFont="1" applyFill="1"/>
    <xf numFmtId="0" fontId="0" fillId="2" borderId="2" xfId="0" applyFont="1" applyFill="1" applyBorder="1"/>
    <xf numFmtId="0" fontId="46" fillId="2" borderId="0" xfId="0" applyFont="1" applyFill="1" applyBorder="1"/>
    <xf numFmtId="0" fontId="2" fillId="2" borderId="0" xfId="0" applyFont="1" applyFill="1" applyBorder="1" applyProtection="1"/>
    <xf numFmtId="0" fontId="54" fillId="2" borderId="0" xfId="0" applyFont="1" applyFill="1" applyBorder="1" applyAlignment="1" applyProtection="1">
      <alignment horizontal="left" readingOrder="1"/>
    </xf>
    <xf numFmtId="0" fontId="55" fillId="0" borderId="0" xfId="0" applyFont="1" applyBorder="1" applyAlignment="1" applyProtection="1">
      <alignment horizontal="left" readingOrder="1"/>
    </xf>
    <xf numFmtId="0" fontId="49" fillId="0" borderId="0" xfId="0" applyFont="1" applyFill="1" applyBorder="1" applyAlignment="1">
      <alignment horizontal="left" indent="1"/>
    </xf>
    <xf numFmtId="0" fontId="42" fillId="0" borderId="0" xfId="3" applyFont="1" applyAlignment="1">
      <alignment vertical="top"/>
    </xf>
    <xf numFmtId="0" fontId="42" fillId="0" borderId="0" xfId="3" applyFont="1" applyAlignment="1">
      <alignment horizontal="left" vertical="top" indent="2"/>
    </xf>
    <xf numFmtId="0" fontId="0" fillId="0" borderId="0" xfId="3" applyFont="1" applyAlignment="1">
      <alignment vertical="top"/>
    </xf>
    <xf numFmtId="0" fontId="52" fillId="0" borderId="0" xfId="0" applyFont="1" applyFill="1"/>
    <xf numFmtId="0" fontId="55" fillId="0" borderId="0" xfId="0" applyFont="1"/>
    <xf numFmtId="0" fontId="2" fillId="0" borderId="0" xfId="3" applyFont="1" applyAlignment="1">
      <alignment vertical="top"/>
    </xf>
    <xf numFmtId="0" fontId="52" fillId="3" borderId="0" xfId="3" applyFont="1" applyFill="1"/>
    <xf numFmtId="0" fontId="56" fillId="0" borderId="0" xfId="3" applyFont="1" applyAlignment="1">
      <alignment vertical="top"/>
    </xf>
    <xf numFmtId="0" fontId="52" fillId="0" borderId="0" xfId="3" applyFont="1" applyAlignment="1">
      <alignment vertical="top"/>
    </xf>
    <xf numFmtId="0" fontId="55" fillId="3" borderId="0" xfId="0" applyFont="1" applyFill="1"/>
    <xf numFmtId="0" fontId="57" fillId="3" borderId="0" xfId="0" applyFont="1" applyFill="1"/>
    <xf numFmtId="0" fontId="2" fillId="3" borderId="0" xfId="0" applyFont="1" applyFill="1" applyBorder="1" applyProtection="1"/>
    <xf numFmtId="0" fontId="55" fillId="0" borderId="0" xfId="3" applyFont="1" applyFill="1" applyBorder="1" applyAlignment="1">
      <alignment horizontal="left"/>
    </xf>
    <xf numFmtId="0" fontId="58" fillId="0" borderId="0" xfId="0" applyFont="1" applyBorder="1"/>
    <xf numFmtId="0" fontId="2" fillId="0" borderId="0" xfId="0" applyFont="1" applyAlignment="1">
      <alignment horizontal="left" vertical="center" indent="1"/>
    </xf>
    <xf numFmtId="0" fontId="2" fillId="0" borderId="0" xfId="3" applyFont="1" applyFill="1"/>
    <xf numFmtId="0" fontId="55" fillId="0" borderId="0" xfId="3" applyFont="1" applyFill="1"/>
    <xf numFmtId="0" fontId="0" fillId="0" borderId="0" xfId="3" applyFont="1" applyFill="1" applyAlignment="1">
      <alignment vertical="top"/>
    </xf>
    <xf numFmtId="0" fontId="55" fillId="3" borderId="0" xfId="0" applyFont="1" applyFill="1" applyAlignment="1">
      <alignment horizontal="left" indent="4"/>
    </xf>
    <xf numFmtId="0" fontId="51" fillId="0" borderId="0" xfId="0" applyFont="1" applyBorder="1"/>
    <xf numFmtId="0" fontId="2" fillId="0" borderId="0" xfId="0" applyFont="1" applyAlignment="1">
      <alignment horizontal="left" indent="4"/>
    </xf>
    <xf numFmtId="0" fontId="55" fillId="0" borderId="0" xfId="0" applyFont="1" applyAlignment="1">
      <alignment horizontal="left" indent="4"/>
    </xf>
    <xf numFmtId="0" fontId="59" fillId="0" borderId="0" xfId="3" applyFont="1"/>
    <xf numFmtId="0" fontId="55" fillId="0" borderId="0" xfId="3" applyFont="1"/>
    <xf numFmtId="0" fontId="55" fillId="0" borderId="0" xfId="0" applyFont="1" applyFill="1" applyBorder="1" applyAlignment="1">
      <alignment horizontal="left" indent="1"/>
    </xf>
    <xf numFmtId="0" fontId="0" fillId="0" borderId="0" xfId="0" applyFont="1" applyFill="1" applyAlignment="1">
      <alignment vertical="top"/>
    </xf>
    <xf numFmtId="0" fontId="42" fillId="0" borderId="0" xfId="0" applyFont="1" applyAlignment="1">
      <alignment horizontal="left" vertical="top" indent="2"/>
    </xf>
    <xf numFmtId="0" fontId="42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55" fillId="0" borderId="0" xfId="0" applyFont="1" applyFill="1" applyAlignment="1">
      <alignment horizontal="left" indent="1"/>
    </xf>
    <xf numFmtId="0" fontId="48" fillId="0" borderId="0" xfId="3" applyFont="1"/>
    <xf numFmtId="0" fontId="2" fillId="0" borderId="0" xfId="3" applyFont="1"/>
    <xf numFmtId="0" fontId="55" fillId="0" borderId="7" xfId="3" applyFont="1" applyBorder="1" applyAlignment="1">
      <alignment horizontal="left"/>
    </xf>
    <xf numFmtId="9" fontId="55" fillId="0" borderId="8" xfId="3" applyNumberFormat="1" applyFont="1" applyBorder="1" applyAlignment="1">
      <alignment horizontal="right" indent="1"/>
    </xf>
    <xf numFmtId="9" fontId="55" fillId="0" borderId="8" xfId="3" applyNumberFormat="1" applyFont="1" applyBorder="1" applyAlignment="1">
      <alignment horizontal="right"/>
    </xf>
    <xf numFmtId="0" fontId="55" fillId="0" borderId="0" xfId="3" applyFont="1" applyFill="1" applyBorder="1" applyAlignment="1">
      <alignment horizontal="center"/>
    </xf>
    <xf numFmtId="165" fontId="55" fillId="0" borderId="1" xfId="4" applyNumberFormat="1" applyFont="1" applyBorder="1" applyAlignment="1">
      <alignment horizontal="center"/>
    </xf>
    <xf numFmtId="165" fontId="55" fillId="0" borderId="0" xfId="4" applyNumberFormat="1" applyFont="1" applyAlignment="1">
      <alignment horizontal="center"/>
    </xf>
    <xf numFmtId="165" fontId="49" fillId="0" borderId="0" xfId="4" applyNumberFormat="1" applyFont="1" applyFill="1" applyAlignment="1">
      <alignment horizontal="center"/>
    </xf>
    <xf numFmtId="0" fontId="55" fillId="0" borderId="8" xfId="3" applyFont="1" applyFill="1" applyBorder="1" applyAlignment="1">
      <alignment horizontal="center"/>
    </xf>
    <xf numFmtId="0" fontId="0" fillId="0" borderId="9" xfId="0" applyFont="1" applyBorder="1"/>
    <xf numFmtId="165" fontId="55" fillId="0" borderId="7" xfId="4" applyNumberFormat="1" applyFont="1" applyBorder="1" applyAlignment="1">
      <alignment horizontal="center"/>
    </xf>
    <xf numFmtId="165" fontId="55" fillId="0" borderId="8" xfId="4" applyNumberFormat="1" applyFont="1" applyBorder="1" applyAlignment="1">
      <alignment horizontal="center"/>
    </xf>
    <xf numFmtId="165" fontId="49" fillId="0" borderId="8" xfId="4" applyNumberFormat="1" applyFont="1" applyFill="1" applyBorder="1" applyAlignment="1">
      <alignment horizontal="center"/>
    </xf>
    <xf numFmtId="0" fontId="2" fillId="0" borderId="4" xfId="3" applyFont="1" applyBorder="1"/>
    <xf numFmtId="0" fontId="0" fillId="0" borderId="4" xfId="0" applyFont="1" applyBorder="1"/>
    <xf numFmtId="165" fontId="41" fillId="0" borderId="0" xfId="3" applyNumberFormat="1" applyFont="1"/>
    <xf numFmtId="165" fontId="49" fillId="0" borderId="0" xfId="3" applyNumberFormat="1" applyFont="1" applyFill="1"/>
    <xf numFmtId="0" fontId="2" fillId="0" borderId="0" xfId="3" applyFont="1" applyAlignment="1">
      <alignment horizontal="right"/>
    </xf>
    <xf numFmtId="166" fontId="41" fillId="0" borderId="0" xfId="5" applyNumberFormat="1" applyFont="1" applyAlignment="1">
      <alignment horizontal="right" indent="1"/>
    </xf>
    <xf numFmtId="0" fontId="60" fillId="0" borderId="0" xfId="3" applyFont="1" applyFill="1" applyBorder="1"/>
    <xf numFmtId="0" fontId="61" fillId="0" borderId="0" xfId="3" applyFont="1" applyFill="1"/>
    <xf numFmtId="9" fontId="55" fillId="0" borderId="0" xfId="3" applyNumberFormat="1" applyFont="1" applyFill="1" applyBorder="1" applyAlignment="1">
      <alignment horizontal="center"/>
    </xf>
    <xf numFmtId="0" fontId="61" fillId="0" borderId="0" xfId="3" applyFont="1"/>
    <xf numFmtId="0" fontId="62" fillId="0" borderId="0" xfId="3" applyFont="1"/>
    <xf numFmtId="0" fontId="55" fillId="0" borderId="7" xfId="3" applyFont="1" applyBorder="1" applyAlignment="1">
      <alignment horizontal="center" wrapText="1"/>
    </xf>
    <xf numFmtId="0" fontId="55" fillId="0" borderId="9" xfId="3" applyFont="1" applyBorder="1" applyAlignment="1">
      <alignment horizontal="center" wrapText="1"/>
    </xf>
    <xf numFmtId="0" fontId="55" fillId="0" borderId="12" xfId="3" applyNumberFormat="1" applyFont="1" applyFill="1" applyBorder="1" applyAlignment="1">
      <alignment horizontal="center" vertical="top" wrapText="1"/>
    </xf>
    <xf numFmtId="0" fontId="55" fillId="0" borderId="13" xfId="3" applyNumberFormat="1" applyFont="1" applyFill="1" applyBorder="1" applyAlignment="1">
      <alignment horizontal="center" vertical="top" wrapText="1"/>
    </xf>
    <xf numFmtId="0" fontId="55" fillId="0" borderId="14" xfId="3" applyNumberFormat="1" applyFont="1" applyFill="1" applyBorder="1" applyAlignment="1">
      <alignment horizontal="center" vertical="top" wrapText="1"/>
    </xf>
    <xf numFmtId="0" fontId="55" fillId="0" borderId="15" xfId="3" applyFont="1" applyBorder="1" applyAlignment="1">
      <alignment horizontal="center" vertical="top" wrapText="1"/>
    </xf>
    <xf numFmtId="0" fontId="51" fillId="0" borderId="15" xfId="3" applyFont="1" applyBorder="1" applyAlignment="1">
      <alignment horizontal="center" vertical="top" wrapText="1"/>
    </xf>
    <xf numFmtId="9" fontId="55" fillId="0" borderId="16" xfId="3" applyNumberFormat="1" applyFont="1" applyBorder="1" applyAlignment="1">
      <alignment horizontal="center" vertical="top" wrapText="1"/>
    </xf>
    <xf numFmtId="0" fontId="55" fillId="0" borderId="16" xfId="3" applyFont="1" applyBorder="1" applyAlignment="1">
      <alignment horizontal="center" vertical="top" wrapText="1"/>
    </xf>
    <xf numFmtId="0" fontId="51" fillId="0" borderId="16" xfId="3" applyFont="1" applyBorder="1" applyAlignment="1">
      <alignment horizontal="center" vertical="top" wrapText="1"/>
    </xf>
    <xf numFmtId="0" fontId="51" fillId="3" borderId="16" xfId="3" applyFont="1" applyFill="1" applyBorder="1" applyAlignment="1">
      <alignment horizontal="center" vertical="top" wrapText="1"/>
    </xf>
    <xf numFmtId="0" fontId="55" fillId="0" borderId="17" xfId="3" applyFont="1" applyBorder="1" applyAlignment="1">
      <alignment horizontal="center" vertical="top" wrapText="1"/>
    </xf>
    <xf numFmtId="0" fontId="51" fillId="3" borderId="17" xfId="3" applyFont="1" applyFill="1" applyBorder="1" applyAlignment="1">
      <alignment horizontal="center" vertical="top" wrapText="1"/>
    </xf>
    <xf numFmtId="9" fontId="55" fillId="0" borderId="17" xfId="3" applyNumberFormat="1" applyFont="1" applyBorder="1" applyAlignment="1">
      <alignment horizontal="center" vertical="top" wrapText="1"/>
    </xf>
    <xf numFmtId="0" fontId="51" fillId="0" borderId="0" xfId="0" applyFont="1"/>
    <xf numFmtId="165" fontId="62" fillId="0" borderId="0" xfId="4" applyNumberFormat="1" applyFont="1"/>
    <xf numFmtId="0" fontId="61" fillId="0" borderId="0" xfId="3" applyFont="1" applyBorder="1" applyAlignment="1">
      <alignment horizontal="center" vertical="top" wrapText="1"/>
    </xf>
    <xf numFmtId="0" fontId="55" fillId="0" borderId="0" xfId="0" applyFont="1" applyFill="1"/>
    <xf numFmtId="9" fontId="63" fillId="0" borderId="0" xfId="3" applyNumberFormat="1" applyFont="1" applyBorder="1" applyAlignment="1">
      <alignment horizontal="center" vertical="top" wrapText="1"/>
    </xf>
    <xf numFmtId="9" fontId="55" fillId="0" borderId="0" xfId="3" applyNumberFormat="1" applyFont="1" applyBorder="1" applyAlignment="1">
      <alignment horizontal="center" vertical="top" wrapText="1"/>
    </xf>
    <xf numFmtId="0" fontId="61" fillId="0" borderId="3" xfId="3" applyFont="1" applyBorder="1" applyAlignment="1">
      <alignment horizontal="left"/>
    </xf>
    <xf numFmtId="0" fontId="61" fillId="0" borderId="4" xfId="3" applyFont="1" applyBorder="1" applyAlignment="1">
      <alignment horizontal="center" wrapText="1"/>
    </xf>
    <xf numFmtId="0" fontId="61" fillId="0" borderId="18" xfId="3" applyFont="1" applyBorder="1" applyAlignment="1">
      <alignment horizontal="center" vertical="top"/>
    </xf>
    <xf numFmtId="0" fontId="55" fillId="0" borderId="8" xfId="3" applyFont="1" applyBorder="1" applyAlignment="1">
      <alignment horizontal="center" wrapText="1"/>
    </xf>
    <xf numFmtId="9" fontId="63" fillId="0" borderId="19" xfId="3" applyNumberFormat="1" applyFont="1" applyBorder="1" applyAlignment="1">
      <alignment horizontal="center" vertical="top" wrapText="1"/>
    </xf>
    <xf numFmtId="0" fontId="55" fillId="0" borderId="20" xfId="3" applyFont="1" applyBorder="1" applyAlignment="1">
      <alignment horizontal="center" vertical="top" wrapText="1"/>
    </xf>
    <xf numFmtId="0" fontId="51" fillId="3" borderId="20" xfId="3" applyFont="1" applyFill="1" applyBorder="1" applyAlignment="1">
      <alignment horizontal="center" vertical="top" wrapText="1"/>
    </xf>
    <xf numFmtId="9" fontId="52" fillId="0" borderId="15" xfId="3" applyNumberFormat="1" applyFont="1" applyBorder="1" applyAlignment="1">
      <alignment horizontal="center" vertical="top" wrapText="1"/>
    </xf>
    <xf numFmtId="9" fontId="52" fillId="0" borderId="16" xfId="3" applyNumberFormat="1" applyFont="1" applyBorder="1" applyAlignment="1">
      <alignment horizontal="center" vertical="top" wrapText="1"/>
    </xf>
    <xf numFmtId="0" fontId="55" fillId="3" borderId="17" xfId="3" applyFont="1" applyFill="1" applyBorder="1" applyAlignment="1">
      <alignment horizontal="center" vertical="top" wrapText="1"/>
    </xf>
    <xf numFmtId="9" fontId="52" fillId="0" borderId="17" xfId="3" applyNumberFormat="1" applyFont="1" applyBorder="1" applyAlignment="1">
      <alignment horizontal="center" vertical="top" wrapText="1"/>
    </xf>
    <xf numFmtId="0" fontId="62" fillId="3" borderId="0" xfId="3" applyFont="1" applyFill="1"/>
    <xf numFmtId="0" fontId="2" fillId="0" borderId="0" xfId="0" quotePrefix="1" applyFont="1" applyBorder="1" applyAlignment="1" applyProtection="1"/>
    <xf numFmtId="0" fontId="61" fillId="0" borderId="3" xfId="3" applyFont="1" applyBorder="1" applyAlignment="1">
      <alignment horizontal="center" wrapText="1"/>
    </xf>
    <xf numFmtId="0" fontId="61" fillId="0" borderId="5" xfId="3" applyFont="1" applyBorder="1" applyAlignment="1">
      <alignment horizontal="center" wrapText="1"/>
    </xf>
    <xf numFmtId="0" fontId="61" fillId="0" borderId="18" xfId="3" applyFont="1" applyBorder="1" applyAlignment="1">
      <alignment horizontal="center" vertical="top" wrapText="1"/>
    </xf>
    <xf numFmtId="0" fontId="64" fillId="0" borderId="0" xfId="3" applyFont="1" applyAlignment="1">
      <alignment horizontal="left" indent="2"/>
    </xf>
    <xf numFmtId="9" fontId="55" fillId="0" borderId="19" xfId="3" applyNumberFormat="1" applyFont="1" applyBorder="1" applyAlignment="1">
      <alignment horizontal="center" vertical="top" wrapText="1"/>
    </xf>
    <xf numFmtId="0" fontId="64" fillId="0" borderId="0" xfId="4" applyNumberFormat="1" applyFont="1" applyAlignment="1">
      <alignment horizontal="center"/>
    </xf>
    <xf numFmtId="0" fontId="64" fillId="0" borderId="0" xfId="4" applyNumberFormat="1" applyFont="1" applyAlignment="1">
      <alignment horizontal="right"/>
    </xf>
    <xf numFmtId="166" fontId="52" fillId="0" borderId="15" xfId="3" applyNumberFormat="1" applyFont="1" applyBorder="1" applyAlignment="1">
      <alignment horizontal="center" vertical="top" wrapText="1"/>
    </xf>
    <xf numFmtId="166" fontId="65" fillId="0" borderId="0" xfId="2" applyNumberFormat="1" applyFont="1"/>
    <xf numFmtId="166" fontId="66" fillId="0" borderId="0" xfId="5" applyNumberFormat="1" applyFont="1"/>
    <xf numFmtId="166" fontId="52" fillId="0" borderId="16" xfId="3" applyNumberFormat="1" applyFont="1" applyBorder="1" applyAlignment="1">
      <alignment horizontal="center" vertical="top" wrapText="1"/>
    </xf>
    <xf numFmtId="0" fontId="51" fillId="0" borderId="17" xfId="3" applyFont="1" applyBorder="1" applyAlignment="1">
      <alignment horizontal="center" vertical="top" wrapText="1"/>
    </xf>
    <xf numFmtId="166" fontId="52" fillId="0" borderId="17" xfId="3" applyNumberFormat="1" applyFont="1" applyBorder="1" applyAlignment="1">
      <alignment horizontal="center" vertical="top" wrapText="1"/>
    </xf>
    <xf numFmtId="165" fontId="65" fillId="0" borderId="0" xfId="4" quotePrefix="1" applyNumberFormat="1" applyFont="1"/>
    <xf numFmtId="165" fontId="55" fillId="0" borderId="0" xfId="4" applyNumberFormat="1" applyFont="1"/>
    <xf numFmtId="0" fontId="2" fillId="0" borderId="0" xfId="3" applyFont="1" applyAlignment="1">
      <alignment horizontal="left"/>
    </xf>
    <xf numFmtId="0" fontId="2" fillId="0" borderId="8" xfId="3" applyFont="1" applyBorder="1"/>
    <xf numFmtId="0" fontId="2" fillId="0" borderId="8" xfId="0" applyFont="1" applyBorder="1" applyProtection="1"/>
    <xf numFmtId="0" fontId="2" fillId="0" borderId="13" xfId="3" applyFont="1" applyBorder="1"/>
    <xf numFmtId="0" fontId="2" fillId="0" borderId="13" xfId="3" applyFont="1" applyBorder="1" applyAlignment="1">
      <alignment horizontal="right"/>
    </xf>
    <xf numFmtId="0" fontId="2" fillId="0" borderId="13" xfId="3" applyFont="1" applyBorder="1" applyAlignment="1">
      <alignment horizontal="left" indent="2"/>
    </xf>
    <xf numFmtId="0" fontId="67" fillId="0" borderId="13" xfId="3" applyFont="1" applyBorder="1"/>
    <xf numFmtId="0" fontId="2" fillId="0" borderId="0" xfId="3" applyFont="1" applyAlignment="1">
      <alignment horizontal="center"/>
    </xf>
    <xf numFmtId="9" fontId="2" fillId="0" borderId="0" xfId="3" applyNumberFormat="1" applyFont="1"/>
    <xf numFmtId="43" fontId="2" fillId="0" borderId="0" xfId="1" applyFont="1"/>
    <xf numFmtId="0" fontId="60" fillId="4" borderId="0" xfId="3" applyFont="1" applyFill="1" applyBorder="1"/>
    <xf numFmtId="0" fontId="55" fillId="4" borderId="0" xfId="3" applyFont="1" applyFill="1"/>
    <xf numFmtId="0" fontId="49" fillId="0" borderId="0" xfId="3" applyFont="1" applyAlignment="1">
      <alignment horizontal="right" indent="1"/>
    </xf>
    <xf numFmtId="0" fontId="66" fillId="0" borderId="0" xfId="3" applyFont="1" applyAlignment="1">
      <alignment horizontal="right"/>
    </xf>
    <xf numFmtId="0" fontId="52" fillId="0" borderId="0" xfId="3" applyFont="1" applyFill="1" applyBorder="1" applyAlignment="1">
      <alignment horizontal="left" indent="2"/>
    </xf>
    <xf numFmtId="9" fontId="62" fillId="0" borderId="0" xfId="3" applyNumberFormat="1" applyFont="1"/>
    <xf numFmtId="0" fontId="67" fillId="0" borderId="0" xfId="3" applyFont="1"/>
    <xf numFmtId="0" fontId="59" fillId="0" borderId="0" xfId="3" applyFont="1" applyAlignment="1">
      <alignment horizontal="left" indent="2"/>
    </xf>
    <xf numFmtId="0" fontId="51" fillId="0" borderId="0" xfId="3" applyFont="1"/>
    <xf numFmtId="9" fontId="62" fillId="0" borderId="0" xfId="3" applyNumberFormat="1" applyFont="1" applyAlignment="1">
      <alignment horizontal="right"/>
    </xf>
    <xf numFmtId="166" fontId="49" fillId="0" borderId="0" xfId="3" applyNumberFormat="1" applyFont="1" applyAlignment="1">
      <alignment horizontal="right"/>
    </xf>
    <xf numFmtId="166" fontId="49" fillId="0" borderId="0" xfId="5" applyNumberFormat="1" applyFont="1" applyAlignment="1">
      <alignment horizontal="right"/>
    </xf>
    <xf numFmtId="0" fontId="55" fillId="0" borderId="0" xfId="0" quotePrefix="1" applyFont="1"/>
    <xf numFmtId="0" fontId="43" fillId="8" borderId="0" xfId="0" applyFont="1" applyFill="1" applyBorder="1" applyAlignment="1">
      <alignment vertical="center"/>
    </xf>
    <xf numFmtId="0" fontId="45" fillId="8" borderId="0" xfId="0" applyFont="1" applyFill="1" applyBorder="1" applyAlignment="1" applyProtection="1">
      <alignment vertical="center"/>
    </xf>
    <xf numFmtId="0" fontId="45" fillId="8" borderId="0" xfId="0" applyFont="1" applyFill="1" applyBorder="1" applyAlignment="1" applyProtection="1">
      <alignment horizontal="left" vertical="center" readingOrder="1"/>
    </xf>
    <xf numFmtId="0" fontId="68" fillId="2" borderId="0" xfId="0" applyFont="1" applyFill="1"/>
    <xf numFmtId="0" fontId="69" fillId="2" borderId="0" xfId="0" applyFont="1" applyFill="1"/>
    <xf numFmtId="0" fontId="69" fillId="2" borderId="2" xfId="0" applyFont="1" applyFill="1" applyBorder="1"/>
    <xf numFmtId="0" fontId="68" fillId="2" borderId="0" xfId="0" applyFont="1" applyFill="1" applyBorder="1"/>
    <xf numFmtId="0" fontId="55" fillId="2" borderId="0" xfId="0" applyFont="1" applyFill="1" applyBorder="1" applyProtection="1"/>
    <xf numFmtId="0" fontId="55" fillId="2" borderId="0" xfId="0" applyFont="1" applyFill="1" applyBorder="1" applyAlignment="1" applyProtection="1">
      <alignment horizontal="left" readingOrder="1"/>
    </xf>
    <xf numFmtId="0" fontId="70" fillId="0" borderId="1" xfId="3" applyFont="1" applyBorder="1"/>
    <xf numFmtId="165" fontId="66" fillId="0" borderId="0" xfId="4" applyNumberFormat="1" applyFont="1"/>
    <xf numFmtId="0" fontId="55" fillId="0" borderId="7" xfId="3" applyFont="1" applyBorder="1" applyAlignment="1">
      <alignment horizontal="right"/>
    </xf>
    <xf numFmtId="0" fontId="66" fillId="0" borderId="0" xfId="3" applyFont="1" applyAlignment="1">
      <alignment horizontal="left" indent="2"/>
    </xf>
    <xf numFmtId="0" fontId="66" fillId="0" borderId="0" xfId="3" applyFont="1" applyAlignment="1">
      <alignment horizontal="left"/>
    </xf>
    <xf numFmtId="167" fontId="55" fillId="0" borderId="1" xfId="4" applyNumberFormat="1" applyFont="1" applyBorder="1"/>
    <xf numFmtId="168" fontId="55" fillId="0" borderId="0" xfId="4" applyNumberFormat="1" applyFont="1" applyFill="1"/>
    <xf numFmtId="0" fontId="2" fillId="0" borderId="4" xfId="3" applyFont="1" applyBorder="1" applyAlignment="1">
      <alignment horizontal="center"/>
    </xf>
    <xf numFmtId="165" fontId="49" fillId="5" borderId="0" xfId="4" applyNumberFormat="1" applyFont="1" applyFill="1"/>
    <xf numFmtId="165" fontId="66" fillId="0" borderId="0" xfId="4" applyNumberFormat="1" applyFont="1" applyFill="1" applyAlignment="1"/>
    <xf numFmtId="9" fontId="66" fillId="0" borderId="0" xfId="5" applyFont="1"/>
    <xf numFmtId="0" fontId="2" fillId="0" borderId="0" xfId="3" applyFont="1" applyBorder="1" applyAlignment="1">
      <alignment horizontal="center"/>
    </xf>
    <xf numFmtId="9" fontId="66" fillId="0" borderId="0" xfId="5" applyFont="1" applyBorder="1" applyAlignment="1">
      <alignment horizontal="right"/>
    </xf>
    <xf numFmtId="168" fontId="55" fillId="0" borderId="0" xfId="4" applyNumberFormat="1" applyFont="1"/>
    <xf numFmtId="165" fontId="66" fillId="0" borderId="0" xfId="4" applyNumberFormat="1" applyFont="1" applyAlignment="1"/>
    <xf numFmtId="165" fontId="49" fillId="0" borderId="0" xfId="4" applyNumberFormat="1" applyFont="1"/>
    <xf numFmtId="167" fontId="55" fillId="0" borderId="7" xfId="4" applyNumberFormat="1" applyFont="1" applyBorder="1"/>
    <xf numFmtId="168" fontId="55" fillId="0" borderId="8" xfId="4" applyNumberFormat="1" applyFont="1" applyBorder="1"/>
    <xf numFmtId="0" fontId="2" fillId="0" borderId="8" xfId="3" applyFont="1" applyBorder="1" applyAlignment="1">
      <alignment horizontal="center"/>
    </xf>
    <xf numFmtId="165" fontId="49" fillId="0" borderId="8" xfId="4" applyNumberFormat="1" applyFont="1" applyBorder="1"/>
    <xf numFmtId="165" fontId="66" fillId="0" borderId="0" xfId="4" applyNumberFormat="1" applyFont="1" applyBorder="1" applyAlignment="1"/>
    <xf numFmtId="167" fontId="41" fillId="0" borderId="0" xfId="4" applyNumberFormat="1" applyFont="1" applyFill="1"/>
    <xf numFmtId="168" fontId="41" fillId="0" borderId="0" xfId="3" applyNumberFormat="1" applyFont="1" applyFill="1"/>
    <xf numFmtId="165" fontId="66" fillId="0" borderId="0" xfId="3" applyNumberFormat="1" applyFont="1" applyFill="1" applyBorder="1" applyAlignment="1"/>
    <xf numFmtId="0" fontId="55" fillId="0" borderId="0" xfId="0" applyFont="1" applyFill="1" applyBorder="1" applyAlignment="1">
      <alignment horizontal="left"/>
    </xf>
    <xf numFmtId="0" fontId="51" fillId="0" borderId="0" xfId="0" applyFont="1" applyAlignment="1">
      <alignment horizontal="left"/>
    </xf>
    <xf numFmtId="0" fontId="51" fillId="0" borderId="0" xfId="0" applyFont="1" applyFill="1" applyAlignment="1">
      <alignment horizontal="left"/>
    </xf>
    <xf numFmtId="0" fontId="2" fillId="0" borderId="0" xfId="0" applyFont="1" applyFill="1" applyAlignment="1">
      <alignment vertical="top"/>
    </xf>
    <xf numFmtId="0" fontId="55" fillId="3" borderId="0" xfId="0" applyFont="1" applyFill="1" applyAlignment="1">
      <alignment horizontal="left" vertical="top"/>
    </xf>
    <xf numFmtId="0" fontId="51" fillId="0" borderId="0" xfId="0" applyFont="1" applyFill="1" applyAlignment="1">
      <alignment horizontal="left" vertical="top"/>
    </xf>
    <xf numFmtId="0" fontId="2" fillId="0" borderId="0" xfId="0" applyFont="1" applyAlignment="1">
      <alignment vertical="top"/>
    </xf>
    <xf numFmtId="0" fontId="51" fillId="0" borderId="0" xfId="0" applyFont="1" applyAlignment="1">
      <alignment horizontal="left" vertical="top"/>
    </xf>
    <xf numFmtId="0" fontId="51" fillId="0" borderId="0" xfId="0" applyFont="1" applyAlignment="1">
      <alignment vertical="top"/>
    </xf>
    <xf numFmtId="0" fontId="2" fillId="0" borderId="0" xfId="0" applyFont="1" applyFill="1" applyAlignment="1">
      <alignment horizontal="center" vertical="top"/>
    </xf>
    <xf numFmtId="0" fontId="67" fillId="0" borderId="0" xfId="0" applyFont="1" applyAlignment="1">
      <alignment horizontal="left" vertical="top"/>
    </xf>
    <xf numFmtId="0" fontId="50" fillId="5" borderId="0" xfId="3" applyFont="1" applyFill="1" applyAlignment="1">
      <alignment vertical="top"/>
    </xf>
    <xf numFmtId="0" fontId="0" fillId="5" borderId="0" xfId="3" applyFont="1" applyFill="1" applyAlignment="1">
      <alignment vertical="top"/>
    </xf>
    <xf numFmtId="0" fontId="67" fillId="5" borderId="0" xfId="3" applyFont="1" applyFill="1" applyAlignment="1">
      <alignment vertical="top"/>
    </xf>
    <xf numFmtId="0" fontId="50" fillId="5" borderId="0" xfId="0" applyFont="1" applyFill="1" applyAlignment="1">
      <alignment vertical="top"/>
    </xf>
    <xf numFmtId="0" fontId="0" fillId="5" borderId="0" xfId="0" applyFont="1" applyFill="1" applyAlignment="1">
      <alignment vertical="top"/>
    </xf>
    <xf numFmtId="0" fontId="62" fillId="0" borderId="0" xfId="0" applyFont="1"/>
    <xf numFmtId="0" fontId="59" fillId="0" borderId="0" xfId="3" applyFont="1" applyFill="1" applyBorder="1" applyAlignment="1">
      <alignment horizontal="left"/>
    </xf>
    <xf numFmtId="0" fontId="67" fillId="0" borderId="0" xfId="3" applyFont="1" applyAlignment="1">
      <alignment horizontal="right"/>
    </xf>
    <xf numFmtId="167" fontId="2" fillId="0" borderId="0" xfId="4" applyNumberFormat="1" applyFont="1" applyAlignment="1">
      <alignment horizontal="right"/>
    </xf>
    <xf numFmtId="0" fontId="2" fillId="0" borderId="0" xfId="3" applyFont="1" applyBorder="1" applyAlignment="1">
      <alignment horizontal="right"/>
    </xf>
    <xf numFmtId="0" fontId="55" fillId="0" borderId="8" xfId="3" applyFont="1" applyFill="1" applyBorder="1" applyAlignment="1">
      <alignment horizontal="center" vertical="center"/>
    </xf>
    <xf numFmtId="0" fontId="55" fillId="0" borderId="7" xfId="3" applyFont="1" applyBorder="1" applyAlignment="1">
      <alignment horizontal="center" vertical="center" wrapText="1"/>
    </xf>
    <xf numFmtId="9" fontId="55" fillId="0" borderId="8" xfId="3" applyNumberFormat="1" applyFont="1" applyBorder="1" applyAlignment="1">
      <alignment horizontal="right" vertical="center"/>
    </xf>
    <xf numFmtId="0" fontId="2" fillId="0" borderId="0" xfId="3" applyFont="1" applyAlignment="1">
      <alignment horizontal="center" vertical="center"/>
    </xf>
    <xf numFmtId="0" fontId="66" fillId="0" borderId="0" xfId="3" applyFont="1" applyAlignment="1">
      <alignment horizontal="center" vertical="center" wrapText="1"/>
    </xf>
    <xf numFmtId="37" fontId="55" fillId="0" borderId="1" xfId="4" applyNumberFormat="1" applyFont="1" applyBorder="1" applyAlignment="1">
      <alignment horizontal="center"/>
    </xf>
    <xf numFmtId="37" fontId="55" fillId="0" borderId="7" xfId="4" applyNumberFormat="1" applyFont="1" applyBorder="1" applyAlignment="1">
      <alignment horizontal="center"/>
    </xf>
    <xf numFmtId="165" fontId="49" fillId="5" borderId="8" xfId="4" applyNumberFormat="1" applyFont="1" applyFill="1" applyBorder="1"/>
    <xf numFmtId="37" fontId="41" fillId="0" borderId="3" xfId="4" applyNumberFormat="1" applyFont="1" applyFill="1" applyBorder="1" applyAlignment="1">
      <alignment horizontal="center"/>
    </xf>
    <xf numFmtId="168" fontId="41" fillId="0" borderId="0" xfId="3" applyNumberFormat="1" applyFont="1"/>
    <xf numFmtId="9" fontId="2" fillId="0" borderId="0" xfId="5" applyFont="1" applyAlignment="1">
      <alignment horizontal="center"/>
    </xf>
    <xf numFmtId="0" fontId="55" fillId="3" borderId="0" xfId="0" applyFont="1" applyFill="1" applyBorder="1" applyAlignment="1">
      <alignment horizontal="left"/>
    </xf>
    <xf numFmtId="0" fontId="52" fillId="5" borderId="0" xfId="3" applyFont="1" applyFill="1" applyAlignment="1">
      <alignment vertical="top"/>
    </xf>
    <xf numFmtId="0" fontId="2" fillId="5" borderId="0" xfId="3" applyFont="1" applyFill="1" applyAlignment="1">
      <alignment vertical="top"/>
    </xf>
    <xf numFmtId="0" fontId="2" fillId="5" borderId="0" xfId="3" applyFont="1" applyFill="1" applyAlignment="1">
      <alignment horizontal="left" vertical="top"/>
    </xf>
    <xf numFmtId="0" fontId="2" fillId="0" borderId="0" xfId="0" applyFont="1" applyAlignment="1">
      <alignment horizontal="right"/>
    </xf>
    <xf numFmtId="166" fontId="41" fillId="0" borderId="0" xfId="2" applyNumberFormat="1" applyFont="1" applyAlignment="1">
      <alignment horizontal="right" indent="1"/>
    </xf>
    <xf numFmtId="9" fontId="55" fillId="0" borderId="0" xfId="2" applyFont="1" applyBorder="1"/>
    <xf numFmtId="0" fontId="2" fillId="0" borderId="0" xfId="3" applyFont="1" applyAlignment="1">
      <alignment horizontal="center" wrapText="1"/>
    </xf>
    <xf numFmtId="9" fontId="55" fillId="0" borderId="8" xfId="3" applyNumberFormat="1" applyFont="1" applyBorder="1" applyAlignment="1">
      <alignment horizontal="right" wrapText="1" indent="1"/>
    </xf>
    <xf numFmtId="9" fontId="55" fillId="0" borderId="8" xfId="3" applyNumberFormat="1" applyFont="1" applyBorder="1" applyAlignment="1">
      <alignment horizontal="left"/>
    </xf>
    <xf numFmtId="169" fontId="49" fillId="5" borderId="0" xfId="4" applyNumberFormat="1" applyFont="1" applyFill="1" applyAlignment="1">
      <alignment horizontal="center"/>
    </xf>
    <xf numFmtId="0" fontId="2" fillId="0" borderId="0" xfId="3" applyFont="1" applyFill="1" applyBorder="1" applyAlignment="1">
      <alignment horizontal="center"/>
    </xf>
    <xf numFmtId="169" fontId="49" fillId="5" borderId="8" xfId="4" applyNumberFormat="1" applyFont="1" applyFill="1" applyBorder="1" applyAlignment="1">
      <alignment horizontal="center"/>
    </xf>
    <xf numFmtId="0" fontId="41" fillId="0" borderId="0" xfId="3" applyFont="1" applyAlignment="1">
      <alignment horizontal="center"/>
    </xf>
    <xf numFmtId="0" fontId="55" fillId="0" borderId="0" xfId="3" applyFont="1" applyAlignment="1">
      <alignment horizontal="center"/>
    </xf>
    <xf numFmtId="169" fontId="49" fillId="0" borderId="0" xfId="3" applyNumberFormat="1" applyFont="1" applyFill="1" applyAlignment="1">
      <alignment horizont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9" fontId="0" fillId="0" borderId="1" xfId="0" applyNumberFormat="1" applyFont="1" applyBorder="1" applyAlignment="1">
      <alignment horizontal="center"/>
    </xf>
    <xf numFmtId="9" fontId="0" fillId="0" borderId="0" xfId="0" applyNumberFormat="1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1" xfId="0" applyFont="1" applyBorder="1"/>
    <xf numFmtId="0" fontId="0" fillId="0" borderId="7" xfId="0" applyFont="1" applyBorder="1"/>
    <xf numFmtId="0" fontId="0" fillId="0" borderId="8" xfId="0" applyFont="1" applyBorder="1"/>
    <xf numFmtId="9" fontId="0" fillId="0" borderId="8" xfId="0" applyNumberFormat="1" applyFont="1" applyBorder="1" applyAlignment="1">
      <alignment horizontal="center"/>
    </xf>
    <xf numFmtId="9" fontId="0" fillId="0" borderId="9" xfId="0" applyNumberFormat="1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9" fontId="0" fillId="0" borderId="3" xfId="0" applyNumberFormat="1" applyFont="1" applyBorder="1" applyAlignment="1">
      <alignment horizontal="center"/>
    </xf>
    <xf numFmtId="9" fontId="0" fillId="0" borderId="4" xfId="0" applyNumberFormat="1" applyFont="1" applyBorder="1" applyAlignment="1">
      <alignment horizontal="center"/>
    </xf>
    <xf numFmtId="9" fontId="0" fillId="0" borderId="5" xfId="0" applyNumberFormat="1" applyFont="1" applyBorder="1" applyAlignment="1">
      <alignment horizontal="center"/>
    </xf>
    <xf numFmtId="9" fontId="0" fillId="0" borderId="7" xfId="0" applyNumberFormat="1" applyFont="1" applyBorder="1" applyAlignment="1">
      <alignment horizontal="center"/>
    </xf>
    <xf numFmtId="0" fontId="0" fillId="0" borderId="0" xfId="0" applyFont="1" applyFill="1" applyBorder="1"/>
    <xf numFmtId="0" fontId="42" fillId="0" borderId="3" xfId="0" applyFont="1" applyFill="1" applyBorder="1"/>
    <xf numFmtId="0" fontId="0" fillId="0" borderId="0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171" fontId="0" fillId="0" borderId="0" xfId="1" applyNumberFormat="1" applyFont="1"/>
    <xf numFmtId="0" fontId="19" fillId="0" borderId="0" xfId="0" applyFont="1" applyFill="1"/>
    <xf numFmtId="0" fontId="71" fillId="0" borderId="0" xfId="0" applyFont="1" applyFill="1"/>
    <xf numFmtId="0" fontId="9" fillId="0" borderId="21" xfId="0" applyFont="1" applyBorder="1" applyAlignment="1">
      <alignment vertical="center"/>
    </xf>
    <xf numFmtId="0" fontId="9" fillId="0" borderId="21" xfId="0" applyFont="1" applyBorder="1" applyAlignment="1">
      <alignment horizontal="center" vertical="center" wrapText="1"/>
    </xf>
    <xf numFmtId="0" fontId="9" fillId="0" borderId="18" xfId="0" applyFont="1" applyBorder="1"/>
    <xf numFmtId="3" fontId="9" fillId="0" borderId="18" xfId="0" applyNumberFormat="1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22" xfId="0" applyFont="1" applyBorder="1"/>
    <xf numFmtId="3" fontId="9" fillId="0" borderId="22" xfId="0" applyNumberFormat="1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9" fillId="0" borderId="19" xfId="0" applyFont="1" applyBorder="1"/>
    <xf numFmtId="3" fontId="9" fillId="0" borderId="19" xfId="0" applyNumberFormat="1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14" fillId="0" borderId="0" xfId="0" applyFont="1" applyFill="1" applyBorder="1"/>
    <xf numFmtId="0" fontId="52" fillId="0" borderId="0" xfId="0" applyFont="1"/>
    <xf numFmtId="0" fontId="59" fillId="0" borderId="0" xfId="0" applyFont="1"/>
    <xf numFmtId="0" fontId="72" fillId="0" borderId="0" xfId="0" applyFont="1" applyFill="1" applyBorder="1"/>
    <xf numFmtId="0" fontId="13" fillId="0" borderId="0" xfId="0" applyFont="1" applyFill="1" applyBorder="1"/>
    <xf numFmtId="0" fontId="0" fillId="12" borderId="1" xfId="0" applyFont="1" applyFill="1" applyBorder="1"/>
    <xf numFmtId="0" fontId="0" fillId="12" borderId="22" xfId="0" applyFont="1" applyFill="1" applyBorder="1"/>
    <xf numFmtId="0" fontId="0" fillId="0" borderId="0" xfId="0" quotePrefix="1" applyFont="1"/>
    <xf numFmtId="9" fontId="0" fillId="0" borderId="0" xfId="2" applyFont="1"/>
    <xf numFmtId="171" fontId="73" fillId="0" borderId="0" xfId="1" applyNumberFormat="1" applyFont="1"/>
    <xf numFmtId="9" fontId="73" fillId="0" borderId="0" xfId="2" applyFont="1"/>
    <xf numFmtId="0" fontId="73" fillId="0" borderId="0" xfId="0" applyFont="1"/>
    <xf numFmtId="0" fontId="55" fillId="0" borderId="21" xfId="3" applyNumberFormat="1" applyFont="1" applyFill="1" applyBorder="1" applyAlignment="1">
      <alignment horizontal="center" vertical="top" wrapText="1"/>
    </xf>
    <xf numFmtId="9" fontId="74" fillId="0" borderId="0" xfId="2" applyFont="1"/>
    <xf numFmtId="0" fontId="74" fillId="0" borderId="0" xfId="0" applyFont="1"/>
    <xf numFmtId="9" fontId="75" fillId="0" borderId="21" xfId="3" applyNumberFormat="1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/>
    </xf>
    <xf numFmtId="0" fontId="24" fillId="0" borderId="6" xfId="0" applyFont="1" applyBorder="1" applyAlignment="1">
      <alignment horizontal="center"/>
    </xf>
    <xf numFmtId="166" fontId="24" fillId="0" borderId="0" xfId="2" applyNumberFormat="1" applyFont="1"/>
    <xf numFmtId="166" fontId="24" fillId="0" borderId="0" xfId="0" applyNumberFormat="1" applyFont="1"/>
    <xf numFmtId="166" fontId="6" fillId="0" borderId="0" xfId="0" applyNumberFormat="1" applyFont="1" applyBorder="1" applyProtection="1"/>
    <xf numFmtId="166" fontId="33" fillId="0" borderId="0" xfId="0" applyNumberFormat="1" applyFont="1"/>
    <xf numFmtId="166" fontId="24" fillId="0" borderId="8" xfId="2" applyNumberFormat="1" applyFont="1" applyBorder="1"/>
    <xf numFmtId="166" fontId="24" fillId="0" borderId="8" xfId="0" applyNumberFormat="1" applyFont="1" applyBorder="1"/>
    <xf numFmtId="0" fontId="6" fillId="0" borderId="8" xfId="0" applyFont="1" applyBorder="1" applyProtection="1"/>
    <xf numFmtId="166" fontId="6" fillId="0" borderId="8" xfId="0" applyNumberFormat="1" applyFont="1" applyBorder="1" applyProtection="1"/>
    <xf numFmtId="0" fontId="76" fillId="0" borderId="0" xfId="0" applyFont="1" applyBorder="1" applyProtection="1"/>
    <xf numFmtId="0" fontId="76" fillId="0" borderId="0" xfId="0" applyFont="1" applyFill="1" applyBorder="1" applyProtection="1"/>
    <xf numFmtId="0" fontId="7" fillId="0" borderId="0" xfId="0" applyFont="1" applyBorder="1" applyProtection="1"/>
    <xf numFmtId="171" fontId="77" fillId="9" borderId="0" xfId="1" applyNumberFormat="1" applyFont="1" applyFill="1" applyBorder="1" applyProtection="1"/>
    <xf numFmtId="0" fontId="78" fillId="9" borderId="0" xfId="0" applyFont="1" applyFill="1"/>
    <xf numFmtId="9" fontId="2" fillId="0" borderId="0" xfId="2" applyFont="1" applyBorder="1" applyProtection="1"/>
    <xf numFmtId="9" fontId="81" fillId="0" borderId="0" xfId="2" applyFont="1" applyBorder="1" applyProtection="1"/>
    <xf numFmtId="0" fontId="2" fillId="0" borderId="19" xfId="0" applyFont="1" applyBorder="1" applyAlignment="1" applyProtection="1">
      <alignment horizontal="center" wrapText="1"/>
    </xf>
    <xf numFmtId="0" fontId="0" fillId="0" borderId="0" xfId="0" applyAlignment="1">
      <alignment horizontal="right"/>
    </xf>
    <xf numFmtId="0" fontId="24" fillId="0" borderId="0" xfId="0" applyFont="1" applyBorder="1" applyAlignment="1">
      <alignment horizontal="center"/>
    </xf>
    <xf numFmtId="0" fontId="0" fillId="0" borderId="9" xfId="0" applyBorder="1"/>
    <xf numFmtId="43" fontId="24" fillId="0" borderId="0" xfId="1" applyFont="1" applyAlignment="1">
      <alignment horizontal="right"/>
    </xf>
    <xf numFmtId="167" fontId="24" fillId="0" borderId="0" xfId="1" applyNumberFormat="1" applyFont="1" applyAlignment="1">
      <alignment horizontal="right"/>
    </xf>
    <xf numFmtId="167" fontId="24" fillId="0" borderId="0" xfId="1" applyNumberFormat="1" applyFont="1" applyBorder="1" applyAlignment="1">
      <alignment horizontal="right"/>
    </xf>
    <xf numFmtId="171" fontId="24" fillId="0" borderId="0" xfId="1" applyNumberFormat="1" applyFont="1" applyAlignment="1">
      <alignment horizontal="right"/>
    </xf>
    <xf numFmtId="171" fontId="24" fillId="0" borderId="6" xfId="1" applyNumberFormat="1" applyFont="1" applyBorder="1" applyAlignment="1">
      <alignment horizontal="right"/>
    </xf>
    <xf numFmtId="171" fontId="6" fillId="0" borderId="0" xfId="1" applyNumberFormat="1" applyFont="1" applyBorder="1" applyAlignment="1" applyProtection="1">
      <alignment horizontal="right"/>
    </xf>
    <xf numFmtId="171" fontId="24" fillId="0" borderId="0" xfId="1" applyNumberFormat="1" applyFont="1" applyBorder="1" applyAlignment="1">
      <alignment horizontal="right"/>
    </xf>
    <xf numFmtId="167" fontId="24" fillId="0" borderId="0" xfId="1" applyNumberFormat="1" applyFont="1"/>
    <xf numFmtId="171" fontId="24" fillId="0" borderId="0" xfId="1" applyNumberFormat="1" applyFont="1"/>
    <xf numFmtId="171" fontId="6" fillId="0" borderId="0" xfId="1" applyNumberFormat="1" applyFont="1" applyBorder="1" applyProtection="1"/>
    <xf numFmtId="0" fontId="6" fillId="0" borderId="0" xfId="0" applyFont="1" applyFill="1" applyBorder="1" applyAlignment="1" applyProtection="1">
      <alignment horizontal="right"/>
    </xf>
    <xf numFmtId="0" fontId="24" fillId="0" borderId="8" xfId="0" applyFont="1" applyFill="1" applyBorder="1" applyAlignment="1">
      <alignment horizontal="right"/>
    </xf>
    <xf numFmtId="0" fontId="24" fillId="0" borderId="9" xfId="0" applyFont="1" applyFill="1" applyBorder="1" applyAlignment="1">
      <alignment horizontal="right"/>
    </xf>
    <xf numFmtId="171" fontId="24" fillId="0" borderId="6" xfId="1" applyNumberFormat="1" applyFont="1" applyBorder="1"/>
    <xf numFmtId="0" fontId="0" fillId="0" borderId="9" xfId="0" applyFill="1" applyBorder="1"/>
    <xf numFmtId="0" fontId="24" fillId="0" borderId="6" xfId="0" applyFont="1" applyBorder="1"/>
    <xf numFmtId="171" fontId="24" fillId="0" borderId="0" xfId="0" applyNumberFormat="1" applyFont="1" applyAlignment="1">
      <alignment horizontal="right"/>
    </xf>
    <xf numFmtId="9" fontId="24" fillId="0" borderId="0" xfId="2" applyFont="1" applyAlignment="1">
      <alignment horizontal="right"/>
    </xf>
    <xf numFmtId="9" fontId="24" fillId="0" borderId="6" xfId="2" applyFont="1" applyBorder="1" applyAlignment="1">
      <alignment horizontal="right"/>
    </xf>
    <xf numFmtId="9" fontId="6" fillId="0" borderId="0" xfId="2" applyFont="1" applyBorder="1" applyAlignment="1" applyProtection="1">
      <alignment horizontal="right"/>
    </xf>
    <xf numFmtId="9" fontId="24" fillId="0" borderId="0" xfId="2" applyFont="1" applyBorder="1" applyAlignment="1">
      <alignment horizontal="right"/>
    </xf>
    <xf numFmtId="166" fontId="24" fillId="0" borderId="0" xfId="2" applyNumberFormat="1" applyFont="1" applyAlignment="1">
      <alignment horizontal="right"/>
    </xf>
    <xf numFmtId="166" fontId="24" fillId="0" borderId="6" xfId="2" applyNumberFormat="1" applyFont="1" applyBorder="1" applyAlignment="1">
      <alignment horizontal="right"/>
    </xf>
    <xf numFmtId="166" fontId="6" fillId="0" borderId="0" xfId="2" applyNumberFormat="1" applyFont="1" applyBorder="1" applyAlignment="1" applyProtection="1">
      <alignment horizontal="right"/>
    </xf>
    <xf numFmtId="166" fontId="24" fillId="0" borderId="0" xfId="2" applyNumberFormat="1" applyFont="1" applyBorder="1" applyAlignment="1">
      <alignment horizontal="right"/>
    </xf>
    <xf numFmtId="166" fontId="24" fillId="0" borderId="8" xfId="2" applyNumberFormat="1" applyFont="1" applyBorder="1" applyAlignment="1">
      <alignment horizontal="right"/>
    </xf>
    <xf numFmtId="166" fontId="24" fillId="0" borderId="9" xfId="2" applyNumberFormat="1" applyFont="1" applyBorder="1" applyAlignment="1">
      <alignment horizontal="right"/>
    </xf>
    <xf numFmtId="166" fontId="6" fillId="0" borderId="8" xfId="2" applyNumberFormat="1" applyFont="1" applyBorder="1" applyAlignment="1" applyProtection="1">
      <alignment horizontal="right"/>
    </xf>
    <xf numFmtId="0" fontId="33" fillId="0" borderId="0" xfId="0" applyFont="1" applyAlignment="1">
      <alignment horizontal="center"/>
    </xf>
    <xf numFmtId="0" fontId="33" fillId="0" borderId="6" xfId="0" applyFont="1" applyBorder="1" applyAlignment="1">
      <alignment horizontal="center"/>
    </xf>
    <xf numFmtId="166" fontId="33" fillId="0" borderId="0" xfId="0" applyNumberFormat="1" applyFont="1" applyAlignment="1">
      <alignment horizontal="right"/>
    </xf>
    <xf numFmtId="166" fontId="76" fillId="0" borderId="0" xfId="2" applyNumberFormat="1" applyFont="1" applyBorder="1" applyAlignment="1" applyProtection="1">
      <alignment horizontal="right"/>
    </xf>
    <xf numFmtId="166" fontId="76" fillId="0" borderId="6" xfId="2" applyNumberFormat="1" applyFont="1" applyBorder="1" applyAlignment="1" applyProtection="1">
      <alignment horizontal="right"/>
    </xf>
    <xf numFmtId="171" fontId="24" fillId="0" borderId="8" xfId="1" applyNumberFormat="1" applyFont="1" applyBorder="1" applyAlignment="1">
      <alignment horizontal="right"/>
    </xf>
    <xf numFmtId="171" fontId="24" fillId="0" borderId="9" xfId="1" applyNumberFormat="1" applyFont="1" applyBorder="1" applyAlignment="1">
      <alignment horizontal="right"/>
    </xf>
    <xf numFmtId="171" fontId="6" fillId="0" borderId="8" xfId="1" applyNumberFormat="1" applyFont="1" applyBorder="1" applyAlignment="1" applyProtection="1">
      <alignment horizontal="right"/>
    </xf>
    <xf numFmtId="171" fontId="33" fillId="0" borderId="0" xfId="1" applyNumberFormat="1" applyFont="1" applyAlignment="1">
      <alignment horizontal="right"/>
    </xf>
    <xf numFmtId="171" fontId="76" fillId="0" borderId="0" xfId="1" applyNumberFormat="1" applyFont="1" applyBorder="1" applyAlignment="1" applyProtection="1">
      <alignment horizontal="right"/>
    </xf>
    <xf numFmtId="171" fontId="76" fillId="0" borderId="6" xfId="1" applyNumberFormat="1" applyFont="1" applyBorder="1" applyAlignment="1" applyProtection="1">
      <alignment horizontal="right"/>
    </xf>
    <xf numFmtId="9" fontId="24" fillId="0" borderId="8" xfId="2" applyFont="1" applyBorder="1" applyAlignment="1">
      <alignment horizontal="right"/>
    </xf>
    <xf numFmtId="9" fontId="24" fillId="0" borderId="9" xfId="2" applyFont="1" applyBorder="1" applyAlignment="1">
      <alignment horizontal="right"/>
    </xf>
    <xf numFmtId="9" fontId="6" fillId="0" borderId="8" xfId="2" applyFont="1" applyBorder="1" applyAlignment="1" applyProtection="1">
      <alignment horizontal="right"/>
    </xf>
    <xf numFmtId="0" fontId="30" fillId="0" borderId="0" xfId="0" applyFont="1"/>
    <xf numFmtId="171" fontId="30" fillId="0" borderId="0" xfId="1" applyNumberFormat="1" applyFont="1"/>
    <xf numFmtId="171" fontId="12" fillId="0" borderId="0" xfId="1" applyNumberFormat="1" applyFont="1" applyBorder="1" applyProtection="1"/>
    <xf numFmtId="171" fontId="30" fillId="0" borderId="0" xfId="0" applyNumberFormat="1" applyFont="1"/>
    <xf numFmtId="166" fontId="30" fillId="0" borderId="0" xfId="2" applyNumberFormat="1" applyFont="1"/>
    <xf numFmtId="0" fontId="24" fillId="0" borderId="0" xfId="0" applyFont="1" applyFill="1" applyBorder="1" applyAlignment="1">
      <alignment horizontal="right"/>
    </xf>
    <xf numFmtId="0" fontId="24" fillId="0" borderId="0" xfId="0" applyFont="1" applyBorder="1"/>
    <xf numFmtId="0" fontId="33" fillId="0" borderId="0" xfId="0" applyFont="1" applyBorder="1" applyAlignment="1">
      <alignment horizontal="right"/>
    </xf>
    <xf numFmtId="171" fontId="33" fillId="0" borderId="0" xfId="1" applyNumberFormat="1" applyFont="1" applyBorder="1" applyAlignment="1">
      <alignment horizontal="right"/>
    </xf>
    <xf numFmtId="0" fontId="13" fillId="0" borderId="0" xfId="0" applyFont="1"/>
    <xf numFmtId="0" fontId="13" fillId="0" borderId="0" xfId="0" applyFont="1" applyFill="1"/>
    <xf numFmtId="0" fontId="74" fillId="0" borderId="0" xfId="0" applyFont="1" applyBorder="1"/>
    <xf numFmtId="0" fontId="24" fillId="0" borderId="6" xfId="0" applyFont="1" applyFill="1" applyBorder="1" applyAlignment="1">
      <alignment horizontal="right"/>
    </xf>
    <xf numFmtId="0" fontId="0" fillId="0" borderId="6" xfId="0" applyBorder="1"/>
    <xf numFmtId="0" fontId="24" fillId="0" borderId="9" xfId="0" applyFont="1" applyBorder="1"/>
    <xf numFmtId="0" fontId="24" fillId="0" borderId="7" xfId="0" applyFont="1" applyBorder="1" applyAlignment="1">
      <alignment horizontal="center"/>
    </xf>
    <xf numFmtId="0" fontId="24" fillId="0" borderId="1" xfId="0" applyFont="1" applyBorder="1"/>
    <xf numFmtId="9" fontId="24" fillId="0" borderId="1" xfId="2" applyFont="1" applyBorder="1" applyAlignment="1">
      <alignment horizontal="right"/>
    </xf>
    <xf numFmtId="9" fontId="24" fillId="0" borderId="1" xfId="2" applyFont="1" applyBorder="1"/>
    <xf numFmtId="9" fontId="24" fillId="0" borderId="0" xfId="2" applyFont="1" applyBorder="1"/>
    <xf numFmtId="9" fontId="24" fillId="0" borderId="6" xfId="2" applyFont="1" applyBorder="1"/>
    <xf numFmtId="9" fontId="24" fillId="0" borderId="0" xfId="2" applyFont="1" applyBorder="1" applyAlignment="1">
      <alignment horizontal="center"/>
    </xf>
    <xf numFmtId="0" fontId="13" fillId="0" borderId="0" xfId="0" applyFont="1" applyBorder="1"/>
    <xf numFmtId="0" fontId="84" fillId="0" borderId="6" xfId="0" applyFont="1" applyBorder="1" applyAlignment="1">
      <alignment horizontal="right"/>
    </xf>
    <xf numFmtId="9" fontId="24" fillId="0" borderId="6" xfId="2" applyFont="1" applyBorder="1" applyAlignment="1">
      <alignment horizontal="center"/>
    </xf>
    <xf numFmtId="167" fontId="24" fillId="0" borderId="0" xfId="1" applyNumberFormat="1" applyFont="1" applyBorder="1"/>
    <xf numFmtId="171" fontId="24" fillId="0" borderId="1" xfId="1" applyNumberFormat="1" applyFont="1" applyBorder="1" applyAlignment="1">
      <alignment horizontal="right"/>
    </xf>
    <xf numFmtId="171" fontId="24" fillId="0" borderId="1" xfId="1" applyNumberFormat="1" applyFont="1" applyBorder="1"/>
    <xf numFmtId="171" fontId="24" fillId="0" borderId="0" xfId="1" applyNumberFormat="1" applyFont="1" applyBorder="1"/>
    <xf numFmtId="171" fontId="24" fillId="0" borderId="0" xfId="1" applyNumberFormat="1" applyFont="1" applyBorder="1" applyAlignment="1">
      <alignment horizontal="center"/>
    </xf>
    <xf numFmtId="171" fontId="24" fillId="0" borderId="6" xfId="1" applyNumberFormat="1" applyFont="1" applyBorder="1" applyAlignment="1">
      <alignment horizontal="center"/>
    </xf>
    <xf numFmtId="43" fontId="24" fillId="0" borderId="0" xfId="0" applyNumberFormat="1" applyFont="1"/>
    <xf numFmtId="0" fontId="24" fillId="0" borderId="10" xfId="0" applyFont="1" applyBorder="1"/>
    <xf numFmtId="0" fontId="24" fillId="0" borderId="10" xfId="0" applyFont="1" applyBorder="1" applyAlignment="1">
      <alignment horizontal="right"/>
    </xf>
    <xf numFmtId="167" fontId="24" fillId="0" borderId="0" xfId="0" applyNumberFormat="1" applyFont="1" applyAlignment="1">
      <alignment horizontal="right"/>
    </xf>
    <xf numFmtId="0" fontId="24" fillId="0" borderId="7" xfId="0" applyFont="1" applyFill="1" applyBorder="1" applyAlignment="1">
      <alignment horizontal="center"/>
    </xf>
    <xf numFmtId="0" fontId="24" fillId="0" borderId="8" xfId="0" applyFont="1" applyFill="1" applyBorder="1" applyAlignment="1">
      <alignment horizontal="center"/>
    </xf>
    <xf numFmtId="0" fontId="24" fillId="0" borderId="9" xfId="0" applyFont="1" applyFill="1" applyBorder="1" applyAlignment="1">
      <alignment horizontal="center"/>
    </xf>
    <xf numFmtId="0" fontId="24" fillId="0" borderId="5" xfId="0" applyFont="1" applyBorder="1" applyAlignment="1">
      <alignment horizontal="right"/>
    </xf>
    <xf numFmtId="9" fontId="24" fillId="0" borderId="0" xfId="0" applyNumberFormat="1" applyFont="1" applyBorder="1" applyAlignment="1">
      <alignment horizontal="right"/>
    </xf>
    <xf numFmtId="9" fontId="84" fillId="0" borderId="0" xfId="2" applyFont="1" applyBorder="1"/>
    <xf numFmtId="9" fontId="84" fillId="0" borderId="0" xfId="2" applyFont="1" applyBorder="1" applyAlignment="1">
      <alignment horizontal="right"/>
    </xf>
    <xf numFmtId="171" fontId="33" fillId="0" borderId="0" xfId="1" applyNumberFormat="1" applyFont="1"/>
    <xf numFmtId="171" fontId="84" fillId="0" borderId="0" xfId="1" applyNumberFormat="1" applyFont="1" applyBorder="1" applyAlignment="1">
      <alignment horizontal="right"/>
    </xf>
    <xf numFmtId="171" fontId="84" fillId="0" borderId="0" xfId="1" applyNumberFormat="1" applyFont="1"/>
    <xf numFmtId="171" fontId="84" fillId="0" borderId="0" xfId="1" applyNumberFormat="1" applyFont="1" applyBorder="1"/>
    <xf numFmtId="171" fontId="0" fillId="0" borderId="0" xfId="0" applyNumberFormat="1"/>
    <xf numFmtId="171" fontId="87" fillId="0" borderId="0" xfId="1" applyNumberFormat="1" applyFont="1"/>
    <xf numFmtId="0" fontId="24" fillId="0" borderId="0" xfId="0" applyFont="1" applyFill="1" applyBorder="1"/>
    <xf numFmtId="171" fontId="24" fillId="0" borderId="0" xfId="1" applyNumberFormat="1" applyFont="1" applyFill="1" applyBorder="1"/>
    <xf numFmtId="43" fontId="24" fillId="0" borderId="1" xfId="1" applyNumberFormat="1" applyFont="1" applyBorder="1"/>
    <xf numFmtId="43" fontId="24" fillId="0" borderId="0" xfId="1" applyNumberFormat="1" applyFont="1" applyBorder="1"/>
    <xf numFmtId="43" fontId="24" fillId="0" borderId="0" xfId="1" applyNumberFormat="1" applyFont="1" applyBorder="1" applyAlignment="1">
      <alignment horizontal="center"/>
    </xf>
    <xf numFmtId="0" fontId="82" fillId="0" borderId="0" xfId="0" applyFont="1" applyBorder="1" applyAlignment="1">
      <alignment horizontal="right"/>
    </xf>
    <xf numFmtId="171" fontId="82" fillId="0" borderId="0" xfId="1" applyNumberFormat="1" applyFont="1" applyBorder="1" applyAlignment="1">
      <alignment horizontal="right"/>
    </xf>
    <xf numFmtId="171" fontId="82" fillId="0" borderId="0" xfId="1" applyNumberFormat="1" applyFont="1" applyBorder="1"/>
    <xf numFmtId="171" fontId="82" fillId="0" borderId="0" xfId="1" applyNumberFormat="1" applyFont="1" applyBorder="1" applyAlignment="1">
      <alignment horizontal="center"/>
    </xf>
    <xf numFmtId="171" fontId="82" fillId="14" borderId="0" xfId="1" applyNumberFormat="1" applyFont="1" applyFill="1" applyBorder="1" applyAlignment="1">
      <alignment horizontal="right"/>
    </xf>
    <xf numFmtId="171" fontId="24" fillId="0" borderId="0" xfId="1" applyNumberFormat="1" applyFont="1" applyFill="1"/>
    <xf numFmtId="166" fontId="0" fillId="0" borderId="0" xfId="2" applyNumberFormat="1" applyFont="1"/>
    <xf numFmtId="171" fontId="78" fillId="9" borderId="0" xfId="0" applyNumberFormat="1" applyFont="1" applyFill="1"/>
    <xf numFmtId="0" fontId="9" fillId="9" borderId="0" xfId="0" applyFont="1" applyFill="1"/>
    <xf numFmtId="171" fontId="88" fillId="9" borderId="0" xfId="1" applyNumberFormat="1" applyFont="1" applyFill="1" applyBorder="1" applyProtection="1"/>
    <xf numFmtId="166" fontId="0" fillId="9" borderId="0" xfId="2" applyNumberFormat="1" applyFont="1" applyFill="1"/>
    <xf numFmtId="166" fontId="33" fillId="0" borderId="0" xfId="2" applyNumberFormat="1" applyFont="1" applyAlignment="1">
      <alignment horizontal="right"/>
    </xf>
    <xf numFmtId="0" fontId="24" fillId="0" borderId="7" xfId="0" applyFont="1" applyBorder="1" applyAlignment="1">
      <alignment horizontal="right"/>
    </xf>
    <xf numFmtId="0" fontId="34" fillId="0" borderId="0" xfId="0" applyFont="1" applyBorder="1"/>
    <xf numFmtId="166" fontId="24" fillId="0" borderId="0" xfId="2" applyNumberFormat="1" applyFont="1" applyBorder="1"/>
    <xf numFmtId="0" fontId="33" fillId="0" borderId="0" xfId="0" applyFont="1" applyBorder="1"/>
    <xf numFmtId="166" fontId="33" fillId="0" borderId="0" xfId="0" applyNumberFormat="1" applyFont="1" applyBorder="1"/>
    <xf numFmtId="171" fontId="33" fillId="0" borderId="0" xfId="0" applyNumberFormat="1" applyFont="1"/>
    <xf numFmtId="0" fontId="6" fillId="0" borderId="0" xfId="0" applyFont="1"/>
    <xf numFmtId="0" fontId="6" fillId="0" borderId="0" xfId="0" applyFont="1" applyAlignment="1">
      <alignment horizontal="right"/>
    </xf>
    <xf numFmtId="0" fontId="6" fillId="0" borderId="8" xfId="0" applyFont="1" applyBorder="1" applyAlignment="1">
      <alignment horizontal="right"/>
    </xf>
    <xf numFmtId="0" fontId="76" fillId="0" borderId="8" xfId="0" applyFont="1" applyBorder="1" applyAlignment="1">
      <alignment horizontal="right"/>
    </xf>
    <xf numFmtId="166" fontId="6" fillId="0" borderId="0" xfId="2" applyNumberFormat="1" applyFont="1"/>
    <xf numFmtId="166" fontId="76" fillId="0" borderId="0" xfId="2" applyNumberFormat="1" applyFont="1"/>
    <xf numFmtId="166" fontId="11" fillId="0" borderId="0" xfId="2" applyNumberFormat="1" applyFont="1"/>
    <xf numFmtId="166" fontId="77" fillId="0" borderId="0" xfId="2" applyNumberFormat="1" applyFont="1"/>
    <xf numFmtId="0" fontId="6" fillId="0" borderId="8" xfId="0" applyFont="1" applyBorder="1"/>
    <xf numFmtId="166" fontId="6" fillId="0" borderId="8" xfId="2" applyNumberFormat="1" applyFont="1" applyBorder="1"/>
    <xf numFmtId="166" fontId="11" fillId="0" borderId="8" xfId="2" applyNumberFormat="1" applyFont="1" applyBorder="1"/>
    <xf numFmtId="166" fontId="77" fillId="0" borderId="8" xfId="2" applyNumberFormat="1" applyFont="1" applyBorder="1"/>
    <xf numFmtId="0" fontId="76" fillId="0" borderId="0" xfId="0" applyFont="1" applyAlignment="1">
      <alignment horizontal="right"/>
    </xf>
    <xf numFmtId="166" fontId="89" fillId="0" borderId="0" xfId="2" applyNumberFormat="1" applyFont="1"/>
    <xf numFmtId="166" fontId="90" fillId="0" borderId="0" xfId="2" applyNumberFormat="1" applyFont="1"/>
    <xf numFmtId="171" fontId="82" fillId="14" borderId="0" xfId="0" applyNumberFormat="1" applyFont="1" applyFill="1"/>
    <xf numFmtId="171" fontId="24" fillId="0" borderId="8" xfId="1" applyNumberFormat="1" applyFont="1" applyBorder="1"/>
    <xf numFmtId="0" fontId="33" fillId="0" borderId="5" xfId="0" applyFont="1" applyBorder="1"/>
    <xf numFmtId="9" fontId="33" fillId="0" borderId="0" xfId="2" applyFont="1"/>
    <xf numFmtId="9" fontId="33" fillId="0" borderId="5" xfId="2" applyFont="1" applyBorder="1"/>
    <xf numFmtId="166" fontId="33" fillId="0" borderId="0" xfId="2" applyNumberFormat="1" applyFont="1"/>
    <xf numFmtId="166" fontId="33" fillId="0" borderId="5" xfId="2" applyNumberFormat="1" applyFont="1" applyBorder="1"/>
    <xf numFmtId="0" fontId="74" fillId="0" borderId="12" xfId="0" applyFont="1" applyBorder="1" applyAlignment="1">
      <alignment horizontal="center"/>
    </xf>
    <xf numFmtId="0" fontId="74" fillId="0" borderId="13" xfId="0" applyFont="1" applyBorder="1" applyAlignment="1">
      <alignment horizontal="center"/>
    </xf>
    <xf numFmtId="0" fontId="74" fillId="0" borderId="14" xfId="0" applyFont="1" applyBorder="1" applyAlignment="1">
      <alignment horizontal="center"/>
    </xf>
    <xf numFmtId="171" fontId="33" fillId="0" borderId="0" xfId="2" applyNumberFormat="1" applyFont="1"/>
    <xf numFmtId="171" fontId="33" fillId="0" borderId="5" xfId="2" applyNumberFormat="1" applyFont="1" applyBorder="1"/>
    <xf numFmtId="166" fontId="91" fillId="0" borderId="0" xfId="2" applyNumberFormat="1" applyFont="1"/>
    <xf numFmtId="166" fontId="91" fillId="0" borderId="6" xfId="2" applyNumberFormat="1" applyFont="1" applyBorder="1"/>
    <xf numFmtId="0" fontId="91" fillId="0" borderId="0" xfId="0" applyFont="1" applyAlignment="1">
      <alignment horizontal="right"/>
    </xf>
    <xf numFmtId="0" fontId="86" fillId="0" borderId="6" xfId="0" applyFont="1" applyBorder="1" applyAlignment="1">
      <alignment horizontal="right"/>
    </xf>
    <xf numFmtId="171" fontId="84" fillId="0" borderId="0" xfId="0" applyNumberFormat="1" applyFont="1"/>
    <xf numFmtId="171" fontId="84" fillId="0" borderId="6" xfId="0" applyNumberFormat="1" applyFont="1" applyBorder="1"/>
    <xf numFmtId="0" fontId="0" fillId="0" borderId="0" xfId="0" applyFont="1" applyAlignment="1">
      <alignment horizontal="right"/>
    </xf>
    <xf numFmtId="0" fontId="92" fillId="0" borderId="0" xfId="0" applyFont="1"/>
    <xf numFmtId="0" fontId="24" fillId="0" borderId="21" xfId="0" applyFont="1" applyFill="1" applyBorder="1" applyAlignment="1">
      <alignment vertical="center"/>
    </xf>
    <xf numFmtId="0" fontId="24" fillId="0" borderId="21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93" fillId="0" borderId="0" xfId="0" applyFont="1" applyFill="1" applyBorder="1" applyAlignment="1">
      <alignment horizontal="right" vertical="center" wrapText="1"/>
    </xf>
    <xf numFmtId="0" fontId="24" fillId="0" borderId="22" xfId="0" applyFont="1" applyBorder="1"/>
    <xf numFmtId="0" fontId="24" fillId="0" borderId="22" xfId="0" applyFont="1" applyBorder="1" applyAlignment="1">
      <alignment horizontal="center"/>
    </xf>
    <xf numFmtId="9" fontId="24" fillId="0" borderId="1" xfId="0" applyNumberFormat="1" applyFont="1" applyBorder="1" applyAlignment="1">
      <alignment horizontal="center"/>
    </xf>
    <xf numFmtId="0" fontId="93" fillId="0" borderId="0" xfId="0" applyFont="1"/>
    <xf numFmtId="0" fontId="24" fillId="0" borderId="19" xfId="0" applyFont="1" applyBorder="1"/>
    <xf numFmtId="0" fontId="92" fillId="0" borderId="0" xfId="0" applyFont="1" applyFill="1" applyBorder="1"/>
    <xf numFmtId="0" fontId="94" fillId="0" borderId="12" xfId="0" applyFont="1" applyBorder="1" applyAlignment="1">
      <alignment horizontal="center"/>
    </xf>
    <xf numFmtId="0" fontId="94" fillId="0" borderId="13" xfId="0" applyFont="1" applyBorder="1" applyAlignment="1">
      <alignment horizontal="center"/>
    </xf>
    <xf numFmtId="0" fontId="94" fillId="0" borderId="14" xfId="0" applyFont="1" applyBorder="1" applyAlignment="1">
      <alignment horizontal="center"/>
    </xf>
    <xf numFmtId="9" fontId="24" fillId="0" borderId="3" xfId="0" applyNumberFormat="1" applyFont="1" applyBorder="1" applyAlignment="1">
      <alignment horizontal="center"/>
    </xf>
    <xf numFmtId="9" fontId="24" fillId="0" borderId="4" xfId="0" applyNumberFormat="1" applyFont="1" applyBorder="1" applyAlignment="1">
      <alignment horizontal="center"/>
    </xf>
    <xf numFmtId="9" fontId="24" fillId="0" borderId="5" xfId="0" applyNumberFormat="1" applyFont="1" applyBorder="1" applyAlignment="1">
      <alignment horizontal="center"/>
    </xf>
    <xf numFmtId="9" fontId="24" fillId="0" borderId="7" xfId="0" applyNumberFormat="1" applyFont="1" applyBorder="1" applyAlignment="1">
      <alignment horizontal="center"/>
    </xf>
    <xf numFmtId="9" fontId="24" fillId="0" borderId="8" xfId="0" applyNumberFormat="1" applyFont="1" applyBorder="1" applyAlignment="1">
      <alignment horizontal="center"/>
    </xf>
    <xf numFmtId="9" fontId="24" fillId="0" borderId="9" xfId="0" applyNumberFormat="1" applyFont="1" applyBorder="1" applyAlignment="1">
      <alignment horizontal="center"/>
    </xf>
    <xf numFmtId="0" fontId="92" fillId="0" borderId="3" xfId="0" applyFont="1" applyFill="1" applyBorder="1"/>
    <xf numFmtId="0" fontId="24" fillId="0" borderId="12" xfId="0" applyFont="1" applyBorder="1" applyAlignment="1">
      <alignment horizontal="center"/>
    </xf>
    <xf numFmtId="0" fontId="24" fillId="0" borderId="13" xfId="0" applyFont="1" applyBorder="1" applyAlignment="1">
      <alignment horizontal="center"/>
    </xf>
    <xf numFmtId="0" fontId="24" fillId="0" borderId="14" xfId="0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24" fillId="0" borderId="4" xfId="0" applyFont="1" applyBorder="1" applyAlignment="1">
      <alignment horizontal="center"/>
    </xf>
    <xf numFmtId="0" fontId="24" fillId="0" borderId="5" xfId="0" applyFont="1" applyBorder="1" applyAlignment="1">
      <alignment horizontal="center"/>
    </xf>
    <xf numFmtId="166" fontId="3" fillId="0" borderId="0" xfId="2" applyNumberFormat="1" applyFont="1" applyAlignment="1">
      <alignment horizontal="right"/>
    </xf>
    <xf numFmtId="0" fontId="85" fillId="0" borderId="0" xfId="0" applyFont="1"/>
    <xf numFmtId="0" fontId="0" fillId="0" borderId="0" xfId="0" applyAlignment="1">
      <alignment horizontal="left"/>
    </xf>
    <xf numFmtId="166" fontId="85" fillId="0" borderId="0" xfId="2" applyNumberFormat="1" applyFont="1"/>
    <xf numFmtId="0" fontId="0" fillId="13" borderId="0" xfId="0" applyFill="1"/>
    <xf numFmtId="166" fontId="85" fillId="13" borderId="0" xfId="2" applyNumberFormat="1" applyFont="1" applyFill="1"/>
    <xf numFmtId="1" fontId="3" fillId="0" borderId="0" xfId="2" applyNumberFormat="1" applyFont="1"/>
    <xf numFmtId="0" fontId="0" fillId="0" borderId="0" xfId="0" applyAlignment="1">
      <alignment vertical="center"/>
    </xf>
    <xf numFmtId="0" fontId="14" fillId="0" borderId="21" xfId="0" applyFont="1" applyFill="1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19" xfId="0" applyBorder="1" applyAlignment="1">
      <alignment vertical="center"/>
    </xf>
    <xf numFmtId="0" fontId="14" fillId="0" borderId="1" xfId="0" applyFont="1" applyFill="1" applyBorder="1" applyAlignment="1">
      <alignment horizontal="left" vertical="center" indent="2"/>
    </xf>
    <xf numFmtId="0" fontId="14" fillId="0" borderId="7" xfId="0" applyFont="1" applyFill="1" applyBorder="1" applyAlignment="1">
      <alignment horizontal="left" vertical="center" indent="2"/>
    </xf>
    <xf numFmtId="0" fontId="83" fillId="0" borderId="21" xfId="0" applyFont="1" applyFill="1" applyBorder="1" applyAlignment="1">
      <alignment vertical="center"/>
    </xf>
    <xf numFmtId="0" fontId="83" fillId="0" borderId="3" xfId="0" applyFont="1" applyFill="1" applyBorder="1" applyAlignment="1">
      <alignment vertical="center"/>
    </xf>
    <xf numFmtId="0" fontId="28" fillId="10" borderId="21" xfId="0" applyFont="1" applyFill="1" applyBorder="1" applyAlignment="1">
      <alignment vertical="center"/>
    </xf>
    <xf numFmtId="171" fontId="33" fillId="0" borderId="5" xfId="1" applyNumberFormat="1" applyFont="1" applyBorder="1"/>
    <xf numFmtId="0" fontId="24" fillId="0" borderId="0" xfId="1" applyNumberFormat="1" applyFont="1" applyAlignment="1">
      <alignment horizontal="right"/>
    </xf>
    <xf numFmtId="0" fontId="14" fillId="0" borderId="18" xfId="0" applyFont="1" applyFill="1" applyBorder="1" applyAlignment="1">
      <alignment vertical="center"/>
    </xf>
    <xf numFmtId="0" fontId="14" fillId="0" borderId="19" xfId="0" applyFont="1" applyFill="1" applyBorder="1" applyAlignment="1">
      <alignment vertical="center"/>
    </xf>
    <xf numFmtId="0" fontId="0" fillId="0" borderId="18" xfId="0" applyFont="1" applyFill="1" applyBorder="1" applyAlignment="1">
      <alignment vertical="center"/>
    </xf>
    <xf numFmtId="0" fontId="0" fillId="0" borderId="22" xfId="0" applyFill="1" applyBorder="1" applyAlignment="1">
      <alignment vertical="center"/>
    </xf>
    <xf numFmtId="0" fontId="0" fillId="0" borderId="19" xfId="0" applyFill="1" applyBorder="1" applyAlignment="1">
      <alignment vertical="center"/>
    </xf>
    <xf numFmtId="0" fontId="14" fillId="0" borderId="21" xfId="0" applyFont="1" applyFill="1" applyBorder="1" applyAlignment="1">
      <alignment vertical="center" wrapText="1"/>
    </xf>
    <xf numFmtId="0" fontId="14" fillId="0" borderId="22" xfId="0" applyFont="1" applyFill="1" applyBorder="1" applyAlignment="1">
      <alignment horizontal="left" vertical="center" wrapText="1" indent="2"/>
    </xf>
    <xf numFmtId="0" fontId="14" fillId="0" borderId="19" xfId="0" applyFont="1" applyFill="1" applyBorder="1" applyAlignment="1">
      <alignment horizontal="left" vertical="center" indent="2"/>
    </xf>
    <xf numFmtId="0" fontId="14" fillId="0" borderId="22" xfId="0" applyFont="1" applyFill="1" applyBorder="1" applyAlignment="1">
      <alignment horizontal="left" vertical="center" indent="2"/>
    </xf>
    <xf numFmtId="0" fontId="14" fillId="0" borderId="19" xfId="0" applyFont="1" applyFill="1" applyBorder="1" applyAlignment="1">
      <alignment horizontal="left" vertical="center" wrapText="1" indent="2"/>
    </xf>
    <xf numFmtId="0" fontId="69" fillId="0" borderId="21" xfId="0" applyFont="1" applyFill="1" applyBorder="1" applyAlignment="1">
      <alignment vertical="center"/>
    </xf>
    <xf numFmtId="0" fontId="0" fillId="0" borderId="22" xfId="0" applyFont="1" applyFill="1" applyBorder="1" applyAlignment="1">
      <alignment vertical="center"/>
    </xf>
    <xf numFmtId="0" fontId="69" fillId="0" borderId="21" xfId="0" applyFont="1" applyFill="1" applyBorder="1" applyAlignment="1">
      <alignment vertical="center" wrapText="1"/>
    </xf>
    <xf numFmtId="0" fontId="69" fillId="0" borderId="18" xfId="0" applyFont="1" applyFill="1" applyBorder="1" applyAlignment="1">
      <alignment vertical="center"/>
    </xf>
    <xf numFmtId="0" fontId="69" fillId="0" borderId="22" xfId="0" applyFont="1" applyFill="1" applyBorder="1" applyAlignment="1">
      <alignment vertical="center"/>
    </xf>
    <xf numFmtId="166" fontId="3" fillId="0" borderId="0" xfId="2" applyNumberFormat="1" applyFont="1"/>
    <xf numFmtId="166" fontId="0" fillId="0" borderId="0" xfId="0" applyNumberFormat="1"/>
    <xf numFmtId="0" fontId="95" fillId="0" borderId="0" xfId="0" applyFont="1"/>
    <xf numFmtId="0" fontId="0" fillId="0" borderId="1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24" fillId="0" borderId="6" xfId="0" applyFont="1" applyBorder="1" applyAlignment="1">
      <alignment horizontal="center"/>
    </xf>
    <xf numFmtId="0" fontId="6" fillId="0" borderId="9" xfId="0" applyFont="1" applyFill="1" applyBorder="1" applyAlignment="1" applyProtection="1">
      <alignment horizontal="right"/>
    </xf>
    <xf numFmtId="0" fontId="97" fillId="0" borderId="0" xfId="0" applyFont="1"/>
    <xf numFmtId="0" fontId="0" fillId="0" borderId="7" xfId="0" applyBorder="1"/>
    <xf numFmtId="0" fontId="0" fillId="0" borderId="8" xfId="0" applyBorder="1"/>
    <xf numFmtId="0" fontId="24" fillId="0" borderId="7" xfId="0" applyFont="1" applyFill="1" applyBorder="1" applyAlignment="1">
      <alignment horizontal="right"/>
    </xf>
    <xf numFmtId="9" fontId="24" fillId="0" borderId="8" xfId="2" applyFont="1" applyBorder="1"/>
    <xf numFmtId="9" fontId="24" fillId="0" borderId="9" xfId="2" applyFont="1" applyBorder="1"/>
    <xf numFmtId="166" fontId="24" fillId="0" borderId="6" xfId="2" applyNumberFormat="1" applyFont="1" applyBorder="1"/>
    <xf numFmtId="166" fontId="24" fillId="0" borderId="9" xfId="2" applyNumberFormat="1" applyFont="1" applyBorder="1"/>
    <xf numFmtId="0" fontId="33" fillId="0" borderId="6" xfId="0" applyFont="1" applyBorder="1"/>
    <xf numFmtId="166" fontId="33" fillId="0" borderId="6" xfId="2" applyNumberFormat="1" applyFont="1" applyBorder="1"/>
    <xf numFmtId="43" fontId="0" fillId="0" borderId="0" xfId="0" applyNumberFormat="1"/>
    <xf numFmtId="171" fontId="24" fillId="0" borderId="7" xfId="1" applyNumberFormat="1" applyFont="1" applyBorder="1"/>
    <xf numFmtId="171" fontId="24" fillId="0" borderId="9" xfId="1" applyNumberFormat="1" applyFont="1" applyBorder="1"/>
    <xf numFmtId="171" fontId="98" fillId="0" borderId="0" xfId="1" applyNumberFormat="1" applyFont="1"/>
    <xf numFmtId="171" fontId="98" fillId="0" borderId="6" xfId="1" applyNumberFormat="1" applyFont="1" applyBorder="1"/>
    <xf numFmtId="9" fontId="33" fillId="0" borderId="6" xfId="2" applyFont="1" applyBorder="1"/>
    <xf numFmtId="9" fontId="24" fillId="0" borderId="7" xfId="2" applyFont="1" applyBorder="1"/>
    <xf numFmtId="167" fontId="0" fillId="0" borderId="0" xfId="1" applyNumberFormat="1" applyFont="1"/>
    <xf numFmtId="167" fontId="0" fillId="0" borderId="8" xfId="1" applyNumberFormat="1" applyFont="1" applyBorder="1"/>
    <xf numFmtId="171" fontId="0" fillId="0" borderId="8" xfId="1" applyNumberFormat="1" applyFont="1" applyBorder="1"/>
    <xf numFmtId="9" fontId="0" fillId="0" borderId="0" xfId="0" applyNumberFormat="1"/>
    <xf numFmtId="0" fontId="97" fillId="0" borderId="22" xfId="0" applyFont="1" applyBorder="1"/>
    <xf numFmtId="0" fontId="31" fillId="0" borderId="19" xfId="0" applyFont="1" applyBorder="1"/>
    <xf numFmtId="0" fontId="0" fillId="0" borderId="22" xfId="0" applyBorder="1"/>
    <xf numFmtId="43" fontId="24" fillId="0" borderId="0" xfId="1" applyNumberFormat="1" applyFont="1"/>
    <xf numFmtId="171" fontId="24" fillId="0" borderId="0" xfId="0" applyNumberFormat="1" applyFont="1"/>
    <xf numFmtId="9" fontId="14" fillId="15" borderId="22" xfId="0" applyNumberFormat="1" applyFont="1" applyFill="1" applyBorder="1"/>
    <xf numFmtId="9" fontId="14" fillId="15" borderId="19" xfId="0" applyNumberFormat="1" applyFont="1" applyFill="1" applyBorder="1"/>
    <xf numFmtId="0" fontId="39" fillId="0" borderId="0" xfId="0" applyFont="1" applyAlignment="1">
      <alignment horizontal="right"/>
    </xf>
    <xf numFmtId="0" fontId="97" fillId="0" borderId="0" xfId="0" applyFont="1" applyAlignment="1">
      <alignment horizontal="right"/>
    </xf>
    <xf numFmtId="0" fontId="99" fillId="0" borderId="0" xfId="0" applyFont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9" fontId="0" fillId="0" borderId="22" xfId="0" applyNumberFormat="1" applyBorder="1" applyAlignment="1">
      <alignment horizontal="center"/>
    </xf>
    <xf numFmtId="9" fontId="0" fillId="0" borderId="19" xfId="0" applyNumberFormat="1" applyBorder="1" applyAlignment="1">
      <alignment horizontal="center"/>
    </xf>
    <xf numFmtId="0" fontId="74" fillId="0" borderId="7" xfId="0" applyFont="1" applyBorder="1" applyAlignment="1">
      <alignment horizontal="center"/>
    </xf>
    <xf numFmtId="0" fontId="6" fillId="0" borderId="7" xfId="0" applyFont="1" applyFill="1" applyBorder="1" applyAlignment="1" applyProtection="1">
      <alignment horizontal="right"/>
    </xf>
    <xf numFmtId="0" fontId="0" fillId="0" borderId="5" xfId="0" applyBorder="1"/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99" fillId="0" borderId="0" xfId="0" applyFont="1" applyAlignment="1">
      <alignment horizontal="right"/>
    </xf>
    <xf numFmtId="166" fontId="24" fillId="0" borderId="0" xfId="2" applyNumberFormat="1" applyFont="1" applyFill="1" applyBorder="1"/>
    <xf numFmtId="166" fontId="24" fillId="0" borderId="7" xfId="2" applyNumberFormat="1" applyFont="1" applyBorder="1"/>
    <xf numFmtId="0" fontId="91" fillId="0" borderId="0" xfId="0" applyFont="1"/>
    <xf numFmtId="0" fontId="100" fillId="0" borderId="0" xfId="0" applyFont="1"/>
    <xf numFmtId="171" fontId="86" fillId="0" borderId="0" xfId="1" applyNumberFormat="1" applyFont="1"/>
    <xf numFmtId="166" fontId="87" fillId="0" borderId="0" xfId="2" applyNumberFormat="1" applyFont="1"/>
    <xf numFmtId="171" fontId="101" fillId="0" borderId="0" xfId="1" applyNumberFormat="1" applyFont="1"/>
    <xf numFmtId="166" fontId="101" fillId="0" borderId="0" xfId="2" applyNumberFormat="1" applyFont="1"/>
    <xf numFmtId="0" fontId="102" fillId="0" borderId="0" xfId="0" applyFont="1" applyFill="1" applyBorder="1" applyAlignment="1" applyProtection="1">
      <alignment horizontal="left"/>
    </xf>
    <xf numFmtId="9" fontId="86" fillId="0" borderId="0" xfId="0" applyNumberFormat="1" applyFont="1"/>
    <xf numFmtId="167" fontId="0" fillId="0" borderId="6" xfId="1" applyNumberFormat="1" applyFont="1" applyBorder="1"/>
    <xf numFmtId="167" fontId="0" fillId="0" borderId="9" xfId="1" applyNumberFormat="1" applyFont="1" applyBorder="1"/>
    <xf numFmtId="166" fontId="39" fillId="0" borderId="0" xfId="2" applyNumberFormat="1" applyFont="1"/>
    <xf numFmtId="171" fontId="0" fillId="0" borderId="0" xfId="1" applyNumberFormat="1" applyFont="1" applyBorder="1"/>
    <xf numFmtId="171" fontId="85" fillId="0" borderId="0" xfId="0" applyNumberFormat="1" applyFont="1"/>
    <xf numFmtId="0" fontId="103" fillId="0" borderId="0" xfId="0" applyFont="1" applyAlignment="1">
      <alignment horizontal="right"/>
    </xf>
    <xf numFmtId="0" fontId="86" fillId="0" borderId="0" xfId="0" applyFont="1" applyAlignment="1">
      <alignment horizontal="right"/>
    </xf>
    <xf numFmtId="0" fontId="87" fillId="0" borderId="0" xfId="0" applyFont="1" applyAlignment="1">
      <alignment horizontal="right"/>
    </xf>
    <xf numFmtId="166" fontId="87" fillId="0" borderId="0" xfId="0" applyNumberFormat="1" applyFont="1"/>
    <xf numFmtId="0" fontId="0" fillId="0" borderId="8" xfId="0" applyBorder="1" applyAlignment="1">
      <alignment horizontal="right"/>
    </xf>
    <xf numFmtId="2" fontId="104" fillId="0" borderId="0" xfId="0" applyNumberFormat="1" applyFont="1"/>
    <xf numFmtId="43" fontId="104" fillId="0" borderId="0" xfId="1" applyFont="1"/>
    <xf numFmtId="43" fontId="104" fillId="0" borderId="6" xfId="1" applyFont="1" applyBorder="1"/>
    <xf numFmtId="172" fontId="104" fillId="0" borderId="0" xfId="0" applyNumberFormat="1" applyFont="1"/>
    <xf numFmtId="166" fontId="104" fillId="0" borderId="6" xfId="0" applyNumberFormat="1" applyFont="1" applyBorder="1" applyAlignment="1">
      <alignment horizontal="right"/>
    </xf>
    <xf numFmtId="9" fontId="87" fillId="0" borderId="0" xfId="2" applyFont="1"/>
    <xf numFmtId="9" fontId="104" fillId="0" borderId="0" xfId="2" applyFont="1"/>
    <xf numFmtId="9" fontId="87" fillId="0" borderId="0" xfId="2" applyFont="1" applyAlignment="1">
      <alignment horizontal="right"/>
    </xf>
    <xf numFmtId="167" fontId="87" fillId="0" borderId="0" xfId="1" applyNumberFormat="1" applyFont="1" applyAlignment="1">
      <alignment horizontal="right"/>
    </xf>
    <xf numFmtId="171" fontId="105" fillId="14" borderId="0" xfId="1" applyNumberFormat="1" applyFont="1" applyFill="1"/>
    <xf numFmtId="9" fontId="86" fillId="15" borderId="0" xfId="0" applyNumberFormat="1" applyFont="1" applyFill="1"/>
    <xf numFmtId="166" fontId="91" fillId="14" borderId="1" xfId="2" applyNumberFormat="1" applyFont="1" applyFill="1" applyBorder="1"/>
    <xf numFmtId="0" fontId="0" fillId="15" borderId="0" xfId="0" applyFill="1"/>
    <xf numFmtId="0" fontId="0" fillId="0" borderId="22" xfId="0" applyBorder="1" applyAlignment="1">
      <alignment horizontal="center"/>
    </xf>
    <xf numFmtId="0" fontId="0" fillId="0" borderId="19" xfId="0" applyFill="1" applyBorder="1" applyAlignment="1">
      <alignment horizontal="center"/>
    </xf>
    <xf numFmtId="9" fontId="0" fillId="0" borderId="18" xfId="0" applyNumberFormat="1" applyBorder="1" applyAlignment="1">
      <alignment horizontal="center"/>
    </xf>
    <xf numFmtId="167" fontId="106" fillId="0" borderId="0" xfId="1" applyNumberFormat="1" applyFont="1"/>
    <xf numFmtId="167" fontId="104" fillId="0" borderId="0" xfId="1" applyNumberFormat="1" applyFont="1"/>
    <xf numFmtId="167" fontId="24" fillId="0" borderId="0" xfId="1" applyNumberFormat="1" applyFont="1" applyFill="1" applyBorder="1"/>
    <xf numFmtId="0" fontId="30" fillId="0" borderId="0" xfId="0" applyFont="1" applyBorder="1"/>
    <xf numFmtId="166" fontId="30" fillId="0" borderId="0" xfId="2" applyNumberFormat="1" applyFont="1" applyBorder="1"/>
    <xf numFmtId="171" fontId="30" fillId="0" borderId="0" xfId="0" applyNumberFormat="1" applyFont="1" applyBorder="1"/>
    <xf numFmtId="9" fontId="24" fillId="0" borderId="7" xfId="2" applyFont="1" applyBorder="1" applyAlignment="1">
      <alignment horizontal="right"/>
    </xf>
    <xf numFmtId="9" fontId="33" fillId="0" borderId="0" xfId="2" applyFont="1" applyAlignment="1">
      <alignment horizontal="right"/>
    </xf>
    <xf numFmtId="9" fontId="76" fillId="0" borderId="0" xfId="2" applyFont="1" applyBorder="1" applyAlignment="1" applyProtection="1">
      <alignment horizontal="right"/>
    </xf>
    <xf numFmtId="9" fontId="76" fillId="0" borderId="6" xfId="2" applyFont="1" applyBorder="1" applyAlignment="1" applyProtection="1">
      <alignment horizontal="right"/>
    </xf>
    <xf numFmtId="0" fontId="30" fillId="0" borderId="0" xfId="0" applyFont="1" applyAlignment="1">
      <alignment horizontal="right"/>
    </xf>
    <xf numFmtId="0" fontId="107" fillId="0" borderId="6" xfId="0" applyFont="1" applyBorder="1"/>
    <xf numFmtId="171" fontId="108" fillId="0" borderId="0" xfId="0" applyNumberFormat="1" applyFont="1" applyBorder="1"/>
    <xf numFmtId="0" fontId="107" fillId="0" borderId="6" xfId="0" applyFont="1" applyBorder="1" applyAlignment="1">
      <alignment horizontal="right"/>
    </xf>
    <xf numFmtId="9" fontId="108" fillId="0" borderId="0" xfId="2" applyFont="1" applyBorder="1"/>
    <xf numFmtId="167" fontId="108" fillId="0" borderId="0" xfId="1" applyNumberFormat="1" applyFont="1" applyBorder="1"/>
    <xf numFmtId="171" fontId="108" fillId="0" borderId="0" xfId="1" applyNumberFormat="1" applyFont="1" applyBorder="1"/>
    <xf numFmtId="9" fontId="108" fillId="0" borderId="0" xfId="2" applyFont="1"/>
    <xf numFmtId="0" fontId="0" fillId="0" borderId="9" xfId="0" applyBorder="1" applyAlignment="1">
      <alignment horizontal="right"/>
    </xf>
    <xf numFmtId="0" fontId="86" fillId="0" borderId="6" xfId="0" applyFont="1" applyBorder="1"/>
    <xf numFmtId="0" fontId="86" fillId="0" borderId="6" xfId="0" applyFont="1" applyFill="1" applyBorder="1" applyAlignment="1">
      <alignment horizontal="right"/>
    </xf>
    <xf numFmtId="9" fontId="24" fillId="0" borderId="0" xfId="0" applyNumberFormat="1" applyFont="1" applyBorder="1"/>
    <xf numFmtId="171" fontId="24" fillId="0" borderId="0" xfId="0" applyNumberFormat="1" applyFont="1" applyBorder="1"/>
    <xf numFmtId="0" fontId="76" fillId="0" borderId="0" xfId="0" applyFont="1" applyFill="1" applyBorder="1" applyAlignment="1" applyProtection="1">
      <alignment horizontal="right"/>
    </xf>
    <xf numFmtId="0" fontId="109" fillId="0" borderId="6" xfId="0" applyFont="1" applyFill="1" applyBorder="1" applyAlignment="1">
      <alignment horizontal="right"/>
    </xf>
    <xf numFmtId="0" fontId="109" fillId="0" borderId="6" xfId="0" applyFont="1" applyBorder="1"/>
    <xf numFmtId="9" fontId="110" fillId="0" borderId="0" xfId="0" applyNumberFormat="1" applyFont="1" applyBorder="1"/>
    <xf numFmtId="0" fontId="86" fillId="0" borderId="0" xfId="0" applyFont="1" applyBorder="1" applyAlignment="1">
      <alignment horizontal="right"/>
    </xf>
    <xf numFmtId="9" fontId="110" fillId="0" borderId="0" xfId="0" applyNumberFormat="1" applyFont="1" applyBorder="1" applyAlignment="1">
      <alignment horizontal="right"/>
    </xf>
    <xf numFmtId="171" fontId="24" fillId="0" borderId="0" xfId="0" applyNumberFormat="1" applyFont="1" applyAlignment="1">
      <alignment horizontal="center"/>
    </xf>
    <xf numFmtId="171" fontId="24" fillId="0" borderId="8" xfId="0" applyNumberFormat="1" applyFont="1" applyBorder="1" applyAlignment="1">
      <alignment horizontal="right"/>
    </xf>
    <xf numFmtId="171" fontId="24" fillId="0" borderId="0" xfId="1" applyNumberFormat="1" applyFont="1" applyAlignment="1">
      <alignment horizontal="center"/>
    </xf>
    <xf numFmtId="171" fontId="24" fillId="0" borderId="8" xfId="1" applyNumberFormat="1" applyFont="1" applyBorder="1" applyAlignment="1">
      <alignment horizontal="center"/>
    </xf>
    <xf numFmtId="171" fontId="24" fillId="0" borderId="9" xfId="1" applyNumberFormat="1" applyFont="1" applyBorder="1" applyAlignment="1">
      <alignment horizontal="center"/>
    </xf>
    <xf numFmtId="171" fontId="111" fillId="14" borderId="0" xfId="1" applyNumberFormat="1" applyFont="1" applyFill="1"/>
    <xf numFmtId="166" fontId="112" fillId="14" borderId="0" xfId="2" applyNumberFormat="1" applyFont="1" applyFill="1" applyBorder="1"/>
    <xf numFmtId="166" fontId="33" fillId="0" borderId="6" xfId="2" applyNumberFormat="1" applyFont="1" applyBorder="1" applyAlignment="1">
      <alignment horizontal="right"/>
    </xf>
    <xf numFmtId="171" fontId="33" fillId="0" borderId="0" xfId="1" applyNumberFormat="1" applyFont="1" applyAlignment="1">
      <alignment horizontal="center"/>
    </xf>
    <xf numFmtId="171" fontId="33" fillId="0" borderId="6" xfId="1" applyNumberFormat="1" applyFont="1" applyBorder="1" applyAlignment="1">
      <alignment horizontal="center"/>
    </xf>
    <xf numFmtId="171" fontId="108" fillId="0" borderId="0" xfId="0" applyNumberFormat="1" applyFont="1" applyBorder="1" applyAlignment="1">
      <alignment horizontal="right"/>
    </xf>
    <xf numFmtId="3" fontId="24" fillId="0" borderId="6" xfId="0" applyNumberFormat="1" applyFont="1" applyBorder="1" applyAlignment="1">
      <alignment horizontal="center"/>
    </xf>
    <xf numFmtId="3" fontId="24" fillId="0" borderId="9" xfId="0" applyNumberFormat="1" applyFont="1" applyBorder="1" applyAlignment="1">
      <alignment horizontal="center"/>
    </xf>
    <xf numFmtId="0" fontId="75" fillId="0" borderId="0" xfId="4" applyNumberFormat="1" applyFont="1" applyBorder="1" applyAlignment="1">
      <alignment horizontal="center" vertical="center"/>
    </xf>
    <xf numFmtId="166" fontId="52" fillId="0" borderId="0" xfId="3" applyNumberFormat="1" applyFont="1" applyBorder="1" applyAlignment="1">
      <alignment horizontal="center" vertical="top" wrapText="1"/>
    </xf>
    <xf numFmtId="0" fontId="61" fillId="0" borderId="21" xfId="3" applyFont="1" applyBorder="1" applyAlignment="1">
      <alignment horizontal="center" vertical="top" wrapText="1"/>
    </xf>
    <xf numFmtId="171" fontId="98" fillId="0" borderId="0" xfId="0" applyNumberFormat="1" applyFont="1"/>
    <xf numFmtId="9" fontId="98" fillId="0" borderId="0" xfId="2" applyFont="1"/>
    <xf numFmtId="9" fontId="33" fillId="0" borderId="4" xfId="2" applyFont="1" applyBorder="1"/>
    <xf numFmtId="171" fontId="24" fillId="0" borderId="7" xfId="1" applyNumberFormat="1" applyFont="1" applyBorder="1" applyAlignment="1">
      <alignment horizontal="right"/>
    </xf>
    <xf numFmtId="171" fontId="33" fillId="0" borderId="4" xfId="1" applyNumberFormat="1" applyFont="1" applyBorder="1"/>
    <xf numFmtId="171" fontId="85" fillId="0" borderId="0" xfId="1" applyNumberFormat="1" applyFont="1"/>
    <xf numFmtId="171" fontId="113" fillId="14" borderId="0" xfId="0" applyNumberFormat="1" applyFont="1" applyFill="1"/>
    <xf numFmtId="166" fontId="9" fillId="0" borderId="1" xfId="2" applyNumberFormat="1" applyFont="1" applyFill="1" applyBorder="1" applyAlignment="1">
      <alignment horizontal="right"/>
    </xf>
    <xf numFmtId="166" fontId="9" fillId="0" borderId="0" xfId="2" applyNumberFormat="1" applyFont="1" applyFill="1" applyBorder="1" applyAlignment="1">
      <alignment horizontal="right"/>
    </xf>
    <xf numFmtId="166" fontId="113" fillId="14" borderId="0" xfId="2" applyNumberFormat="1" applyFont="1" applyFill="1" applyBorder="1" applyAlignment="1">
      <alignment horizontal="right"/>
    </xf>
    <xf numFmtId="43" fontId="0" fillId="0" borderId="0" xfId="1" applyNumberFormat="1" applyFont="1"/>
    <xf numFmtId="9" fontId="9" fillId="0" borderId="18" xfId="2" applyFont="1" applyBorder="1" applyAlignment="1">
      <alignment horizontal="center"/>
    </xf>
    <xf numFmtId="9" fontId="9" fillId="0" borderId="22" xfId="2" applyFont="1" applyBorder="1" applyAlignment="1">
      <alignment horizontal="center"/>
    </xf>
    <xf numFmtId="9" fontId="9" fillId="0" borderId="19" xfId="2" applyFont="1" applyBorder="1" applyAlignment="1">
      <alignment horizontal="center"/>
    </xf>
    <xf numFmtId="0" fontId="33" fillId="0" borderId="6" xfId="0" applyFont="1" applyBorder="1" applyAlignment="1">
      <alignment horizontal="right"/>
    </xf>
    <xf numFmtId="171" fontId="33" fillId="0" borderId="6" xfId="1" applyNumberFormat="1" applyFont="1" applyBorder="1"/>
    <xf numFmtId="171" fontId="33" fillId="0" borderId="0" xfId="1" applyNumberFormat="1" applyFont="1" applyBorder="1"/>
    <xf numFmtId="9" fontId="33" fillId="0" borderId="0" xfId="2" applyFont="1" applyBorder="1"/>
    <xf numFmtId="166" fontId="33" fillId="0" borderId="0" xfId="2" applyNumberFormat="1" applyFont="1" applyBorder="1"/>
    <xf numFmtId="166" fontId="39" fillId="14" borderId="0" xfId="2" applyNumberFormat="1" applyFont="1" applyFill="1"/>
    <xf numFmtId="173" fontId="0" fillId="0" borderId="0" xfId="0" applyNumberFormat="1" applyFont="1" applyBorder="1" applyAlignment="1">
      <alignment horizontal="center"/>
    </xf>
    <xf numFmtId="171" fontId="39" fillId="0" borderId="0" xfId="0" applyNumberFormat="1" applyFont="1" applyAlignment="1">
      <alignment horizontal="center"/>
    </xf>
    <xf numFmtId="167" fontId="0" fillId="0" borderId="3" xfId="1" applyNumberFormat="1" applyFont="1" applyBorder="1" applyAlignment="1">
      <alignment horizontal="center"/>
    </xf>
    <xf numFmtId="167" fontId="0" fillId="0" borderId="4" xfId="1" applyNumberFormat="1" applyFont="1" applyBorder="1" applyAlignment="1">
      <alignment horizontal="center"/>
    </xf>
    <xf numFmtId="167" fontId="0" fillId="0" borderId="5" xfId="1" applyNumberFormat="1" applyFont="1" applyBorder="1" applyAlignment="1">
      <alignment horizontal="center"/>
    </xf>
    <xf numFmtId="167" fontId="0" fillId="0" borderId="1" xfId="1" applyNumberFormat="1" applyFont="1" applyBorder="1" applyAlignment="1">
      <alignment horizontal="center"/>
    </xf>
    <xf numFmtId="167" fontId="0" fillId="0" borderId="0" xfId="1" applyNumberFormat="1" applyFont="1" applyBorder="1" applyAlignment="1">
      <alignment horizontal="center"/>
    </xf>
    <xf numFmtId="167" fontId="0" fillId="0" borderId="6" xfId="1" applyNumberFormat="1" applyFont="1" applyBorder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1" xfId="0" applyBorder="1"/>
    <xf numFmtId="167" fontId="0" fillId="0" borderId="1" xfId="1" applyNumberFormat="1" applyFont="1" applyFill="1" applyBorder="1" applyAlignment="1">
      <alignment horizontal="center"/>
    </xf>
    <xf numFmtId="167" fontId="0" fillId="0" borderId="0" xfId="1" applyNumberFormat="1" applyFont="1" applyFill="1" applyBorder="1" applyAlignment="1">
      <alignment horizontal="center"/>
    </xf>
    <xf numFmtId="0" fontId="85" fillId="0" borderId="0" xfId="0" applyFont="1" applyFill="1" applyBorder="1"/>
    <xf numFmtId="171" fontId="85" fillId="0" borderId="0" xfId="1" applyNumberFormat="1" applyFont="1" applyAlignment="1">
      <alignment horizontal="center"/>
    </xf>
    <xf numFmtId="171" fontId="114" fillId="14" borderId="0" xfId="1" applyNumberFormat="1" applyFont="1" applyFill="1" applyBorder="1" applyAlignment="1">
      <alignment horizontal="center"/>
    </xf>
    <xf numFmtId="171" fontId="114" fillId="14" borderId="0" xfId="0" applyNumberFormat="1" applyFont="1" applyFill="1"/>
    <xf numFmtId="166" fontId="114" fillId="14" borderId="0" xfId="2" applyNumberFormat="1" applyFont="1" applyFill="1"/>
    <xf numFmtId="166" fontId="114" fillId="14" borderId="0" xfId="2" applyNumberFormat="1" applyFont="1" applyFill="1" applyBorder="1" applyAlignment="1">
      <alignment horizontal="right"/>
    </xf>
    <xf numFmtId="0" fontId="86" fillId="0" borderId="0" xfId="0" applyFont="1"/>
    <xf numFmtId="171" fontId="39" fillId="14" borderId="0" xfId="1" applyNumberFormat="1" applyFont="1" applyFill="1"/>
    <xf numFmtId="0" fontId="76" fillId="0" borderId="8" xfId="0" applyFont="1" applyFill="1" applyBorder="1" applyAlignment="1" applyProtection="1">
      <alignment horizontal="right"/>
    </xf>
    <xf numFmtId="171" fontId="33" fillId="0" borderId="0" xfId="0" applyNumberFormat="1" applyFont="1" applyFill="1"/>
    <xf numFmtId="166" fontId="33" fillId="0" borderId="0" xfId="2" applyNumberFormat="1" applyFont="1" applyFill="1"/>
    <xf numFmtId="43" fontId="84" fillId="0" borderId="0" xfId="1" applyNumberFormat="1" applyFont="1" applyBorder="1" applyAlignment="1">
      <alignment horizontal="right"/>
    </xf>
    <xf numFmtId="43" fontId="24" fillId="0" borderId="0" xfId="1" applyNumberFormat="1" applyFont="1" applyBorder="1" applyAlignment="1">
      <alignment horizontal="right"/>
    </xf>
    <xf numFmtId="2" fontId="4" fillId="0" borderId="0" xfId="0" applyNumberFormat="1" applyFont="1" applyFill="1" applyBorder="1" applyProtection="1"/>
    <xf numFmtId="171" fontId="0" fillId="0" borderId="0" xfId="2" applyNumberFormat="1" applyFont="1"/>
    <xf numFmtId="0" fontId="55" fillId="0" borderId="0" xfId="3" applyFont="1" applyBorder="1" applyAlignment="1">
      <alignment horizontal="left"/>
    </xf>
    <xf numFmtId="9" fontId="55" fillId="0" borderId="0" xfId="3" applyNumberFormat="1" applyFont="1" applyBorder="1" applyAlignment="1">
      <alignment horizontal="right" wrapText="1" indent="1"/>
    </xf>
    <xf numFmtId="9" fontId="55" fillId="0" borderId="0" xfId="3" applyNumberFormat="1" applyFont="1" applyBorder="1" applyAlignment="1">
      <alignment horizontal="right"/>
    </xf>
    <xf numFmtId="165" fontId="55" fillId="0" borderId="0" xfId="4" applyNumberFormat="1" applyFont="1" applyBorder="1" applyAlignment="1">
      <alignment horizontal="center"/>
    </xf>
    <xf numFmtId="165" fontId="49" fillId="0" borderId="0" xfId="4" applyNumberFormat="1" applyFont="1" applyFill="1" applyBorder="1" applyAlignment="1">
      <alignment horizontal="center"/>
    </xf>
    <xf numFmtId="165" fontId="49" fillId="0" borderId="0" xfId="3" applyNumberFormat="1" applyFont="1" applyFill="1" applyBorder="1"/>
    <xf numFmtId="165" fontId="115" fillId="0" borderId="0" xfId="4" applyNumberFormat="1" applyFont="1" applyFill="1" applyBorder="1" applyAlignment="1">
      <alignment horizontal="left"/>
    </xf>
    <xf numFmtId="167" fontId="0" fillId="15" borderId="0" xfId="1" applyNumberFormat="1" applyFont="1" applyFill="1"/>
    <xf numFmtId="167" fontId="55" fillId="15" borderId="0" xfId="1" applyNumberFormat="1" applyFont="1" applyFill="1" applyBorder="1" applyAlignment="1">
      <alignment horizontal="right"/>
    </xf>
    <xf numFmtId="0" fontId="0" fillId="0" borderId="8" xfId="0" applyBorder="1" applyAlignment="1">
      <alignment horizontal="center"/>
    </xf>
    <xf numFmtId="173" fontId="0" fillId="15" borderId="0" xfId="0" applyNumberFormat="1" applyFill="1"/>
    <xf numFmtId="173" fontId="0" fillId="15" borderId="0" xfId="0" applyNumberFormat="1" applyFill="1" applyAlignment="1">
      <alignment horizontal="center"/>
    </xf>
    <xf numFmtId="0" fontId="0" fillId="15" borderId="0" xfId="0" applyFill="1" applyAlignment="1">
      <alignment horizontal="center"/>
    </xf>
    <xf numFmtId="172" fontId="0" fillId="15" borderId="0" xfId="0" applyNumberFormat="1" applyFill="1" applyAlignment="1">
      <alignment horizontal="center"/>
    </xf>
    <xf numFmtId="0" fontId="0" fillId="0" borderId="0" xfId="0" quotePrefix="1"/>
    <xf numFmtId="0" fontId="55" fillId="0" borderId="8" xfId="3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2" fontId="0" fillId="0" borderId="0" xfId="0" applyNumberFormat="1" applyAlignment="1">
      <alignment horizontal="left" indent="1"/>
    </xf>
    <xf numFmtId="0" fontId="9" fillId="0" borderId="0" xfId="0" applyFont="1" applyAlignment="1">
      <alignment horizontal="left" indent="2"/>
    </xf>
    <xf numFmtId="0" fontId="85" fillId="0" borderId="0" xfId="0" applyFont="1" applyAlignment="1">
      <alignment horizontal="left" indent="1"/>
    </xf>
    <xf numFmtId="0" fontId="119" fillId="18" borderId="24" xfId="6" applyFont="1" applyFill="1" applyBorder="1" applyAlignment="1">
      <alignment horizontal="center" vertical="center"/>
    </xf>
    <xf numFmtId="0" fontId="119" fillId="18" borderId="24" xfId="6" applyFont="1" applyFill="1" applyBorder="1" applyAlignment="1">
      <alignment horizontal="center" vertical="center" wrapText="1"/>
    </xf>
    <xf numFmtId="0" fontId="121" fillId="0" borderId="25" xfId="6" applyFont="1" applyFill="1" applyBorder="1" applyAlignment="1"/>
    <xf numFmtId="14" fontId="121" fillId="0" borderId="25" xfId="6" applyNumberFormat="1" applyFont="1" applyFill="1" applyBorder="1" applyAlignment="1">
      <alignment horizontal="right"/>
    </xf>
    <xf numFmtId="0" fontId="118" fillId="0" borderId="0" xfId="6" applyBorder="1" applyAlignment="1"/>
    <xf numFmtId="0" fontId="118" fillId="0" borderId="0" xfId="6" applyAlignment="1"/>
    <xf numFmtId="0" fontId="118" fillId="0" borderId="25" xfId="6" applyBorder="1" applyAlignment="1"/>
    <xf numFmtId="1" fontId="0" fillId="0" borderId="0" xfId="0" applyNumberFormat="1"/>
    <xf numFmtId="14" fontId="119" fillId="18" borderId="26" xfId="6" applyNumberFormat="1" applyFont="1" applyFill="1" applyBorder="1" applyAlignment="1">
      <alignment horizontal="center" vertical="center"/>
    </xf>
    <xf numFmtId="0" fontId="121" fillId="19" borderId="0" xfId="6" applyFont="1" applyFill="1" applyBorder="1" applyAlignment="1"/>
    <xf numFmtId="14" fontId="121" fillId="19" borderId="0" xfId="6" applyNumberFormat="1" applyFont="1" applyFill="1" applyBorder="1" applyAlignment="1">
      <alignment horizontal="right"/>
    </xf>
    <xf numFmtId="0" fontId="118" fillId="19" borderId="0" xfId="6" applyFill="1" applyAlignment="1"/>
    <xf numFmtId="0" fontId="0" fillId="19" borderId="0" xfId="0" applyFill="1"/>
    <xf numFmtId="171" fontId="0" fillId="19" borderId="0" xfId="1" applyNumberFormat="1" applyFont="1" applyFill="1"/>
    <xf numFmtId="171" fontId="0" fillId="0" borderId="0" xfId="1" applyNumberFormat="1" applyFont="1" applyAlignment="1">
      <alignment horizontal="right"/>
    </xf>
    <xf numFmtId="0" fontId="119" fillId="18" borderId="27" xfId="6" applyFont="1" applyFill="1" applyBorder="1" applyAlignment="1">
      <alignment horizontal="center" vertical="center" wrapText="1"/>
    </xf>
    <xf numFmtId="0" fontId="122" fillId="19" borderId="0" xfId="0" applyFont="1" applyFill="1"/>
    <xf numFmtId="0" fontId="123" fillId="19" borderId="0" xfId="6" applyFont="1" applyFill="1" applyAlignment="1"/>
    <xf numFmtId="171" fontId="122" fillId="19" borderId="0" xfId="1" applyNumberFormat="1" applyFont="1" applyFill="1"/>
    <xf numFmtId="171" fontId="116" fillId="17" borderId="21" xfId="1" applyNumberFormat="1" applyFont="1" applyFill="1" applyBorder="1" applyAlignment="1">
      <alignment horizontal="center" vertical="center"/>
    </xf>
    <xf numFmtId="14" fontId="116" fillId="17" borderId="21" xfId="0" applyNumberFormat="1" applyFont="1" applyFill="1" applyBorder="1" applyAlignment="1">
      <alignment horizontal="center" vertical="center"/>
    </xf>
    <xf numFmtId="174" fontId="120" fillId="17" borderId="21" xfId="0" applyNumberFormat="1" applyFont="1" applyFill="1" applyBorder="1" applyAlignment="1">
      <alignment horizontal="center"/>
    </xf>
    <xf numFmtId="171" fontId="0" fillId="19" borderId="0" xfId="0" applyNumberFormat="1" applyFill="1"/>
    <xf numFmtId="171" fontId="122" fillId="19" borderId="0" xfId="0" applyNumberFormat="1" applyFont="1" applyFill="1"/>
    <xf numFmtId="0" fontId="120" fillId="0" borderId="0" xfId="0" applyFont="1"/>
    <xf numFmtId="0" fontId="125" fillId="20" borderId="0" xfId="0" quotePrefix="1" applyFont="1" applyFill="1"/>
    <xf numFmtId="0" fontId="126" fillId="20" borderId="0" xfId="0" applyFont="1" applyFill="1"/>
    <xf numFmtId="0" fontId="6" fillId="20" borderId="0" xfId="0" applyFont="1" applyFill="1"/>
    <xf numFmtId="0" fontId="6" fillId="0" borderId="0" xfId="0" applyFont="1" applyFill="1"/>
    <xf numFmtId="0" fontId="120" fillId="21" borderId="0" xfId="0" applyFont="1" applyFill="1"/>
    <xf numFmtId="0" fontId="6" fillId="21" borderId="0" xfId="0" applyFont="1" applyFill="1"/>
    <xf numFmtId="0" fontId="120" fillId="17" borderId="0" xfId="0" applyFont="1" applyFill="1"/>
    <xf numFmtId="0" fontId="6" fillId="17" borderId="0" xfId="0" applyFont="1" applyFill="1"/>
    <xf numFmtId="0" fontId="120" fillId="11" borderId="0" xfId="0" applyFont="1" applyFill="1"/>
    <xf numFmtId="0" fontId="6" fillId="11" borderId="0" xfId="0" applyFont="1" applyFill="1"/>
    <xf numFmtId="0" fontId="120" fillId="4" borderId="0" xfId="0" applyFont="1" applyFill="1"/>
    <xf numFmtId="0" fontId="6" fillId="4" borderId="0" xfId="0" applyFont="1" applyFill="1"/>
    <xf numFmtId="0" fontId="12" fillId="0" borderId="0" xfId="0" applyFont="1" applyFill="1"/>
    <xf numFmtId="0" fontId="127" fillId="0" borderId="0" xfId="0" applyFont="1"/>
    <xf numFmtId="0" fontId="89" fillId="0" borderId="0" xfId="0" applyFont="1"/>
    <xf numFmtId="0" fontId="6" fillId="0" borderId="9" xfId="0" applyFont="1" applyBorder="1"/>
    <xf numFmtId="0" fontId="6" fillId="0" borderId="0" xfId="0" applyFont="1" applyAlignment="1">
      <alignment horizontal="center"/>
    </xf>
    <xf numFmtId="166" fontId="128" fillId="0" borderId="8" xfId="0" applyNumberFormat="1" applyFont="1" applyBorder="1" applyAlignment="1">
      <alignment horizontal="center"/>
    </xf>
    <xf numFmtId="0" fontId="6" fillId="0" borderId="6" xfId="0" applyFont="1" applyBorder="1"/>
    <xf numFmtId="171" fontId="6" fillId="0" borderId="0" xfId="1" applyNumberFormat="1" applyFont="1"/>
    <xf numFmtId="166" fontId="128" fillId="0" borderId="0" xfId="0" applyNumberFormat="1" applyFont="1"/>
    <xf numFmtId="171" fontId="6" fillId="0" borderId="1" xfId="1" applyNumberFormat="1" applyFont="1" applyBorder="1"/>
    <xf numFmtId="171" fontId="6" fillId="0" borderId="6" xfId="1" applyNumberFormat="1" applyFont="1" applyBorder="1"/>
    <xf numFmtId="0" fontId="130" fillId="0" borderId="0" xfId="0" applyFont="1" applyAlignment="1">
      <alignment horizontal="center"/>
    </xf>
    <xf numFmtId="2" fontId="131" fillId="0" borderId="0" xfId="0" applyNumberFormat="1" applyFont="1"/>
    <xf numFmtId="0" fontId="120" fillId="0" borderId="6" xfId="0" applyFont="1" applyBorder="1"/>
    <xf numFmtId="0" fontId="89" fillId="0" borderId="0" xfId="0" applyFont="1" applyFill="1" applyBorder="1" applyAlignment="1">
      <alignment horizontal="left"/>
    </xf>
    <xf numFmtId="0" fontId="132" fillId="0" borderId="0" xfId="0" applyFont="1"/>
    <xf numFmtId="0" fontId="16" fillId="0" borderId="0" xfId="0" applyFont="1"/>
    <xf numFmtId="0" fontId="133" fillId="0" borderId="8" xfId="0" applyFont="1" applyBorder="1"/>
    <xf numFmtId="174" fontId="120" fillId="0" borderId="8" xfId="0" applyNumberFormat="1" applyFont="1" applyBorder="1"/>
    <xf numFmtId="174" fontId="129" fillId="0" borderId="8" xfId="0" applyNumberFormat="1" applyFont="1" applyBorder="1" applyAlignment="1">
      <alignment horizontal="center"/>
    </xf>
    <xf numFmtId="174" fontId="120" fillId="0" borderId="12" xfId="0" applyNumberFormat="1" applyFont="1" applyBorder="1"/>
    <xf numFmtId="174" fontId="120" fillId="0" borderId="31" xfId="0" applyNumberFormat="1" applyFont="1" applyBorder="1"/>
    <xf numFmtId="174" fontId="120" fillId="0" borderId="28" xfId="0" applyNumberFormat="1" applyFont="1" applyBorder="1"/>
    <xf numFmtId="171" fontId="6" fillId="0" borderId="0" xfId="1" applyNumberFormat="1" applyFont="1" applyBorder="1"/>
    <xf numFmtId="0" fontId="134" fillId="0" borderId="0" xfId="0" applyFont="1" applyBorder="1"/>
    <xf numFmtId="0" fontId="6" fillId="0" borderId="1" xfId="0" applyFont="1" applyBorder="1"/>
    <xf numFmtId="0" fontId="6" fillId="0" borderId="0" xfId="0" applyFont="1" applyBorder="1"/>
    <xf numFmtId="166" fontId="128" fillId="0" borderId="1" xfId="2" applyNumberFormat="1" applyFont="1" applyBorder="1"/>
    <xf numFmtId="166" fontId="128" fillId="0" borderId="6" xfId="2" applyNumberFormat="1" applyFont="1" applyBorder="1"/>
    <xf numFmtId="9" fontId="6" fillId="0" borderId="0" xfId="2" applyFont="1"/>
    <xf numFmtId="0" fontId="0" fillId="0" borderId="0" xfId="0" applyAlignment="1">
      <alignment vertical="top"/>
    </xf>
    <xf numFmtId="0" fontId="136" fillId="0" borderId="0" xfId="0" applyFont="1"/>
    <xf numFmtId="0" fontId="17" fillId="0" borderId="0" xfId="0" applyFont="1" applyBorder="1" applyAlignment="1">
      <alignment horizontal="left"/>
    </xf>
    <xf numFmtId="0" fontId="89" fillId="0" borderId="0" xfId="0" applyFont="1" applyFill="1"/>
    <xf numFmtId="1" fontId="6" fillId="0" borderId="0" xfId="0" applyNumberFormat="1" applyFont="1"/>
    <xf numFmtId="0" fontId="139" fillId="0" borderId="0" xfId="0" applyFont="1"/>
    <xf numFmtId="0" fontId="138" fillId="0" borderId="0" xfId="0" applyFont="1"/>
    <xf numFmtId="165" fontId="90" fillId="0" borderId="0" xfId="0" applyNumberFormat="1" applyFont="1" applyFill="1" applyBorder="1"/>
    <xf numFmtId="165" fontId="90" fillId="3" borderId="0" xfId="0" applyNumberFormat="1" applyFont="1" applyFill="1" applyBorder="1"/>
    <xf numFmtId="0" fontId="89" fillId="3" borderId="0" xfId="0" applyFont="1" applyFill="1" applyBorder="1"/>
    <xf numFmtId="0" fontId="89" fillId="0" borderId="0" xfId="0" applyFont="1" applyFill="1" applyBorder="1" applyAlignment="1">
      <alignment horizontal="center"/>
    </xf>
    <xf numFmtId="171" fontId="6" fillId="0" borderId="29" xfId="1" applyNumberFormat="1" applyFont="1" applyBorder="1"/>
    <xf numFmtId="171" fontId="6" fillId="0" borderId="32" xfId="1" applyNumberFormat="1" applyFont="1" applyBorder="1"/>
    <xf numFmtId="0" fontId="89" fillId="0" borderId="0" xfId="0" applyFont="1" applyFill="1" applyBorder="1" applyAlignment="1">
      <alignment horizontal="left" indent="2"/>
    </xf>
    <xf numFmtId="175" fontId="89" fillId="3" borderId="0" xfId="0" applyNumberFormat="1" applyFont="1" applyFill="1" applyBorder="1" applyAlignment="1">
      <alignment horizontal="left"/>
    </xf>
    <xf numFmtId="9" fontId="89" fillId="0" borderId="8" xfId="0" applyNumberFormat="1" applyFont="1" applyBorder="1" applyAlignment="1">
      <alignment horizontal="right" indent="1"/>
    </xf>
    <xf numFmtId="9" fontId="89" fillId="0" borderId="8" xfId="0" applyNumberFormat="1" applyFont="1" applyBorder="1" applyAlignment="1">
      <alignment horizontal="right"/>
    </xf>
    <xf numFmtId="0" fontId="141" fillId="0" borderId="0" xfId="0" applyFont="1"/>
    <xf numFmtId="171" fontId="6" fillId="0" borderId="30" xfId="1" applyNumberFormat="1" applyFont="1" applyBorder="1"/>
    <xf numFmtId="168" fontId="89" fillId="0" borderId="0" xfId="1" applyNumberFormat="1" applyFont="1"/>
    <xf numFmtId="1" fontId="6" fillId="0" borderId="1" xfId="0" applyNumberFormat="1" applyFont="1" applyBorder="1"/>
    <xf numFmtId="1" fontId="6" fillId="0" borderId="0" xfId="0" applyNumberFormat="1" applyFont="1" applyBorder="1"/>
    <xf numFmtId="1" fontId="6" fillId="0" borderId="6" xfId="0" applyNumberFormat="1" applyFont="1" applyBorder="1"/>
    <xf numFmtId="0" fontId="89" fillId="0" borderId="8" xfId="0" applyFont="1" applyFill="1" applyBorder="1" applyAlignment="1">
      <alignment horizontal="center"/>
    </xf>
    <xf numFmtId="168" fontId="89" fillId="0" borderId="8" xfId="1" applyNumberFormat="1" applyFont="1" applyBorder="1"/>
    <xf numFmtId="0" fontId="128" fillId="0" borderId="0" xfId="0" applyFont="1"/>
    <xf numFmtId="1" fontId="6" fillId="4" borderId="1" xfId="0" applyNumberFormat="1" applyFont="1" applyFill="1" applyBorder="1"/>
    <xf numFmtId="1" fontId="6" fillId="4" borderId="0" xfId="0" applyNumberFormat="1" applyFont="1" applyFill="1" applyBorder="1"/>
    <xf numFmtId="1" fontId="6" fillId="4" borderId="6" xfId="0" applyNumberFormat="1" applyFont="1" applyFill="1" applyBorder="1"/>
    <xf numFmtId="166" fontId="128" fillId="0" borderId="0" xfId="2" applyNumberFormat="1" applyFont="1" applyBorder="1"/>
    <xf numFmtId="166" fontId="120" fillId="0" borderId="0" xfId="2" applyNumberFormat="1" applyFont="1" applyAlignment="1">
      <alignment horizontal="right" indent="1"/>
    </xf>
    <xf numFmtId="9" fontId="89" fillId="0" borderId="0" xfId="2" applyFont="1" applyBorder="1"/>
    <xf numFmtId="0" fontId="89" fillId="0" borderId="0" xfId="0" applyFont="1" applyAlignment="1">
      <alignment horizontal="left"/>
    </xf>
    <xf numFmtId="0" fontId="89" fillId="0" borderId="0" xfId="0" applyFont="1" applyFill="1" applyAlignment="1">
      <alignment horizontal="left" indent="3"/>
    </xf>
    <xf numFmtId="1" fontId="6" fillId="0" borderId="8" xfId="0" applyNumberFormat="1" applyFont="1" applyBorder="1"/>
    <xf numFmtId="0" fontId="11" fillId="0" borderId="0" xfId="0" applyFont="1" applyAlignment="1">
      <alignment horizontal="center"/>
    </xf>
    <xf numFmtId="165" fontId="138" fillId="0" borderId="0" xfId="1" applyNumberFormat="1" applyFont="1"/>
    <xf numFmtId="165" fontId="11" fillId="0" borderId="0" xfId="1" quotePrefix="1" applyNumberFormat="1" applyFont="1"/>
    <xf numFmtId="174" fontId="120" fillId="0" borderId="0" xfId="0" applyNumberFormat="1" applyFont="1" applyBorder="1"/>
    <xf numFmtId="174" fontId="143" fillId="0" borderId="8" xfId="0" applyNumberFormat="1" applyFont="1" applyBorder="1" applyAlignment="1">
      <alignment horizontal="center"/>
    </xf>
    <xf numFmtId="0" fontId="89" fillId="0" borderId="0" xfId="0" applyFont="1" applyFill="1" applyBorder="1"/>
    <xf numFmtId="0" fontId="124" fillId="0" borderId="1" xfId="0" applyFont="1" applyBorder="1"/>
    <xf numFmtId="165" fontId="137" fillId="0" borderId="0" xfId="1" applyNumberFormat="1" applyFont="1"/>
    <xf numFmtId="9" fontId="124" fillId="0" borderId="0" xfId="0" applyNumberFormat="1" applyFont="1" applyBorder="1"/>
    <xf numFmtId="165" fontId="137" fillId="0" borderId="0" xfId="1" applyNumberFormat="1" applyFont="1" applyBorder="1"/>
    <xf numFmtId="0" fontId="132" fillId="0" borderId="0" xfId="0" applyFont="1" applyBorder="1"/>
    <xf numFmtId="0" fontId="89" fillId="0" borderId="7" xfId="0" applyFont="1" applyBorder="1" applyAlignment="1">
      <alignment horizontal="right"/>
    </xf>
    <xf numFmtId="0" fontId="6" fillId="0" borderId="0" xfId="0" applyFont="1" applyFill="1" applyAlignment="1">
      <alignment horizontal="center"/>
    </xf>
    <xf numFmtId="0" fontId="137" fillId="0" borderId="0" xfId="0" applyFont="1" applyAlignment="1">
      <alignment horizontal="center"/>
    </xf>
    <xf numFmtId="9" fontId="89" fillId="0" borderId="0" xfId="0" applyNumberFormat="1" applyFont="1" applyBorder="1" applyAlignment="1">
      <alignment horizontal="right"/>
    </xf>
    <xf numFmtId="171" fontId="89" fillId="0" borderId="1" xfId="1" applyNumberFormat="1" applyFont="1" applyBorder="1"/>
    <xf numFmtId="168" fontId="89" fillId="0" borderId="0" xfId="1" applyNumberFormat="1" applyFont="1" applyFill="1"/>
    <xf numFmtId="0" fontId="6" fillId="0" borderId="30" xfId="0" applyFont="1" applyFill="1" applyBorder="1" applyAlignment="1">
      <alignment horizontal="center"/>
    </xf>
    <xf numFmtId="168" fontId="18" fillId="0" borderId="0" xfId="1" applyNumberFormat="1" applyFont="1" applyFill="1"/>
    <xf numFmtId="9" fontId="137" fillId="0" borderId="0" xfId="2" applyFont="1" applyAlignment="1">
      <alignment horizontal="center"/>
    </xf>
    <xf numFmtId="165" fontId="18" fillId="0" borderId="0" xfId="1" applyNumberFormat="1" applyFont="1" applyFill="1" applyBorder="1"/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/>
    <xf numFmtId="168" fontId="18" fillId="0" borderId="0" xfId="1" applyNumberFormat="1" applyFont="1"/>
    <xf numFmtId="165" fontId="18" fillId="0" borderId="0" xfId="1" applyNumberFormat="1" applyFont="1" applyBorder="1"/>
    <xf numFmtId="171" fontId="89" fillId="0" borderId="7" xfId="1" applyNumberFormat="1" applyFont="1" applyBorder="1"/>
    <xf numFmtId="0" fontId="6" fillId="0" borderId="8" xfId="0" applyFont="1" applyFill="1" applyBorder="1"/>
    <xf numFmtId="168" fontId="18" fillId="0" borderId="8" xfId="1" applyNumberFormat="1" applyFont="1" applyBorder="1"/>
    <xf numFmtId="171" fontId="120" fillId="0" borderId="0" xfId="1" applyNumberFormat="1" applyFont="1" applyFill="1"/>
    <xf numFmtId="168" fontId="120" fillId="0" borderId="0" xfId="0" applyNumberFormat="1" applyFont="1"/>
    <xf numFmtId="168" fontId="18" fillId="0" borderId="0" xfId="0" applyNumberFormat="1" applyFont="1" applyFill="1"/>
    <xf numFmtId="9" fontId="137" fillId="0" borderId="0" xfId="2" applyFont="1" applyAlignment="1">
      <alignment horizontal="right"/>
    </xf>
    <xf numFmtId="0" fontId="11" fillId="0" borderId="0" xfId="0" applyFont="1" applyAlignment="1">
      <alignment horizontal="left"/>
    </xf>
    <xf numFmtId="0" fontId="11" fillId="0" borderId="0" xfId="0" applyFont="1" applyFill="1" applyAlignment="1">
      <alignment horizontal="left"/>
    </xf>
    <xf numFmtId="0" fontId="89" fillId="0" borderId="0" xfId="0" applyFont="1" applyFill="1" applyAlignment="1">
      <alignment vertical="top"/>
    </xf>
    <xf numFmtId="0" fontId="6" fillId="0" borderId="0" xfId="0" applyFont="1" applyFill="1" applyAlignment="1">
      <alignment vertical="top"/>
    </xf>
    <xf numFmtId="0" fontId="89" fillId="3" borderId="0" xfId="0" applyFont="1" applyFill="1" applyAlignment="1">
      <alignment horizontal="left" vertical="top"/>
    </xf>
    <xf numFmtId="0" fontId="11" fillId="0" borderId="0" xfId="0" applyFont="1" applyFill="1" applyAlignment="1">
      <alignment horizontal="left" vertical="top"/>
    </xf>
    <xf numFmtId="0" fontId="120" fillId="0" borderId="0" xfId="0" applyFont="1" applyAlignment="1">
      <alignment horizontal="left" vertical="top" wrapText="1"/>
    </xf>
    <xf numFmtId="0" fontId="6" fillId="0" borderId="0" xfId="0" applyFont="1" applyAlignment="1">
      <alignment vertical="top"/>
    </xf>
    <xf numFmtId="0" fontId="11" fillId="0" borderId="0" xfId="0" applyFont="1" applyAlignment="1">
      <alignment horizontal="left" vertical="top"/>
    </xf>
    <xf numFmtId="0" fontId="89" fillId="0" borderId="0" xfId="0" applyFont="1" applyAlignment="1">
      <alignment vertical="top"/>
    </xf>
    <xf numFmtId="0" fontId="6" fillId="0" borderId="0" xfId="0" applyFont="1" applyFill="1" applyAlignment="1">
      <alignment horizontal="center" vertical="top"/>
    </xf>
    <xf numFmtId="0" fontId="139" fillId="0" borderId="0" xfId="0" applyFont="1" applyAlignment="1">
      <alignment horizontal="left" vertical="top"/>
    </xf>
    <xf numFmtId="166" fontId="144" fillId="0" borderId="0" xfId="0" applyNumberFormat="1" applyFont="1"/>
    <xf numFmtId="0" fontId="139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6" fillId="5" borderId="0" xfId="0" applyFont="1" applyFill="1" applyAlignment="1">
      <alignment vertical="top"/>
    </xf>
    <xf numFmtId="0" fontId="6" fillId="5" borderId="0" xfId="0" applyFont="1" applyFill="1" applyAlignment="1">
      <alignment horizontal="left" vertical="top"/>
    </xf>
    <xf numFmtId="0" fontId="83" fillId="5" borderId="0" xfId="0" applyFont="1" applyFill="1" applyAlignment="1">
      <alignment vertical="top"/>
    </xf>
    <xf numFmtId="0" fontId="69" fillId="5" borderId="0" xfId="0" applyFont="1" applyFill="1" applyAlignment="1">
      <alignment vertical="top"/>
    </xf>
    <xf numFmtId="0" fontId="0" fillId="5" borderId="0" xfId="0" applyFill="1" applyAlignment="1">
      <alignment vertical="top"/>
    </xf>
    <xf numFmtId="9" fontId="6" fillId="5" borderId="0" xfId="2" applyFont="1" applyFill="1" applyAlignment="1">
      <alignment horizontal="center" vertical="top"/>
    </xf>
    <xf numFmtId="9" fontId="6" fillId="0" borderId="0" xfId="2" applyFont="1" applyAlignment="1">
      <alignment horizontal="center" vertical="top"/>
    </xf>
    <xf numFmtId="0" fontId="6" fillId="0" borderId="7" xfId="0" applyFont="1" applyBorder="1"/>
    <xf numFmtId="0" fontId="6" fillId="0" borderId="0" xfId="0" applyFont="1" applyAlignment="1">
      <alignment horizontal="left" indent="1"/>
    </xf>
    <xf numFmtId="0" fontId="132" fillId="0" borderId="0" xfId="0" applyFont="1" applyAlignment="1">
      <alignment horizontal="left"/>
    </xf>
    <xf numFmtId="0" fontId="138" fillId="0" borderId="0" xfId="0" applyFont="1" applyFill="1"/>
    <xf numFmtId="0" fontId="16" fillId="0" borderId="0" xfId="0" quotePrefix="1" applyFont="1" applyFill="1"/>
    <xf numFmtId="0" fontId="140" fillId="0" borderId="0" xfId="0" applyFont="1" applyFill="1"/>
    <xf numFmtId="0" fontId="89" fillId="0" borderId="0" xfId="0" quotePrefix="1" applyFont="1" applyFill="1" applyBorder="1" applyAlignment="1">
      <alignment horizontal="left"/>
    </xf>
    <xf numFmtId="9" fontId="6" fillId="0" borderId="0" xfId="2" applyFont="1" applyAlignment="1">
      <alignment horizontal="center"/>
    </xf>
    <xf numFmtId="0" fontId="89" fillId="0" borderId="7" xfId="0" applyFont="1" applyBorder="1" applyAlignment="1">
      <alignment horizontal="center" wrapText="1"/>
    </xf>
    <xf numFmtId="9" fontId="89" fillId="0" borderId="8" xfId="0" applyNumberFormat="1" applyFont="1" applyBorder="1" applyAlignment="1">
      <alignment horizontal="center" wrapText="1"/>
    </xf>
    <xf numFmtId="0" fontId="16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Border="1"/>
    <xf numFmtId="37" fontId="89" fillId="0" borderId="1" xfId="1" applyNumberFormat="1" applyFont="1" applyBorder="1" applyAlignment="1">
      <alignment horizontal="center"/>
    </xf>
    <xf numFmtId="0" fontId="2" fillId="0" borderId="30" xfId="0" applyFont="1" applyFill="1" applyBorder="1" applyAlignment="1">
      <alignment horizontal="center"/>
    </xf>
    <xf numFmtId="9" fontId="130" fillId="0" borderId="0" xfId="7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4" fontId="6" fillId="0" borderId="0" xfId="0" applyNumberFormat="1" applyFont="1"/>
    <xf numFmtId="37" fontId="89" fillId="0" borderId="7" xfId="1" applyNumberFormat="1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37" fontId="120" fillId="0" borderId="29" xfId="1" applyNumberFormat="1" applyFont="1" applyFill="1" applyBorder="1" applyAlignment="1">
      <alignment horizontal="center"/>
    </xf>
    <xf numFmtId="0" fontId="145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37" fontId="120" fillId="0" borderId="0" xfId="1" applyNumberFormat="1" applyFont="1" applyFill="1" applyBorder="1" applyAlignment="1">
      <alignment horizontal="center"/>
    </xf>
    <xf numFmtId="175" fontId="55" fillId="3" borderId="0" xfId="0" applyNumberFormat="1" applyFont="1" applyFill="1"/>
    <xf numFmtId="9" fontId="55" fillId="3" borderId="0" xfId="2" applyFont="1" applyFill="1" applyAlignment="1">
      <alignment horizontal="center"/>
    </xf>
    <xf numFmtId="9" fontId="2" fillId="0" borderId="0" xfId="2" applyFont="1" applyAlignment="1">
      <alignment horizontal="center"/>
    </xf>
    <xf numFmtId="0" fontId="89" fillId="3" borderId="0" xfId="0" applyFont="1" applyFill="1" applyBorder="1" applyAlignment="1">
      <alignment horizontal="left"/>
    </xf>
    <xf numFmtId="175" fontId="19" fillId="3" borderId="0" xfId="0" applyNumberFormat="1" applyFont="1" applyFill="1"/>
    <xf numFmtId="175" fontId="0" fillId="0" borderId="0" xfId="0" applyNumberFormat="1"/>
    <xf numFmtId="175" fontId="133" fillId="0" borderId="0" xfId="0" applyNumberFormat="1" applyFont="1"/>
    <xf numFmtId="175" fontId="8" fillId="0" borderId="0" xfId="0" applyNumberFormat="1" applyFont="1" applyAlignment="1">
      <alignment horizontal="left"/>
    </xf>
    <xf numFmtId="0" fontId="89" fillId="3" borderId="0" xfId="8" applyFont="1" applyFill="1"/>
    <xf numFmtId="0" fontId="6" fillId="0" borderId="0" xfId="0" applyFont="1" applyAlignment="1">
      <alignment horizontal="right" vertical="top"/>
    </xf>
    <xf numFmtId="9" fontId="89" fillId="5" borderId="0" xfId="2" applyFont="1" applyFill="1" applyAlignment="1">
      <alignment horizontal="center" vertical="top"/>
    </xf>
    <xf numFmtId="0" fontId="142" fillId="0" borderId="0" xfId="0" applyFont="1"/>
    <xf numFmtId="0" fontId="89" fillId="0" borderId="0" xfId="0" applyFont="1" applyAlignment="1">
      <alignment horizontal="right"/>
    </xf>
    <xf numFmtId="166" fontId="90" fillId="0" borderId="0" xfId="2" applyNumberFormat="1" applyFont="1" applyAlignment="1">
      <alignment horizontal="right" indent="1"/>
    </xf>
    <xf numFmtId="0" fontId="89" fillId="0" borderId="0" xfId="0" quotePrefix="1" applyFont="1" applyAlignment="1">
      <alignment horizontal="left"/>
    </xf>
    <xf numFmtId="0" fontId="2" fillId="0" borderId="0" xfId="0" applyFont="1" applyAlignment="1">
      <alignment horizontal="center" wrapText="1"/>
    </xf>
    <xf numFmtId="9" fontId="89" fillId="0" borderId="8" xfId="0" applyNumberFormat="1" applyFont="1" applyFill="1" applyBorder="1" applyAlignment="1">
      <alignment horizontal="right" wrapText="1" indent="1"/>
    </xf>
    <xf numFmtId="0" fontId="55" fillId="0" borderId="0" xfId="0" applyFont="1" applyFill="1" applyAlignment="1">
      <alignment horizontal="center" wrapText="1"/>
    </xf>
    <xf numFmtId="9" fontId="89" fillId="0" borderId="8" xfId="0" applyNumberFormat="1" applyFont="1" applyBorder="1" applyAlignment="1">
      <alignment horizontal="left"/>
    </xf>
    <xf numFmtId="0" fontId="2" fillId="0" borderId="3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55" fillId="0" borderId="0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55" fillId="0" borderId="8" xfId="0" applyFont="1" applyFill="1" applyBorder="1" applyAlignment="1">
      <alignment horizontal="center"/>
    </xf>
    <xf numFmtId="0" fontId="120" fillId="0" borderId="0" xfId="0" applyFont="1" applyAlignment="1">
      <alignment horizontal="center"/>
    </xf>
    <xf numFmtId="0" fontId="90" fillId="0" borderId="0" xfId="0" applyFont="1" applyFill="1" applyAlignment="1">
      <alignment horizontal="center"/>
    </xf>
    <xf numFmtId="0" fontId="89" fillId="0" borderId="0" xfId="0" applyFont="1" applyAlignment="1">
      <alignment horizontal="center"/>
    </xf>
    <xf numFmtId="175" fontId="6" fillId="0" borderId="0" xfId="0" applyNumberFormat="1" applyFont="1"/>
    <xf numFmtId="9" fontId="2" fillId="0" borderId="0" xfId="7" applyFont="1" applyAlignment="1">
      <alignment horizontal="center"/>
    </xf>
    <xf numFmtId="175" fontId="2" fillId="0" borderId="0" xfId="0" applyNumberFormat="1" applyFont="1"/>
    <xf numFmtId="175" fontId="89" fillId="0" borderId="0" xfId="0" applyNumberFormat="1" applyFont="1" applyFill="1" applyBorder="1" applyAlignment="1">
      <alignment horizontal="left"/>
    </xf>
    <xf numFmtId="0" fontId="11" fillId="3" borderId="0" xfId="0" applyFont="1" applyFill="1" applyAlignment="1">
      <alignment horizontal="center"/>
    </xf>
    <xf numFmtId="0" fontId="2" fillId="3" borderId="0" xfId="0" applyFont="1" applyFill="1"/>
    <xf numFmtId="0" fontId="146" fillId="0" borderId="0" xfId="0" applyFont="1" applyFill="1" applyBorder="1"/>
    <xf numFmtId="0" fontId="69" fillId="5" borderId="0" xfId="0" quotePrefix="1" applyFont="1" applyFill="1" applyAlignment="1">
      <alignment vertical="top"/>
    </xf>
    <xf numFmtId="174" fontId="120" fillId="0" borderId="30" xfId="0" applyNumberFormat="1" applyFont="1" applyBorder="1"/>
    <xf numFmtId="1" fontId="76" fillId="0" borderId="0" xfId="0" applyNumberFormat="1" applyFont="1"/>
    <xf numFmtId="0" fontId="76" fillId="0" borderId="0" xfId="0" applyFont="1"/>
    <xf numFmtId="0" fontId="85" fillId="0" borderId="0" xfId="0" applyFont="1" applyAlignment="1">
      <alignment horizontal="right"/>
    </xf>
    <xf numFmtId="1" fontId="0" fillId="0" borderId="8" xfId="0" applyNumberFormat="1" applyBorder="1"/>
    <xf numFmtId="0" fontId="49" fillId="15" borderId="0" xfId="3" applyFont="1" applyFill="1" applyAlignment="1">
      <alignment horizontal="right" indent="1"/>
    </xf>
    <xf numFmtId="9" fontId="52" fillId="15" borderId="0" xfId="3" applyNumberFormat="1" applyFont="1" applyFill="1"/>
    <xf numFmtId="9" fontId="0" fillId="0" borderId="0" xfId="0" applyNumberFormat="1" applyAlignment="1">
      <alignment horizontal="right"/>
    </xf>
    <xf numFmtId="0" fontId="85" fillId="0" borderId="8" xfId="0" applyFont="1" applyBorder="1" applyAlignment="1">
      <alignment horizontal="right"/>
    </xf>
    <xf numFmtId="0" fontId="114" fillId="14" borderId="0" xfId="0" applyFont="1" applyFill="1" applyAlignment="1">
      <alignment horizontal="right"/>
    </xf>
    <xf numFmtId="171" fontId="74" fillId="0" borderId="0" xfId="1" applyNumberFormat="1" applyFont="1"/>
    <xf numFmtId="171" fontId="117" fillId="12" borderId="23" xfId="1" applyNumberFormat="1" applyFont="1" applyFill="1" applyBorder="1" applyAlignment="1">
      <alignment horizontal="right" vertical="center" wrapText="1"/>
    </xf>
    <xf numFmtId="171" fontId="39" fillId="14" borderId="0" xfId="0" applyNumberFormat="1" applyFont="1" applyFill="1"/>
    <xf numFmtId="166" fontId="114" fillId="9" borderId="0" xfId="2" applyNumberFormat="1" applyFont="1" applyFill="1"/>
    <xf numFmtId="0" fontId="78" fillId="2" borderId="0" xfId="0" applyFont="1" applyFill="1"/>
    <xf numFmtId="171" fontId="78" fillId="2" borderId="0" xfId="0" applyNumberFormat="1" applyFont="1" applyFill="1"/>
    <xf numFmtId="166" fontId="114" fillId="2" borderId="0" xfId="2" applyNumberFormat="1" applyFont="1" applyFill="1"/>
    <xf numFmtId="171" fontId="111" fillId="14" borderId="0" xfId="1" applyNumberFormat="1" applyFont="1" applyFill="1" applyBorder="1"/>
    <xf numFmtId="166" fontId="74" fillId="0" borderId="0" xfId="2" applyNumberFormat="1" applyFont="1"/>
    <xf numFmtId="166" fontId="117" fillId="12" borderId="23" xfId="2" applyNumberFormat="1" applyFont="1" applyFill="1" applyBorder="1" applyAlignment="1">
      <alignment horizontal="right" vertical="center" wrapText="1"/>
    </xf>
    <xf numFmtId="170" fontId="117" fillId="12" borderId="23" xfId="1" applyNumberFormat="1" applyFont="1" applyFill="1" applyBorder="1" applyAlignment="1">
      <alignment horizontal="right" vertical="center" wrapText="1"/>
    </xf>
    <xf numFmtId="170" fontId="117" fillId="12" borderId="23" xfId="2" applyNumberFormat="1" applyFont="1" applyFill="1" applyBorder="1" applyAlignment="1">
      <alignment horizontal="right" vertical="center" wrapText="1"/>
    </xf>
    <xf numFmtId="0" fontId="83" fillId="0" borderId="0" xfId="0" applyFont="1"/>
    <xf numFmtId="171" fontId="83" fillId="0" borderId="0" xfId="1" applyNumberFormat="1" applyFont="1"/>
    <xf numFmtId="166" fontId="83" fillId="0" borderId="0" xfId="2" applyNumberFormat="1" applyFont="1"/>
    <xf numFmtId="171" fontId="114" fillId="14" borderId="0" xfId="1" applyNumberFormat="1" applyFont="1" applyFill="1"/>
    <xf numFmtId="171" fontId="114" fillId="14" borderId="8" xfId="1" applyNumberFormat="1" applyFont="1" applyFill="1" applyBorder="1"/>
    <xf numFmtId="0" fontId="4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147" fillId="0" borderId="0" xfId="0" applyFont="1"/>
    <xf numFmtId="0" fontId="116" fillId="0" borderId="8" xfId="0" applyFont="1" applyBorder="1" applyAlignment="1">
      <alignment horizontal="center"/>
    </xf>
    <xf numFmtId="1" fontId="147" fillId="14" borderId="0" xfId="0" applyNumberFormat="1" applyFont="1" applyFill="1"/>
    <xf numFmtId="9" fontId="150" fillId="0" borderId="6" xfId="0" applyNumberFormat="1" applyFont="1" applyBorder="1"/>
    <xf numFmtId="0" fontId="0" fillId="0" borderId="0" xfId="0" applyNumberFormat="1"/>
    <xf numFmtId="0" fontId="151" fillId="0" borderId="0" xfId="0" applyFont="1" applyAlignment="1">
      <alignment horizontal="right"/>
    </xf>
    <xf numFmtId="166" fontId="147" fillId="14" borderId="0" xfId="2" applyNumberFormat="1" applyFont="1" applyFill="1"/>
    <xf numFmtId="0" fontId="0" fillId="16" borderId="0" xfId="0" applyFill="1"/>
    <xf numFmtId="0" fontId="147" fillId="0" borderId="0" xfId="0" applyFont="1" applyFill="1"/>
    <xf numFmtId="0" fontId="148" fillId="0" borderId="0" xfId="0" applyFont="1" applyFill="1"/>
    <xf numFmtId="0" fontId="149" fillId="0" borderId="8" xfId="0" applyFont="1" applyFill="1" applyBorder="1" applyAlignment="1">
      <alignment horizontal="center"/>
    </xf>
    <xf numFmtId="1" fontId="147" fillId="0" borderId="0" xfId="0" applyNumberFormat="1" applyFont="1" applyFill="1"/>
    <xf numFmtId="0" fontId="147" fillId="0" borderId="0" xfId="0" applyNumberFormat="1" applyFont="1" applyFill="1"/>
    <xf numFmtId="1" fontId="148" fillId="0" borderId="0" xfId="0" applyNumberFormat="1" applyFont="1" applyFill="1"/>
    <xf numFmtId="166" fontId="147" fillId="0" borderId="0" xfId="2" applyNumberFormat="1" applyFont="1" applyFill="1"/>
    <xf numFmtId="166" fontId="0" fillId="0" borderId="0" xfId="2" applyNumberFormat="1" applyFont="1" applyFill="1"/>
    <xf numFmtId="0" fontId="149" fillId="0" borderId="0" xfId="0" applyFont="1" applyFill="1" applyBorder="1" applyAlignment="1">
      <alignment horizontal="center"/>
    </xf>
    <xf numFmtId="0" fontId="85" fillId="0" borderId="8" xfId="0" applyFont="1" applyFill="1" applyBorder="1" applyAlignment="1">
      <alignment horizontal="center"/>
    </xf>
    <xf numFmtId="171" fontId="9" fillId="0" borderId="0" xfId="1" applyNumberFormat="1" applyFont="1" applyFill="1"/>
    <xf numFmtId="171" fontId="113" fillId="0" borderId="0" xfId="1" applyNumberFormat="1" applyFont="1" applyFill="1"/>
    <xf numFmtId="171" fontId="113" fillId="14" borderId="0" xfId="1" applyNumberFormat="1" applyFont="1" applyFill="1"/>
    <xf numFmtId="0" fontId="116" fillId="0" borderId="8" xfId="0" applyFont="1" applyFill="1" applyBorder="1" applyAlignment="1">
      <alignment horizontal="center"/>
    </xf>
    <xf numFmtId="1" fontId="0" fillId="0" borderId="0" xfId="0" applyNumberFormat="1" applyFill="1"/>
    <xf numFmtId="1" fontId="0" fillId="0" borderId="0" xfId="0" applyNumberFormat="1" applyFont="1" applyFill="1"/>
    <xf numFmtId="0" fontId="0" fillId="0" borderId="0" xfId="0" applyNumberFormat="1" applyFill="1"/>
    <xf numFmtId="0" fontId="0" fillId="0" borderId="0" xfId="0" applyNumberFormat="1" applyFont="1" applyFill="1"/>
    <xf numFmtId="166" fontId="1" fillId="0" borderId="0" xfId="2" applyNumberFormat="1" applyFont="1" applyFill="1"/>
    <xf numFmtId="0" fontId="0" fillId="0" borderId="0" xfId="0" applyFont="1" applyFill="1"/>
    <xf numFmtId="1" fontId="0" fillId="0" borderId="0" xfId="0" applyNumberFormat="1" applyFont="1"/>
    <xf numFmtId="166" fontId="1" fillId="0" borderId="0" xfId="2" applyNumberFormat="1" applyFont="1"/>
    <xf numFmtId="171" fontId="0" fillId="0" borderId="0" xfId="1" applyNumberFormat="1" applyFont="1" applyFill="1"/>
    <xf numFmtId="171" fontId="114" fillId="0" borderId="0" xfId="1" applyNumberFormat="1" applyFont="1" applyFill="1"/>
    <xf numFmtId="0" fontId="148" fillId="0" borderId="9" xfId="0" applyFont="1" applyBorder="1"/>
    <xf numFmtId="0" fontId="116" fillId="0" borderId="8" xfId="0" applyFont="1" applyBorder="1"/>
    <xf numFmtId="0" fontId="116" fillId="0" borderId="8" xfId="0" applyFont="1" applyBorder="1" applyAlignment="1">
      <alignment horizontal="right"/>
    </xf>
    <xf numFmtId="0" fontId="152" fillId="0" borderId="0" xfId="0" applyFont="1"/>
    <xf numFmtId="0" fontId="153" fillId="0" borderId="0" xfId="0" applyFont="1"/>
    <xf numFmtId="171" fontId="154" fillId="15" borderId="0" xfId="1" applyNumberFormat="1" applyFont="1" applyFill="1"/>
    <xf numFmtId="171" fontId="136" fillId="15" borderId="0" xfId="1" applyNumberFormat="1" applyFont="1" applyFill="1"/>
    <xf numFmtId="9" fontId="154" fillId="15" borderId="0" xfId="2" applyFont="1" applyFill="1"/>
    <xf numFmtId="0" fontId="16" fillId="0" borderId="0" xfId="0" applyFont="1" applyAlignment="1">
      <alignment horizontal="left"/>
    </xf>
    <xf numFmtId="9" fontId="155" fillId="0" borderId="0" xfId="2" applyFont="1"/>
    <xf numFmtId="0" fontId="17" fillId="12" borderId="8" xfId="0" applyFont="1" applyFill="1" applyBorder="1" applyAlignment="1">
      <alignment horizontal="left"/>
    </xf>
    <xf numFmtId="0" fontId="134" fillId="12" borderId="8" xfId="0" applyFont="1" applyFill="1" applyBorder="1"/>
    <xf numFmtId="0" fontId="134" fillId="12" borderId="9" xfId="0" applyFont="1" applyFill="1" applyBorder="1"/>
    <xf numFmtId="0" fontId="134" fillId="0" borderId="6" xfId="0" applyFont="1" applyBorder="1"/>
    <xf numFmtId="0" fontId="17" fillId="0" borderId="0" xfId="0" applyFont="1" applyFill="1" applyBorder="1"/>
    <xf numFmtId="171" fontId="156" fillId="15" borderId="0" xfId="0" applyNumberFormat="1" applyFont="1" applyFill="1" applyBorder="1"/>
    <xf numFmtId="171" fontId="156" fillId="0" borderId="0" xfId="0" applyNumberFormat="1" applyFont="1" applyFill="1" applyBorder="1"/>
    <xf numFmtId="171" fontId="156" fillId="0" borderId="6" xfId="0" applyNumberFormat="1" applyFont="1" applyFill="1" applyBorder="1"/>
    <xf numFmtId="0" fontId="17" fillId="0" borderId="0" xfId="0" applyFont="1"/>
    <xf numFmtId="9" fontId="0" fillId="0" borderId="0" xfId="2" applyFont="1" applyBorder="1"/>
    <xf numFmtId="9" fontId="0" fillId="0" borderId="6" xfId="2" applyFont="1" applyBorder="1"/>
    <xf numFmtId="171" fontId="0" fillId="0" borderId="6" xfId="1" applyNumberFormat="1" applyFont="1" applyBorder="1"/>
    <xf numFmtId="0" fontId="17" fillId="0" borderId="0" xfId="0" applyFont="1" applyBorder="1"/>
    <xf numFmtId="171" fontId="17" fillId="0" borderId="0" xfId="1" applyNumberFormat="1" applyFont="1" applyFill="1" applyBorder="1"/>
    <xf numFmtId="171" fontId="17" fillId="0" borderId="6" xfId="1" applyNumberFormat="1" applyFont="1" applyFill="1" applyBorder="1"/>
    <xf numFmtId="0" fontId="136" fillId="0" borderId="0" xfId="0" applyFont="1" applyBorder="1" applyAlignment="1">
      <alignment horizontal="left" indent="3"/>
    </xf>
    <xf numFmtId="171" fontId="154" fillId="0" borderId="0" xfId="1" applyNumberFormat="1" applyFont="1" applyBorder="1"/>
    <xf numFmtId="171" fontId="154" fillId="0" borderId="6" xfId="1" applyNumberFormat="1" applyFont="1" applyBorder="1"/>
    <xf numFmtId="171" fontId="156" fillId="0" borderId="0" xfId="1" applyNumberFormat="1" applyFont="1" applyFill="1" applyBorder="1"/>
    <xf numFmtId="171" fontId="156" fillId="0" borderId="6" xfId="1" applyNumberFormat="1" applyFont="1" applyFill="1" applyBorder="1"/>
    <xf numFmtId="0" fontId="17" fillId="0" borderId="33" xfId="0" applyFont="1" applyBorder="1"/>
    <xf numFmtId="171" fontId="17" fillId="12" borderId="33" xfId="0" applyNumberFormat="1" applyFont="1" applyFill="1" applyBorder="1"/>
    <xf numFmtId="171" fontId="17" fillId="12" borderId="34" xfId="0" applyNumberFormat="1" applyFont="1" applyFill="1" applyBorder="1"/>
    <xf numFmtId="166" fontId="17" fillId="12" borderId="33" xfId="2" applyNumberFormat="1" applyFont="1" applyFill="1" applyBorder="1"/>
    <xf numFmtId="9" fontId="157" fillId="0" borderId="0" xfId="2" applyFont="1" applyFill="1" applyBorder="1"/>
    <xf numFmtId="166" fontId="17" fillId="0" borderId="0" xfId="2" applyNumberFormat="1" applyFont="1" applyFill="1" applyBorder="1"/>
    <xf numFmtId="166" fontId="156" fillId="0" borderId="0" xfId="2" applyNumberFormat="1" applyFont="1" applyFill="1" applyBorder="1"/>
    <xf numFmtId="0" fontId="16" fillId="0" borderId="0" xfId="0" applyFont="1" applyBorder="1" applyAlignment="1">
      <alignment horizontal="left" indent="2"/>
    </xf>
    <xf numFmtId="171" fontId="16" fillId="0" borderId="0" xfId="1" applyNumberFormat="1" applyFont="1" applyBorder="1"/>
    <xf numFmtId="171" fontId="16" fillId="0" borderId="6" xfId="1" applyNumberFormat="1" applyFont="1" applyBorder="1"/>
    <xf numFmtId="2" fontId="17" fillId="0" borderId="0" xfId="0" applyNumberFormat="1" applyFont="1" applyBorder="1" applyAlignment="1">
      <alignment horizontal="left"/>
    </xf>
    <xf numFmtId="171" fontId="156" fillId="0" borderId="0" xfId="1" applyNumberFormat="1" applyFont="1" applyBorder="1"/>
    <xf numFmtId="171" fontId="156" fillId="0" borderId="6" xfId="1" applyNumberFormat="1" applyFont="1" applyBorder="1"/>
    <xf numFmtId="166" fontId="156" fillId="0" borderId="0" xfId="2" applyNumberFormat="1" applyFont="1"/>
    <xf numFmtId="10" fontId="0" fillId="0" borderId="0" xfId="2" applyNumberFormat="1" applyFont="1"/>
    <xf numFmtId="43" fontId="16" fillId="0" borderId="0" xfId="1" applyNumberFormat="1" applyFont="1" applyBorder="1"/>
    <xf numFmtId="10" fontId="0" fillId="0" borderId="0" xfId="0" applyNumberFormat="1"/>
    <xf numFmtId="3" fontId="0" fillId="0" borderId="0" xfId="0" applyNumberFormat="1"/>
    <xf numFmtId="9" fontId="0" fillId="7" borderId="0" xfId="0" applyNumberFormat="1" applyFill="1"/>
    <xf numFmtId="0" fontId="16" fillId="0" borderId="0" xfId="0" applyFont="1" applyAlignment="1">
      <alignment horizontal="right"/>
    </xf>
    <xf numFmtId="3" fontId="0" fillId="16" borderId="0" xfId="0" applyNumberFormat="1" applyFill="1"/>
    <xf numFmtId="0" fontId="124" fillId="0" borderId="29" xfId="0" applyFont="1" applyBorder="1"/>
    <xf numFmtId="0" fontId="158" fillId="0" borderId="31" xfId="0" applyFont="1" applyBorder="1"/>
    <xf numFmtId="0" fontId="158" fillId="0" borderId="28" xfId="0" applyFont="1" applyBorder="1"/>
    <xf numFmtId="0" fontId="158" fillId="0" borderId="0" xfId="0" applyFont="1" applyBorder="1"/>
    <xf numFmtId="0" fontId="135" fillId="0" borderId="1" xfId="0" applyFont="1" applyBorder="1"/>
    <xf numFmtId="0" fontId="153" fillId="0" borderId="0" xfId="0" applyFont="1" applyBorder="1"/>
    <xf numFmtId="0" fontId="153" fillId="0" borderId="6" xfId="0" applyFont="1" applyBorder="1"/>
    <xf numFmtId="0" fontId="16" fillId="0" borderId="1" xfId="0" applyFont="1" applyFill="1" applyBorder="1"/>
    <xf numFmtId="171" fontId="0" fillId="0" borderId="0" xfId="0" applyNumberFormat="1" applyBorder="1"/>
    <xf numFmtId="171" fontId="0" fillId="0" borderId="6" xfId="0" applyNumberFormat="1" applyBorder="1"/>
    <xf numFmtId="0" fontId="16" fillId="0" borderId="1" xfId="0" applyFont="1" applyBorder="1"/>
    <xf numFmtId="2" fontId="0" fillId="0" borderId="0" xfId="0" applyNumberFormat="1" applyBorder="1"/>
    <xf numFmtId="2" fontId="0" fillId="0" borderId="6" xfId="0" applyNumberFormat="1" applyBorder="1"/>
    <xf numFmtId="0" fontId="159" fillId="0" borderId="1" xfId="0" applyFont="1" applyBorder="1"/>
    <xf numFmtId="171" fontId="159" fillId="15" borderId="0" xfId="0" applyNumberFormat="1" applyFont="1" applyFill="1" applyBorder="1"/>
    <xf numFmtId="171" fontId="159" fillId="0" borderId="0" xfId="0" applyNumberFormat="1" applyFont="1" applyBorder="1"/>
    <xf numFmtId="171" fontId="159" fillId="0" borderId="6" xfId="0" applyNumberFormat="1" applyFont="1" applyBorder="1"/>
    <xf numFmtId="0" fontId="159" fillId="0" borderId="0" xfId="0" applyFont="1"/>
    <xf numFmtId="9" fontId="159" fillId="0" borderId="0" xfId="2" applyFont="1" applyBorder="1"/>
    <xf numFmtId="9" fontId="159" fillId="0" borderId="6" xfId="2" applyFont="1" applyBorder="1"/>
    <xf numFmtId="176" fontId="159" fillId="0" borderId="0" xfId="0" applyNumberFormat="1" applyFont="1" applyBorder="1"/>
    <xf numFmtId="176" fontId="159" fillId="0" borderId="6" xfId="0" applyNumberFormat="1" applyFont="1" applyBorder="1"/>
    <xf numFmtId="43" fontId="159" fillId="0" borderId="0" xfId="1" applyFont="1" applyBorder="1"/>
    <xf numFmtId="43" fontId="159" fillId="0" borderId="6" xfId="1" applyFont="1" applyBorder="1"/>
    <xf numFmtId="43" fontId="0" fillId="0" borderId="0" xfId="0" applyNumberFormat="1" applyBorder="1"/>
    <xf numFmtId="0" fontId="160" fillId="0" borderId="1" xfId="0" applyFont="1" applyBorder="1"/>
    <xf numFmtId="0" fontId="160" fillId="0" borderId="0" xfId="0" applyFont="1" applyBorder="1"/>
    <xf numFmtId="9" fontId="160" fillId="0" borderId="0" xfId="2" applyFont="1" applyBorder="1"/>
    <xf numFmtId="9" fontId="160" fillId="0" borderId="6" xfId="2" applyFont="1" applyBorder="1"/>
    <xf numFmtId="0" fontId="160" fillId="0" borderId="7" xfId="0" applyFont="1" applyBorder="1"/>
    <xf numFmtId="9" fontId="160" fillId="0" borderId="8" xfId="2" applyFont="1" applyBorder="1"/>
    <xf numFmtId="9" fontId="160" fillId="0" borderId="9" xfId="2" applyFont="1" applyBorder="1"/>
    <xf numFmtId="0" fontId="83" fillId="0" borderId="0" xfId="0" applyFont="1" applyAlignment="1">
      <alignment horizontal="left"/>
    </xf>
    <xf numFmtId="0" fontId="71" fillId="0" borderId="0" xfId="0" applyFont="1" applyAlignment="1">
      <alignment horizontal="left" indent="1"/>
    </xf>
    <xf numFmtId="171" fontId="71" fillId="0" borderId="0" xfId="1" applyNumberFormat="1" applyFont="1"/>
    <xf numFmtId="0" fontId="71" fillId="0" borderId="0" xfId="0" applyFont="1"/>
    <xf numFmtId="166" fontId="71" fillId="0" borderId="0" xfId="2" applyNumberFormat="1" applyFont="1"/>
    <xf numFmtId="0" fontId="161" fillId="0" borderId="0" xfId="0" applyFont="1"/>
    <xf numFmtId="171" fontId="161" fillId="0" borderId="0" xfId="1" applyNumberFormat="1" applyFont="1"/>
    <xf numFmtId="9" fontId="161" fillId="0" borderId="0" xfId="2" applyFont="1"/>
    <xf numFmtId="166" fontId="161" fillId="0" borderId="0" xfId="2" applyNumberFormat="1" applyFont="1"/>
    <xf numFmtId="166" fontId="30" fillId="0" borderId="0" xfId="2" applyNumberFormat="1" applyFont="1" applyFill="1" applyBorder="1"/>
    <xf numFmtId="10" fontId="24" fillId="0" borderId="0" xfId="0" applyNumberFormat="1" applyFont="1"/>
    <xf numFmtId="0" fontId="97" fillId="0" borderId="0" xfId="0" applyFont="1" applyAlignment="1">
      <alignment horizontal="left"/>
    </xf>
    <xf numFmtId="9" fontId="102" fillId="0" borderId="0" xfId="2" applyFont="1"/>
    <xf numFmtId="171" fontId="76" fillId="0" borderId="0" xfId="1" applyNumberFormat="1" applyFont="1"/>
    <xf numFmtId="0" fontId="69" fillId="0" borderId="0" xfId="0" applyFont="1"/>
    <xf numFmtId="0" fontId="103" fillId="0" borderId="0" xfId="0" applyFont="1"/>
    <xf numFmtId="167" fontId="103" fillId="0" borderId="0" xfId="1" applyNumberFormat="1" applyFont="1"/>
    <xf numFmtId="166" fontId="103" fillId="0" borderId="0" xfId="2" applyNumberFormat="1" applyFont="1"/>
    <xf numFmtId="0" fontId="13" fillId="0" borderId="0" xfId="0" applyFont="1" applyAlignment="1">
      <alignment horizontal="left"/>
    </xf>
    <xf numFmtId="0" fontId="114" fillId="0" borderId="0" xfId="0" applyFont="1" applyAlignment="1">
      <alignment horizontal="right"/>
    </xf>
    <xf numFmtId="171" fontId="114" fillId="0" borderId="0" xfId="1" applyNumberFormat="1" applyFont="1"/>
    <xf numFmtId="171" fontId="114" fillId="0" borderId="0" xfId="0" applyNumberFormat="1" applyFont="1"/>
    <xf numFmtId="171" fontId="114" fillId="0" borderId="0" xfId="0" applyNumberFormat="1" applyFont="1" applyFill="1"/>
    <xf numFmtId="10" fontId="83" fillId="0" borderId="0" xfId="2" applyNumberFormat="1" applyFont="1"/>
    <xf numFmtId="43" fontId="24" fillId="0" borderId="0" xfId="1" applyFont="1"/>
    <xf numFmtId="0" fontId="0" fillId="0" borderId="13" xfId="0" applyFont="1" applyBorder="1" applyAlignment="1">
      <alignment horizontal="right"/>
    </xf>
    <xf numFmtId="0" fontId="0" fillId="0" borderId="14" xfId="0" applyFont="1" applyBorder="1" applyAlignment="1">
      <alignment horizontal="right"/>
    </xf>
    <xf numFmtId="171" fontId="39" fillId="0" borderId="0" xfId="1" applyNumberFormat="1" applyFont="1" applyAlignment="1">
      <alignment horizontal="center"/>
    </xf>
    <xf numFmtId="171" fontId="24" fillId="0" borderId="30" xfId="1" applyNumberFormat="1" applyFont="1" applyBorder="1"/>
    <xf numFmtId="171" fontId="24" fillId="0" borderId="32" xfId="1" applyNumberFormat="1" applyFont="1" applyBorder="1"/>
    <xf numFmtId="0" fontId="0" fillId="0" borderId="0" xfId="0" applyFill="1" applyAlignment="1">
      <alignment horizontal="center"/>
    </xf>
    <xf numFmtId="172" fontId="0" fillId="0" borderId="0" xfId="0" applyNumberFormat="1" applyFill="1" applyAlignment="1">
      <alignment horizontal="center"/>
    </xf>
    <xf numFmtId="173" fontId="0" fillId="0" borderId="0" xfId="0" applyNumberFormat="1" applyFill="1" applyAlignment="1">
      <alignment horizontal="center"/>
    </xf>
    <xf numFmtId="0" fontId="0" fillId="0" borderId="6" xfId="0" applyFill="1" applyBorder="1" applyAlignment="1">
      <alignment horizontal="right"/>
    </xf>
    <xf numFmtId="0" fontId="0" fillId="0" borderId="6" xfId="0" applyFill="1" applyBorder="1"/>
    <xf numFmtId="0" fontId="85" fillId="0" borderId="0" xfId="0" applyFont="1" applyFill="1"/>
    <xf numFmtId="0" fontId="0" fillId="0" borderId="0" xfId="0" applyFont="1" applyBorder="1" applyAlignment="1">
      <alignment horizontal="center"/>
    </xf>
    <xf numFmtId="0" fontId="19" fillId="0" borderId="1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1" fontId="6" fillId="0" borderId="9" xfId="0" applyNumberFormat="1" applyFont="1" applyBorder="1"/>
    <xf numFmtId="0" fontId="162" fillId="0" borderId="8" xfId="0" applyFont="1" applyBorder="1"/>
    <xf numFmtId="0" fontId="162" fillId="0" borderId="7" xfId="0" applyFont="1" applyBorder="1"/>
    <xf numFmtId="0" fontId="162" fillId="0" borderId="7" xfId="0" applyFont="1" applyBorder="1" applyAlignment="1">
      <alignment horizontal="left" indent="1"/>
    </xf>
    <xf numFmtId="0" fontId="162" fillId="0" borderId="0" xfId="0" applyFont="1"/>
    <xf numFmtId="0" fontId="133" fillId="0" borderId="0" xfId="0" applyFont="1"/>
    <xf numFmtId="0" fontId="133" fillId="0" borderId="0" xfId="0" applyFont="1" applyBorder="1"/>
    <xf numFmtId="0" fontId="133" fillId="0" borderId="29" xfId="0" applyFont="1" applyBorder="1"/>
    <xf numFmtId="0" fontId="16" fillId="3" borderId="29" xfId="0" applyFont="1" applyFill="1" applyBorder="1" applyAlignment="1">
      <alignment horizontal="left" indent="1"/>
    </xf>
    <xf numFmtId="0" fontId="16" fillId="3" borderId="0" xfId="0" applyFont="1" applyFill="1" applyBorder="1"/>
    <xf numFmtId="0" fontId="16" fillId="3" borderId="0" xfId="0" applyFont="1" applyFill="1"/>
    <xf numFmtId="0" fontId="19" fillId="3" borderId="0" xfId="0" applyFont="1" applyFill="1"/>
    <xf numFmtId="0" fontId="163" fillId="0" borderId="0" xfId="0" applyFont="1"/>
    <xf numFmtId="0" fontId="133" fillId="0" borderId="1" xfId="0" applyFont="1" applyBorder="1"/>
    <xf numFmtId="0" fontId="16" fillId="3" borderId="1" xfId="0" applyFont="1" applyFill="1" applyBorder="1"/>
    <xf numFmtId="0" fontId="164" fillId="3" borderId="0" xfId="0" applyFont="1" applyFill="1" applyBorder="1"/>
    <xf numFmtId="0" fontId="16" fillId="3" borderId="0" xfId="0" quotePrefix="1" applyFont="1" applyFill="1" applyBorder="1"/>
    <xf numFmtId="0" fontId="16" fillId="3" borderId="1" xfId="0" applyFont="1" applyFill="1" applyBorder="1" applyAlignment="1">
      <alignment horizontal="left" indent="1"/>
    </xf>
    <xf numFmtId="0" fontId="165" fillId="0" borderId="0" xfId="0" applyFont="1" applyFill="1"/>
    <xf numFmtId="0" fontId="133" fillId="0" borderId="0" xfId="0" applyFont="1" applyFill="1"/>
    <xf numFmtId="0" fontId="16" fillId="0" borderId="0" xfId="0" applyFont="1" applyFill="1"/>
    <xf numFmtId="0" fontId="165" fillId="0" borderId="0" xfId="0" applyFont="1"/>
    <xf numFmtId="0" fontId="166" fillId="0" borderId="0" xfId="0" applyFont="1"/>
    <xf numFmtId="0" fontId="167" fillId="0" borderId="1" xfId="0" applyFont="1" applyBorder="1" applyAlignment="1">
      <alignment horizontal="left" indent="1"/>
    </xf>
    <xf numFmtId="0" fontId="133" fillId="0" borderId="0" xfId="0" applyFont="1" applyAlignment="1">
      <alignment horizontal="right"/>
    </xf>
    <xf numFmtId="0" fontId="167" fillId="0" borderId="0" xfId="0" applyFont="1"/>
    <xf numFmtId="0" fontId="133" fillId="0" borderId="1" xfId="0" applyFont="1" applyBorder="1" applyAlignment="1">
      <alignment horizontal="left" indent="1"/>
    </xf>
    <xf numFmtId="0" fontId="166" fillId="3" borderId="1" xfId="0" applyFont="1" applyFill="1" applyBorder="1" applyAlignment="1">
      <alignment horizontal="left"/>
    </xf>
    <xf numFmtId="0" fontId="133" fillId="0" borderId="1" xfId="0" applyFont="1" applyBorder="1" applyAlignment="1">
      <alignment vertical="top"/>
    </xf>
    <xf numFmtId="0" fontId="133" fillId="0" borderId="1" xfId="0" applyFont="1" applyBorder="1" applyAlignment="1">
      <alignment horizontal="left" vertical="top" indent="2"/>
    </xf>
    <xf numFmtId="0" fontId="16" fillId="0" borderId="1" xfId="0" applyFont="1" applyBorder="1" applyAlignment="1">
      <alignment vertical="top"/>
    </xf>
    <xf numFmtId="0" fontId="84" fillId="0" borderId="0" xfId="0" applyFont="1" applyAlignment="1">
      <alignment horizontal="right" vertical="top"/>
    </xf>
    <xf numFmtId="0" fontId="84" fillId="0" borderId="0" xfId="0" applyFont="1" applyAlignment="1">
      <alignment horizontal="left" vertical="top" indent="2"/>
    </xf>
    <xf numFmtId="0" fontId="16" fillId="0" borderId="1" xfId="0" applyFont="1" applyBorder="1" applyAlignment="1">
      <alignment horizontal="left" indent="1"/>
    </xf>
    <xf numFmtId="0" fontId="16" fillId="0" borderId="1" xfId="0" applyFont="1" applyFill="1" applyBorder="1" applyAlignment="1">
      <alignment horizontal="left" indent="1"/>
    </xf>
    <xf numFmtId="0" fontId="8" fillId="0" borderId="0" xfId="0" applyFont="1" applyFill="1"/>
    <xf numFmtId="0" fontId="167" fillId="0" borderId="1" xfId="0" applyFont="1" applyBorder="1"/>
    <xf numFmtId="0" fontId="166" fillId="0" borderId="0" xfId="0" applyFont="1" applyFill="1"/>
    <xf numFmtId="0" fontId="16" fillId="0" borderId="0" xfId="0" applyFont="1" applyBorder="1"/>
    <xf numFmtId="0" fontId="133" fillId="3" borderId="0" xfId="0" applyFont="1" applyFill="1"/>
    <xf numFmtId="0" fontId="8" fillId="0" borderId="1" xfId="0" applyFont="1" applyBorder="1"/>
    <xf numFmtId="0" fontId="167" fillId="0" borderId="0" xfId="0" applyFont="1" applyBorder="1"/>
    <xf numFmtId="0" fontId="8" fillId="0" borderId="1" xfId="0" applyFont="1" applyBorder="1" applyAlignment="1">
      <alignment horizontal="left" indent="1"/>
    </xf>
    <xf numFmtId="0" fontId="8" fillId="0" borderId="0" xfId="0" applyFont="1"/>
    <xf numFmtId="0" fontId="168" fillId="0" borderId="1" xfId="0" applyFont="1" applyBorder="1" applyAlignment="1">
      <alignment horizontal="left"/>
    </xf>
    <xf numFmtId="0" fontId="8" fillId="3" borderId="1" xfId="0" applyFont="1" applyFill="1" applyBorder="1" applyAlignment="1">
      <alignment horizontal="left" indent="1"/>
    </xf>
    <xf numFmtId="0" fontId="15" fillId="0" borderId="0" xfId="0" applyFont="1"/>
    <xf numFmtId="0" fontId="170" fillId="0" borderId="0" xfId="0" applyFont="1"/>
    <xf numFmtId="0" fontId="170" fillId="0" borderId="1" xfId="0" applyFont="1" applyBorder="1"/>
    <xf numFmtId="0" fontId="15" fillId="3" borderId="0" xfId="0" applyFont="1" applyFill="1"/>
    <xf numFmtId="0" fontId="72" fillId="3" borderId="0" xfId="0" applyFont="1" applyFill="1"/>
    <xf numFmtId="0" fontId="72" fillId="0" borderId="0" xfId="0" applyFont="1"/>
    <xf numFmtId="0" fontId="10" fillId="0" borderId="0" xfId="0" applyFont="1"/>
    <xf numFmtId="0" fontId="170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 indent="1"/>
    </xf>
    <xf numFmtId="0" fontId="154" fillId="0" borderId="0" xfId="0" applyFont="1"/>
    <xf numFmtId="0" fontId="166" fillId="0" borderId="8" xfId="0" applyFont="1" applyBorder="1"/>
    <xf numFmtId="0" fontId="167" fillId="0" borderId="7" xfId="0" applyFont="1" applyBorder="1" applyAlignment="1">
      <alignment horizontal="left" indent="1"/>
    </xf>
    <xf numFmtId="0" fontId="167" fillId="0" borderId="8" xfId="0" applyFont="1" applyBorder="1"/>
    <xf numFmtId="0" fontId="133" fillId="0" borderId="7" xfId="0" applyFont="1" applyBorder="1" applyAlignment="1">
      <alignment horizontal="left" indent="1"/>
    </xf>
    <xf numFmtId="0" fontId="133" fillId="0" borderId="7" xfId="0" applyFont="1" applyBorder="1" applyAlignment="1">
      <alignment vertical="top"/>
    </xf>
    <xf numFmtId="0" fontId="16" fillId="0" borderId="8" xfId="0" applyFont="1" applyBorder="1"/>
    <xf numFmtId="0" fontId="166" fillId="0" borderId="0" xfId="0" applyFont="1" applyBorder="1"/>
    <xf numFmtId="9" fontId="0" fillId="0" borderId="0" xfId="0" applyNumberFormat="1" applyFont="1"/>
    <xf numFmtId="0" fontId="167" fillId="0" borderId="7" xfId="0" applyFont="1" applyBorder="1"/>
    <xf numFmtId="0" fontId="133" fillId="0" borderId="7" xfId="0" applyFont="1" applyBorder="1"/>
    <xf numFmtId="0" fontId="0" fillId="0" borderId="6" xfId="0" applyFont="1" applyBorder="1"/>
    <xf numFmtId="0" fontId="120" fillId="3" borderId="12" xfId="0" applyFont="1" applyFill="1" applyBorder="1" applyAlignment="1">
      <alignment horizontal="left" indent="1"/>
    </xf>
    <xf numFmtId="0" fontId="120" fillId="3" borderId="31" xfId="0" applyFont="1" applyFill="1" applyBorder="1" applyAlignment="1">
      <alignment horizontal="left" indent="1"/>
    </xf>
    <xf numFmtId="0" fontId="85" fillId="3" borderId="31" xfId="0" applyFont="1" applyFill="1" applyBorder="1" applyAlignment="1">
      <alignment horizontal="left" indent="1"/>
    </xf>
    <xf numFmtId="0" fontId="85" fillId="3" borderId="28" xfId="0" applyFont="1" applyFill="1" applyBorder="1" applyAlignment="1">
      <alignment horizontal="left" indent="1"/>
    </xf>
    <xf numFmtId="0" fontId="120" fillId="3" borderId="1" xfId="0" applyFont="1" applyFill="1" applyBorder="1" applyAlignment="1">
      <alignment vertical="center"/>
    </xf>
    <xf numFmtId="0" fontId="133" fillId="3" borderId="0" xfId="0" applyFont="1" applyFill="1" applyBorder="1" applyAlignment="1">
      <alignment horizontal="left" vertical="center"/>
    </xf>
    <xf numFmtId="0" fontId="0" fillId="3" borderId="0" xfId="0" quotePrefix="1" applyFill="1" applyBorder="1" applyAlignment="1">
      <alignment horizontal="left" vertical="center" wrapText="1"/>
    </xf>
    <xf numFmtId="0" fontId="0" fillId="3" borderId="6" xfId="0" applyFill="1" applyBorder="1" applyAlignment="1">
      <alignment horizontal="left" vertical="center" wrapText="1"/>
    </xf>
    <xf numFmtId="0" fontId="0" fillId="3" borderId="6" xfId="0" quotePrefix="1" applyFill="1" applyBorder="1" applyAlignment="1">
      <alignment horizontal="left" vertical="center" wrapText="1"/>
    </xf>
    <xf numFmtId="0" fontId="0" fillId="3" borderId="0" xfId="0" quotePrefix="1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/>
    </xf>
    <xf numFmtId="0" fontId="133" fillId="3" borderId="0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9" fillId="3" borderId="0" xfId="0" applyFont="1" applyFill="1" applyBorder="1" applyAlignment="1">
      <alignment horizontal="left" vertical="center"/>
    </xf>
    <xf numFmtId="0" fontId="0" fillId="3" borderId="0" xfId="0" applyFill="1" applyBorder="1" applyAlignment="1">
      <alignment horizontal="left" vertical="center"/>
    </xf>
    <xf numFmtId="0" fontId="85" fillId="3" borderId="31" xfId="0" applyFont="1" applyFill="1" applyBorder="1" applyAlignment="1"/>
    <xf numFmtId="0" fontId="120" fillId="3" borderId="30" xfId="0" applyFont="1" applyFill="1" applyBorder="1" applyAlignment="1"/>
    <xf numFmtId="0" fontId="85" fillId="3" borderId="0" xfId="0" applyFont="1" applyFill="1" applyBorder="1" applyAlignment="1"/>
    <xf numFmtId="0" fontId="120" fillId="3" borderId="32" xfId="0" applyFont="1" applyFill="1" applyBorder="1" applyAlignment="1"/>
    <xf numFmtId="0" fontId="85" fillId="3" borderId="6" xfId="0" applyFont="1" applyFill="1" applyBorder="1" applyAlignment="1"/>
    <xf numFmtId="0" fontId="76" fillId="3" borderId="0" xfId="0" applyFont="1" applyFill="1" applyBorder="1" applyAlignment="1"/>
    <xf numFmtId="0" fontId="120" fillId="3" borderId="29" xfId="0" applyFont="1" applyFill="1" applyBorder="1" applyAlignment="1"/>
    <xf numFmtId="0" fontId="120" fillId="3" borderId="1" xfId="0" applyFont="1" applyFill="1" applyBorder="1" applyAlignment="1"/>
    <xf numFmtId="0" fontId="120" fillId="3" borderId="12" xfId="0" applyFont="1" applyFill="1" applyBorder="1" applyAlignment="1"/>
    <xf numFmtId="0" fontId="39" fillId="3" borderId="0" xfId="0" quotePrefix="1" applyFont="1" applyFill="1" applyBorder="1" applyAlignment="1">
      <alignment horizontal="left" vertical="center" wrapText="1"/>
    </xf>
    <xf numFmtId="0" fontId="39" fillId="3" borderId="6" xfId="0" quotePrefix="1" applyFont="1" applyFill="1" applyBorder="1" applyAlignment="1">
      <alignment horizontal="left" vertical="center"/>
    </xf>
    <xf numFmtId="0" fontId="120" fillId="3" borderId="31" xfId="0" applyFont="1" applyFill="1" applyBorder="1" applyAlignment="1"/>
    <xf numFmtId="0" fontId="85" fillId="3" borderId="28" xfId="0" applyFont="1" applyFill="1" applyBorder="1" applyAlignment="1"/>
    <xf numFmtId="0" fontId="0" fillId="3" borderId="0" xfId="0" applyFill="1" applyBorder="1" applyAlignment="1">
      <alignment horizontal="left" vertical="center" wrapText="1"/>
    </xf>
    <xf numFmtId="0" fontId="133" fillId="3" borderId="0" xfId="0" quotePrefix="1" applyFont="1" applyFill="1" applyBorder="1" applyAlignment="1">
      <alignment horizontal="left" vertical="center"/>
    </xf>
    <xf numFmtId="0" fontId="9" fillId="3" borderId="0" xfId="0" quotePrefix="1" applyFont="1" applyFill="1" applyBorder="1" applyAlignment="1">
      <alignment horizontal="left" vertical="center"/>
    </xf>
    <xf numFmtId="0" fontId="0" fillId="0" borderId="8" xfId="0" quotePrefix="1" applyBorder="1"/>
    <xf numFmtId="0" fontId="171" fillId="22" borderId="35" xfId="0" applyFont="1" applyFill="1" applyBorder="1" applyAlignment="1">
      <alignment horizontal="left" vertical="center" wrapText="1" readingOrder="1"/>
    </xf>
    <xf numFmtId="0" fontId="173" fillId="23" borderId="36" xfId="0" applyFont="1" applyFill="1" applyBorder="1" applyAlignment="1">
      <alignment horizontal="left" vertical="center" wrapText="1" indent="2" readingOrder="1"/>
    </xf>
    <xf numFmtId="0" fontId="173" fillId="23" borderId="37" xfId="0" applyFont="1" applyFill="1" applyBorder="1" applyAlignment="1">
      <alignment horizontal="left" vertical="center" wrapText="1" indent="2" readingOrder="1"/>
    </xf>
    <xf numFmtId="0" fontId="173" fillId="24" borderId="38" xfId="0" applyFont="1" applyFill="1" applyBorder="1" applyAlignment="1">
      <alignment horizontal="left" vertical="center" wrapText="1" indent="2" readingOrder="1"/>
    </xf>
    <xf numFmtId="0" fontId="173" fillId="24" borderId="39" xfId="0" applyFont="1" applyFill="1" applyBorder="1" applyAlignment="1">
      <alignment horizontal="left" vertical="center" wrapText="1" indent="2" readingOrder="1"/>
    </xf>
    <xf numFmtId="0" fontId="173" fillId="24" borderId="37" xfId="0" applyFont="1" applyFill="1" applyBorder="1" applyAlignment="1">
      <alignment horizontal="left" vertical="center" wrapText="1" indent="2" readingOrder="1"/>
    </xf>
    <xf numFmtId="0" fontId="173" fillId="23" borderId="38" xfId="0" applyFont="1" applyFill="1" applyBorder="1" applyAlignment="1">
      <alignment horizontal="left" vertical="center" wrapText="1" indent="2" readingOrder="1"/>
    </xf>
    <xf numFmtId="0" fontId="173" fillId="23" borderId="39" xfId="0" applyFont="1" applyFill="1" applyBorder="1" applyAlignment="1">
      <alignment horizontal="left" vertical="center" wrapText="1" indent="2" readingOrder="1"/>
    </xf>
    <xf numFmtId="0" fontId="174" fillId="0" borderId="0" xfId="0" applyFont="1" applyAlignment="1">
      <alignment horizontal="left" vertical="center" readingOrder="1"/>
    </xf>
    <xf numFmtId="166" fontId="19" fillId="0" borderId="1" xfId="2" applyNumberFormat="1" applyFont="1" applyFill="1" applyBorder="1" applyAlignment="1">
      <alignment horizontal="center"/>
    </xf>
    <xf numFmtId="0" fontId="19" fillId="0" borderId="0" xfId="0" applyFont="1" applyFill="1" applyBorder="1"/>
    <xf numFmtId="166" fontId="19" fillId="0" borderId="0" xfId="2" applyNumberFormat="1" applyFont="1" applyFill="1" applyBorder="1" applyAlignment="1">
      <alignment horizontal="center"/>
    </xf>
    <xf numFmtId="0" fontId="3" fillId="0" borderId="0" xfId="0" applyFont="1" applyBorder="1"/>
    <xf numFmtId="0" fontId="0" fillId="0" borderId="0" xfId="0" applyFont="1" applyBorder="1" applyAlignment="1">
      <alignment horizontal="right"/>
    </xf>
    <xf numFmtId="0" fontId="61" fillId="0" borderId="0" xfId="3" applyFont="1" applyBorder="1" applyAlignment="1">
      <alignment vertical="top" wrapText="1"/>
    </xf>
    <xf numFmtId="166" fontId="52" fillId="0" borderId="1" xfId="3" applyNumberFormat="1" applyFont="1" applyBorder="1" applyAlignment="1">
      <alignment horizontal="center" vertical="top" wrapText="1"/>
    </xf>
    <xf numFmtId="0" fontId="61" fillId="0" borderId="21" xfId="3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7" xfId="0" applyFont="1" applyBorder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24" fillId="0" borderId="1" xfId="0" applyFont="1" applyBorder="1" applyAlignment="1">
      <alignment horizontal="center"/>
    </xf>
    <xf numFmtId="0" fontId="24" fillId="0" borderId="6" xfId="0" applyFont="1" applyBorder="1" applyAlignment="1">
      <alignment horizontal="center"/>
    </xf>
    <xf numFmtId="0" fontId="94" fillId="0" borderId="12" xfId="0" applyFont="1" applyBorder="1" applyAlignment="1">
      <alignment horizontal="center"/>
    </xf>
    <xf numFmtId="0" fontId="94" fillId="0" borderId="13" xfId="0" applyFont="1" applyBorder="1" applyAlignment="1">
      <alignment horizontal="center"/>
    </xf>
    <xf numFmtId="0" fontId="94" fillId="0" borderId="14" xfId="0" applyFont="1" applyBorder="1" applyAlignment="1">
      <alignment horizontal="center"/>
    </xf>
    <xf numFmtId="43" fontId="0" fillId="0" borderId="1" xfId="1" applyFont="1" applyBorder="1" applyAlignment="1">
      <alignment horizontal="center"/>
    </xf>
    <xf numFmtId="0" fontId="175" fillId="0" borderId="0" xfId="0" applyFont="1" applyAlignment="1">
      <alignment horizontal="right"/>
    </xf>
    <xf numFmtId="9" fontId="175" fillId="0" borderId="0" xfId="2" applyFont="1" applyFill="1" applyBorder="1"/>
    <xf numFmtId="0" fontId="0" fillId="15" borderId="0" xfId="0" applyFont="1" applyFill="1" applyAlignment="1">
      <alignment horizontal="right"/>
    </xf>
    <xf numFmtId="171" fontId="0" fillId="0" borderId="8" xfId="1" applyNumberFormat="1" applyFont="1" applyBorder="1" applyAlignment="1">
      <alignment horizontal="right"/>
    </xf>
    <xf numFmtId="167" fontId="0" fillId="0" borderId="7" xfId="1" applyNumberFormat="1" applyFont="1" applyBorder="1"/>
    <xf numFmtId="9" fontId="49" fillId="0" borderId="0" xfId="2" applyFont="1" applyFill="1" applyBorder="1" applyAlignment="1">
      <alignment horizontal="center"/>
    </xf>
    <xf numFmtId="0" fontId="39" fillId="0" borderId="0" xfId="0" applyFont="1"/>
    <xf numFmtId="0" fontId="114" fillId="0" borderId="0" xfId="0" applyFont="1"/>
    <xf numFmtId="166" fontId="6" fillId="0" borderId="0" xfId="2" applyNumberFormat="1" applyFont="1" applyBorder="1" applyProtection="1"/>
    <xf numFmtId="0" fontId="6" fillId="0" borderId="0" xfId="0" applyFont="1" applyBorder="1" applyAlignment="1" applyProtection="1">
      <alignment vertical="center"/>
    </xf>
    <xf numFmtId="0" fontId="6" fillId="0" borderId="3" xfId="0" applyFont="1" applyBorder="1" applyAlignment="1" applyProtection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0" borderId="0" xfId="0" applyBorder="1" applyAlignment="1">
      <alignment vertical="center"/>
    </xf>
    <xf numFmtId="0" fontId="24" fillId="0" borderId="6" xfId="0" applyFont="1" applyFill="1" applyBorder="1" applyAlignment="1">
      <alignment horizontal="right" vertical="center"/>
    </xf>
    <xf numFmtId="0" fontId="120" fillId="0" borderId="0" xfId="0" applyFont="1" applyAlignment="1">
      <alignment horizontal="left" vertical="top" wrapText="1"/>
    </xf>
    <xf numFmtId="0" fontId="176" fillId="0" borderId="0" xfId="0" applyFont="1"/>
    <xf numFmtId="0" fontId="40" fillId="10" borderId="12" xfId="0" applyFont="1" applyFill="1" applyBorder="1"/>
    <xf numFmtId="0" fontId="40" fillId="10" borderId="31" xfId="0" applyFont="1" applyFill="1" applyBorder="1"/>
    <xf numFmtId="0" fontId="40" fillId="10" borderId="28" xfId="0" applyFont="1" applyFill="1" applyBorder="1"/>
    <xf numFmtId="0" fontId="40" fillId="10" borderId="21" xfId="0" applyFont="1" applyFill="1" applyBorder="1"/>
    <xf numFmtId="0" fontId="40" fillId="0" borderId="31" xfId="0" applyFont="1" applyFill="1" applyBorder="1"/>
    <xf numFmtId="0" fontId="177" fillId="0" borderId="12" xfId="0" applyFont="1" applyFill="1" applyBorder="1"/>
    <xf numFmtId="0" fontId="40" fillId="0" borderId="28" xfId="0" applyFont="1" applyFill="1" applyBorder="1"/>
    <xf numFmtId="0" fontId="0" fillId="0" borderId="12" xfId="0" applyFill="1" applyBorder="1" applyAlignment="1">
      <alignment horizontal="left" indent="2"/>
    </xf>
    <xf numFmtId="0" fontId="0" fillId="0" borderId="31" xfId="0" applyBorder="1"/>
    <xf numFmtId="0" fontId="0" fillId="0" borderId="28" xfId="0" applyBorder="1"/>
    <xf numFmtId="171" fontId="0" fillId="0" borderId="21" xfId="1" applyNumberFormat="1" applyFont="1" applyFill="1" applyBorder="1"/>
    <xf numFmtId="0" fontId="0" fillId="0" borderId="12" xfId="0" applyBorder="1" applyAlignment="1">
      <alignment horizontal="left" indent="2"/>
    </xf>
    <xf numFmtId="9" fontId="0" fillId="0" borderId="21" xfId="2" applyFont="1" applyFill="1" applyBorder="1"/>
    <xf numFmtId="167" fontId="0" fillId="0" borderId="21" xfId="1" applyNumberFormat="1" applyFont="1" applyFill="1" applyBorder="1"/>
    <xf numFmtId="0" fontId="3" fillId="0" borderId="12" xfId="0" applyFont="1" applyBorder="1"/>
    <xf numFmtId="0" fontId="85" fillId="0" borderId="12" xfId="0" applyFont="1" applyBorder="1" applyAlignment="1">
      <alignment horizontal="left" indent="2"/>
    </xf>
    <xf numFmtId="0" fontId="85" fillId="0" borderId="31" xfId="0" applyFont="1" applyBorder="1"/>
    <xf numFmtId="0" fontId="85" fillId="0" borderId="28" xfId="0" applyFont="1" applyBorder="1"/>
    <xf numFmtId="0" fontId="0" fillId="0" borderId="21" xfId="0" applyBorder="1"/>
    <xf numFmtId="171" fontId="85" fillId="0" borderId="21" xfId="1" applyNumberFormat="1" applyFont="1" applyBorder="1"/>
    <xf numFmtId="171" fontId="85" fillId="0" borderId="21" xfId="1" applyNumberFormat="1" applyFont="1" applyFill="1" applyBorder="1"/>
    <xf numFmtId="43" fontId="0" fillId="0" borderId="0" xfId="1" applyFont="1"/>
    <xf numFmtId="0" fontId="0" fillId="0" borderId="0" xfId="0" applyFill="1" applyBorder="1"/>
    <xf numFmtId="171" fontId="0" fillId="0" borderId="0" xfId="1" applyNumberFormat="1" applyFont="1" applyFill="1" applyBorder="1"/>
    <xf numFmtId="9" fontId="178" fillId="0" borderId="0" xfId="2" applyFont="1" applyFill="1" applyBorder="1"/>
    <xf numFmtId="167" fontId="0" fillId="0" borderId="0" xfId="1" applyNumberFormat="1" applyFont="1" applyFill="1" applyBorder="1"/>
    <xf numFmtId="171" fontId="179" fillId="0" borderId="0" xfId="1" applyNumberFormat="1" applyFont="1"/>
    <xf numFmtId="0" fontId="180" fillId="0" borderId="0" xfId="0" applyFont="1" applyAlignment="1">
      <alignment horizontal="right"/>
    </xf>
    <xf numFmtId="0" fontId="26" fillId="0" borderId="0" xfId="0" applyFont="1" applyAlignment="1">
      <alignment horizontal="right"/>
    </xf>
    <xf numFmtId="0" fontId="180" fillId="0" borderId="8" xfId="0" applyFont="1" applyFill="1" applyBorder="1" applyAlignment="1">
      <alignment horizontal="right" vertical="center" wrapText="1"/>
    </xf>
    <xf numFmtId="9" fontId="69" fillId="0" borderId="0" xfId="2" applyFont="1"/>
    <xf numFmtId="166" fontId="69" fillId="0" borderId="0" xfId="2" applyNumberFormat="1" applyFont="1"/>
    <xf numFmtId="0" fontId="180" fillId="0" borderId="8" xfId="0" applyFont="1" applyBorder="1" applyAlignment="1">
      <alignment horizontal="right"/>
    </xf>
    <xf numFmtId="166" fontId="69" fillId="0" borderId="8" xfId="2" applyNumberFormat="1" applyFont="1" applyBorder="1"/>
    <xf numFmtId="166" fontId="71" fillId="0" borderId="0" xfId="0" applyNumberFormat="1" applyFont="1"/>
    <xf numFmtId="0" fontId="180" fillId="0" borderId="8" xfId="0" applyFont="1" applyFill="1" applyBorder="1" applyAlignment="1">
      <alignment horizontal="right" wrapText="1"/>
    </xf>
    <xf numFmtId="171" fontId="69" fillId="0" borderId="0" xfId="1" applyNumberFormat="1" applyFont="1"/>
    <xf numFmtId="171" fontId="69" fillId="0" borderId="8" xfId="1" applyNumberFormat="1" applyFont="1" applyBorder="1"/>
    <xf numFmtId="9" fontId="179" fillId="0" borderId="0" xfId="2" applyFont="1"/>
    <xf numFmtId="171" fontId="69" fillId="0" borderId="0" xfId="0" applyNumberFormat="1" applyFont="1"/>
    <xf numFmtId="171" fontId="69" fillId="0" borderId="8" xfId="0" applyNumberFormat="1" applyFont="1" applyBorder="1"/>
    <xf numFmtId="9" fontId="91" fillId="0" borderId="0" xfId="0" applyNumberFormat="1" applyFont="1"/>
    <xf numFmtId="0" fontId="0" fillId="0" borderId="0" xfId="0" applyFont="1" applyFill="1" applyBorder="1" applyAlignment="1">
      <alignment horizontal="right"/>
    </xf>
    <xf numFmtId="173" fontId="0" fillId="0" borderId="0" xfId="0" applyNumberFormat="1" applyFont="1" applyFill="1" applyBorder="1" applyAlignment="1">
      <alignment horizontal="center"/>
    </xf>
    <xf numFmtId="166" fontId="114" fillId="0" borderId="0" xfId="2" applyNumberFormat="1" applyFont="1" applyFill="1" applyBorder="1" applyAlignment="1">
      <alignment horizontal="right"/>
    </xf>
    <xf numFmtId="0" fontId="0" fillId="0" borderId="8" xfId="0" applyFont="1" applyFill="1" applyBorder="1" applyAlignment="1">
      <alignment horizontal="right"/>
    </xf>
    <xf numFmtId="43" fontId="39" fillId="0" borderId="0" xfId="1" applyNumberFormat="1" applyFont="1" applyAlignment="1">
      <alignment horizontal="center"/>
    </xf>
    <xf numFmtId="171" fontId="0" fillId="0" borderId="8" xfId="1" applyNumberFormat="1" applyFont="1" applyFill="1" applyBorder="1"/>
    <xf numFmtId="171" fontId="0" fillId="0" borderId="30" xfId="1" applyNumberFormat="1" applyFont="1" applyFill="1" applyBorder="1"/>
    <xf numFmtId="166" fontId="179" fillId="0" borderId="0" xfId="2" applyNumberFormat="1" applyFont="1" applyFill="1" applyBorder="1"/>
    <xf numFmtId="166" fontId="85" fillId="0" borderId="0" xfId="2" applyNumberFormat="1" applyFont="1" applyFill="1" applyBorder="1"/>
    <xf numFmtId="0" fontId="0" fillId="0" borderId="0" xfId="0" applyAlignment="1">
      <alignment horizontal="center"/>
    </xf>
    <xf numFmtId="0" fontId="24" fillId="0" borderId="6" xfId="0" applyFont="1" applyBorder="1" applyAlignment="1">
      <alignment horizontal="center"/>
    </xf>
    <xf numFmtId="9" fontId="6" fillId="0" borderId="0" xfId="0" applyNumberFormat="1" applyFont="1"/>
    <xf numFmtId="171" fontId="6" fillId="0" borderId="0" xfId="0" applyNumberFormat="1" applyFont="1"/>
    <xf numFmtId="177" fontId="6" fillId="0" borderId="0" xfId="0" applyNumberFormat="1" applyFont="1"/>
    <xf numFmtId="168" fontId="6" fillId="0" borderId="1" xfId="1" applyNumberFormat="1" applyFont="1" applyBorder="1"/>
    <xf numFmtId="171" fontId="6" fillId="0" borderId="8" xfId="1" applyNumberFormat="1" applyFont="1" applyBorder="1"/>
    <xf numFmtId="0" fontId="0" fillId="0" borderId="0" xfId="0" applyFill="1" applyBorder="1" applyAlignment="1">
      <alignment horizontal="right"/>
    </xf>
    <xf numFmtId="171" fontId="69" fillId="0" borderId="30" xfId="1" applyNumberFormat="1" applyFont="1" applyBorder="1"/>
    <xf numFmtId="171" fontId="69" fillId="0" borderId="0" xfId="1" applyNumberFormat="1" applyFont="1" applyBorder="1"/>
    <xf numFmtId="171" fontId="69" fillId="0" borderId="30" xfId="0" applyNumberFormat="1" applyFont="1" applyBorder="1"/>
    <xf numFmtId="171" fontId="69" fillId="0" borderId="0" xfId="0" applyNumberFormat="1" applyFont="1" applyBorder="1"/>
    <xf numFmtId="0" fontId="0" fillId="0" borderId="29" xfId="0" applyBorder="1"/>
    <xf numFmtId="0" fontId="0" fillId="0" borderId="30" xfId="0" applyBorder="1" applyAlignment="1">
      <alignment horizontal="right"/>
    </xf>
    <xf numFmtId="0" fontId="0" fillId="0" borderId="0" xfId="0" applyBorder="1" applyAlignment="1">
      <alignment horizontal="right"/>
    </xf>
    <xf numFmtId="9" fontId="0" fillId="0" borderId="0" xfId="0" applyNumberFormat="1" applyBorder="1"/>
    <xf numFmtId="9" fontId="0" fillId="0" borderId="6" xfId="0" applyNumberFormat="1" applyBorder="1"/>
    <xf numFmtId="43" fontId="0" fillId="0" borderId="32" xfId="1" applyFont="1" applyBorder="1" applyAlignment="1">
      <alignment horizontal="right"/>
    </xf>
    <xf numFmtId="43" fontId="0" fillId="25" borderId="0" xfId="1" applyFont="1" applyFill="1" applyBorder="1"/>
    <xf numFmtId="0" fontId="0" fillId="25" borderId="6" xfId="0" applyFill="1" applyBorder="1"/>
    <xf numFmtId="0" fontId="42" fillId="0" borderId="0" xfId="0" applyFont="1" applyFill="1" applyBorder="1" applyAlignment="1">
      <alignment horizontal="right"/>
    </xf>
    <xf numFmtId="0" fontId="184" fillId="0" borderId="8" xfId="0" applyFont="1" applyFill="1" applyBorder="1" applyAlignment="1">
      <alignment horizontal="right" vertical="center" wrapText="1"/>
    </xf>
    <xf numFmtId="0" fontId="0" fillId="0" borderId="8" xfId="0" applyFill="1" applyBorder="1"/>
    <xf numFmtId="0" fontId="6" fillId="0" borderId="8" xfId="0" applyFont="1" applyFill="1" applyBorder="1" applyProtection="1"/>
    <xf numFmtId="9" fontId="0" fillId="0" borderId="0" xfId="2" applyFont="1" applyAlignment="1">
      <alignment horizontal="right"/>
    </xf>
    <xf numFmtId="0" fontId="40" fillId="10" borderId="21" xfId="0" applyFont="1" applyFill="1" applyBorder="1" applyAlignment="1">
      <alignment horizontal="right"/>
    </xf>
    <xf numFmtId="0" fontId="40" fillId="0" borderId="31" xfId="0" applyFont="1" applyFill="1" applyBorder="1" applyAlignment="1">
      <alignment horizontal="right"/>
    </xf>
    <xf numFmtId="171" fontId="0" fillId="0" borderId="21" xfId="1" applyNumberFormat="1" applyFont="1" applyFill="1" applyBorder="1" applyAlignment="1">
      <alignment horizontal="right"/>
    </xf>
    <xf numFmtId="9" fontId="0" fillId="0" borderId="21" xfId="2" applyFont="1" applyFill="1" applyBorder="1" applyAlignment="1">
      <alignment horizontal="right"/>
    </xf>
    <xf numFmtId="167" fontId="0" fillId="0" borderId="21" xfId="1" applyNumberFormat="1" applyFont="1" applyFill="1" applyBorder="1" applyAlignment="1">
      <alignment horizontal="right"/>
    </xf>
    <xf numFmtId="171" fontId="85" fillId="0" borderId="21" xfId="1" applyNumberFormat="1" applyFont="1" applyFill="1" applyBorder="1" applyAlignment="1">
      <alignment horizontal="right"/>
    </xf>
    <xf numFmtId="171" fontId="85" fillId="0" borderId="21" xfId="1" applyNumberFormat="1" applyFont="1" applyBorder="1" applyAlignment="1">
      <alignment horizontal="right"/>
    </xf>
    <xf numFmtId="166" fontId="74" fillId="0" borderId="0" xfId="2" applyNumberFormat="1" applyFont="1" applyAlignment="1">
      <alignment horizontal="right"/>
    </xf>
    <xf numFmtId="166" fontId="0" fillId="0" borderId="0" xfId="2" applyNumberFormat="1" applyFont="1" applyAlignment="1">
      <alignment horizontal="right"/>
    </xf>
    <xf numFmtId="43" fontId="0" fillId="0" borderId="0" xfId="0" applyNumberFormat="1" applyAlignment="1">
      <alignment horizontal="right"/>
    </xf>
    <xf numFmtId="0" fontId="6" fillId="9" borderId="0" xfId="0" applyFont="1" applyFill="1" applyBorder="1" applyAlignment="1" applyProtection="1">
      <alignment horizontal="right"/>
    </xf>
    <xf numFmtId="0" fontId="0" fillId="0" borderId="8" xfId="0" applyFill="1" applyBorder="1" applyAlignment="1">
      <alignment horizontal="right"/>
    </xf>
    <xf numFmtId="0" fontId="0" fillId="9" borderId="0" xfId="0" applyFill="1" applyAlignment="1">
      <alignment horizontal="right"/>
    </xf>
    <xf numFmtId="0" fontId="181" fillId="0" borderId="0" xfId="0" applyFont="1" applyFill="1" applyBorder="1" applyAlignment="1">
      <alignment horizontal="right"/>
    </xf>
    <xf numFmtId="0" fontId="42" fillId="0" borderId="8" xfId="0" applyFont="1" applyFill="1" applyBorder="1" applyAlignment="1">
      <alignment horizontal="right"/>
    </xf>
    <xf numFmtId="0" fontId="85" fillId="0" borderId="0" xfId="0" applyFont="1" applyFill="1" applyBorder="1" applyAlignment="1">
      <alignment horizontal="right"/>
    </xf>
    <xf numFmtId="0" fontId="0" fillId="0" borderId="10" xfId="0" applyBorder="1" applyAlignment="1">
      <alignment horizontal="right"/>
    </xf>
    <xf numFmtId="0" fontId="22" fillId="8" borderId="0" xfId="0" applyFont="1" applyFill="1" applyAlignment="1">
      <alignment horizontal="right" vertical="center"/>
    </xf>
    <xf numFmtId="0" fontId="24" fillId="2" borderId="0" xfId="0" applyFont="1" applyFill="1" applyAlignment="1">
      <alignment horizontal="right"/>
    </xf>
    <xf numFmtId="171" fontId="0" fillId="0" borderId="0" xfId="1" applyNumberFormat="1" applyFont="1" applyBorder="1" applyAlignment="1">
      <alignment horizontal="right"/>
    </xf>
    <xf numFmtId="171" fontId="0" fillId="0" borderId="0" xfId="0" applyNumberFormat="1" applyBorder="1" applyAlignment="1">
      <alignment horizontal="right"/>
    </xf>
    <xf numFmtId="166" fontId="0" fillId="0" borderId="8" xfId="2" applyNumberFormat="1" applyFont="1" applyBorder="1" applyAlignment="1">
      <alignment horizontal="right"/>
    </xf>
    <xf numFmtId="171" fontId="0" fillId="0" borderId="0" xfId="1" applyNumberFormat="1" applyFont="1" applyFill="1" applyBorder="1" applyAlignment="1">
      <alignment horizontal="right"/>
    </xf>
    <xf numFmtId="9" fontId="178" fillId="0" borderId="0" xfId="2" applyFont="1" applyFill="1" applyBorder="1" applyAlignment="1">
      <alignment horizontal="right"/>
    </xf>
    <xf numFmtId="166" fontId="85" fillId="0" borderId="0" xfId="2" applyNumberFormat="1" applyFont="1" applyAlignment="1">
      <alignment horizontal="right"/>
    </xf>
    <xf numFmtId="171" fontId="179" fillId="0" borderId="0" xfId="1" applyNumberFormat="1" applyFont="1" applyAlignment="1">
      <alignment horizontal="right"/>
    </xf>
    <xf numFmtId="171" fontId="0" fillId="0" borderId="0" xfId="0" applyNumberFormat="1" applyAlignment="1">
      <alignment horizontal="right"/>
    </xf>
    <xf numFmtId="0" fontId="26" fillId="2" borderId="0" xfId="0" applyFont="1" applyFill="1" applyAlignment="1">
      <alignment horizontal="right"/>
    </xf>
    <xf numFmtId="166" fontId="0" fillId="0" borderId="0" xfId="0" applyNumberFormat="1" applyAlignment="1">
      <alignment horizontal="right"/>
    </xf>
    <xf numFmtId="171" fontId="6" fillId="0" borderId="0" xfId="0" applyNumberFormat="1" applyFont="1" applyFill="1" applyBorder="1" applyProtection="1"/>
    <xf numFmtId="166" fontId="24" fillId="0" borderId="0" xfId="0" applyNumberFormat="1" applyFont="1" applyBorder="1" applyAlignment="1">
      <alignment horizontal="right"/>
    </xf>
    <xf numFmtId="0" fontId="85" fillId="0" borderId="8" xfId="0" applyFont="1" applyFill="1" applyBorder="1" applyAlignment="1">
      <alignment horizontal="right"/>
    </xf>
    <xf numFmtId="0" fontId="85" fillId="0" borderId="8" xfId="0" applyFont="1" applyFill="1" applyBorder="1"/>
    <xf numFmtId="166" fontId="102" fillId="0" borderId="0" xfId="2" applyNumberFormat="1" applyFont="1" applyBorder="1" applyProtection="1"/>
    <xf numFmtId="0" fontId="2" fillId="0" borderId="8" xfId="0" applyFont="1" applyFill="1" applyBorder="1" applyProtection="1"/>
    <xf numFmtId="0" fontId="0" fillId="0" borderId="8" xfId="0" applyFont="1" applyFill="1" applyBorder="1"/>
    <xf numFmtId="0" fontId="2" fillId="0" borderId="0" xfId="0" applyFont="1" applyBorder="1" applyAlignment="1" applyProtection="1">
      <alignment horizontal="right"/>
    </xf>
    <xf numFmtId="166" fontId="2" fillId="0" borderId="0" xfId="2" applyNumberFormat="1" applyFont="1" applyBorder="1" applyProtection="1"/>
    <xf numFmtId="0" fontId="2" fillId="0" borderId="8" xfId="0" applyFont="1" applyBorder="1" applyAlignment="1" applyProtection="1">
      <alignment horizontal="right"/>
    </xf>
    <xf numFmtId="166" fontId="2" fillId="0" borderId="8" xfId="2" applyNumberFormat="1" applyFont="1" applyBorder="1" applyProtection="1"/>
    <xf numFmtId="166" fontId="0" fillId="0" borderId="8" xfId="0" applyNumberFormat="1" applyFont="1" applyBorder="1"/>
    <xf numFmtId="166" fontId="41" fillId="0" borderId="0" xfId="0" applyNumberFormat="1" applyFont="1" applyBorder="1" applyProtection="1"/>
    <xf numFmtId="0" fontId="24" fillId="0" borderId="32" xfId="0" applyFont="1" applyBorder="1"/>
    <xf numFmtId="171" fontId="24" fillId="0" borderId="32" xfId="0" applyNumberFormat="1" applyFont="1" applyBorder="1"/>
    <xf numFmtId="9" fontId="86" fillId="0" borderId="0" xfId="2" applyFont="1"/>
    <xf numFmtId="1" fontId="2" fillId="0" borderId="0" xfId="0" applyNumberFormat="1" applyFont="1" applyBorder="1" applyProtection="1"/>
    <xf numFmtId="0" fontId="162" fillId="0" borderId="0" xfId="0" applyFont="1" applyBorder="1" applyAlignment="1" applyProtection="1">
      <alignment horizontal="right"/>
    </xf>
    <xf numFmtId="0" fontId="162" fillId="0" borderId="8" xfId="0" applyFont="1" applyBorder="1" applyAlignment="1" applyProtection="1">
      <alignment horizontal="right"/>
    </xf>
    <xf numFmtId="0" fontId="145" fillId="0" borderId="8" xfId="0" applyFont="1" applyFill="1" applyBorder="1" applyProtection="1"/>
    <xf numFmtId="171" fontId="162" fillId="0" borderId="0" xfId="1" applyNumberFormat="1" applyFont="1" applyBorder="1" applyProtection="1"/>
    <xf numFmtId="171" fontId="9" fillId="0" borderId="0" xfId="1" applyNumberFormat="1" applyFont="1"/>
    <xf numFmtId="171" fontId="9" fillId="0" borderId="0" xfId="1" applyNumberFormat="1" applyFont="1" applyBorder="1"/>
    <xf numFmtId="171" fontId="162" fillId="0" borderId="8" xfId="1" applyNumberFormat="1" applyFont="1" applyBorder="1" applyProtection="1"/>
    <xf numFmtId="171" fontId="9" fillId="0" borderId="8" xfId="1" applyNumberFormat="1" applyFont="1" applyBorder="1"/>
    <xf numFmtId="10" fontId="162" fillId="0" borderId="0" xfId="2" applyNumberFormat="1" applyFont="1" applyBorder="1" applyProtection="1"/>
    <xf numFmtId="0" fontId="0" fillId="0" borderId="8" xfId="0" applyFont="1" applyBorder="1" applyAlignment="1">
      <alignment horizontal="right"/>
    </xf>
    <xf numFmtId="178" fontId="0" fillId="0" borderId="0" xfId="0" applyNumberFormat="1" applyFont="1"/>
    <xf numFmtId="171" fontId="0" fillId="0" borderId="0" xfId="0" applyNumberFormat="1" applyFont="1"/>
    <xf numFmtId="0" fontId="185" fillId="0" borderId="8" xfId="0" applyFont="1" applyFill="1" applyBorder="1" applyAlignment="1">
      <alignment horizontal="right" wrapText="1"/>
    </xf>
    <xf numFmtId="0" fontId="185" fillId="0" borderId="0" xfId="0" applyFont="1" applyAlignment="1">
      <alignment horizontal="right"/>
    </xf>
    <xf numFmtId="0" fontId="185" fillId="0" borderId="8" xfId="0" applyFont="1" applyBorder="1" applyAlignment="1">
      <alignment horizontal="right"/>
    </xf>
    <xf numFmtId="0" fontId="185" fillId="0" borderId="8" xfId="0" applyFont="1" applyFill="1" applyBorder="1" applyAlignment="1">
      <alignment horizontal="right" vertical="center" wrapText="1"/>
    </xf>
    <xf numFmtId="0" fontId="0" fillId="14" borderId="0" xfId="0" applyFill="1" applyAlignment="1">
      <alignment horizontal="right"/>
    </xf>
    <xf numFmtId="171" fontId="0" fillId="14" borderId="0" xfId="1" applyNumberFormat="1" applyFont="1" applyFill="1"/>
    <xf numFmtId="0" fontId="0" fillId="14" borderId="0" xfId="0" applyFont="1" applyFill="1" applyAlignment="1">
      <alignment horizontal="right"/>
    </xf>
    <xf numFmtId="171" fontId="0" fillId="14" borderId="0" xfId="0" applyNumberFormat="1" applyFont="1" applyFill="1"/>
    <xf numFmtId="0" fontId="0" fillId="14" borderId="0" xfId="0" applyFill="1"/>
    <xf numFmtId="171" fontId="85" fillId="14" borderId="0" xfId="0" applyNumberFormat="1" applyFont="1" applyFill="1" applyAlignment="1">
      <alignment horizontal="right"/>
    </xf>
    <xf numFmtId="171" fontId="85" fillId="14" borderId="0" xfId="0" applyNumberFormat="1" applyFont="1" applyFill="1"/>
    <xf numFmtId="0" fontId="0" fillId="14" borderId="0" xfId="0" applyFont="1" applyFill="1" applyBorder="1" applyAlignment="1">
      <alignment horizontal="right"/>
    </xf>
    <xf numFmtId="171" fontId="0" fillId="14" borderId="0" xfId="0" applyNumberFormat="1" applyFill="1" applyBorder="1"/>
    <xf numFmtId="0" fontId="6" fillId="14" borderId="0" xfId="0" applyFont="1" applyFill="1" applyBorder="1" applyAlignment="1" applyProtection="1">
      <alignment horizontal="right"/>
    </xf>
    <xf numFmtId="171" fontId="162" fillId="14" borderId="0" xfId="1" applyNumberFormat="1" applyFont="1" applyFill="1" applyBorder="1" applyProtection="1"/>
    <xf numFmtId="171" fontId="0" fillId="14" borderId="0" xfId="1" applyNumberFormat="1" applyFont="1" applyFill="1" applyAlignment="1">
      <alignment horizontal="right"/>
    </xf>
    <xf numFmtId="43" fontId="24" fillId="0" borderId="0" xfId="0" applyNumberFormat="1" applyFont="1" applyAlignment="1">
      <alignment horizontal="right"/>
    </xf>
    <xf numFmtId="43" fontId="24" fillId="0" borderId="0" xfId="0" applyNumberFormat="1" applyFont="1" applyAlignment="1">
      <alignment horizontal="center"/>
    </xf>
    <xf numFmtId="3" fontId="24" fillId="0" borderId="0" xfId="0" applyNumberFormat="1" applyFont="1" applyBorder="1" applyAlignment="1">
      <alignment horizontal="center"/>
    </xf>
    <xf numFmtId="0" fontId="32" fillId="9" borderId="0" xfId="0" applyFont="1" applyFill="1" applyBorder="1" applyProtection="1"/>
    <xf numFmtId="0" fontId="186" fillId="2" borderId="0" xfId="0" applyFont="1" applyFill="1"/>
    <xf numFmtId="171" fontId="0" fillId="0" borderId="30" xfId="1" applyNumberFormat="1" applyFont="1" applyBorder="1"/>
    <xf numFmtId="166" fontId="0" fillId="0" borderId="30" xfId="0" applyNumberFormat="1" applyFont="1" applyBorder="1"/>
    <xf numFmtId="166" fontId="0" fillId="0" borderId="0" xfId="0" applyNumberFormat="1" applyFont="1" applyBorder="1"/>
    <xf numFmtId="0" fontId="0" fillId="0" borderId="9" xfId="0" applyBorder="1" applyAlignment="1">
      <alignment horizontal="center"/>
    </xf>
    <xf numFmtId="171" fontId="187" fillId="0" borderId="0" xfId="1" applyNumberFormat="1" applyFont="1" applyBorder="1" applyAlignment="1">
      <alignment vertical="center"/>
    </xf>
    <xf numFmtId="0" fontId="85" fillId="19" borderId="0" xfId="0" applyFont="1" applyFill="1" applyAlignment="1">
      <alignment horizontal="left"/>
    </xf>
    <xf numFmtId="166" fontId="0" fillId="19" borderId="0" xfId="2" applyNumberFormat="1" applyFont="1" applyFill="1"/>
    <xf numFmtId="0" fontId="85" fillId="19" borderId="0" xfId="0" applyFont="1" applyFill="1"/>
    <xf numFmtId="166" fontId="83" fillId="0" borderId="0" xfId="2" applyNumberFormat="1" applyFont="1" applyFill="1"/>
    <xf numFmtId="166" fontId="161" fillId="0" borderId="0" xfId="2" applyNumberFormat="1" applyFont="1" applyFill="1"/>
    <xf numFmtId="0" fontId="172" fillId="24" borderId="38" xfId="0" applyFont="1" applyFill="1" applyBorder="1" applyAlignment="1">
      <alignment horizontal="left" vertical="center" wrapText="1" readingOrder="1"/>
    </xf>
    <xf numFmtId="0" fontId="172" fillId="24" borderId="39" xfId="0" applyFont="1" applyFill="1" applyBorder="1" applyAlignment="1">
      <alignment horizontal="left" vertical="center" wrapText="1" readingOrder="1"/>
    </xf>
    <xf numFmtId="0" fontId="172" fillId="24" borderId="37" xfId="0" applyFont="1" applyFill="1" applyBorder="1" applyAlignment="1">
      <alignment horizontal="left" vertical="center" wrapText="1" readingOrder="1"/>
    </xf>
    <xf numFmtId="0" fontId="172" fillId="23" borderId="36" xfId="0" applyFont="1" applyFill="1" applyBorder="1" applyAlignment="1">
      <alignment horizontal="left" vertical="center" wrapText="1" readingOrder="1"/>
    </xf>
    <xf numFmtId="0" fontId="172" fillId="23" borderId="37" xfId="0" applyFont="1" applyFill="1" applyBorder="1" applyAlignment="1">
      <alignment horizontal="left" vertical="center" wrapText="1" readingOrder="1"/>
    </xf>
    <xf numFmtId="0" fontId="172" fillId="23" borderId="38" xfId="0" applyFont="1" applyFill="1" applyBorder="1" applyAlignment="1">
      <alignment horizontal="left" vertical="center" wrapText="1" readingOrder="1"/>
    </xf>
    <xf numFmtId="0" fontId="172" fillId="23" borderId="39" xfId="0" applyFont="1" applyFill="1" applyBorder="1" applyAlignment="1">
      <alignment horizontal="left" vertical="center" wrapText="1" readingOrder="1"/>
    </xf>
    <xf numFmtId="0" fontId="0" fillId="0" borderId="0" xfId="0" applyFont="1" applyBorder="1" applyAlignment="1">
      <alignment horizontal="center"/>
    </xf>
    <xf numFmtId="0" fontId="2" fillId="0" borderId="4" xfId="0" applyFont="1" applyBorder="1" applyAlignment="1" applyProtection="1">
      <alignment horizontal="center"/>
    </xf>
    <xf numFmtId="0" fontId="2" fillId="0" borderId="3" xfId="0" applyFont="1" applyBorder="1" applyAlignment="1" applyProtection="1">
      <alignment horizontal="center"/>
    </xf>
    <xf numFmtId="0" fontId="2" fillId="0" borderId="5" xfId="0" applyFont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/>
    </xf>
    <xf numFmtId="0" fontId="2" fillId="0" borderId="9" xfId="0" applyFont="1" applyBorder="1" applyAlignment="1" applyProtection="1">
      <alignment horizontal="center"/>
    </xf>
    <xf numFmtId="0" fontId="2" fillId="0" borderId="8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/>
    </xf>
    <xf numFmtId="0" fontId="2" fillId="0" borderId="12" xfId="0" applyFont="1" applyBorder="1" applyAlignment="1" applyProtection="1">
      <alignment horizontal="center"/>
    </xf>
    <xf numFmtId="0" fontId="2" fillId="0" borderId="13" xfId="0" applyFont="1" applyBorder="1" applyAlignment="1" applyProtection="1">
      <alignment horizontal="center"/>
    </xf>
    <xf numFmtId="0" fontId="2" fillId="0" borderId="14" xfId="0" applyFont="1" applyBorder="1" applyAlignment="1" applyProtection="1">
      <alignment horizontal="center"/>
    </xf>
    <xf numFmtId="0" fontId="55" fillId="0" borderId="3" xfId="3" applyFont="1" applyBorder="1" applyAlignment="1">
      <alignment horizontal="center" wrapText="1"/>
    </xf>
    <xf numFmtId="0" fontId="55" fillId="0" borderId="5" xfId="3" applyFont="1" applyBorder="1" applyAlignment="1">
      <alignment horizontal="center" wrapText="1"/>
    </xf>
    <xf numFmtId="0" fontId="55" fillId="0" borderId="12" xfId="3" applyFont="1" applyBorder="1" applyAlignment="1">
      <alignment horizontal="center" vertical="top" wrapText="1"/>
    </xf>
    <xf numFmtId="0" fontId="55" fillId="0" borderId="13" xfId="3" applyFont="1" applyBorder="1" applyAlignment="1">
      <alignment horizontal="center" vertical="top" wrapText="1"/>
    </xf>
    <xf numFmtId="0" fontId="55" fillId="0" borderId="14" xfId="3" applyFont="1" applyBorder="1" applyAlignment="1">
      <alignment horizontal="center" vertical="top" wrapText="1"/>
    </xf>
    <xf numFmtId="0" fontId="74" fillId="0" borderId="12" xfId="0" applyFont="1" applyBorder="1" applyAlignment="1">
      <alignment horizontal="center"/>
    </xf>
    <xf numFmtId="0" fontId="74" fillId="0" borderId="13" xfId="0" applyFont="1" applyBorder="1" applyAlignment="1">
      <alignment horizontal="center"/>
    </xf>
    <xf numFmtId="0" fontId="74" fillId="0" borderId="14" xfId="0" applyFont="1" applyBorder="1" applyAlignment="1">
      <alignment horizontal="center"/>
    </xf>
    <xf numFmtId="0" fontId="2" fillId="0" borderId="1" xfId="0" applyFont="1" applyBorder="1" applyAlignment="1" applyProtection="1">
      <alignment horizontal="center"/>
    </xf>
    <xf numFmtId="0" fontId="2" fillId="0" borderId="6" xfId="0" applyFont="1" applyBorder="1" applyAlignment="1" applyProtection="1">
      <alignment horizontal="center"/>
    </xf>
    <xf numFmtId="0" fontId="0" fillId="0" borderId="1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0" fontId="55" fillId="0" borderId="12" xfId="3" applyFont="1" applyBorder="1" applyAlignment="1">
      <alignment horizontal="left" vertical="top" wrapText="1" indent="2"/>
    </xf>
    <xf numFmtId="0" fontId="55" fillId="0" borderId="13" xfId="3" applyFont="1" applyBorder="1" applyAlignment="1">
      <alignment horizontal="left" vertical="top" wrapText="1" indent="2"/>
    </xf>
    <xf numFmtId="0" fontId="55" fillId="0" borderId="14" xfId="3" applyFont="1" applyBorder="1" applyAlignment="1">
      <alignment horizontal="left" vertical="top" wrapText="1" indent="2"/>
    </xf>
    <xf numFmtId="0" fontId="55" fillId="0" borderId="8" xfId="3" applyFont="1" applyFill="1" applyBorder="1" applyAlignment="1">
      <alignment horizontal="center"/>
    </xf>
    <xf numFmtId="0" fontId="55" fillId="0" borderId="9" xfId="3" applyFont="1" applyFill="1" applyBorder="1" applyAlignment="1">
      <alignment horizontal="center"/>
    </xf>
    <xf numFmtId="0" fontId="16" fillId="0" borderId="7" xfId="3" applyFont="1" applyBorder="1" applyAlignment="1">
      <alignment horizontal="center" wrapText="1"/>
    </xf>
    <xf numFmtId="0" fontId="16" fillId="0" borderId="9" xfId="3" applyFont="1" applyBorder="1" applyAlignment="1">
      <alignment horizontal="center" wrapText="1"/>
    </xf>
    <xf numFmtId="0" fontId="6" fillId="0" borderId="7" xfId="0" applyFont="1" applyBorder="1" applyAlignment="1" applyProtection="1">
      <alignment horizontal="center"/>
    </xf>
    <xf numFmtId="0" fontId="6" fillId="0" borderId="9" xfId="0" applyFont="1" applyBorder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6" fillId="0" borderId="5" xfId="0" applyFont="1" applyBorder="1" applyAlignment="1" applyProtection="1">
      <alignment horizontal="center"/>
    </xf>
    <xf numFmtId="0" fontId="16" fillId="0" borderId="3" xfId="3" applyFont="1" applyBorder="1" applyAlignment="1">
      <alignment horizontal="center" wrapText="1"/>
    </xf>
    <xf numFmtId="0" fontId="16" fillId="0" borderId="5" xfId="3" applyFont="1" applyBorder="1" applyAlignment="1">
      <alignment horizontal="center" wrapText="1"/>
    </xf>
    <xf numFmtId="0" fontId="16" fillId="0" borderId="12" xfId="3" applyFont="1" applyBorder="1" applyAlignment="1">
      <alignment horizontal="center" vertical="top" wrapText="1"/>
    </xf>
    <xf numFmtId="0" fontId="16" fillId="0" borderId="13" xfId="3" applyFont="1" applyBorder="1" applyAlignment="1">
      <alignment horizontal="center" vertical="top" wrapText="1"/>
    </xf>
    <xf numFmtId="0" fontId="16" fillId="0" borderId="14" xfId="3" applyFont="1" applyBorder="1" applyAlignment="1">
      <alignment horizontal="center" vertical="top" wrapText="1"/>
    </xf>
    <xf numFmtId="0" fontId="17" fillId="0" borderId="3" xfId="3" applyFont="1" applyBorder="1" applyAlignment="1">
      <alignment horizontal="center" wrapText="1"/>
    </xf>
    <xf numFmtId="0" fontId="17" fillId="0" borderId="5" xfId="3" applyFont="1" applyBorder="1" applyAlignment="1">
      <alignment horizontal="center" wrapText="1"/>
    </xf>
    <xf numFmtId="0" fontId="6" fillId="0" borderId="1" xfId="0" applyFont="1" applyBorder="1" applyAlignment="1" applyProtection="1">
      <alignment horizontal="center"/>
    </xf>
    <xf numFmtId="0" fontId="6" fillId="0" borderId="6" xfId="0" applyFont="1" applyBorder="1" applyAlignment="1" applyProtection="1">
      <alignment horizontal="center"/>
    </xf>
    <xf numFmtId="0" fontId="24" fillId="0" borderId="1" xfId="0" applyFont="1" applyBorder="1" applyAlignment="1">
      <alignment horizontal="center"/>
    </xf>
    <xf numFmtId="0" fontId="24" fillId="0" borderId="6" xfId="0" applyFont="1" applyBorder="1" applyAlignment="1">
      <alignment horizontal="center"/>
    </xf>
    <xf numFmtId="0" fontId="6" fillId="0" borderId="3" xfId="0" applyFont="1" applyBorder="1" applyAlignment="1" applyProtection="1">
      <alignment horizontal="center" vertical="center"/>
    </xf>
    <xf numFmtId="0" fontId="6" fillId="0" borderId="5" xfId="0" applyFont="1" applyBorder="1" applyAlignment="1" applyProtection="1">
      <alignment horizontal="center" vertical="center"/>
    </xf>
    <xf numFmtId="0" fontId="24" fillId="0" borderId="7" xfId="0" applyFont="1" applyFill="1" applyBorder="1" applyAlignment="1">
      <alignment horizontal="center"/>
    </xf>
    <xf numFmtId="0" fontId="24" fillId="0" borderId="8" xfId="0" applyFont="1" applyFill="1" applyBorder="1" applyAlignment="1">
      <alignment horizontal="center"/>
    </xf>
    <xf numFmtId="0" fontId="24" fillId="0" borderId="9" xfId="0" applyFont="1" applyFill="1" applyBorder="1" applyAlignment="1">
      <alignment horizont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4" fillId="0" borderId="7" xfId="0" applyFont="1" applyFill="1" applyBorder="1" applyAlignment="1">
      <alignment horizontal="center" vertical="center"/>
    </xf>
    <xf numFmtId="0" fontId="24" fillId="0" borderId="8" xfId="0" applyFont="1" applyFill="1" applyBorder="1" applyAlignment="1">
      <alignment horizontal="center" vertical="center"/>
    </xf>
    <xf numFmtId="0" fontId="24" fillId="0" borderId="9" xfId="0" applyFont="1" applyFill="1" applyBorder="1" applyAlignment="1">
      <alignment horizontal="center" vertical="center"/>
    </xf>
    <xf numFmtId="0" fontId="94" fillId="0" borderId="12" xfId="0" applyFont="1" applyBorder="1" applyAlignment="1">
      <alignment horizontal="center"/>
    </xf>
    <xf numFmtId="0" fontId="94" fillId="0" borderId="13" xfId="0" applyFont="1" applyBorder="1" applyAlignment="1">
      <alignment horizontal="center"/>
    </xf>
    <xf numFmtId="0" fontId="94" fillId="0" borderId="14" xfId="0" applyFont="1" applyBorder="1" applyAlignment="1">
      <alignment horizontal="center"/>
    </xf>
    <xf numFmtId="0" fontId="120" fillId="0" borderId="0" xfId="0" applyFont="1" applyAlignment="1">
      <alignment horizontal="left" vertical="top" wrapText="1"/>
    </xf>
  </cellXfs>
  <cellStyles count="9">
    <cellStyle name="Comma" xfId="1" builtinId="3"/>
    <cellStyle name="Comma 2" xfId="4"/>
    <cellStyle name="Normal" xfId="0" builtinId="0"/>
    <cellStyle name="Normal 2" xfId="3"/>
    <cellStyle name="Normal 5" xfId="8"/>
    <cellStyle name="Normal_Sheet1_1" xfId="6"/>
    <cellStyle name="Percent" xfId="2" builtinId="5"/>
    <cellStyle name="Percent 2" xfId="5"/>
    <cellStyle name="Percent 3" xfId="7"/>
  </cellStyles>
  <dxfs count="0"/>
  <tableStyles count="0" defaultTableStyle="TableStyleMedium2" defaultPivotStyle="PivotStyleLight16"/>
  <colors>
    <mruColors>
      <color rgb="FF0000FF"/>
      <color rgb="FFFFFF99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5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660651</xdr:colOff>
      <xdr:row>286</xdr:row>
      <xdr:rowOff>115214</xdr:rowOff>
    </xdr:from>
    <xdr:to>
      <xdr:col>22</xdr:col>
      <xdr:colOff>441241</xdr:colOff>
      <xdr:row>288</xdr:row>
      <xdr:rowOff>100567</xdr:rowOff>
    </xdr:to>
    <xdr:cxnSp macro="">
      <xdr:nvCxnSpPr>
        <xdr:cNvPr id="7" name="Elbow Connector 6"/>
        <xdr:cNvCxnSpPr>
          <a:stCxn id="14" idx="2"/>
          <a:endCxn id="15" idx="0"/>
        </xdr:cNvCxnSpPr>
      </xdr:nvCxnSpPr>
      <xdr:spPr>
        <a:xfrm rot="5400000">
          <a:off x="14333801" y="52021689"/>
          <a:ext cx="342540" cy="1852278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70683</xdr:colOff>
      <xdr:row>286</xdr:row>
      <xdr:rowOff>115215</xdr:rowOff>
    </xdr:from>
    <xdr:to>
      <xdr:col>22</xdr:col>
      <xdr:colOff>441241</xdr:colOff>
      <xdr:row>288</xdr:row>
      <xdr:rowOff>107328</xdr:rowOff>
    </xdr:to>
    <xdr:cxnSp macro="">
      <xdr:nvCxnSpPr>
        <xdr:cNvPr id="8" name="Elbow Connector 7"/>
        <xdr:cNvCxnSpPr>
          <a:stCxn id="14" idx="2"/>
          <a:endCxn id="18" idx="0"/>
        </xdr:cNvCxnSpPr>
      </xdr:nvCxnSpPr>
      <xdr:spPr>
        <a:xfrm rot="5400000">
          <a:off x="14726000" y="52420648"/>
          <a:ext cx="349300" cy="106112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70683</xdr:colOff>
      <xdr:row>290</xdr:row>
      <xdr:rowOff>70143</xdr:rowOff>
    </xdr:from>
    <xdr:to>
      <xdr:col>21</xdr:col>
      <xdr:colOff>70832</xdr:colOff>
      <xdr:row>291</xdr:row>
      <xdr:rowOff>100493</xdr:rowOff>
    </xdr:to>
    <xdr:cxnSp macro="">
      <xdr:nvCxnSpPr>
        <xdr:cNvPr id="9" name="Straight Arrow Connector 8"/>
        <xdr:cNvCxnSpPr>
          <a:stCxn id="18" idx="2"/>
          <a:endCxn id="16" idx="0"/>
        </xdr:cNvCxnSpPr>
      </xdr:nvCxnSpPr>
      <xdr:spPr>
        <a:xfrm>
          <a:off x="14370089" y="53445862"/>
          <a:ext cx="149" cy="2208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441241</xdr:colOff>
      <xdr:row>286</xdr:row>
      <xdr:rowOff>115214</xdr:rowOff>
    </xdr:from>
    <xdr:to>
      <xdr:col>24</xdr:col>
      <xdr:colOff>36522</xdr:colOff>
      <xdr:row>288</xdr:row>
      <xdr:rowOff>113347</xdr:rowOff>
    </xdr:to>
    <xdr:cxnSp macro="">
      <xdr:nvCxnSpPr>
        <xdr:cNvPr id="10" name="Elbow Connector 9"/>
        <xdr:cNvCxnSpPr>
          <a:stCxn id="14" idx="2"/>
          <a:endCxn id="17" idx="0"/>
        </xdr:cNvCxnSpPr>
      </xdr:nvCxnSpPr>
      <xdr:spPr>
        <a:xfrm rot="16200000" flipH="1">
          <a:off x="15741753" y="52466015"/>
          <a:ext cx="355320" cy="976406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36522</xdr:colOff>
      <xdr:row>290</xdr:row>
      <xdr:rowOff>76162</xdr:rowOff>
    </xdr:from>
    <xdr:to>
      <xdr:col>24</xdr:col>
      <xdr:colOff>457823</xdr:colOff>
      <xdr:row>291</xdr:row>
      <xdr:rowOff>110633</xdr:rowOff>
    </xdr:to>
    <xdr:cxnSp macro="">
      <xdr:nvCxnSpPr>
        <xdr:cNvPr id="11" name="Elbow Connector 10"/>
        <xdr:cNvCxnSpPr>
          <a:stCxn id="17" idx="2"/>
          <a:endCxn id="20" idx="0"/>
        </xdr:cNvCxnSpPr>
      </xdr:nvCxnSpPr>
      <xdr:spPr>
        <a:xfrm rot="16200000" flipH="1">
          <a:off x="16505781" y="53353716"/>
          <a:ext cx="224971" cy="42130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319514</xdr:colOff>
      <xdr:row>290</xdr:row>
      <xdr:rowOff>76162</xdr:rowOff>
    </xdr:from>
    <xdr:to>
      <xdr:col>24</xdr:col>
      <xdr:colOff>36523</xdr:colOff>
      <xdr:row>291</xdr:row>
      <xdr:rowOff>110633</xdr:rowOff>
    </xdr:to>
    <xdr:cxnSp macro="">
      <xdr:nvCxnSpPr>
        <xdr:cNvPr id="12" name="Elbow Connector 11"/>
        <xdr:cNvCxnSpPr>
          <a:stCxn id="17" idx="2"/>
          <a:endCxn id="19" idx="0"/>
        </xdr:cNvCxnSpPr>
      </xdr:nvCxnSpPr>
      <xdr:spPr>
        <a:xfrm rot="5400000">
          <a:off x="16091345" y="53360581"/>
          <a:ext cx="224971" cy="407572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385763</xdr:colOff>
      <xdr:row>284</xdr:row>
      <xdr:rowOff>152398</xdr:rowOff>
    </xdr:from>
    <xdr:to>
      <xdr:col>25</xdr:col>
      <xdr:colOff>116191</xdr:colOff>
      <xdr:row>296</xdr:row>
      <xdr:rowOff>39423</xdr:rowOff>
    </xdr:to>
    <xdr:grpSp>
      <xdr:nvGrpSpPr>
        <xdr:cNvPr id="13" name="Group 12"/>
        <xdr:cNvGrpSpPr/>
      </xdr:nvGrpSpPr>
      <xdr:grpSpPr>
        <a:xfrm>
          <a:off x="11565732" y="57314304"/>
          <a:ext cx="3302303" cy="2173025"/>
          <a:chOff x="3838575" y="26155650"/>
          <a:chExt cx="3961910" cy="1951569"/>
        </a:xfrm>
      </xdr:grpSpPr>
      <xdr:sp macro="" textlink="">
        <xdr:nvSpPr>
          <xdr:cNvPr id="14" name="Rectangle 13"/>
          <xdr:cNvSpPr/>
        </xdr:nvSpPr>
        <xdr:spPr>
          <a:xfrm>
            <a:off x="5639059" y="26155650"/>
            <a:ext cx="750126" cy="300567"/>
          </a:xfrm>
          <a:prstGeom prst="rect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200" b="1">
                <a:solidFill>
                  <a:srgbClr val="002060"/>
                </a:solidFill>
              </a:rPr>
              <a:t>SUM1</a:t>
            </a:r>
          </a:p>
        </xdr:txBody>
      </xdr:sp>
      <xdr:sp macro="" textlink="">
        <xdr:nvSpPr>
          <xdr:cNvPr id="15" name="Rectangle 14"/>
          <xdr:cNvSpPr/>
        </xdr:nvSpPr>
        <xdr:spPr>
          <a:xfrm>
            <a:off x="3838575" y="26777950"/>
            <a:ext cx="562280" cy="300567"/>
          </a:xfrm>
          <a:prstGeom prst="rect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200" b="1">
                <a:solidFill>
                  <a:srgbClr val="002060"/>
                </a:solidFill>
              </a:rPr>
              <a:t>AG</a:t>
            </a:r>
          </a:p>
        </xdr:txBody>
      </xdr:sp>
      <xdr:sp macro="" textlink="">
        <xdr:nvSpPr>
          <xdr:cNvPr id="16" name="Rectangle 15"/>
          <xdr:cNvSpPr/>
        </xdr:nvSpPr>
        <xdr:spPr>
          <a:xfrm>
            <a:off x="4572153" y="27292302"/>
            <a:ext cx="713732" cy="300567"/>
          </a:xfrm>
          <a:prstGeom prst="rect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200" b="1">
                <a:solidFill>
                  <a:srgbClr val="002060"/>
                </a:solidFill>
              </a:rPr>
              <a:t>AG</a:t>
            </a:r>
          </a:p>
        </xdr:txBody>
      </xdr:sp>
      <xdr:sp macro="" textlink="">
        <xdr:nvSpPr>
          <xdr:cNvPr id="17" name="Rectangle 16"/>
          <xdr:cNvSpPr/>
        </xdr:nvSpPr>
        <xdr:spPr>
          <a:xfrm>
            <a:off x="6670970" y="26789954"/>
            <a:ext cx="683530" cy="300567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200" b="1">
                <a:solidFill>
                  <a:srgbClr val="002060"/>
                </a:solidFill>
              </a:rPr>
              <a:t>UM2</a:t>
            </a:r>
          </a:p>
        </xdr:txBody>
      </xdr:sp>
      <xdr:sp macro="" textlink="">
        <xdr:nvSpPr>
          <xdr:cNvPr id="18" name="Rectangle 17"/>
          <xdr:cNvSpPr/>
        </xdr:nvSpPr>
        <xdr:spPr>
          <a:xfrm>
            <a:off x="4572000" y="26784300"/>
            <a:ext cx="713732" cy="300567"/>
          </a:xfrm>
          <a:prstGeom prst="rect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200" b="1">
                <a:solidFill>
                  <a:srgbClr val="002060"/>
                </a:solidFill>
              </a:rPr>
              <a:t>US</a:t>
            </a:r>
          </a:p>
        </xdr:txBody>
      </xdr:sp>
      <xdr:sp macro="" textlink="">
        <xdr:nvSpPr>
          <xdr:cNvPr id="19" name="Rectangle 18"/>
          <xdr:cNvSpPr/>
        </xdr:nvSpPr>
        <xdr:spPr>
          <a:xfrm>
            <a:off x="6239028" y="27301827"/>
            <a:ext cx="713732" cy="300567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200" b="1">
                <a:solidFill>
                  <a:srgbClr val="002060"/>
                </a:solidFill>
              </a:rPr>
              <a:t>AG</a:t>
            </a:r>
          </a:p>
        </xdr:txBody>
      </xdr:sp>
      <xdr:sp macro="" textlink="">
        <xdr:nvSpPr>
          <xdr:cNvPr id="20" name="Rectangle 19"/>
          <xdr:cNvSpPr/>
        </xdr:nvSpPr>
        <xdr:spPr>
          <a:xfrm>
            <a:off x="7086753" y="27301827"/>
            <a:ext cx="713732" cy="300567"/>
          </a:xfrm>
          <a:prstGeom prst="rect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200" b="1">
                <a:solidFill>
                  <a:srgbClr val="002060"/>
                </a:solidFill>
              </a:rPr>
              <a:t>UM3</a:t>
            </a:r>
          </a:p>
        </xdr:txBody>
      </xdr:sp>
      <xdr:sp macro="" textlink="">
        <xdr:nvSpPr>
          <xdr:cNvPr id="21" name="Rectangle 20"/>
          <xdr:cNvSpPr/>
        </xdr:nvSpPr>
        <xdr:spPr>
          <a:xfrm>
            <a:off x="5419878" y="27806652"/>
            <a:ext cx="713732" cy="300567"/>
          </a:xfrm>
          <a:prstGeom prst="rect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200" b="1">
                <a:solidFill>
                  <a:srgbClr val="002060"/>
                </a:solidFill>
              </a:rPr>
              <a:t>AG</a:t>
            </a:r>
          </a:p>
        </xdr:txBody>
      </xdr:sp>
      <xdr:sp macro="" textlink="">
        <xdr:nvSpPr>
          <xdr:cNvPr id="22" name="Rectangle 21"/>
          <xdr:cNvSpPr/>
        </xdr:nvSpPr>
        <xdr:spPr>
          <a:xfrm>
            <a:off x="5419725" y="27298650"/>
            <a:ext cx="713732" cy="300567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200" b="1">
                <a:solidFill>
                  <a:srgbClr val="002060"/>
                </a:solidFill>
              </a:rPr>
              <a:t>US</a:t>
            </a:r>
          </a:p>
        </xdr:txBody>
      </xdr:sp>
    </xdr:grpSp>
    <xdr:clientData/>
  </xdr:twoCellAnchor>
  <xdr:twoCellAnchor>
    <xdr:from>
      <xdr:col>22</xdr:col>
      <xdr:colOff>208994</xdr:colOff>
      <xdr:row>290</xdr:row>
      <xdr:rowOff>76162</xdr:rowOff>
    </xdr:from>
    <xdr:to>
      <xdr:col>24</xdr:col>
      <xdr:colOff>36523</xdr:colOff>
      <xdr:row>291</xdr:row>
      <xdr:rowOff>107251</xdr:rowOff>
    </xdr:to>
    <xdr:cxnSp macro="">
      <xdr:nvCxnSpPr>
        <xdr:cNvPr id="23" name="Elbow Connector 22"/>
        <xdr:cNvCxnSpPr>
          <a:stCxn id="17" idx="2"/>
          <a:endCxn id="22" idx="0"/>
        </xdr:cNvCxnSpPr>
      </xdr:nvCxnSpPr>
      <xdr:spPr>
        <a:xfrm rot="5400000">
          <a:off x="15692495" y="52958349"/>
          <a:ext cx="221589" cy="120865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51962</xdr:colOff>
      <xdr:row>291</xdr:row>
      <xdr:rowOff>33215</xdr:rowOff>
    </xdr:from>
    <xdr:to>
      <xdr:col>21</xdr:col>
      <xdr:colOff>52116</xdr:colOff>
      <xdr:row>292</xdr:row>
      <xdr:rowOff>68393</xdr:rowOff>
    </xdr:to>
    <xdr:cxnSp macro="">
      <xdr:nvCxnSpPr>
        <xdr:cNvPr id="24" name="Straight Arrow Connector 23"/>
        <xdr:cNvCxnSpPr/>
      </xdr:nvCxnSpPr>
      <xdr:spPr>
        <a:xfrm rot="16200000" flipH="1">
          <a:off x="6230462" y="25220540"/>
          <a:ext cx="197103" cy="15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165653</xdr:colOff>
      <xdr:row>54</xdr:row>
      <xdr:rowOff>1</xdr:rowOff>
    </xdr:from>
    <xdr:to>
      <xdr:col>3</xdr:col>
      <xdr:colOff>682073</xdr:colOff>
      <xdr:row>60</xdr:row>
      <xdr:rowOff>82826</xdr:rowOff>
    </xdr:to>
    <xdr:grpSp>
      <xdr:nvGrpSpPr>
        <xdr:cNvPr id="46" name="Group 45"/>
        <xdr:cNvGrpSpPr/>
      </xdr:nvGrpSpPr>
      <xdr:grpSpPr>
        <a:xfrm>
          <a:off x="2314070" y="7577668"/>
          <a:ext cx="516420" cy="1162325"/>
          <a:chOff x="8334151" y="27266747"/>
          <a:chExt cx="1080000" cy="1753378"/>
        </a:xfrm>
      </xdr:grpSpPr>
      <xdr:sp macro="" textlink="">
        <xdr:nvSpPr>
          <xdr:cNvPr id="47" name="Rectangle 46"/>
          <xdr:cNvSpPr/>
        </xdr:nvSpPr>
        <xdr:spPr>
          <a:xfrm>
            <a:off x="8334151" y="27266747"/>
            <a:ext cx="1080000" cy="307138"/>
          </a:xfrm>
          <a:prstGeom prst="rect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000" b="1">
                <a:solidFill>
                  <a:srgbClr val="002060"/>
                </a:solidFill>
              </a:rPr>
              <a:t>UM/SM/BM</a:t>
            </a:r>
          </a:p>
        </xdr:txBody>
      </xdr:sp>
      <xdr:sp macro="" textlink="">
        <xdr:nvSpPr>
          <xdr:cNvPr id="48" name="Rectangle 47"/>
          <xdr:cNvSpPr/>
        </xdr:nvSpPr>
        <xdr:spPr>
          <a:xfrm>
            <a:off x="8455449" y="28028105"/>
            <a:ext cx="829938" cy="307138"/>
          </a:xfrm>
          <a:prstGeom prst="rect">
            <a:avLst/>
          </a:prstGeom>
          <a:solidFill>
            <a:schemeClr val="tx2">
              <a:lumMod val="40000"/>
              <a:lumOff val="60000"/>
            </a:schemeClr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000" b="1">
                <a:solidFill>
                  <a:srgbClr val="002060"/>
                </a:solidFill>
              </a:rPr>
              <a:t>US 1</a:t>
            </a:r>
          </a:p>
        </xdr:txBody>
      </xdr:sp>
      <xdr:cxnSp macro="">
        <xdr:nvCxnSpPr>
          <xdr:cNvPr id="49" name="Elbow Connector 48"/>
          <xdr:cNvCxnSpPr>
            <a:stCxn id="47" idx="2"/>
            <a:endCxn id="48" idx="0"/>
          </xdr:cNvCxnSpPr>
        </xdr:nvCxnSpPr>
        <xdr:spPr>
          <a:xfrm rot="5400000">
            <a:off x="8645175" y="27799129"/>
            <a:ext cx="454220" cy="3733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0" name="Rectangle 49"/>
          <xdr:cNvSpPr/>
        </xdr:nvSpPr>
        <xdr:spPr>
          <a:xfrm>
            <a:off x="8460957" y="28712987"/>
            <a:ext cx="829938" cy="307138"/>
          </a:xfrm>
          <a:prstGeom prst="rect">
            <a:avLst/>
          </a:prstGeom>
          <a:solidFill>
            <a:schemeClr val="tx2">
              <a:lumMod val="40000"/>
              <a:lumOff val="60000"/>
            </a:schemeClr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000" b="1">
                <a:solidFill>
                  <a:srgbClr val="002060"/>
                </a:solidFill>
              </a:rPr>
              <a:t>AG 2</a:t>
            </a:r>
          </a:p>
        </xdr:txBody>
      </xdr:sp>
      <xdr:cxnSp macro="">
        <xdr:nvCxnSpPr>
          <xdr:cNvPr id="51" name="Elbow Connector 50"/>
          <xdr:cNvCxnSpPr>
            <a:stCxn id="48" idx="2"/>
            <a:endCxn id="50" idx="0"/>
          </xdr:cNvCxnSpPr>
        </xdr:nvCxnSpPr>
        <xdr:spPr>
          <a:xfrm rot="16200000" flipH="1">
            <a:off x="8684300" y="28521360"/>
            <a:ext cx="377745" cy="5508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2071</xdr:colOff>
      <xdr:row>53</xdr:row>
      <xdr:rowOff>165653</xdr:rowOff>
    </xdr:from>
    <xdr:to>
      <xdr:col>5</xdr:col>
      <xdr:colOff>231913</xdr:colOff>
      <xdr:row>60</xdr:row>
      <xdr:rowOff>124238</xdr:rowOff>
    </xdr:to>
    <xdr:grpSp>
      <xdr:nvGrpSpPr>
        <xdr:cNvPr id="52" name="Group 51"/>
        <xdr:cNvGrpSpPr/>
      </xdr:nvGrpSpPr>
      <xdr:grpSpPr>
        <a:xfrm>
          <a:off x="5346654" y="7563403"/>
          <a:ext cx="579092" cy="1218002"/>
          <a:chOff x="10845997" y="27263075"/>
          <a:chExt cx="1597584" cy="1753378"/>
        </a:xfrm>
      </xdr:grpSpPr>
      <xdr:sp macro="" textlink="">
        <xdr:nvSpPr>
          <xdr:cNvPr id="53" name="Rectangle 52"/>
          <xdr:cNvSpPr/>
        </xdr:nvSpPr>
        <xdr:spPr>
          <a:xfrm>
            <a:off x="10845997" y="27263075"/>
            <a:ext cx="1080000" cy="307138"/>
          </a:xfrm>
          <a:prstGeom prst="rect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200" b="1">
                <a:solidFill>
                  <a:srgbClr val="002060"/>
                </a:solidFill>
              </a:rPr>
              <a:t>UM/SM/BM</a:t>
            </a:r>
          </a:p>
        </xdr:txBody>
      </xdr:sp>
      <xdr:sp macro="" textlink="">
        <xdr:nvSpPr>
          <xdr:cNvPr id="54" name="Rectangle 53"/>
          <xdr:cNvSpPr/>
        </xdr:nvSpPr>
        <xdr:spPr>
          <a:xfrm>
            <a:off x="11747680" y="28024433"/>
            <a:ext cx="695901" cy="307138"/>
          </a:xfrm>
          <a:prstGeom prst="rect">
            <a:avLst/>
          </a:prstGeom>
          <a:solidFill>
            <a:schemeClr val="tx2">
              <a:lumMod val="40000"/>
              <a:lumOff val="60000"/>
            </a:schemeClr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200" b="1">
                <a:solidFill>
                  <a:srgbClr val="002060"/>
                </a:solidFill>
              </a:rPr>
              <a:t>US 1</a:t>
            </a:r>
          </a:p>
        </xdr:txBody>
      </xdr:sp>
      <xdr:cxnSp macro="">
        <xdr:nvCxnSpPr>
          <xdr:cNvPr id="55" name="Elbow Connector 54"/>
          <xdr:cNvCxnSpPr>
            <a:stCxn id="53" idx="2"/>
            <a:endCxn id="54" idx="0"/>
          </xdr:cNvCxnSpPr>
        </xdr:nvCxnSpPr>
        <xdr:spPr>
          <a:xfrm rot="16200000" flipH="1">
            <a:off x="11513704" y="27442506"/>
            <a:ext cx="454220" cy="709634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6" name="Rectangle 55"/>
          <xdr:cNvSpPr/>
        </xdr:nvSpPr>
        <xdr:spPr>
          <a:xfrm>
            <a:off x="11037070" y="28709315"/>
            <a:ext cx="695901" cy="307138"/>
          </a:xfrm>
          <a:prstGeom prst="rect">
            <a:avLst/>
          </a:prstGeom>
          <a:solidFill>
            <a:schemeClr val="tx2">
              <a:lumMod val="40000"/>
              <a:lumOff val="60000"/>
            </a:schemeClr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200" b="1">
                <a:solidFill>
                  <a:srgbClr val="002060"/>
                </a:solidFill>
              </a:rPr>
              <a:t>US 2</a:t>
            </a:r>
          </a:p>
        </xdr:txBody>
      </xdr:sp>
      <xdr:cxnSp macro="">
        <xdr:nvCxnSpPr>
          <xdr:cNvPr id="57" name="Shape 45"/>
          <xdr:cNvCxnSpPr>
            <a:stCxn id="56" idx="0"/>
            <a:endCxn id="53" idx="2"/>
          </xdr:cNvCxnSpPr>
        </xdr:nvCxnSpPr>
        <xdr:spPr>
          <a:xfrm rot="5400000" flipH="1" flipV="1">
            <a:off x="10815958" y="28139276"/>
            <a:ext cx="1139102" cy="976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54</xdr:row>
      <xdr:rowOff>1</xdr:rowOff>
    </xdr:from>
    <xdr:to>
      <xdr:col>6</xdr:col>
      <xdr:colOff>682487</xdr:colOff>
      <xdr:row>60</xdr:row>
      <xdr:rowOff>157370</xdr:rowOff>
    </xdr:to>
    <xdr:grpSp>
      <xdr:nvGrpSpPr>
        <xdr:cNvPr id="58" name="Group 57"/>
        <xdr:cNvGrpSpPr/>
      </xdr:nvGrpSpPr>
      <xdr:grpSpPr>
        <a:xfrm>
          <a:off x="6392333" y="7577668"/>
          <a:ext cx="682487" cy="1236869"/>
          <a:chOff x="10845997" y="27263075"/>
          <a:chExt cx="1637983" cy="1753378"/>
        </a:xfrm>
      </xdr:grpSpPr>
      <xdr:sp macro="" textlink="">
        <xdr:nvSpPr>
          <xdr:cNvPr id="59" name="Rectangle 58"/>
          <xdr:cNvSpPr/>
        </xdr:nvSpPr>
        <xdr:spPr>
          <a:xfrm>
            <a:off x="10845997" y="27263075"/>
            <a:ext cx="1080000" cy="307138"/>
          </a:xfrm>
          <a:prstGeom prst="rect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200" b="1">
                <a:solidFill>
                  <a:srgbClr val="002060"/>
                </a:solidFill>
              </a:rPr>
              <a:t>UM/SM/BM</a:t>
            </a:r>
          </a:p>
        </xdr:txBody>
      </xdr:sp>
      <xdr:sp macro="" textlink="">
        <xdr:nvSpPr>
          <xdr:cNvPr id="60" name="Rectangle 59"/>
          <xdr:cNvSpPr/>
        </xdr:nvSpPr>
        <xdr:spPr>
          <a:xfrm>
            <a:off x="11747680" y="28024433"/>
            <a:ext cx="736300" cy="307138"/>
          </a:xfrm>
          <a:prstGeom prst="rect">
            <a:avLst/>
          </a:prstGeom>
          <a:solidFill>
            <a:schemeClr val="tx2">
              <a:lumMod val="40000"/>
              <a:lumOff val="60000"/>
            </a:schemeClr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200" b="1">
                <a:solidFill>
                  <a:srgbClr val="002060"/>
                </a:solidFill>
              </a:rPr>
              <a:t>UM 1</a:t>
            </a:r>
          </a:p>
        </xdr:txBody>
      </xdr:sp>
      <xdr:cxnSp macro="">
        <xdr:nvCxnSpPr>
          <xdr:cNvPr id="61" name="Elbow Connector 60"/>
          <xdr:cNvCxnSpPr>
            <a:stCxn id="59" idx="2"/>
            <a:endCxn id="60" idx="0"/>
          </xdr:cNvCxnSpPr>
        </xdr:nvCxnSpPr>
        <xdr:spPr>
          <a:xfrm rot="16200000" flipH="1">
            <a:off x="11523803" y="27432406"/>
            <a:ext cx="454220" cy="729833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2" name="Rectangle 61"/>
          <xdr:cNvSpPr/>
        </xdr:nvSpPr>
        <xdr:spPr>
          <a:xfrm>
            <a:off x="11248233" y="28709315"/>
            <a:ext cx="736300" cy="307138"/>
          </a:xfrm>
          <a:prstGeom prst="rect">
            <a:avLst/>
          </a:prstGeom>
          <a:solidFill>
            <a:schemeClr val="tx2">
              <a:lumMod val="40000"/>
              <a:lumOff val="60000"/>
            </a:schemeClr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200" b="1">
                <a:solidFill>
                  <a:srgbClr val="002060"/>
                </a:solidFill>
              </a:rPr>
              <a:t>US 2</a:t>
            </a:r>
          </a:p>
        </xdr:txBody>
      </xdr:sp>
      <xdr:cxnSp macro="">
        <xdr:nvCxnSpPr>
          <xdr:cNvPr id="63" name="Shape 45"/>
          <xdr:cNvCxnSpPr>
            <a:stCxn id="62" idx="0"/>
            <a:endCxn id="60" idx="2"/>
          </xdr:cNvCxnSpPr>
        </xdr:nvCxnSpPr>
        <xdr:spPr>
          <a:xfrm rot="5400000" flipH="1" flipV="1">
            <a:off x="11677234" y="28270720"/>
            <a:ext cx="377745" cy="499447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IEN%20CHAU/02_AGENCY/03_COMPENSATION/2017%20Projection/Projection%20File/1.3.%20GVL%20Agency%20Sales%20Plan_2017%202022_working%20file%20(22%20July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IEN%20CHAU/02_AGENCY/03_COMPENSATION/2017%20Projection/Projection%20File/1.2.%20GVL%20Agency%20Compensation%202017%20Planning_GA%20Mode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fin0113/AppData/Local/Microsoft/Windows/Temporary%20Internet%20Files/Content.Outlook/SNG5D7WW/G-Link/Quarter/PRODUCTION_BONUS_2015Q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usiness%20Planning/Compensation%20scheme%202017/GVL%20Agency%20Sales%20Plan_2017%202022_working%20file%20(22%20July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LIEN%20CHAU/02_AGENCY/03_COMPENSATION/2017%20Projection/Projection%20File/Projection%20Agency%20Compensation%20H2'2016_v2_20161101_RSP%20&amp;%20MDR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Business%20Planning/Compensation%20scheme%202017/Latest%20version/1%203%20%20GVL%20Agency%20Sales%20Plan_2017%202022_working%20file%20(22%20July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ual H1+YTD Q3"/>
      <sheetName val="Projection Summary"/>
      <sheetName val="Sheet1"/>
      <sheetName val="Guidlines"/>
      <sheetName val="Summary"/>
      <sheetName val="Data_KPIs Trend"/>
      <sheetName val="Yearly Summary"/>
      <sheetName val="AL Promotion &amp; Recruited"/>
      <sheetName val="Total Agency"/>
      <sheetName val="Agency North"/>
      <sheetName val="Agency South"/>
      <sheetName val="Assumption"/>
    </sheetNames>
    <sheetDataSet>
      <sheetData sheetId="0"/>
      <sheetData sheetId="1"/>
      <sheetData sheetId="2"/>
      <sheetData sheetId="3"/>
      <sheetData sheetId="4">
        <row r="8">
          <cell r="E8">
            <v>994</v>
          </cell>
          <cell r="F8">
            <v>1902.2251123898</v>
          </cell>
          <cell r="G8">
            <v>2508.4328014594726</v>
          </cell>
          <cell r="H8">
            <v>2964.6959881171629</v>
          </cell>
          <cell r="I8">
            <v>3592.8349340910254</v>
          </cell>
          <cell r="J8">
            <v>3905.0757369174785</v>
          </cell>
          <cell r="K8">
            <v>4497.143389184972</v>
          </cell>
          <cell r="L8">
            <v>5133.8735087424111</v>
          </cell>
        </row>
        <row r="9">
          <cell r="E9">
            <v>0.30862733471686926</v>
          </cell>
          <cell r="F9">
            <v>0.31722040253240313</v>
          </cell>
          <cell r="G9">
            <v>0.29497624576059656</v>
          </cell>
          <cell r="H9">
            <v>0.30384004518452984</v>
          </cell>
          <cell r="I9">
            <v>0.30148766316149822</v>
          </cell>
          <cell r="J9">
            <v>0.30036127927385681</v>
          </cell>
          <cell r="K9">
            <v>0.30131126640023598</v>
          </cell>
          <cell r="L9">
            <v>0.30150427477770436</v>
          </cell>
        </row>
        <row r="10">
          <cell r="E10">
            <v>1.6916426512968299</v>
          </cell>
          <cell r="F10">
            <v>1.99432892483585</v>
          </cell>
          <cell r="G10">
            <v>1.9760936497463046</v>
          </cell>
          <cell r="H10">
            <v>1.9631488654199447</v>
          </cell>
          <cell r="I10">
            <v>1.9840097674105779</v>
          </cell>
          <cell r="J10">
            <v>1.9709361185818006</v>
          </cell>
          <cell r="K10">
            <v>1.9739040756997071</v>
          </cell>
          <cell r="L10">
            <v>1.9751923780079468</v>
          </cell>
        </row>
        <row r="11">
          <cell r="E11">
            <v>807</v>
          </cell>
          <cell r="F11">
            <v>1061</v>
          </cell>
          <cell r="G11">
            <v>550</v>
          </cell>
          <cell r="H11">
            <v>600</v>
          </cell>
          <cell r="I11">
            <v>460</v>
          </cell>
          <cell r="J11">
            <v>240</v>
          </cell>
          <cell r="K11">
            <v>240</v>
          </cell>
          <cell r="L11">
            <v>240</v>
          </cell>
        </row>
        <row r="12">
          <cell r="E12">
            <v>7797</v>
          </cell>
          <cell r="F12">
            <v>11124.831529778599</v>
          </cell>
          <cell r="G12">
            <v>15382.93032320885</v>
          </cell>
          <cell r="H12">
            <v>19282.212929541856</v>
          </cell>
          <cell r="I12">
            <v>23469.337657971824</v>
          </cell>
          <cell r="J12">
            <v>26126.714010511419</v>
          </cell>
          <cell r="K12">
            <v>29697.111487265938</v>
          </cell>
          <cell r="L12">
            <v>33992.383219356852</v>
          </cell>
        </row>
        <row r="13">
          <cell r="E13">
            <v>4117</v>
          </cell>
          <cell r="F13">
            <v>10244.923698985</v>
          </cell>
          <cell r="G13">
            <v>14741.670769023571</v>
          </cell>
          <cell r="H13">
            <v>17485.917328914958</v>
          </cell>
          <cell r="I13">
            <v>21566.585749495702</v>
          </cell>
          <cell r="J13">
            <v>24339.48890427122</v>
          </cell>
          <cell r="K13">
            <v>27603.838470002378</v>
          </cell>
          <cell r="L13">
            <v>31669.217270708541</v>
          </cell>
        </row>
        <row r="16">
          <cell r="E16">
            <v>5648</v>
          </cell>
          <cell r="F16">
            <v>18091.673146246114</v>
          </cell>
          <cell r="G16">
            <v>29395.952996976965</v>
          </cell>
          <cell r="H16">
            <v>37486.632650057356</v>
          </cell>
          <cell r="I16">
            <v>47707.734746382368</v>
          </cell>
          <cell r="J16">
            <v>56924.891314878638</v>
          </cell>
          <cell r="K16">
            <v>65976.24960569384</v>
          </cell>
          <cell r="L16">
            <v>75887.789556690652</v>
          </cell>
        </row>
        <row r="17">
          <cell r="E17">
            <v>0.29070695112849682</v>
          </cell>
          <cell r="F17">
            <v>0.23578557538102102</v>
          </cell>
          <cell r="G17">
            <v>0.20909422924719515</v>
          </cell>
          <cell r="H17">
            <v>0.20902109817531037</v>
          </cell>
          <cell r="I17">
            <v>0.21909968143050945</v>
          </cell>
          <cell r="J17">
            <v>0.22026439715963406</v>
          </cell>
          <cell r="K17">
            <v>0.22652371401632046</v>
          </cell>
          <cell r="L17">
            <v>0.22793072535752404</v>
          </cell>
        </row>
        <row r="18">
          <cell r="E18">
            <v>1.6303116147308783</v>
          </cell>
          <cell r="F18">
            <v>1.5309299103746168</v>
          </cell>
          <cell r="G18">
            <v>1.4838163748627737</v>
          </cell>
          <cell r="H18">
            <v>1.555326142749482</v>
          </cell>
          <cell r="I18">
            <v>1.6247991659089773</v>
          </cell>
          <cell r="J18">
            <v>1.6582521884854549</v>
          </cell>
          <cell r="K18">
            <v>1.7155983365421703</v>
          </cell>
          <cell r="L18">
            <v>1.78003860080581</v>
          </cell>
        </row>
        <row r="19">
          <cell r="E19">
            <v>19.940748262380538</v>
          </cell>
          <cell r="F19">
            <v>17.022629359639133</v>
          </cell>
          <cell r="G19">
            <v>16.051940334403685</v>
          </cell>
          <cell r="H19">
            <v>16.601734372738939</v>
          </cell>
          <cell r="I19">
            <v>17.424411684862505</v>
          </cell>
          <cell r="J19">
            <v>18.574387948417524</v>
          </cell>
          <cell r="K19">
            <v>20.115166719366094</v>
          </cell>
          <cell r="L19">
            <v>21.897961607341092</v>
          </cell>
        </row>
        <row r="20">
          <cell r="E20">
            <v>32.509633498583568</v>
          </cell>
          <cell r="F20">
            <v>26.060452439892657</v>
          </cell>
          <cell r="G20">
            <v>23.81813191650842</v>
          </cell>
          <cell r="H20">
            <v>25.821111484903543</v>
          </cell>
          <cell r="I20">
            <v>28.311169572019239</v>
          </cell>
          <cell r="J20">
            <v>30.801019465241218</v>
          </cell>
          <cell r="K20">
            <v>34.509546563012897</v>
          </cell>
          <cell r="L20">
            <v>38.979216940030781</v>
          </cell>
        </row>
        <row r="21">
          <cell r="E21">
            <v>9.4507764366780762</v>
          </cell>
          <cell r="F21">
            <v>6.1446787732298231</v>
          </cell>
          <cell r="G21">
            <v>4.9802339351903466</v>
          </cell>
          <cell r="H21">
            <v>5.3971570786816576</v>
          </cell>
          <cell r="I21">
            <v>6.2029682341545476</v>
          </cell>
          <cell r="J21">
            <v>6.7843679844135112</v>
          </cell>
          <cell r="K21">
            <v>7.8172306564728284</v>
          </cell>
          <cell r="L21">
            <v>8.884561191009503</v>
          </cell>
        </row>
        <row r="22">
          <cell r="E22">
            <v>319929.83399999997</v>
          </cell>
          <cell r="F22">
            <v>471477.18758582999</v>
          </cell>
          <cell r="G22">
            <v>700156.68629347836</v>
          </cell>
          <cell r="H22">
            <v>967946.52085075621</v>
          </cell>
          <cell r="I22">
            <v>1350661.7683017454</v>
          </cell>
          <cell r="J22">
            <v>1753344.6854463178</v>
          </cell>
          <cell r="K22">
            <v>2276810.457820653</v>
          </cell>
          <cell r="L22">
            <v>2958046.6122296471</v>
          </cell>
        </row>
        <row r="23">
          <cell r="F23">
            <v>0.47368934522633488</v>
          </cell>
          <cell r="G23">
            <v>0.48502770596089229</v>
          </cell>
          <cell r="H23">
            <v>0.38247129506813105</v>
          </cell>
          <cell r="I23">
            <v>0.39538883523710555</v>
          </cell>
          <cell r="J23">
            <v>0.29813749570396575</v>
          </cell>
          <cell r="K23">
            <v>0.29855269002117857</v>
          </cell>
          <cell r="L23">
            <v>0.29920635337430257</v>
          </cell>
        </row>
        <row r="24">
          <cell r="E24">
            <v>0.16912469626074336</v>
          </cell>
          <cell r="F24">
            <v>0.24037440507521143</v>
          </cell>
          <cell r="G24">
            <v>0.15981919412265855</v>
          </cell>
          <cell r="H24">
            <v>0.15266265563396306</v>
          </cell>
          <cell r="I24">
            <v>0.1523044294537324</v>
          </cell>
          <cell r="J24">
            <v>0.14329601880081852</v>
          </cell>
          <cell r="K24">
            <v>0.14403723413868064</v>
          </cell>
          <cell r="L24">
            <v>0.14411165345053914</v>
          </cell>
        </row>
      </sheetData>
      <sheetData sheetId="5"/>
      <sheetData sheetId="6"/>
      <sheetData sheetId="7">
        <row r="10">
          <cell r="Z10">
            <v>16</v>
          </cell>
          <cell r="AA10">
            <v>16</v>
          </cell>
          <cell r="AB10">
            <v>33</v>
          </cell>
          <cell r="AC10">
            <v>41</v>
          </cell>
          <cell r="AD10">
            <v>45</v>
          </cell>
          <cell r="AE10">
            <v>45</v>
          </cell>
          <cell r="AF10">
            <v>45</v>
          </cell>
          <cell r="AG10">
            <v>45</v>
          </cell>
          <cell r="AH10">
            <v>45</v>
          </cell>
          <cell r="AI10">
            <v>45</v>
          </cell>
          <cell r="AJ10">
            <v>37</v>
          </cell>
          <cell r="AK10">
            <v>37</v>
          </cell>
        </row>
        <row r="11">
          <cell r="Z11">
            <v>2</v>
          </cell>
          <cell r="AA11">
            <v>2</v>
          </cell>
          <cell r="AB11">
            <v>5</v>
          </cell>
          <cell r="AC11">
            <v>6</v>
          </cell>
          <cell r="AD11">
            <v>7</v>
          </cell>
          <cell r="AE11">
            <v>7</v>
          </cell>
          <cell r="AF11">
            <v>7</v>
          </cell>
          <cell r="AG11">
            <v>7</v>
          </cell>
          <cell r="AH11">
            <v>7</v>
          </cell>
          <cell r="AI11">
            <v>7</v>
          </cell>
          <cell r="AJ11">
            <v>5</v>
          </cell>
          <cell r="AK11">
            <v>5</v>
          </cell>
        </row>
        <row r="12">
          <cell r="Z12">
            <v>1</v>
          </cell>
          <cell r="AA12">
            <v>1</v>
          </cell>
          <cell r="AB12">
            <v>2</v>
          </cell>
          <cell r="AC12">
            <v>2</v>
          </cell>
          <cell r="AD12">
            <v>2</v>
          </cell>
          <cell r="AE12">
            <v>2</v>
          </cell>
          <cell r="AF12">
            <v>2</v>
          </cell>
          <cell r="AG12">
            <v>2</v>
          </cell>
          <cell r="AH12">
            <v>2</v>
          </cell>
          <cell r="AI12">
            <v>2</v>
          </cell>
          <cell r="AJ12">
            <v>2</v>
          </cell>
          <cell r="AK12">
            <v>2</v>
          </cell>
        </row>
        <row r="13">
          <cell r="Z13">
            <v>0</v>
          </cell>
          <cell r="AA13">
            <v>0</v>
          </cell>
          <cell r="AB13">
            <v>1</v>
          </cell>
          <cell r="AC13">
            <v>1</v>
          </cell>
          <cell r="AD13">
            <v>1</v>
          </cell>
          <cell r="AE13">
            <v>1</v>
          </cell>
          <cell r="AF13">
            <v>1</v>
          </cell>
          <cell r="AG13">
            <v>1</v>
          </cell>
          <cell r="AH13">
            <v>1</v>
          </cell>
          <cell r="AI13">
            <v>1</v>
          </cell>
          <cell r="AJ13">
            <v>1</v>
          </cell>
          <cell r="AK13">
            <v>1</v>
          </cell>
        </row>
        <row r="17">
          <cell r="Z17">
            <v>216</v>
          </cell>
          <cell r="AA17">
            <v>248</v>
          </cell>
          <cell r="AB17">
            <v>280</v>
          </cell>
          <cell r="AC17">
            <v>212</v>
          </cell>
          <cell r="AD17">
            <v>253</v>
          </cell>
          <cell r="AE17">
            <v>297</v>
          </cell>
          <cell r="AF17">
            <v>226</v>
          </cell>
          <cell r="AG17">
            <v>272</v>
          </cell>
          <cell r="AH17">
            <v>320</v>
          </cell>
          <cell r="AI17">
            <v>243</v>
          </cell>
          <cell r="AJ17">
            <v>293</v>
          </cell>
          <cell r="AK17">
            <v>343</v>
          </cell>
        </row>
        <row r="20">
          <cell r="Z20">
            <v>100</v>
          </cell>
          <cell r="AA20">
            <v>101</v>
          </cell>
          <cell r="AB20">
            <v>103</v>
          </cell>
          <cell r="AC20">
            <v>105</v>
          </cell>
          <cell r="AD20">
            <v>107</v>
          </cell>
          <cell r="AE20">
            <v>109</v>
          </cell>
          <cell r="AF20">
            <v>111</v>
          </cell>
          <cell r="AG20">
            <v>113</v>
          </cell>
          <cell r="AH20">
            <v>115</v>
          </cell>
          <cell r="AI20">
            <v>117</v>
          </cell>
          <cell r="AJ20">
            <v>119</v>
          </cell>
          <cell r="AK20">
            <v>121</v>
          </cell>
        </row>
        <row r="21">
          <cell r="Z21">
            <v>59</v>
          </cell>
          <cell r="AA21">
            <v>59</v>
          </cell>
          <cell r="AB21">
            <v>60</v>
          </cell>
          <cell r="AC21">
            <v>61</v>
          </cell>
          <cell r="AD21">
            <v>62</v>
          </cell>
          <cell r="AE21">
            <v>63</v>
          </cell>
          <cell r="AF21">
            <v>64</v>
          </cell>
          <cell r="AG21">
            <v>65</v>
          </cell>
          <cell r="AH21">
            <v>66</v>
          </cell>
          <cell r="AI21">
            <v>67</v>
          </cell>
          <cell r="AJ21">
            <v>68</v>
          </cell>
          <cell r="AK21">
            <v>69</v>
          </cell>
        </row>
        <row r="23">
          <cell r="AB23">
            <v>1880.1296112528416</v>
          </cell>
          <cell r="AE23">
            <v>2021.8524910480076</v>
          </cell>
          <cell r="AH23">
            <v>2197.0429592167034</v>
          </cell>
          <cell r="AK23">
            <v>2383.2262479493688</v>
          </cell>
        </row>
        <row r="26">
          <cell r="AL26">
            <v>195</v>
          </cell>
          <cell r="AM26">
            <v>196</v>
          </cell>
          <cell r="AN26">
            <v>199</v>
          </cell>
          <cell r="AO26">
            <v>202</v>
          </cell>
          <cell r="AP26">
            <v>205</v>
          </cell>
          <cell r="AQ26">
            <v>208</v>
          </cell>
          <cell r="AR26">
            <v>211</v>
          </cell>
          <cell r="AS26">
            <v>214</v>
          </cell>
          <cell r="AT26">
            <v>217</v>
          </cell>
          <cell r="AU26">
            <v>220</v>
          </cell>
          <cell r="AV26">
            <v>223</v>
          </cell>
          <cell r="AW26">
            <v>226</v>
          </cell>
          <cell r="AX26">
            <v>235</v>
          </cell>
          <cell r="AY26">
            <v>236</v>
          </cell>
          <cell r="AZ26">
            <v>239</v>
          </cell>
          <cell r="BA26">
            <v>242</v>
          </cell>
          <cell r="BB26">
            <v>245</v>
          </cell>
          <cell r="BC26">
            <v>248</v>
          </cell>
          <cell r="BD26">
            <v>251</v>
          </cell>
          <cell r="BE26">
            <v>254</v>
          </cell>
          <cell r="BF26">
            <v>257</v>
          </cell>
          <cell r="BG26">
            <v>260</v>
          </cell>
          <cell r="BH26">
            <v>263</v>
          </cell>
          <cell r="BI26">
            <v>266</v>
          </cell>
          <cell r="BJ26">
            <v>260</v>
          </cell>
          <cell r="BK26">
            <v>261</v>
          </cell>
          <cell r="BL26">
            <v>262</v>
          </cell>
          <cell r="BM26">
            <v>263</v>
          </cell>
          <cell r="BN26">
            <v>264</v>
          </cell>
          <cell r="BO26">
            <v>265</v>
          </cell>
          <cell r="BP26">
            <v>266</v>
          </cell>
          <cell r="BQ26">
            <v>267</v>
          </cell>
          <cell r="BR26">
            <v>268</v>
          </cell>
          <cell r="BS26">
            <v>269</v>
          </cell>
          <cell r="BT26">
            <v>270</v>
          </cell>
          <cell r="BU26">
            <v>271</v>
          </cell>
          <cell r="BV26">
            <v>294</v>
          </cell>
          <cell r="BW26">
            <v>295</v>
          </cell>
          <cell r="BX26">
            <v>296</v>
          </cell>
          <cell r="BY26">
            <v>297</v>
          </cell>
          <cell r="BZ26">
            <v>298</v>
          </cell>
          <cell r="CA26">
            <v>299</v>
          </cell>
          <cell r="CB26">
            <v>300</v>
          </cell>
          <cell r="CC26">
            <v>301</v>
          </cell>
          <cell r="CD26">
            <v>302</v>
          </cell>
          <cell r="CE26">
            <v>303</v>
          </cell>
          <cell r="CF26">
            <v>304</v>
          </cell>
          <cell r="CG26">
            <v>305</v>
          </cell>
          <cell r="CH26">
            <v>329</v>
          </cell>
          <cell r="CI26">
            <v>330</v>
          </cell>
          <cell r="CJ26">
            <v>331</v>
          </cell>
          <cell r="CK26">
            <v>332</v>
          </cell>
          <cell r="CL26">
            <v>333</v>
          </cell>
          <cell r="CM26">
            <v>334</v>
          </cell>
          <cell r="CN26">
            <v>335</v>
          </cell>
          <cell r="CO26">
            <v>336</v>
          </cell>
          <cell r="CP26">
            <v>337</v>
          </cell>
          <cell r="CQ26">
            <v>338</v>
          </cell>
          <cell r="CR26">
            <v>339</v>
          </cell>
          <cell r="CS26">
            <v>340</v>
          </cell>
        </row>
        <row r="27">
          <cell r="AB27">
            <v>160.66666666666666</v>
          </cell>
          <cell r="AE27">
            <v>169</v>
          </cell>
          <cell r="AH27">
            <v>178</v>
          </cell>
          <cell r="AK27">
            <v>187</v>
          </cell>
        </row>
        <row r="38">
          <cell r="AL38">
            <v>44</v>
          </cell>
          <cell r="AM38">
            <v>45</v>
          </cell>
          <cell r="AN38">
            <v>45</v>
          </cell>
          <cell r="AO38">
            <v>47</v>
          </cell>
          <cell r="AP38">
            <v>48</v>
          </cell>
          <cell r="AQ38">
            <v>49</v>
          </cell>
          <cell r="AR38">
            <v>50</v>
          </cell>
          <cell r="AS38">
            <v>51</v>
          </cell>
          <cell r="AT38">
            <v>52</v>
          </cell>
          <cell r="AU38">
            <v>53</v>
          </cell>
          <cell r="AV38">
            <v>54</v>
          </cell>
          <cell r="AW38">
            <v>55</v>
          </cell>
          <cell r="AX38">
            <v>56</v>
          </cell>
          <cell r="AY38">
            <v>56</v>
          </cell>
          <cell r="AZ38">
            <v>56</v>
          </cell>
          <cell r="BA38">
            <v>58</v>
          </cell>
          <cell r="BB38">
            <v>59</v>
          </cell>
          <cell r="BC38">
            <v>60</v>
          </cell>
          <cell r="BD38">
            <v>61</v>
          </cell>
          <cell r="BE38">
            <v>63</v>
          </cell>
          <cell r="BF38">
            <v>64</v>
          </cell>
          <cell r="BG38">
            <v>65</v>
          </cell>
          <cell r="BH38">
            <v>67</v>
          </cell>
          <cell r="BI38">
            <v>68</v>
          </cell>
          <cell r="BJ38">
            <v>69</v>
          </cell>
          <cell r="BK38">
            <v>69</v>
          </cell>
          <cell r="BL38">
            <v>70</v>
          </cell>
          <cell r="BM38">
            <v>71</v>
          </cell>
          <cell r="BN38">
            <v>72</v>
          </cell>
          <cell r="BO38">
            <v>73</v>
          </cell>
          <cell r="BP38">
            <v>74</v>
          </cell>
          <cell r="BQ38">
            <v>74</v>
          </cell>
          <cell r="BR38">
            <v>75</v>
          </cell>
          <cell r="BS38">
            <v>76</v>
          </cell>
          <cell r="BT38">
            <v>77</v>
          </cell>
          <cell r="BU38">
            <v>77</v>
          </cell>
        </row>
        <row r="40">
          <cell r="Z40">
            <v>13</v>
          </cell>
          <cell r="AA40">
            <v>20</v>
          </cell>
          <cell r="AB40">
            <v>24</v>
          </cell>
          <cell r="AC40">
            <v>43</v>
          </cell>
          <cell r="AD40">
            <v>12</v>
          </cell>
          <cell r="AE40">
            <v>24</v>
          </cell>
          <cell r="AF40">
            <v>39</v>
          </cell>
          <cell r="AG40">
            <v>11</v>
          </cell>
          <cell r="AH40">
            <v>28</v>
          </cell>
          <cell r="AI40">
            <v>55</v>
          </cell>
          <cell r="AJ40">
            <v>17</v>
          </cell>
          <cell r="AK40">
            <v>23</v>
          </cell>
          <cell r="AL40">
            <v>3</v>
          </cell>
          <cell r="AM40">
            <v>13</v>
          </cell>
          <cell r="AN40">
            <v>15</v>
          </cell>
          <cell r="AO40">
            <v>16</v>
          </cell>
          <cell r="AP40">
            <v>8</v>
          </cell>
          <cell r="AQ40">
            <v>9</v>
          </cell>
          <cell r="AR40">
            <v>13</v>
          </cell>
          <cell r="AS40">
            <v>9</v>
          </cell>
          <cell r="AT40">
            <v>12</v>
          </cell>
          <cell r="AU40">
            <v>18</v>
          </cell>
          <cell r="AV40">
            <v>13</v>
          </cell>
          <cell r="AW40">
            <v>14</v>
          </cell>
          <cell r="AX40">
            <v>39</v>
          </cell>
          <cell r="AY40">
            <v>26</v>
          </cell>
          <cell r="AZ40">
            <v>16</v>
          </cell>
          <cell r="BA40">
            <v>27</v>
          </cell>
          <cell r="BB40">
            <v>8</v>
          </cell>
          <cell r="BC40">
            <v>9</v>
          </cell>
          <cell r="BD40">
            <v>26</v>
          </cell>
          <cell r="BE40">
            <v>11</v>
          </cell>
          <cell r="BF40">
            <v>14</v>
          </cell>
          <cell r="BG40">
            <v>35</v>
          </cell>
          <cell r="BH40">
            <v>16</v>
          </cell>
          <cell r="BI40">
            <v>18</v>
          </cell>
          <cell r="BJ40">
            <v>22</v>
          </cell>
          <cell r="BK40">
            <v>20</v>
          </cell>
          <cell r="BL40">
            <v>20</v>
          </cell>
          <cell r="BM40">
            <v>15</v>
          </cell>
          <cell r="BN40">
            <v>11</v>
          </cell>
          <cell r="BO40">
            <v>13</v>
          </cell>
          <cell r="BP40">
            <v>12</v>
          </cell>
          <cell r="BQ40">
            <v>15</v>
          </cell>
          <cell r="BR40">
            <v>18</v>
          </cell>
          <cell r="BS40">
            <v>18</v>
          </cell>
          <cell r="BT40">
            <v>20</v>
          </cell>
          <cell r="BU40">
            <v>22</v>
          </cell>
        </row>
        <row r="42">
          <cell r="Z42">
            <v>6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</row>
      </sheetData>
      <sheetData sheetId="8">
        <row r="8">
          <cell r="Z8">
            <v>20</v>
          </cell>
          <cell r="AA8">
            <v>20</v>
          </cell>
          <cell r="AB8">
            <v>40</v>
          </cell>
          <cell r="AC8">
            <v>50</v>
          </cell>
          <cell r="AD8">
            <v>55</v>
          </cell>
          <cell r="AE8">
            <v>55</v>
          </cell>
          <cell r="AF8">
            <v>55</v>
          </cell>
          <cell r="AG8">
            <v>55</v>
          </cell>
          <cell r="AH8">
            <v>55</v>
          </cell>
          <cell r="AI8">
            <v>55</v>
          </cell>
          <cell r="AJ8">
            <v>45</v>
          </cell>
          <cell r="AK8">
            <v>45</v>
          </cell>
        </row>
        <row r="11">
          <cell r="Z11">
            <v>1794.5917037284321</v>
          </cell>
          <cell r="AA11">
            <v>1871.8082502962395</v>
          </cell>
          <cell r="AB11">
            <v>1973.9888797338535</v>
          </cell>
          <cell r="AC11">
            <v>1902.2907117976904</v>
          </cell>
          <cell r="AD11">
            <v>2014.9190846447134</v>
          </cell>
          <cell r="AE11">
            <v>2148.3476767016191</v>
          </cell>
          <cell r="AF11">
            <v>2071.9648378944012</v>
          </cell>
          <cell r="AG11">
            <v>2188.0217551482751</v>
          </cell>
          <cell r="AH11">
            <v>2331.1422846074338</v>
          </cell>
          <cell r="AI11">
            <v>2260.6748094943919</v>
          </cell>
          <cell r="AJ11">
            <v>2380.5711328942421</v>
          </cell>
          <cell r="AK11">
            <v>2508.4328014594726</v>
          </cell>
          <cell r="AL11">
            <v>2289.1546070332602</v>
          </cell>
          <cell r="AM11">
            <v>2386.7396839991425</v>
          </cell>
          <cell r="AN11">
            <v>2528.2949770980235</v>
          </cell>
          <cell r="AO11">
            <v>2422.5563880956151</v>
          </cell>
          <cell r="AP11">
            <v>2544.4695236540347</v>
          </cell>
          <cell r="AQ11">
            <v>2669.8391682070082</v>
          </cell>
          <cell r="AR11">
            <v>2540.6157367821475</v>
          </cell>
          <cell r="AS11">
            <v>2670.3102771527078</v>
          </cell>
          <cell r="AT11">
            <v>2806.5099599594632</v>
          </cell>
          <cell r="AU11">
            <v>2678.062118017031</v>
          </cell>
          <cell r="AV11">
            <v>2819.3515109248856</v>
          </cell>
          <cell r="AW11">
            <v>2964.6959881171629</v>
          </cell>
          <cell r="AX11">
            <v>2855.9045028370383</v>
          </cell>
          <cell r="AY11">
            <v>2969.1573502752522</v>
          </cell>
          <cell r="AZ11">
            <v>3124.6166844600571</v>
          </cell>
          <cell r="BA11">
            <v>3012.8163962278068</v>
          </cell>
          <cell r="BB11">
            <v>3130.632511993384</v>
          </cell>
          <cell r="BC11">
            <v>3253.6273928978044</v>
          </cell>
          <cell r="BD11">
            <v>3130.7841276462359</v>
          </cell>
          <cell r="BE11">
            <v>3261.9159261127552</v>
          </cell>
          <cell r="BF11">
            <v>3401.3886465521564</v>
          </cell>
          <cell r="BG11">
            <v>3292.8239878097179</v>
          </cell>
          <cell r="BH11">
            <v>3440.7144052897693</v>
          </cell>
          <cell r="BI11">
            <v>3592.8349340910254</v>
          </cell>
          <cell r="BJ11">
            <v>3408.4651119834061</v>
          </cell>
          <cell r="BK11">
            <v>3546.9729278309501</v>
          </cell>
          <cell r="BL11">
            <v>3687.2732046799138</v>
          </cell>
          <cell r="BM11">
            <v>3487.9970077389535</v>
          </cell>
          <cell r="BN11">
            <v>3608.6772365453371</v>
          </cell>
          <cell r="BO11">
            <v>3733.8339001660383</v>
          </cell>
          <cell r="BP11">
            <v>3528.0869897445218</v>
          </cell>
          <cell r="BQ11">
            <v>3660.7661277293805</v>
          </cell>
          <cell r="BR11">
            <v>3801.0644166598545</v>
          </cell>
          <cell r="BS11">
            <v>3606.2783446071003</v>
          </cell>
          <cell r="BT11">
            <v>3753.5913344191376</v>
          </cell>
          <cell r="BU11">
            <v>3905.0757369174785</v>
          </cell>
          <cell r="BV11">
            <v>3779.1380779539813</v>
          </cell>
          <cell r="BW11">
            <v>3934.7176060128345</v>
          </cell>
          <cell r="BX11">
            <v>4091.1511407309595</v>
          </cell>
          <cell r="BY11">
            <v>3932.3135561681947</v>
          </cell>
          <cell r="BZ11">
            <v>4065.135848838911</v>
          </cell>
          <cell r="CA11">
            <v>4202.8966492341387</v>
          </cell>
          <cell r="CB11">
            <v>4027.2909939029814</v>
          </cell>
          <cell r="CC11">
            <v>4172.6170711784689</v>
          </cell>
          <cell r="CD11">
            <v>4326.7007758957643</v>
          </cell>
          <cell r="CE11">
            <v>4168.3776957305517</v>
          </cell>
          <cell r="CF11">
            <v>4330.2837370420857</v>
          </cell>
          <cell r="CG11">
            <v>4497.143389184972</v>
          </cell>
          <cell r="CH11">
            <v>4344.0406589412187</v>
          </cell>
          <cell r="CI11">
            <v>4516.958135363926</v>
          </cell>
          <cell r="CJ11">
            <v>4691.3300342061957</v>
          </cell>
          <cell r="CK11">
            <v>4504.7536413917014</v>
          </cell>
          <cell r="CL11">
            <v>4653.1811352332334</v>
          </cell>
          <cell r="CM11">
            <v>4807.8294953832074</v>
          </cell>
          <cell r="CN11">
            <v>4605.5150950151074</v>
          </cell>
          <cell r="CO11">
            <v>4769.2967123017943</v>
          </cell>
          <cell r="CP11">
            <v>4943.1816042129967</v>
          </cell>
          <cell r="CQ11">
            <v>4761.5786771563671</v>
          </cell>
          <cell r="CR11">
            <v>4944.7714556759947</v>
          </cell>
          <cell r="CS11">
            <v>5133.8735087424111</v>
          </cell>
        </row>
        <row r="15">
          <cell r="Z15">
            <v>403.78313333889719</v>
          </cell>
          <cell r="AA15">
            <v>421.15685631665389</v>
          </cell>
          <cell r="AB15">
            <v>1100.7202601023207</v>
          </cell>
          <cell r="AC15">
            <v>1065.7614684765738</v>
          </cell>
          <cell r="AD15">
            <v>1300.9996124012082</v>
          </cell>
          <cell r="AE15">
            <v>1670.6740965621302</v>
          </cell>
          <cell r="AF15">
            <v>1160.8254547148047</v>
          </cell>
          <cell r="AG15">
            <v>1413.2698134488169</v>
          </cell>
          <cell r="AH15">
            <v>1666.9132116041837</v>
          </cell>
          <cell r="AI15">
            <v>1293.7400579646248</v>
          </cell>
          <cell r="AJ15">
            <v>1539.0841279619865</v>
          </cell>
          <cell r="AK15">
            <v>1796.0022303166488</v>
          </cell>
        </row>
        <row r="29">
          <cell r="Z29">
            <v>21159.465884169887</v>
          </cell>
          <cell r="AA29">
            <v>20867.642534235856</v>
          </cell>
          <cell r="AB29">
            <v>49678.550803872859</v>
          </cell>
          <cell r="AC29">
            <v>49306.357366960248</v>
          </cell>
          <cell r="AD29">
            <v>57719.167284380776</v>
          </cell>
          <cell r="AE29">
            <v>64986.347978287136</v>
          </cell>
          <cell r="AF29">
            <v>59891.902241751806</v>
          </cell>
          <cell r="AG29">
            <v>66554.351797741721</v>
          </cell>
          <cell r="AH29">
            <v>74354.220299720429</v>
          </cell>
          <cell r="AI29">
            <v>70348.989256097513</v>
          </cell>
          <cell r="AJ29">
            <v>77982.43853511526</v>
          </cell>
          <cell r="AK29">
            <v>87307.252311144912</v>
          </cell>
        </row>
        <row r="40">
          <cell r="Z40">
            <v>9971.7775109676732</v>
          </cell>
          <cell r="AA40">
            <v>9764.5229665469487</v>
          </cell>
          <cell r="AB40">
            <v>10074.342287148558</v>
          </cell>
          <cell r="AC40">
            <v>10315.069279174604</v>
          </cell>
          <cell r="AD40">
            <v>10733.240152274808</v>
          </cell>
          <cell r="AE40">
            <v>11536.536904661592</v>
          </cell>
          <cell r="AF40">
            <v>11603.932911977012</v>
          </cell>
          <cell r="AG40">
            <v>12042.793382315393</v>
          </cell>
          <cell r="AH40">
            <v>12856.471758648277</v>
          </cell>
          <cell r="AI40">
            <v>13174.629317775247</v>
          </cell>
          <cell r="AJ40">
            <v>13772.12079595208</v>
          </cell>
          <cell r="AK40">
            <v>14741.670769023571</v>
          </cell>
          <cell r="AL40">
            <v>13604.9875825622</v>
          </cell>
          <cell r="AM40">
            <v>12888.690637904594</v>
          </cell>
          <cell r="AN40">
            <v>13332.133505722133</v>
          </cell>
          <cell r="AO40">
            <v>13593.584841810061</v>
          </cell>
          <cell r="AP40">
            <v>14078.253473727724</v>
          </cell>
          <cell r="AQ40">
            <v>14753.690342790875</v>
          </cell>
          <cell r="AR40">
            <v>14796.296606611888</v>
          </cell>
          <cell r="AS40">
            <v>15316.345315997864</v>
          </cell>
          <cell r="AT40">
            <v>16207.297827850558</v>
          </cell>
          <cell r="AU40">
            <v>16397.322116571249</v>
          </cell>
          <cell r="AV40">
            <v>16889.254695453903</v>
          </cell>
          <cell r="AW40">
            <v>17485.917328914958</v>
          </cell>
          <cell r="AX40">
            <v>16409.26958313684</v>
          </cell>
          <cell r="AY40">
            <v>15370.878476241331</v>
          </cell>
          <cell r="AZ40">
            <v>15857.776013808971</v>
          </cell>
          <cell r="BA40">
            <v>16239.304287770374</v>
          </cell>
          <cell r="BB40">
            <v>16982.927739549232</v>
          </cell>
          <cell r="BC40">
            <v>17730.585025923046</v>
          </cell>
          <cell r="BD40">
            <v>17997.242633802016</v>
          </cell>
          <cell r="BE40">
            <v>18700.014343896568</v>
          </cell>
          <cell r="BF40">
            <v>19771.689823642249</v>
          </cell>
          <cell r="BG40">
            <v>20257.859002700628</v>
          </cell>
          <cell r="BH40">
            <v>20860.295038489345</v>
          </cell>
          <cell r="BI40">
            <v>21566.585749495702</v>
          </cell>
          <cell r="BJ40">
            <v>20395.166944903256</v>
          </cell>
          <cell r="BK40">
            <v>19078.759395759324</v>
          </cell>
          <cell r="BL40">
            <v>19481.313219981057</v>
          </cell>
          <cell r="BM40">
            <v>19941.885838528156</v>
          </cell>
          <cell r="BN40">
            <v>20659.248859956831</v>
          </cell>
          <cell r="BO40">
            <v>21265.829994412958</v>
          </cell>
          <cell r="BP40">
            <v>21388.526263427018</v>
          </cell>
          <cell r="BQ40">
            <v>21993.455111572861</v>
          </cell>
          <cell r="BR40">
            <v>22941.634394022742</v>
          </cell>
          <cell r="BS40">
            <v>23255.986312226745</v>
          </cell>
          <cell r="BT40">
            <v>23697.617490092987</v>
          </cell>
          <cell r="BU40">
            <v>24339.48890427122</v>
          </cell>
          <cell r="BV40">
            <v>23006.682096653563</v>
          </cell>
          <cell r="BW40">
            <v>21455.522443083351</v>
          </cell>
          <cell r="BX40">
            <v>21912.367874931093</v>
          </cell>
          <cell r="BY40">
            <v>22450.610628173876</v>
          </cell>
          <cell r="BZ40">
            <v>23189.181480502706</v>
          </cell>
          <cell r="CA40">
            <v>23895.921272366093</v>
          </cell>
          <cell r="CB40">
            <v>24039.756904205842</v>
          </cell>
          <cell r="CC40">
            <v>24742.918299227029</v>
          </cell>
          <cell r="CD40">
            <v>25854.271689375029</v>
          </cell>
          <cell r="CE40">
            <v>26278.401367855891</v>
          </cell>
          <cell r="CF40">
            <v>26825.903945776583</v>
          </cell>
          <cell r="CG40">
            <v>27603.838470002378</v>
          </cell>
          <cell r="CH40">
            <v>26118.583130327945</v>
          </cell>
          <cell r="CI40">
            <v>24373.708123255004</v>
          </cell>
          <cell r="CJ40">
            <v>24927.637194757244</v>
          </cell>
          <cell r="CK40">
            <v>25598.525311389592</v>
          </cell>
          <cell r="CL40">
            <v>26491.706531066306</v>
          </cell>
          <cell r="CM40">
            <v>27346.3198490205</v>
          </cell>
          <cell r="CN40">
            <v>27558.481997096635</v>
          </cell>
          <cell r="CO40">
            <v>28348.887809269203</v>
          </cell>
          <cell r="CP40">
            <v>29622.055574022266</v>
          </cell>
          <cell r="CQ40">
            <v>30127.301857424078</v>
          </cell>
          <cell r="CR40">
            <v>30759.917537674573</v>
          </cell>
          <cell r="CS40">
            <v>31669.217270708541</v>
          </cell>
        </row>
        <row r="55">
          <cell r="Z55">
            <v>1150.1355645758795</v>
          </cell>
          <cell r="AA55">
            <v>1079.8660284651169</v>
          </cell>
          <cell r="AB55">
            <v>2170.5155976737065</v>
          </cell>
          <cell r="AC55">
            <v>2188.9250875271819</v>
          </cell>
          <cell r="AD55">
            <v>2344.8083926775471</v>
          </cell>
          <cell r="AE55">
            <v>2592.8144150335875</v>
          </cell>
          <cell r="AF55">
            <v>2582.5965452385622</v>
          </cell>
          <cell r="AG55">
            <v>2717.1197833764895</v>
          </cell>
          <cell r="AH55">
            <v>2947.4328884488855</v>
          </cell>
          <cell r="AI55">
            <v>3001.7602851599686</v>
          </cell>
          <cell r="AJ55">
            <v>3174.6181719923029</v>
          </cell>
          <cell r="AK55">
            <v>3445.3602368077322</v>
          </cell>
        </row>
        <row r="66">
          <cell r="Z66">
            <v>0.11533907202711635</v>
          </cell>
          <cell r="AA66">
            <v>0.11059076128600601</v>
          </cell>
          <cell r="AB66">
            <v>0.21544985625935578</v>
          </cell>
          <cell r="AC66">
            <v>0.21220653281955817</v>
          </cell>
          <cell r="AD66">
            <v>0.21846230582855145</v>
          </cell>
          <cell r="AE66">
            <v>0.22474807097317945</v>
          </cell>
          <cell r="AF66">
            <v>0.22256217480996743</v>
          </cell>
          <cell r="AG66">
            <v>0.22562205437872304</v>
          </cell>
          <cell r="AH66">
            <v>0.22925674662383244</v>
          </cell>
          <cell r="AI66">
            <v>0.22784400325480014</v>
          </cell>
          <cell r="AJ66">
            <v>0.23051047976034242</v>
          </cell>
          <cell r="AK66">
            <v>0.2337157226470836</v>
          </cell>
        </row>
        <row r="77">
          <cell r="Z77">
            <v>1392.1310197283105</v>
          </cell>
          <cell r="AA77">
            <v>1348.3621621142865</v>
          </cell>
          <cell r="AB77">
            <v>3045.2695404261103</v>
          </cell>
          <cell r="AC77">
            <v>3044.7469761216944</v>
          </cell>
          <cell r="AD77">
            <v>3534.9591166715854</v>
          </cell>
          <cell r="AE77">
            <v>4032.8084308938833</v>
          </cell>
          <cell r="AF77">
            <v>3721.1306895084845</v>
          </cell>
          <cell r="AG77">
            <v>4141.3275183915339</v>
          </cell>
          <cell r="AH77">
            <v>4660.6501773405189</v>
          </cell>
          <cell r="AI77">
            <v>4387.7721933164175</v>
          </cell>
          <cell r="AJ77">
            <v>4846.9398353509405</v>
          </cell>
          <cell r="AK77">
            <v>5462.0987517470958</v>
          </cell>
        </row>
        <row r="88">
          <cell r="Z88">
            <v>1.21040602743353</v>
          </cell>
          <cell r="AA88">
            <v>1.2486383741794347</v>
          </cell>
          <cell r="AB88">
            <v>1.4030166582032118</v>
          </cell>
          <cell r="AC88">
            <v>1.390978153373595</v>
          </cell>
          <cell r="AD88">
            <v>1.5075684340395079</v>
          </cell>
          <cell r="AE88">
            <v>1.555378745008112</v>
          </cell>
          <cell r="AF88">
            <v>1.4408486282416026</v>
          </cell>
          <cell r="AG88">
            <v>1.5241608204866186</v>
          </cell>
          <cell r="AH88">
            <v>1.5812574378218431</v>
          </cell>
          <cell r="AI88">
            <v>1.4617330421115176</v>
          </cell>
          <cell r="AJ88">
            <v>1.5267788353612097</v>
          </cell>
          <cell r="AK88">
            <v>1.5853491003332512</v>
          </cell>
        </row>
        <row r="99">
          <cell r="Z99">
            <v>15.199335108774019</v>
          </cell>
          <cell r="AA99">
            <v>15.476289027211017</v>
          </cell>
          <cell r="AB99">
            <v>16.313350967586789</v>
          </cell>
          <cell r="AC99">
            <v>16.19390962652837</v>
          </cell>
          <cell r="AD99">
            <v>16.328100376653708</v>
          </cell>
          <cell r="AE99">
            <v>16.114414828249785</v>
          </cell>
          <cell r="AF99">
            <v>16.095081640269612</v>
          </cell>
          <cell r="AG99">
            <v>16.070777184894332</v>
          </cell>
          <cell r="AH99">
            <v>15.953615369207728</v>
          </cell>
          <cell r="AI99">
            <v>16.032963006433</v>
          </cell>
          <cell r="AJ99">
            <v>16.089004853403338</v>
          </cell>
          <cell r="AK99">
            <v>15.984195138035355</v>
          </cell>
        </row>
        <row r="110">
          <cell r="Z110">
            <v>18.397366828642141</v>
          </cell>
          <cell r="AA110">
            <v>19.324288369267787</v>
          </cell>
          <cell r="AB110">
            <v>22.887903158639745</v>
          </cell>
          <cell r="AC110">
            <v>22.525374508207314</v>
          </cell>
          <cell r="AD110">
            <v>24.615728715671732</v>
          </cell>
          <cell r="AE110">
            <v>25.064018312103258</v>
          </cell>
          <cell r="AF110">
            <v>23.190576302819075</v>
          </cell>
          <cell r="AG110">
            <v>24.494448939986174</v>
          </cell>
          <cell r="AH110">
            <v>25.226772962708591</v>
          </cell>
          <cell r="AI110">
            <v>23.435911789454735</v>
          </cell>
          <cell r="AJ110">
            <v>24.564352092199996</v>
          </cell>
          <cell r="AK110">
            <v>25.340529381635481</v>
          </cell>
        </row>
        <row r="121">
          <cell r="Z121">
            <v>2.1219352177580371</v>
          </cell>
          <cell r="AA121">
            <v>2.1370877620676363</v>
          </cell>
          <cell r="AB121">
            <v>4.9311954456069884</v>
          </cell>
          <cell r="AC121">
            <v>4.7800316248487347</v>
          </cell>
          <cell r="AD121">
            <v>5.3776088548757341</v>
          </cell>
          <cell r="AE121">
            <v>5.6330897664816524</v>
          </cell>
          <cell r="AF121">
            <v>5.1613450970519068</v>
          </cell>
          <cell r="AG121">
            <v>5.5264878907144164</v>
          </cell>
          <cell r="AH121">
            <v>5.7834078972486305</v>
          </cell>
          <cell r="AI121">
            <v>5.3397319620357333</v>
          </cell>
          <cell r="AJ121">
            <v>5.6623405857749924</v>
          </cell>
          <cell r="AK121">
            <v>5.9224801366885904</v>
          </cell>
        </row>
      </sheetData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Full_Expense w GA"/>
      <sheetName val="CS Cost"/>
      <sheetName val="Cost Saving from Branch"/>
      <sheetName val="GA Comp Scheme_Revised"/>
      <sheetName val="GA Comp Scheme_Clean"/>
      <sheetName val="GA summary_monthly (HCM HN)"/>
      <sheetName val="Sheet1"/>
      <sheetName val="Competitor Scheme"/>
      <sheetName val="GA Income_Model"/>
      <sheetName val="GA summary_yearly"/>
      <sheetName val="GA summary_monthly"/>
      <sheetName val="Assumption_GA"/>
      <sheetName val="Small GA Plan"/>
      <sheetName val="Mid GA Plan"/>
      <sheetName val="Big GA Plan"/>
      <sheetName val="GA-S tenure"/>
      <sheetName val="GA-M tenure"/>
      <sheetName val="GA-B tenure"/>
      <sheetName val="GA-S_tmp"/>
      <sheetName val="GA-M_tmp"/>
      <sheetName val="GA-B_tmp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83"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1193.4259355345598</v>
          </cell>
          <cell r="J183">
            <v>1292.3365006990819</v>
          </cell>
          <cell r="K183">
            <v>2454.1392460064944</v>
          </cell>
          <cell r="L183">
            <v>4914.2570810527804</v>
          </cell>
          <cell r="M183">
            <v>7446.9605452111182</v>
          </cell>
          <cell r="N183">
            <v>9926.1025800164316</v>
          </cell>
          <cell r="O183">
            <v>9965.5894154636844</v>
          </cell>
          <cell r="P183">
            <v>9783.9467044703815</v>
          </cell>
          <cell r="Q183">
            <v>9627.9745905138661</v>
          </cell>
          <cell r="R183">
            <v>10688.832810975506</v>
          </cell>
          <cell r="S183">
            <v>10683.508644430312</v>
          </cell>
          <cell r="T183">
            <v>12947.433933375727</v>
          </cell>
          <cell r="U183">
            <v>13178.131744809791</v>
          </cell>
          <cell r="V183">
            <v>13081.117752229316</v>
          </cell>
          <cell r="W183">
            <v>14288.297209346332</v>
          </cell>
          <cell r="X183">
            <v>15705.022673254256</v>
          </cell>
          <cell r="Y183">
            <v>17118.030165222252</v>
          </cell>
          <cell r="Z183">
            <v>17321.108331594063</v>
          </cell>
          <cell r="AA183">
            <v>17263.055896210779</v>
          </cell>
          <cell r="AB183">
            <v>17223.368931151268</v>
          </cell>
          <cell r="AC183">
            <v>18373.183181866763</v>
          </cell>
          <cell r="AD183">
            <v>18552.328078343457</v>
          </cell>
          <cell r="AE183">
            <v>18498.38856725999</v>
          </cell>
          <cell r="AF183">
            <v>19861.535297185113</v>
          </cell>
          <cell r="AG183">
            <v>20092.547377909494</v>
          </cell>
          <cell r="AH183">
            <v>20085.544007508095</v>
          </cell>
          <cell r="AI183">
            <v>21472.214351005648</v>
          </cell>
          <cell r="AJ183">
            <v>23112.803899530587</v>
          </cell>
          <cell r="AK183">
            <v>23557.105226653715</v>
          </cell>
          <cell r="AL183">
            <v>23801.045929538479</v>
          </cell>
          <cell r="AM183">
            <v>23879.548434368706</v>
          </cell>
          <cell r="AN183">
            <v>23941.374995215909</v>
          </cell>
          <cell r="AO183">
            <v>24098.835039071972</v>
          </cell>
          <cell r="AP183">
            <v>25493.412770919615</v>
          </cell>
          <cell r="AQ183">
            <v>25680.303236172469</v>
          </cell>
          <cell r="AR183">
            <v>26062.196998062729</v>
          </cell>
          <cell r="AS183">
            <v>26425.403921006517</v>
          </cell>
          <cell r="AT183">
            <v>27751.799828208656</v>
          </cell>
          <cell r="AU183">
            <v>28420.624726364054</v>
          </cell>
          <cell r="AV183">
            <v>29271.298012925658</v>
          </cell>
          <cell r="AW183">
            <v>30105.701498242113</v>
          </cell>
          <cell r="AX183">
            <v>30900.303688678945</v>
          </cell>
          <cell r="AY183">
            <v>31313.767613126674</v>
          </cell>
          <cell r="AZ183">
            <v>31695.707781316974</v>
          </cell>
          <cell r="BA183">
            <v>32185.178320730032</v>
          </cell>
          <cell r="BB183">
            <v>32948.096857187462</v>
          </cell>
          <cell r="BC183">
            <v>33399.241725262909</v>
          </cell>
          <cell r="BD183">
            <v>34432.888320502148</v>
          </cell>
          <cell r="BE183">
            <v>35181.916428316923</v>
          </cell>
          <cell r="BF183">
            <v>35828.061794351634</v>
          </cell>
          <cell r="BG183">
            <v>36927.58930749297</v>
          </cell>
          <cell r="BH183">
            <v>38337.493304318115</v>
          </cell>
          <cell r="BI183">
            <v>39690.808753061763</v>
          </cell>
          <cell r="BJ183">
            <v>40872.581530020136</v>
          </cell>
          <cell r="BK183">
            <v>41754.237759190168</v>
          </cell>
          <cell r="BL183">
            <v>42599.517809773301</v>
          </cell>
          <cell r="BM183">
            <v>43680.031265201564</v>
          </cell>
          <cell r="BN183">
            <v>44919.148896119899</v>
          </cell>
          <cell r="BO183">
            <v>45849.0006579888</v>
          </cell>
          <cell r="BP183">
            <v>47409.530297301295</v>
          </cell>
          <cell r="BQ183">
            <v>47986.796362333036</v>
          </cell>
          <cell r="BR183">
            <v>48916.852727287544</v>
          </cell>
          <cell r="BS183">
            <v>49924.371937519179</v>
          </cell>
          <cell r="BT183">
            <v>50357.966813274179</v>
          </cell>
          <cell r="BU183">
            <v>50363.503563603219</v>
          </cell>
          <cell r="BV183">
            <v>50248.229437266382</v>
          </cell>
          <cell r="BW183">
            <v>51280.456101244235</v>
          </cell>
          <cell r="BX183">
            <v>52736.485813938802</v>
          </cell>
          <cell r="BY183">
            <v>54405.112906543298</v>
          </cell>
          <cell r="BZ183">
            <v>55749.41116280821</v>
          </cell>
          <cell r="CA183">
            <v>57128.25535041219</v>
          </cell>
          <cell r="CB183">
            <v>57955.52243119201</v>
          </cell>
          <cell r="CC183">
            <v>59690.7628792623</v>
          </cell>
          <cell r="CD183">
            <v>61583.039182748747</v>
          </cell>
          <cell r="CE183">
            <v>63367.232237007236</v>
          </cell>
          <cell r="CF183">
            <v>65341.908048095625</v>
          </cell>
          <cell r="CG183">
            <v>66855.279224121827</v>
          </cell>
          <cell r="CH183">
            <v>68687.153657357892</v>
          </cell>
        </row>
      </sheetData>
      <sheetData sheetId="7" refreshError="1"/>
      <sheetData sheetId="8" refreshError="1"/>
      <sheetData sheetId="9" refreshError="1"/>
      <sheetData sheetId="10" refreshError="1"/>
      <sheetData sheetId="11">
        <row r="5">
          <cell r="I5">
            <v>1</v>
          </cell>
          <cell r="K5">
            <v>2</v>
          </cell>
          <cell r="L5">
            <v>2</v>
          </cell>
          <cell r="M5">
            <v>2</v>
          </cell>
          <cell r="N5">
            <v>3</v>
          </cell>
          <cell r="Q5">
            <v>1</v>
          </cell>
          <cell r="R5">
            <v>2</v>
          </cell>
          <cell r="S5">
            <v>1</v>
          </cell>
          <cell r="T5">
            <v>2</v>
          </cell>
          <cell r="U5">
            <v>1</v>
          </cell>
          <cell r="W5">
            <v>2</v>
          </cell>
          <cell r="X5">
            <v>2</v>
          </cell>
          <cell r="Y5">
            <v>2</v>
          </cell>
          <cell r="Z5">
            <v>2</v>
          </cell>
          <cell r="AC5">
            <v>1</v>
          </cell>
          <cell r="AD5">
            <v>1</v>
          </cell>
          <cell r="AE5">
            <v>2</v>
          </cell>
          <cell r="AF5">
            <v>1</v>
          </cell>
          <cell r="AI5">
            <v>2</v>
          </cell>
          <cell r="AJ5">
            <v>1</v>
          </cell>
          <cell r="AP5">
            <v>1</v>
          </cell>
          <cell r="AT5">
            <v>1</v>
          </cell>
          <cell r="BA5">
            <v>1</v>
          </cell>
          <cell r="BB5">
            <v>1</v>
          </cell>
          <cell r="BD5">
            <v>1</v>
          </cell>
          <cell r="BN5">
            <v>1</v>
          </cell>
          <cell r="BP5">
            <v>1</v>
          </cell>
          <cell r="BS5">
            <v>1</v>
          </cell>
          <cell r="BT5">
            <v>1</v>
          </cell>
          <cell r="BZ5">
            <v>1</v>
          </cell>
          <cell r="CB5">
            <v>1</v>
          </cell>
          <cell r="CE5">
            <v>1</v>
          </cell>
        </row>
        <row r="6">
          <cell r="L6">
            <v>2</v>
          </cell>
          <cell r="M6">
            <v>3</v>
          </cell>
          <cell r="N6">
            <v>2</v>
          </cell>
          <cell r="O6">
            <v>1</v>
          </cell>
          <cell r="Q6">
            <v>1</v>
          </cell>
          <cell r="R6">
            <v>1</v>
          </cell>
          <cell r="S6">
            <v>2</v>
          </cell>
          <cell r="T6">
            <v>1</v>
          </cell>
          <cell r="U6">
            <v>2</v>
          </cell>
          <cell r="W6">
            <v>1</v>
          </cell>
          <cell r="X6">
            <v>1</v>
          </cell>
          <cell r="Y6">
            <v>1</v>
          </cell>
          <cell r="Z6">
            <v>1</v>
          </cell>
          <cell r="AC6">
            <v>2</v>
          </cell>
          <cell r="AD6">
            <v>1</v>
          </cell>
          <cell r="AE6">
            <v>1</v>
          </cell>
          <cell r="AF6">
            <v>2</v>
          </cell>
          <cell r="AI6">
            <v>2</v>
          </cell>
          <cell r="AJ6">
            <v>2</v>
          </cell>
          <cell r="AP6">
            <v>1</v>
          </cell>
          <cell r="AQ6">
            <v>1</v>
          </cell>
          <cell r="AR6">
            <v>1</v>
          </cell>
          <cell r="AT6">
            <v>1</v>
          </cell>
          <cell r="AU6">
            <v>1</v>
          </cell>
          <cell r="AV6">
            <v>1</v>
          </cell>
          <cell r="AW6">
            <v>1</v>
          </cell>
          <cell r="BA6">
            <v>1</v>
          </cell>
          <cell r="BB6">
            <v>1</v>
          </cell>
          <cell r="BD6">
            <v>1</v>
          </cell>
          <cell r="BG6">
            <v>1</v>
          </cell>
          <cell r="BH6">
            <v>1</v>
          </cell>
          <cell r="BN6">
            <v>1</v>
          </cell>
          <cell r="BP6">
            <v>1</v>
          </cell>
          <cell r="CE6">
            <v>1</v>
          </cell>
          <cell r="CF6">
            <v>1</v>
          </cell>
        </row>
        <row r="7">
          <cell r="L7">
            <v>1</v>
          </cell>
          <cell r="M7">
            <v>1</v>
          </cell>
          <cell r="N7">
            <v>1</v>
          </cell>
          <cell r="R7">
            <v>1</v>
          </cell>
          <cell r="T7">
            <v>1</v>
          </cell>
          <cell r="W7">
            <v>1</v>
          </cell>
          <cell r="AP7">
            <v>1</v>
          </cell>
          <cell r="AQ7">
            <v>1</v>
          </cell>
          <cell r="AR7">
            <v>1</v>
          </cell>
          <cell r="AU7">
            <v>1</v>
          </cell>
          <cell r="AV7">
            <v>1</v>
          </cell>
          <cell r="AW7">
            <v>1</v>
          </cell>
        </row>
        <row r="95"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1217.7815668719998</v>
          </cell>
          <cell r="J95">
            <v>1318.7107149990632</v>
          </cell>
          <cell r="K95">
            <v>3722.00528728679</v>
          </cell>
          <cell r="L95">
            <v>8661.9339712096553</v>
          </cell>
          <cell r="M95">
            <v>14583.660687962849</v>
          </cell>
          <cell r="N95">
            <v>20895.040649843657</v>
          </cell>
          <cell r="O95">
            <v>22036.439446963814</v>
          </cell>
          <cell r="P95">
            <v>21867.376850239136</v>
          </cell>
          <cell r="Q95">
            <v>23733.536270368415</v>
          </cell>
          <cell r="R95">
            <v>27713.724755056825</v>
          </cell>
          <cell r="S95">
            <v>30852.094353299843</v>
          </cell>
          <cell r="T95">
            <v>34916.314813034776</v>
          </cell>
          <cell r="U95">
            <v>38226.223721641727</v>
          </cell>
          <cell r="V95">
            <v>38479.385736118129</v>
          </cell>
          <cell r="W95">
            <v>42641.879893972036</v>
          </cell>
          <cell r="X95">
            <v>46733.322822873437</v>
          </cell>
          <cell r="Y95">
            <v>50830.310089208768</v>
          </cell>
          <cell r="Z95">
            <v>54964.322216925029</v>
          </cell>
          <cell r="AA95">
            <v>55479.589133290137</v>
          </cell>
          <cell r="AB95">
            <v>55642.665718325508</v>
          </cell>
          <cell r="AC95">
            <v>58906.628210545925</v>
          </cell>
          <cell r="AD95">
            <v>61774.292711070259</v>
          </cell>
          <cell r="AE95">
            <v>65722.863637941031</v>
          </cell>
          <cell r="AF95">
            <v>69454.215083830626</v>
          </cell>
          <cell r="AG95">
            <v>70356.991276171771</v>
          </cell>
          <cell r="AH95">
            <v>70652.731042159576</v>
          </cell>
          <cell r="AI95">
            <v>75587.696195513345</v>
          </cell>
          <cell r="AJ95">
            <v>80131.259122634103</v>
          </cell>
          <cell r="AK95">
            <v>81768.255001762853</v>
          </cell>
          <cell r="AL95">
            <v>83189.345389484908</v>
          </cell>
          <cell r="AM95">
            <v>83878.807552081329</v>
          </cell>
          <cell r="AN95">
            <v>84400.144149258238</v>
          </cell>
          <cell r="AO95">
            <v>85402.665164240563</v>
          </cell>
          <cell r="AP95">
            <v>89349.487488816521</v>
          </cell>
          <cell r="AQ95">
            <v>92320.105123245405</v>
          </cell>
          <cell r="AR95">
            <v>95255.428423524965</v>
          </cell>
          <cell r="AS95">
            <v>96709.045890972193</v>
          </cell>
          <cell r="AT95">
            <v>99435.883214980233</v>
          </cell>
          <cell r="AU95">
            <v>103101.23515889348</v>
          </cell>
          <cell r="AV95">
            <v>107023.18918961959</v>
          </cell>
          <cell r="AW95">
            <v>110942.46809162911</v>
          </cell>
          <cell r="AX95">
            <v>113640.20270035822</v>
          </cell>
          <cell r="AY95">
            <v>115111.08644599568</v>
          </cell>
          <cell r="AZ95">
            <v>116435.39322677729</v>
          </cell>
          <cell r="BA95">
            <v>120636.18209116171</v>
          </cell>
          <cell r="BB95">
            <v>125584.42368111004</v>
          </cell>
          <cell r="BC95">
            <v>128288.51689478102</v>
          </cell>
          <cell r="BD95">
            <v>133214.37935489567</v>
          </cell>
          <cell r="BE95">
            <v>135953.46184835784</v>
          </cell>
          <cell r="BF95">
            <v>138005.67526435151</v>
          </cell>
          <cell r="BG95">
            <v>142497.0460893127</v>
          </cell>
          <cell r="BH95">
            <v>146833.87661260366</v>
          </cell>
          <cell r="BI95">
            <v>149336.23158956887</v>
          </cell>
          <cell r="BJ95">
            <v>152028.6236152456</v>
          </cell>
          <cell r="BK95">
            <v>154136.35350299842</v>
          </cell>
          <cell r="BL95">
            <v>156592.02465045647</v>
          </cell>
          <cell r="BM95">
            <v>159976.80388374542</v>
          </cell>
          <cell r="BN95">
            <v>166070.21140722983</v>
          </cell>
          <cell r="BO95">
            <v>169724.09842267784</v>
          </cell>
          <cell r="BP95">
            <v>175799.57496891852</v>
          </cell>
          <cell r="BQ95">
            <v>178578.07359775467</v>
          </cell>
          <cell r="BR95">
            <v>181617.93754491879</v>
          </cell>
          <cell r="BS95">
            <v>186845.91915928075</v>
          </cell>
          <cell r="BT95">
            <v>192173.00726289127</v>
          </cell>
          <cell r="BU95">
            <v>196125.82437320813</v>
          </cell>
          <cell r="BV95">
            <v>199220.36815244879</v>
          </cell>
          <cell r="BW95">
            <v>203571.48853565753</v>
          </cell>
          <cell r="BX95">
            <v>208552.67792316989</v>
          </cell>
          <cell r="BY95">
            <v>213409.77534233619</v>
          </cell>
          <cell r="BZ95">
            <v>219643.08876883393</v>
          </cell>
          <cell r="CA95">
            <v>225086.43130407043</v>
          </cell>
          <cell r="CB95">
            <v>231477.29390345741</v>
          </cell>
          <cell r="CC95">
            <v>237462.60197336404</v>
          </cell>
          <cell r="CD95">
            <v>243868.89493824897</v>
          </cell>
          <cell r="CE95">
            <v>252963.75556879005</v>
          </cell>
          <cell r="CF95">
            <v>260266.79495274258</v>
          </cell>
          <cell r="CG95">
            <v>265730.61767700169</v>
          </cell>
          <cell r="CH95">
            <v>271105.84091848478</v>
          </cell>
        </row>
        <row r="183"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1193.4259355345598</v>
          </cell>
          <cell r="J183">
            <v>1292.3365006990819</v>
          </cell>
          <cell r="K183">
            <v>3647.5651815410547</v>
          </cell>
          <cell r="L183">
            <v>8488.6952917854614</v>
          </cell>
          <cell r="M183">
            <v>14291.987474203588</v>
          </cell>
          <cell r="N183">
            <v>20477.139836846782</v>
          </cell>
          <cell r="O183">
            <v>21595.710658024538</v>
          </cell>
          <cell r="P183">
            <v>21430.029313234354</v>
          </cell>
          <cell r="Q183">
            <v>23258.865544961052</v>
          </cell>
          <cell r="R183">
            <v>27159.450259955691</v>
          </cell>
          <cell r="S183">
            <v>30235.052466233843</v>
          </cell>
          <cell r="T183">
            <v>34217.988516774087</v>
          </cell>
          <cell r="U183">
            <v>37461.699247208897</v>
          </cell>
          <cell r="V183">
            <v>37709.798021395763</v>
          </cell>
          <cell r="W183">
            <v>41789.042296092608</v>
          </cell>
          <cell r="X183">
            <v>45798.656366415969</v>
          </cell>
          <cell r="Y183">
            <v>49813.703887424585</v>
          </cell>
          <cell r="Z183">
            <v>53865.035772586532</v>
          </cell>
          <cell r="AA183">
            <v>54369.997350624333</v>
          </cell>
          <cell r="AB183">
            <v>54529.812403959011</v>
          </cell>
          <cell r="AC183">
            <v>57728.49564633501</v>
          </cell>
          <cell r="AD183">
            <v>60538.806856848838</v>
          </cell>
          <cell r="AE183">
            <v>64408.406365182222</v>
          </cell>
          <cell r="AF183">
            <v>68065.130782153996</v>
          </cell>
          <cell r="AG183">
            <v>68949.851450648319</v>
          </cell>
          <cell r="AH183">
            <v>69239.67642131637</v>
          </cell>
          <cell r="AI183">
            <v>74075.942271603068</v>
          </cell>
          <cell r="AJ183">
            <v>78528.633940181404</v>
          </cell>
          <cell r="AK183">
            <v>80132.889901727613</v>
          </cell>
          <cell r="AL183">
            <v>81525.558481695189</v>
          </cell>
          <cell r="AM183">
            <v>82201.231401039709</v>
          </cell>
          <cell r="AN183">
            <v>82712.141266273087</v>
          </cell>
          <cell r="AO183">
            <v>83694.61186095576</v>
          </cell>
          <cell r="AP183">
            <v>87562.497739040191</v>
          </cell>
          <cell r="AQ183">
            <v>90473.703020780478</v>
          </cell>
          <cell r="AR183">
            <v>93350.319855054462</v>
          </cell>
          <cell r="AS183">
            <v>94774.864973152755</v>
          </cell>
          <cell r="AT183">
            <v>97447.165550680627</v>
          </cell>
          <cell r="AU183">
            <v>101039.21045571558</v>
          </cell>
          <cell r="AV183">
            <v>104882.72540582719</v>
          </cell>
          <cell r="AW183">
            <v>108723.61872979652</v>
          </cell>
          <cell r="AX183">
            <v>111367.39864635105</v>
          </cell>
          <cell r="AY183">
            <v>112808.86471707579</v>
          </cell>
          <cell r="AZ183">
            <v>114106.68536224171</v>
          </cell>
          <cell r="BA183">
            <v>118223.45844933849</v>
          </cell>
          <cell r="BB183">
            <v>123072.73520748784</v>
          </cell>
          <cell r="BC183">
            <v>125722.74655688538</v>
          </cell>
          <cell r="BD183">
            <v>130550.09176779778</v>
          </cell>
          <cell r="BE183">
            <v>133234.39261139065</v>
          </cell>
          <cell r="BF183">
            <v>135245.5617590645</v>
          </cell>
          <cell r="BG183">
            <v>139647.10516752649</v>
          </cell>
          <cell r="BH183">
            <v>143897.19908035151</v>
          </cell>
          <cell r="BI183">
            <v>146349.50695777746</v>
          </cell>
          <cell r="BJ183">
            <v>148988.05114294062</v>
          </cell>
          <cell r="BK183">
            <v>151053.62643293844</v>
          </cell>
          <cell r="BL183">
            <v>153460.18415744731</v>
          </cell>
          <cell r="BM183">
            <v>156777.26780607054</v>
          </cell>
          <cell r="BN183">
            <v>162748.80717908524</v>
          </cell>
          <cell r="BO183">
            <v>166329.61645422428</v>
          </cell>
          <cell r="BP183">
            <v>172283.5834695402</v>
          </cell>
          <cell r="BQ183">
            <v>175006.51212579955</v>
          </cell>
          <cell r="BR183">
            <v>177985.57879402043</v>
          </cell>
          <cell r="BS183">
            <v>183109.00077609514</v>
          </cell>
          <cell r="BT183">
            <v>188329.54711763348</v>
          </cell>
          <cell r="BU183">
            <v>192203.30788574394</v>
          </cell>
          <cell r="BV183">
            <v>195235.96078939983</v>
          </cell>
          <cell r="BW183">
            <v>199500.05876494435</v>
          </cell>
          <cell r="BX183">
            <v>204381.62436470637</v>
          </cell>
          <cell r="BY183">
            <v>209141.57983548942</v>
          </cell>
          <cell r="BZ183">
            <v>215250.22699345733</v>
          </cell>
          <cell r="CA183">
            <v>220584.70267798903</v>
          </cell>
          <cell r="CB183">
            <v>226847.74802538828</v>
          </cell>
          <cell r="CC183">
            <v>232713.34993389677</v>
          </cell>
          <cell r="CD183">
            <v>238991.51703948405</v>
          </cell>
          <cell r="CE183">
            <v>247904.4804574142</v>
          </cell>
          <cell r="CF183">
            <v>255061.45905368772</v>
          </cell>
          <cell r="CG183">
            <v>260416.00532346164</v>
          </cell>
          <cell r="CH183">
            <v>265683.72410011501</v>
          </cell>
        </row>
        <row r="271"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68.879047899999989</v>
          </cell>
          <cell r="J271">
            <v>74.587710124381402</v>
          </cell>
          <cell r="K271">
            <v>210.52066104563295</v>
          </cell>
          <cell r="L271">
            <v>489.92839203674521</v>
          </cell>
          <cell r="M271">
            <v>824.86768597074933</v>
          </cell>
          <cell r="N271">
            <v>1181.8461906020168</v>
          </cell>
          <cell r="O271">
            <v>1246.4049460952385</v>
          </cell>
          <cell r="P271">
            <v>1236.8425820271007</v>
          </cell>
          <cell r="Q271">
            <v>1342.394585428078</v>
          </cell>
          <cell r="R271">
            <v>1567.5183684986894</v>
          </cell>
          <cell r="S271">
            <v>1745.0279611594933</v>
          </cell>
          <cell r="T271">
            <v>1974.90468399518</v>
          </cell>
          <cell r="U271">
            <v>2158.6986520417804</v>
          </cell>
          <cell r="V271">
            <v>2172.9962485151068</v>
          </cell>
          <cell r="W271">
            <v>2401.5865603496745</v>
          </cell>
          <cell r="X271">
            <v>2620.2335171563673</v>
          </cell>
          <cell r="Y271">
            <v>2836.1053780417092</v>
          </cell>
          <cell r="Z271">
            <v>3053.4129311182842</v>
          </cell>
          <cell r="AA271">
            <v>3079.0872806859993</v>
          </cell>
          <cell r="AB271">
            <v>3087.7893985045407</v>
          </cell>
          <cell r="AC271">
            <v>3265.5726829473701</v>
          </cell>
          <cell r="AD271">
            <v>3417.460043648482</v>
          </cell>
          <cell r="AE271">
            <v>3630.9361609161406</v>
          </cell>
          <cell r="AF271">
            <v>3831.5583827615669</v>
          </cell>
          <cell r="AG271">
            <v>3868.6289675585513</v>
          </cell>
          <cell r="AH271">
            <v>3884.4992289005559</v>
          </cell>
          <cell r="AI271">
            <v>4145.1489912960515</v>
          </cell>
          <cell r="AJ271">
            <v>4372.4667481124588</v>
          </cell>
          <cell r="AK271">
            <v>4431.1725455655815</v>
          </cell>
          <cell r="AL271">
            <v>4477.4628003372909</v>
          </cell>
          <cell r="AM271">
            <v>4510.6231429727895</v>
          </cell>
          <cell r="AN271">
            <v>4538.4454926667167</v>
          </cell>
          <cell r="AO271">
            <v>4576.3319290688978</v>
          </cell>
          <cell r="AP271">
            <v>4776.4944475601778</v>
          </cell>
          <cell r="AQ271">
            <v>4920.872377141488</v>
          </cell>
          <cell r="AR271">
            <v>5060.7000872383733</v>
          </cell>
          <cell r="AS271">
            <v>5122.8510528417655</v>
          </cell>
          <cell r="AT271">
            <v>5274.4351449763089</v>
          </cell>
          <cell r="AU271">
            <v>5440.2022181864877</v>
          </cell>
          <cell r="AV271">
            <v>5612.1026938318628</v>
          </cell>
          <cell r="AW271">
            <v>5787.4104942456242</v>
          </cell>
          <cell r="AX271">
            <v>5891.3957308583304</v>
          </cell>
          <cell r="AY271">
            <v>5962.1877894045938</v>
          </cell>
          <cell r="AZ271">
            <v>6029.5051676893499</v>
          </cell>
          <cell r="BA271">
            <v>6237.1928981716428</v>
          </cell>
          <cell r="BB271">
            <v>6473.8665418714008</v>
          </cell>
          <cell r="BC271">
            <v>6587.6550248405247</v>
          </cell>
          <cell r="BD271">
            <v>6820.9461559565279</v>
          </cell>
          <cell r="BE271">
            <v>6941.7393863718935</v>
          </cell>
          <cell r="BF271">
            <v>7039.080682916222</v>
          </cell>
          <cell r="BG271">
            <v>7226.6988826977604</v>
          </cell>
          <cell r="BH271">
            <v>7400.2587706190443</v>
          </cell>
          <cell r="BI271">
            <v>7482.4486733251497</v>
          </cell>
          <cell r="BJ271">
            <v>7573.7928953437367</v>
          </cell>
          <cell r="BK271">
            <v>7672.9781730831974</v>
          </cell>
          <cell r="BL271">
            <v>7792.805945006894</v>
          </cell>
          <cell r="BM271">
            <v>7931.1206139847109</v>
          </cell>
          <cell r="BN271">
            <v>8203.3808221366671</v>
          </cell>
          <cell r="BO271">
            <v>8351.6246059949717</v>
          </cell>
          <cell r="BP271">
            <v>8621.8834553659835</v>
          </cell>
          <cell r="BQ271">
            <v>8737.1489708926201</v>
          </cell>
          <cell r="BR271">
            <v>8878.2307460788052</v>
          </cell>
          <cell r="BS271">
            <v>9086.3867104977689</v>
          </cell>
          <cell r="BT271">
            <v>9291.0206294470881</v>
          </cell>
          <cell r="BU271">
            <v>9424.4509057450923</v>
          </cell>
          <cell r="BV271">
            <v>9518.6562262053831</v>
          </cell>
        </row>
        <row r="359">
          <cell r="N359">
            <v>2774.545596205131</v>
          </cell>
          <cell r="Z359">
            <v>6988.6782999325487</v>
          </cell>
          <cell r="AL359">
            <v>9993.3300772222883</v>
          </cell>
          <cell r="AX359">
            <v>12768.535256297051</v>
          </cell>
          <cell r="BJ359">
            <v>15893.400296880107</v>
          </cell>
          <cell r="BV359">
            <v>19971.916655751833</v>
          </cell>
        </row>
        <row r="447"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20</v>
          </cell>
          <cell r="J447">
            <v>0</v>
          </cell>
          <cell r="K447">
            <v>42</v>
          </cell>
          <cell r="L447">
            <v>78</v>
          </cell>
          <cell r="M447">
            <v>98</v>
          </cell>
          <cell r="N447">
            <v>108</v>
          </cell>
          <cell r="O447">
            <v>30</v>
          </cell>
          <cell r="P447">
            <v>24</v>
          </cell>
          <cell r="Q447">
            <v>48</v>
          </cell>
          <cell r="R447">
            <v>88</v>
          </cell>
          <cell r="S447">
            <v>66</v>
          </cell>
          <cell r="T447">
            <v>92</v>
          </cell>
          <cell r="U447">
            <v>78</v>
          </cell>
          <cell r="V447">
            <v>32</v>
          </cell>
          <cell r="W447">
            <v>94</v>
          </cell>
          <cell r="X447">
            <v>74</v>
          </cell>
          <cell r="Y447">
            <v>80</v>
          </cell>
          <cell r="Z447">
            <v>72</v>
          </cell>
          <cell r="AA447">
            <v>32</v>
          </cell>
          <cell r="AB447">
            <v>24</v>
          </cell>
          <cell r="AC447">
            <v>70</v>
          </cell>
          <cell r="AD447">
            <v>52</v>
          </cell>
          <cell r="AE447">
            <v>74</v>
          </cell>
          <cell r="AF447">
            <v>64</v>
          </cell>
          <cell r="AG447">
            <v>26</v>
          </cell>
          <cell r="AH447">
            <v>18</v>
          </cell>
          <cell r="AI447">
            <v>84</v>
          </cell>
          <cell r="AJ447">
            <v>60</v>
          </cell>
          <cell r="AK447">
            <v>16</v>
          </cell>
          <cell r="AL447">
            <v>18</v>
          </cell>
          <cell r="AM447">
            <v>18</v>
          </cell>
          <cell r="AN447">
            <v>16</v>
          </cell>
          <cell r="AO447">
            <v>8</v>
          </cell>
          <cell r="AP447">
            <v>56</v>
          </cell>
          <cell r="AQ447">
            <v>30</v>
          </cell>
          <cell r="AR447">
            <v>38</v>
          </cell>
          <cell r="AS447">
            <v>10</v>
          </cell>
          <cell r="AT447">
            <v>48</v>
          </cell>
          <cell r="AU447">
            <v>28</v>
          </cell>
          <cell r="AV447">
            <v>36</v>
          </cell>
          <cell r="AW447">
            <v>34</v>
          </cell>
          <cell r="AX447">
            <v>16</v>
          </cell>
          <cell r="AY447">
            <v>14</v>
          </cell>
          <cell r="AZ447">
            <v>14</v>
          </cell>
          <cell r="BA447">
            <v>48</v>
          </cell>
          <cell r="BB447">
            <v>44</v>
          </cell>
          <cell r="BC447">
            <v>14</v>
          </cell>
          <cell r="BD447">
            <v>44</v>
          </cell>
          <cell r="BE447">
            <v>12</v>
          </cell>
          <cell r="BF447">
            <v>12</v>
          </cell>
          <cell r="BG447">
            <v>20</v>
          </cell>
          <cell r="BH447">
            <v>22</v>
          </cell>
          <cell r="BI447">
            <v>6</v>
          </cell>
          <cell r="BJ447">
            <v>8</v>
          </cell>
          <cell r="BK447">
            <v>8</v>
          </cell>
          <cell r="BL447">
            <v>6</v>
          </cell>
          <cell r="BM447">
            <v>4</v>
          </cell>
          <cell r="BN447">
            <v>38</v>
          </cell>
          <cell r="BO447">
            <v>2</v>
          </cell>
          <cell r="BP447">
            <v>40</v>
          </cell>
          <cell r="BQ447">
            <v>2</v>
          </cell>
          <cell r="BR447">
            <v>10</v>
          </cell>
          <cell r="BS447">
            <v>20</v>
          </cell>
          <cell r="BT447">
            <v>26</v>
          </cell>
          <cell r="BU447">
            <v>4</v>
          </cell>
          <cell r="BV447">
            <v>6</v>
          </cell>
        </row>
        <row r="535">
          <cell r="C535">
            <v>0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20</v>
          </cell>
          <cell r="J535">
            <v>19.414289392464447</v>
          </cell>
          <cell r="K535">
            <v>60.845731630717879</v>
          </cell>
          <cell r="L535">
            <v>137.50334987083576</v>
          </cell>
          <cell r="M535">
            <v>231.47649134128471</v>
          </cell>
          <cell r="N535">
            <v>333.57661504677264</v>
          </cell>
          <cell r="O535">
            <v>356.41413382079236</v>
          </cell>
          <cell r="P535">
            <v>371.97826164963885</v>
          </cell>
          <cell r="Q535">
            <v>413.03821783473433</v>
          </cell>
          <cell r="R535">
            <v>494.20766877811838</v>
          </cell>
          <cell r="S535">
            <v>549.9409915091876</v>
          </cell>
          <cell r="T535">
            <v>605.84561802245332</v>
          </cell>
          <cell r="U535">
            <v>666.84279728328295</v>
          </cell>
          <cell r="V535">
            <v>679.87028673646762</v>
          </cell>
          <cell r="W535">
            <v>758.35023008206849</v>
          </cell>
          <cell r="X535">
            <v>815.47137402822057</v>
          </cell>
          <cell r="Y535">
            <v>871.20041350502811</v>
          </cell>
          <cell r="Z535">
            <v>928.19206199125608</v>
          </cell>
          <cell r="AA535">
            <v>941.03791119484299</v>
          </cell>
          <cell r="AB535">
            <v>953.87129929539765</v>
          </cell>
          <cell r="AC535">
            <v>1010.6215461015893</v>
          </cell>
          <cell r="AD535">
            <v>1058.0558327983786</v>
          </cell>
          <cell r="AE535">
            <v>1108.8284104619429</v>
          </cell>
          <cell r="AF535">
            <v>1171.8804844757608</v>
          </cell>
          <cell r="AG535">
            <v>1183.4431618098554</v>
          </cell>
          <cell r="AH535">
            <v>1175.7820451900136</v>
          </cell>
          <cell r="AI535">
            <v>1253.6779817335239</v>
          </cell>
          <cell r="AJ535">
            <v>1308.0047171659826</v>
          </cell>
          <cell r="AK535">
            <v>1297.7585376188119</v>
          </cell>
          <cell r="AL535">
            <v>1313.0919225028858</v>
          </cell>
          <cell r="AM535">
            <v>1496.8374246573894</v>
          </cell>
          <cell r="AN535">
            <v>1497.934369893554</v>
          </cell>
          <cell r="AO535">
            <v>1518.5835666428775</v>
          </cell>
          <cell r="AP535">
            <v>1572.8106581875304</v>
          </cell>
          <cell r="AQ535">
            <v>1588.1331599341668</v>
          </cell>
          <cell r="AR535">
            <v>1641.6286821741028</v>
          </cell>
          <cell r="AS535">
            <v>1652.7802870070477</v>
          </cell>
          <cell r="AT535">
            <v>1688.2223758360062</v>
          </cell>
          <cell r="AU535">
            <v>1737.525927421138</v>
          </cell>
          <cell r="AV535">
            <v>1779.7842655891513</v>
          </cell>
          <cell r="AW535">
            <v>1803.1751258688239</v>
          </cell>
          <cell r="AX535">
            <v>1848.3377213334559</v>
          </cell>
          <cell r="AY535">
            <v>1872.7812169946426</v>
          </cell>
          <cell r="AZ535">
            <v>1883.1962496466094</v>
          </cell>
          <cell r="BA535">
            <v>1965.0499957578638</v>
          </cell>
          <cell r="BB535">
            <v>2025.9616167692309</v>
          </cell>
          <cell r="BC535">
            <v>2035.5586199671654</v>
          </cell>
          <cell r="BD535">
            <v>2119.3977568320943</v>
          </cell>
          <cell r="BE535">
            <v>2153.8878100897041</v>
          </cell>
          <cell r="BF535">
            <v>2163.7394305076923</v>
          </cell>
          <cell r="BG535">
            <v>2231.8488638409954</v>
          </cell>
          <cell r="BH535">
            <v>2278.2083659022833</v>
          </cell>
          <cell r="BI535">
            <v>2283.5916159849749</v>
          </cell>
          <cell r="BJ535">
            <v>2347.3530375256296</v>
          </cell>
          <cell r="BK535">
            <v>2384.8524882324723</v>
          </cell>
          <cell r="BL535">
            <v>2393.0063193555811</v>
          </cell>
          <cell r="BM535">
            <v>2462.7374342742801</v>
          </cell>
          <cell r="BN535">
            <v>2536.2477234412036</v>
          </cell>
          <cell r="BO535">
            <v>2543.3574526306711</v>
          </cell>
          <cell r="BP535">
            <v>2658.489475474737</v>
          </cell>
          <cell r="BQ535">
            <v>2706.1126041934299</v>
          </cell>
          <cell r="BR535">
            <v>2726.6801019817149</v>
          </cell>
          <cell r="BS535">
            <v>2837.7373260925651</v>
          </cell>
          <cell r="BT535">
            <v>2922.6903219850551</v>
          </cell>
          <cell r="BU535">
            <v>2943.2931262872207</v>
          </cell>
          <cell r="BV535">
            <v>3057.7683841156686</v>
          </cell>
        </row>
        <row r="623">
          <cell r="C623">
            <v>0</v>
          </cell>
          <cell r="D623">
            <v>0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  <cell r="I623">
            <v>11.669900000000002</v>
          </cell>
          <cell r="J623">
            <v>11.328140789056045</v>
          </cell>
          <cell r="K623">
            <v>35.503180177865737</v>
          </cell>
          <cell r="L623">
            <v>79.421707132883313</v>
          </cell>
          <cell r="M623">
            <v>133.22957031606774</v>
          </cell>
          <cell r="N623">
            <v>191.91246452066886</v>
          </cell>
          <cell r="O623">
            <v>204.89357242993174</v>
          </cell>
          <cell r="P623">
            <v>213.77258244178773</v>
          </cell>
          <cell r="Q623">
            <v>237.36842214290462</v>
          </cell>
          <cell r="R623">
            <v>283.95148703631793</v>
          </cell>
          <cell r="S623">
            <v>315.83977851567101</v>
          </cell>
          <cell r="T623">
            <v>365.05913858282179</v>
          </cell>
          <cell r="U623">
            <v>407.38483356801925</v>
          </cell>
          <cell r="V623">
            <v>420.27401208121728</v>
          </cell>
          <cell r="W623">
            <v>474.2828709967078</v>
          </cell>
          <cell r="X623">
            <v>521.93249236998702</v>
          </cell>
          <cell r="Y623">
            <v>570.27451137430546</v>
          </cell>
          <cell r="Z623">
            <v>619.20231524974668</v>
          </cell>
          <cell r="AA623">
            <v>633.92745262451683</v>
          </cell>
          <cell r="AB623">
            <v>640.90580214150884</v>
          </cell>
          <cell r="AC623">
            <v>682.71868031270606</v>
          </cell>
          <cell r="AD623">
            <v>717.13765786545878</v>
          </cell>
          <cell r="AE623">
            <v>756.92199220630062</v>
          </cell>
          <cell r="AF623">
            <v>800.44479517417994</v>
          </cell>
          <cell r="AG623">
            <v>819.23943387587929</v>
          </cell>
          <cell r="AH623">
            <v>820.04711604085469</v>
          </cell>
          <cell r="AI623">
            <v>880.78176311237507</v>
          </cell>
          <cell r="AJ623">
            <v>922.91107184999305</v>
          </cell>
          <cell r="AK623">
            <v>933.63370640887672</v>
          </cell>
          <cell r="AL623">
            <v>960.59465541826137</v>
          </cell>
          <cell r="AM623">
            <v>969.75687851507143</v>
          </cell>
          <cell r="AN623">
            <v>969.71095826218311</v>
          </cell>
          <cell r="AO623">
            <v>990.24152817889046</v>
          </cell>
          <cell r="AP623">
            <v>1029.4704698717758</v>
          </cell>
          <cell r="AQ623">
            <v>1045.4007879386888</v>
          </cell>
          <cell r="AR623">
            <v>1086.8713332504972</v>
          </cell>
          <cell r="AS623">
            <v>1099.9637483600336</v>
          </cell>
          <cell r="AT623">
            <v>1119.6500290819431</v>
          </cell>
          <cell r="AU623">
            <v>1166.9112400776901</v>
          </cell>
          <cell r="AV623">
            <v>1213.511519137191</v>
          </cell>
          <cell r="AW623">
            <v>1244.0154560487993</v>
          </cell>
          <cell r="AX623">
            <v>1292.0443264615519</v>
          </cell>
          <cell r="AY623">
            <v>1310.6448406593793</v>
          </cell>
          <cell r="AZ623">
            <v>1316.6563578724292</v>
          </cell>
          <cell r="BA623">
            <v>1377.771545380105</v>
          </cell>
          <cell r="BB623">
            <v>1434.1531702208742</v>
          </cell>
          <cell r="BC623">
            <v>1454.5544357633187</v>
          </cell>
          <cell r="BD623">
            <v>1526.7317461152556</v>
          </cell>
          <cell r="BE623">
            <v>1560.241760000293</v>
          </cell>
          <cell r="BF623">
            <v>1569.8877435986622</v>
          </cell>
          <cell r="BG623">
            <v>1639.8869770740819</v>
          </cell>
          <cell r="BH623">
            <v>1695.4873400373599</v>
          </cell>
          <cell r="BI623">
            <v>1720.1362797590782</v>
          </cell>
          <cell r="BJ623">
            <v>1785.2754891118655</v>
          </cell>
          <cell r="BK623">
            <v>1815.9985360312583</v>
          </cell>
          <cell r="BL623">
            <v>1822.7882635369228</v>
          </cell>
          <cell r="BM623">
            <v>1891.4294459045504</v>
          </cell>
          <cell r="BN623">
            <v>1960.6862621862597</v>
          </cell>
          <cell r="BO623">
            <v>1981.5913432302139</v>
          </cell>
          <cell r="BP623">
            <v>2083.886267649978</v>
          </cell>
          <cell r="BQ623">
            <v>2130.1512737520957</v>
          </cell>
          <cell r="BR623">
            <v>2148.7136858887816</v>
          </cell>
          <cell r="BS623">
            <v>2260.0192158514237</v>
          </cell>
          <cell r="BT623">
            <v>2351.81495747587</v>
          </cell>
          <cell r="BU623">
            <v>2389.1688138094719</v>
          </cell>
          <cell r="BV623">
            <v>2501.1430768874466</v>
          </cell>
        </row>
        <row r="711">
          <cell r="C711">
            <v>0</v>
          </cell>
          <cell r="D711">
            <v>0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155.83494999999999</v>
          </cell>
          <cell r="J711">
            <v>168.75047539452805</v>
          </cell>
          <cell r="K711">
            <v>476.2910883385361</v>
          </cell>
          <cell r="L711">
            <v>1120.1244231600569</v>
          </cell>
          <cell r="M711">
            <v>1893.8312395685268</v>
          </cell>
          <cell r="N711">
            <v>2714.3551774550433</v>
          </cell>
          <cell r="O711">
            <v>2864.5450557299755</v>
          </cell>
          <cell r="P711">
            <v>2843.1415057327549</v>
          </cell>
          <cell r="Q711">
            <v>3085.2880767532824</v>
          </cell>
          <cell r="R711">
            <v>3603.5712248341952</v>
          </cell>
          <cell r="S711">
            <v>4012.7605609508819</v>
          </cell>
          <cell r="T711">
            <v>4542.3524671714922</v>
          </cell>
          <cell r="U711">
            <v>4961.5946782395804</v>
          </cell>
          <cell r="V711">
            <v>4995.4515501882079</v>
          </cell>
          <cell r="W711">
            <v>5513.2499822105128</v>
          </cell>
          <cell r="X711">
            <v>5995.7649274579844</v>
          </cell>
          <cell r="Y711">
            <v>6468.8127381017475</v>
          </cell>
          <cell r="Z711">
            <v>6943.035768465058</v>
          </cell>
          <cell r="AA711">
            <v>6999.6236308763009</v>
          </cell>
          <cell r="AB711">
            <v>7020.301965351151</v>
          </cell>
          <cell r="AC711">
            <v>7423.0869511736355</v>
          </cell>
          <cell r="AD711">
            <v>7756.8703197960504</v>
          </cell>
          <cell r="AE711">
            <v>8234.7157043881598</v>
          </cell>
          <cell r="AF711">
            <v>8681.5624261587145</v>
          </cell>
          <cell r="AG711">
            <v>8752.2189791496603</v>
          </cell>
          <cell r="AH711">
            <v>8788.8026830191084</v>
          </cell>
          <cell r="AI711">
            <v>9361.2171345306942</v>
          </cell>
          <cell r="AJ711">
            <v>9834.6526312218593</v>
          </cell>
          <cell r="AK711">
            <v>9910.4846524391523</v>
          </cell>
          <cell r="AL711">
            <v>9961.4829156555916</v>
          </cell>
          <cell r="AM711">
            <v>10026.264646390675</v>
          </cell>
          <cell r="AN711">
            <v>10088.286417016436</v>
          </cell>
          <cell r="AO711">
            <v>10149.505394766436</v>
          </cell>
          <cell r="AP711">
            <v>10575.123374553837</v>
          </cell>
          <cell r="AQ711">
            <v>10874.873076864718</v>
          </cell>
          <cell r="AR711">
            <v>11161.586056365837</v>
          </cell>
          <cell r="AS711">
            <v>11261.111535169417</v>
          </cell>
          <cell r="AT711">
            <v>11604.650339809434</v>
          </cell>
          <cell r="AU711">
            <v>11910.969193306919</v>
          </cell>
          <cell r="AV711">
            <v>12227.031581038957</v>
          </cell>
          <cell r="AW711">
            <v>12553.571897918397</v>
          </cell>
          <cell r="AX711">
            <v>12697.220565169448</v>
          </cell>
          <cell r="AY711">
            <v>12841.575785036921</v>
          </cell>
          <cell r="AZ711">
            <v>12983.942344679139</v>
          </cell>
          <cell r="BA711">
            <v>13402.290975823649</v>
          </cell>
          <cell r="BB711">
            <v>13861.982982095409</v>
          </cell>
          <cell r="BC711">
            <v>14055.412822936258</v>
          </cell>
          <cell r="BD711">
            <v>14500.044214367927</v>
          </cell>
          <cell r="BE711">
            <v>14722.177719671547</v>
          </cell>
          <cell r="BF711">
            <v>14918.179139724709</v>
          </cell>
          <cell r="BG711">
            <v>15235.447399998084</v>
          </cell>
          <cell r="BH711">
            <v>15540.246410529977</v>
          </cell>
          <cell r="BI711">
            <v>15668.104654801575</v>
          </cell>
          <cell r="BJ711">
            <v>15803.046787162404</v>
          </cell>
          <cell r="BK711">
            <v>16009.138956443876</v>
          </cell>
          <cell r="BL711">
            <v>16252.771324275791</v>
          </cell>
          <cell r="BM711">
            <v>16504.435694283715</v>
          </cell>
          <cell r="BN711">
            <v>17028.397104851672</v>
          </cell>
          <cell r="BO711">
            <v>17287.320656586129</v>
          </cell>
          <cell r="BP711">
            <v>17804.212885138444</v>
          </cell>
          <cell r="BQ711">
            <v>18084.902459732632</v>
          </cell>
          <cell r="BR711">
            <v>18355.598022454637</v>
          </cell>
          <cell r="BS711">
            <v>18805.070971225832</v>
          </cell>
          <cell r="BT711">
            <v>19245.766103186754</v>
          </cell>
          <cell r="BU711">
            <v>19541.467328675983</v>
          </cell>
          <cell r="BV711">
            <v>19824.848806476744</v>
          </cell>
        </row>
        <row r="799">
          <cell r="C799">
            <v>0</v>
          </cell>
          <cell r="D799">
            <v>0</v>
          </cell>
          <cell r="E799">
            <v>0</v>
          </cell>
          <cell r="F799">
            <v>0</v>
          </cell>
          <cell r="G799">
            <v>0</v>
          </cell>
          <cell r="H799">
            <v>0</v>
          </cell>
          <cell r="I799">
            <v>40.517086999999997</v>
          </cell>
          <cell r="J799">
            <v>43.875123602577297</v>
          </cell>
          <cell r="K799">
            <v>123.83568296801938</v>
          </cell>
          <cell r="L799">
            <v>291.23235002161482</v>
          </cell>
          <cell r="M799">
            <v>492.39612228781704</v>
          </cell>
          <cell r="N799">
            <v>705.7323461383113</v>
          </cell>
          <cell r="O799">
            <v>744.78171448979367</v>
          </cell>
          <cell r="P799">
            <v>739.21679149051624</v>
          </cell>
          <cell r="Q799">
            <v>802.17489995585345</v>
          </cell>
          <cell r="R799">
            <v>936.92851845689063</v>
          </cell>
          <cell r="S799">
            <v>1043.3177458472294</v>
          </cell>
          <cell r="T799">
            <v>1181.0116414645881</v>
          </cell>
          <cell r="U799">
            <v>1290.0146163422912</v>
          </cell>
          <cell r="V799">
            <v>1298.817403048934</v>
          </cell>
          <cell r="W799">
            <v>1433.4449953747335</v>
          </cell>
          <cell r="X799">
            <v>1558.8988811390755</v>
          </cell>
          <cell r="Y799">
            <v>1681.8913119064546</v>
          </cell>
          <cell r="Z799">
            <v>1805.1892998009148</v>
          </cell>
          <cell r="AA799">
            <v>1819.9021440278389</v>
          </cell>
          <cell r="AB799">
            <v>1825.2785109912995</v>
          </cell>
          <cell r="AC799">
            <v>1930.0026073051456</v>
          </cell>
          <cell r="AD799">
            <v>2016.7862831469731</v>
          </cell>
          <cell r="AE799">
            <v>2141.0260831409223</v>
          </cell>
          <cell r="AF799">
            <v>2257.206230801266</v>
          </cell>
          <cell r="AG799">
            <v>2275.5769345789113</v>
          </cell>
          <cell r="AH799">
            <v>2285.0886975849685</v>
          </cell>
          <cell r="AI799">
            <v>2433.9164549779812</v>
          </cell>
          <cell r="AJ799">
            <v>2561.4182597092199</v>
          </cell>
          <cell r="AK799">
            <v>2587.1599931691449</v>
          </cell>
          <cell r="AL799">
            <v>2604.9426133146849</v>
          </cell>
          <cell r="AM799">
            <v>2623.4992250574537</v>
          </cell>
          <cell r="AN799">
            <v>2639.7866467292774</v>
          </cell>
          <cell r="AO799">
            <v>2657.4097718950434</v>
          </cell>
          <cell r="AP799">
            <v>2771.0750710876391</v>
          </cell>
          <cell r="AQ799">
            <v>2852.3181591933721</v>
          </cell>
          <cell r="AR799">
            <v>2929.9147457415952</v>
          </cell>
          <cell r="AS799">
            <v>2960.8704183049372</v>
          </cell>
          <cell r="AT799">
            <v>3050.5042069726196</v>
          </cell>
          <cell r="AU799">
            <v>3136.7468014508877</v>
          </cell>
          <cell r="AV799">
            <v>3224.4071324068409</v>
          </cell>
          <cell r="AW799">
            <v>3314.9296672703958</v>
          </cell>
          <cell r="AX799">
            <v>3359.7443703069589</v>
          </cell>
          <cell r="AY799">
            <v>3398.2077978410384</v>
          </cell>
          <cell r="AZ799">
            <v>3436.1452263553765</v>
          </cell>
          <cell r="BA799">
            <v>3550.6944899356945</v>
          </cell>
          <cell r="BB799">
            <v>3676.2960514042807</v>
          </cell>
          <cell r="BC799">
            <v>3731.0431455874473</v>
          </cell>
          <cell r="BD799">
            <v>3854.4662978078086</v>
          </cell>
          <cell r="BE799">
            <v>3915.4239850913577</v>
          </cell>
          <cell r="BF799">
            <v>3967.898967520478</v>
          </cell>
          <cell r="BG799">
            <v>4058.5074876436001</v>
          </cell>
          <cell r="BH799">
            <v>4145.6718672994039</v>
          </cell>
          <cell r="BI799">
            <v>4183.1205335159457</v>
          </cell>
          <cell r="BJ799">
            <v>4222.6042780516173</v>
          </cell>
          <cell r="BK799">
            <v>4277.8819663954719</v>
          </cell>
          <cell r="BL799">
            <v>4343.3172465135722</v>
          </cell>
          <cell r="BM799">
            <v>4412.6299980171871</v>
          </cell>
          <cell r="BN799">
            <v>4555.6128506991954</v>
          </cell>
          <cell r="BO799">
            <v>4631.2283034134589</v>
          </cell>
          <cell r="BP799">
            <v>4772.4337319187189</v>
          </cell>
          <cell r="BQ799">
            <v>4847.7529112819384</v>
          </cell>
          <cell r="BR799">
            <v>4922.2146524886157</v>
          </cell>
          <cell r="BS799">
            <v>5048.0853722735656</v>
          </cell>
          <cell r="BT799">
            <v>5167.1974712570545</v>
          </cell>
          <cell r="BU799">
            <v>5246.9640552877445</v>
          </cell>
          <cell r="BV799">
            <v>5320.6841260727451</v>
          </cell>
        </row>
        <row r="887">
          <cell r="C887">
            <v>0</v>
          </cell>
          <cell r="D887">
            <v>0</v>
          </cell>
          <cell r="E887">
            <v>0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0</v>
          </cell>
          <cell r="L887">
            <v>0</v>
          </cell>
          <cell r="M887">
            <v>0</v>
          </cell>
          <cell r="N887">
            <v>0</v>
          </cell>
          <cell r="O887">
            <v>60</v>
          </cell>
          <cell r="P887">
            <v>60</v>
          </cell>
          <cell r="Q887">
            <v>180</v>
          </cell>
          <cell r="R887">
            <v>435</v>
          </cell>
          <cell r="S887">
            <v>740</v>
          </cell>
          <cell r="T887">
            <v>1055</v>
          </cell>
          <cell r="U887">
            <v>1105</v>
          </cell>
          <cell r="V887">
            <v>1105</v>
          </cell>
          <cell r="W887">
            <v>1215</v>
          </cell>
          <cell r="X887">
            <v>1420</v>
          </cell>
          <cell r="Y887">
            <v>1580</v>
          </cell>
          <cell r="Z887">
            <v>1785</v>
          </cell>
          <cell r="AA887">
            <v>1945</v>
          </cell>
          <cell r="AB887">
            <v>1945</v>
          </cell>
          <cell r="AC887">
            <v>2150</v>
          </cell>
          <cell r="AD887">
            <v>2320</v>
          </cell>
          <cell r="AE887">
            <v>2550</v>
          </cell>
          <cell r="AF887">
            <v>2720</v>
          </cell>
          <cell r="AG887">
            <v>2720</v>
          </cell>
          <cell r="AH887">
            <v>2975</v>
          </cell>
          <cell r="AI887">
            <v>3200</v>
          </cell>
          <cell r="AJ887">
            <v>3115</v>
          </cell>
          <cell r="AK887">
            <v>2725</v>
          </cell>
          <cell r="AL887">
            <v>2255</v>
          </cell>
          <cell r="AM887">
            <v>2265</v>
          </cell>
          <cell r="AN887">
            <v>2470</v>
          </cell>
          <cell r="AO887">
            <v>2630</v>
          </cell>
          <cell r="AP887">
            <v>2585</v>
          </cell>
          <cell r="AQ887">
            <v>2425</v>
          </cell>
          <cell r="AR887">
            <v>2015</v>
          </cell>
          <cell r="AS887">
            <v>1900</v>
          </cell>
          <cell r="AT887">
            <v>2070</v>
          </cell>
          <cell r="AU887">
            <v>1830</v>
          </cell>
          <cell r="AV887">
            <v>1805</v>
          </cell>
          <cell r="AW887">
            <v>1550</v>
          </cell>
          <cell r="AX887">
            <v>1295</v>
          </cell>
          <cell r="AY887">
            <v>1455</v>
          </cell>
          <cell r="AZ887">
            <v>1675</v>
          </cell>
          <cell r="BA887">
            <v>1610</v>
          </cell>
          <cell r="BB887">
            <v>1635</v>
          </cell>
          <cell r="BC887">
            <v>1380</v>
          </cell>
          <cell r="BD887">
            <v>1060</v>
          </cell>
          <cell r="BE887">
            <v>1280</v>
          </cell>
          <cell r="BF887">
            <v>1440</v>
          </cell>
          <cell r="BG887">
            <v>1000</v>
          </cell>
          <cell r="BH887">
            <v>680</v>
          </cell>
          <cell r="BI887">
            <v>680</v>
          </cell>
          <cell r="BJ887">
            <v>680</v>
          </cell>
          <cell r="BK887">
            <v>680</v>
          </cell>
          <cell r="BL887">
            <v>825</v>
          </cell>
          <cell r="BM887">
            <v>910</v>
          </cell>
          <cell r="BN887">
            <v>705</v>
          </cell>
          <cell r="BO887">
            <v>535</v>
          </cell>
          <cell r="BP887">
            <v>475</v>
          </cell>
          <cell r="BQ887">
            <v>560</v>
          </cell>
          <cell r="BR887">
            <v>425</v>
          </cell>
          <cell r="BS887">
            <v>340</v>
          </cell>
          <cell r="BT887">
            <v>170</v>
          </cell>
          <cell r="BU887">
            <v>0</v>
          </cell>
          <cell r="BV887">
            <v>0</v>
          </cell>
          <cell r="BW887">
            <v>0</v>
          </cell>
          <cell r="BX887">
            <v>0</v>
          </cell>
          <cell r="BY887">
            <v>0</v>
          </cell>
          <cell r="BZ887">
            <v>0</v>
          </cell>
          <cell r="CA887">
            <v>0</v>
          </cell>
          <cell r="CB887">
            <v>0</v>
          </cell>
          <cell r="CC887">
            <v>0</v>
          </cell>
          <cell r="CD887">
            <v>0</v>
          </cell>
          <cell r="CE887">
            <v>0</v>
          </cell>
          <cell r="CF887">
            <v>0</v>
          </cell>
          <cell r="CG887">
            <v>0</v>
          </cell>
          <cell r="CH887">
            <v>0</v>
          </cell>
        </row>
        <row r="975">
          <cell r="C975">
            <v>0</v>
          </cell>
          <cell r="D975">
            <v>0</v>
          </cell>
          <cell r="E975">
            <v>0</v>
          </cell>
          <cell r="F975">
            <v>0</v>
          </cell>
          <cell r="G975">
            <v>0</v>
          </cell>
          <cell r="H975">
            <v>0</v>
          </cell>
          <cell r="I975">
            <v>59.671296776727992</v>
          </cell>
          <cell r="J975">
            <v>64.61682503495409</v>
          </cell>
          <cell r="K975">
            <v>182.37825907705275</v>
          </cell>
          <cell r="L975">
            <v>424.43476458927307</v>
          </cell>
          <cell r="M975">
            <v>714.59937371017952</v>
          </cell>
          <cell r="N975">
            <v>1023.8569918423391</v>
          </cell>
          <cell r="O975">
            <v>1079.785532901227</v>
          </cell>
          <cell r="P975">
            <v>1071.5014656617177</v>
          </cell>
          <cell r="Q975">
            <v>1162.9432772480527</v>
          </cell>
          <cell r="R975">
            <v>1357.9725129977846</v>
          </cell>
          <cell r="S975">
            <v>1511.7526233116921</v>
          </cell>
          <cell r="T975">
            <v>1710.8994258387042</v>
          </cell>
          <cell r="U975">
            <v>1810.9008937646402</v>
          </cell>
          <cell r="V975">
            <v>1822.9142888899871</v>
          </cell>
          <cell r="W975">
            <v>1902.3495521121272</v>
          </cell>
          <cell r="X975">
            <v>1828.7588027993206</v>
          </cell>
          <cell r="Y975">
            <v>1698.3030884689615</v>
          </cell>
          <cell r="Z975">
            <v>1556.9816509119219</v>
          </cell>
          <cell r="AA975">
            <v>1516.7947936434414</v>
          </cell>
          <cell r="AB975">
            <v>1513.2943636821437</v>
          </cell>
          <cell r="AC975">
            <v>1547.2495954211031</v>
          </cell>
          <cell r="AD975">
            <v>1456.9175662215684</v>
          </cell>
          <cell r="AE975">
            <v>1468.7433082163388</v>
          </cell>
          <cell r="AF975">
            <v>1418.2293805137081</v>
          </cell>
          <cell r="AG975">
            <v>1271.9156285626655</v>
          </cell>
          <cell r="AH975">
            <v>1269.2654513342236</v>
          </cell>
          <cell r="AI975">
            <v>1265.010613608672</v>
          </cell>
          <cell r="AJ975">
            <v>1259.1383323211576</v>
          </cell>
          <cell r="AK975">
            <v>1102.3925595557114</v>
          </cell>
          <cell r="AL975">
            <v>934.47883690787376</v>
          </cell>
          <cell r="AM975">
            <v>934.35497786365204</v>
          </cell>
          <cell r="AN975">
            <v>936.14916550034991</v>
          </cell>
          <cell r="AO975">
            <v>781.52753292496413</v>
          </cell>
          <cell r="AP975">
            <v>809.10597242871222</v>
          </cell>
          <cell r="AQ975">
            <v>731.27321100514655</v>
          </cell>
          <cell r="AR975">
            <v>654.56493235881339</v>
          </cell>
          <cell r="AS975">
            <v>662.22369222148905</v>
          </cell>
          <cell r="AT975">
            <v>764.61175544876789</v>
          </cell>
          <cell r="AU975">
            <v>633.96171667583803</v>
          </cell>
          <cell r="AV975">
            <v>555.60433643104693</v>
          </cell>
          <cell r="AW975">
            <v>634.46917519033252</v>
          </cell>
          <cell r="AX975">
            <v>641.82294933392188</v>
          </cell>
          <cell r="AY975">
            <v>644.94881794808487</v>
          </cell>
          <cell r="AZ975">
            <v>650.24370709636685</v>
          </cell>
          <cell r="BA975">
            <v>758.65402928572303</v>
          </cell>
          <cell r="BB975">
            <v>729.18454580065134</v>
          </cell>
          <cell r="BC975">
            <v>653.62739630620763</v>
          </cell>
          <cell r="BD975">
            <v>668.06171465622572</v>
          </cell>
          <cell r="BE975">
            <v>680.40603752380139</v>
          </cell>
          <cell r="BF975">
            <v>577.0450258299411</v>
          </cell>
          <cell r="BG975">
            <v>531.66808749904305</v>
          </cell>
          <cell r="BH975">
            <v>488.7933824016261</v>
          </cell>
          <cell r="BI975">
            <v>403.3448547662432</v>
          </cell>
          <cell r="BJ975">
            <v>403.21637977333245</v>
          </cell>
          <cell r="BK975">
            <v>405.03158499618934</v>
          </cell>
          <cell r="BL975">
            <v>407.11195960263456</v>
          </cell>
          <cell r="BM975">
            <v>302.2500107403381</v>
          </cell>
          <cell r="BN975">
            <v>298.49524930487746</v>
          </cell>
          <cell r="BO975">
            <v>308.72758889844624</v>
          </cell>
          <cell r="BP975">
            <v>302.58946343470086</v>
          </cell>
          <cell r="BQ975">
            <v>311.55137571816323</v>
          </cell>
          <cell r="BR975">
            <v>310.66965380213691</v>
          </cell>
          <cell r="BS975">
            <v>320.22501855442499</v>
          </cell>
          <cell r="BT975">
            <v>334.06172356223749</v>
          </cell>
          <cell r="BU975">
            <v>336.86474181157234</v>
          </cell>
          <cell r="BV975">
            <v>333.44100966810458</v>
          </cell>
          <cell r="BW975">
            <v>331.83127423373332</v>
          </cell>
          <cell r="BX975">
            <v>331.22789821722426</v>
          </cell>
          <cell r="BY975">
            <v>330.34976862682885</v>
          </cell>
          <cell r="BZ975">
            <v>282.775074252477</v>
          </cell>
          <cell r="CA975">
            <v>287.34643203354125</v>
          </cell>
          <cell r="CB975">
            <v>238.37093675435554</v>
          </cell>
          <cell r="CC975">
            <v>242.07627882246913</v>
          </cell>
          <cell r="CD975">
            <v>239.19473310680516</v>
          </cell>
          <cell r="CE975">
            <v>280.07034279424443</v>
          </cell>
          <cell r="CF975">
            <v>270.25871623583885</v>
          </cell>
          <cell r="CG975">
            <v>270.85700352697859</v>
          </cell>
          <cell r="CH975">
            <v>267.82208686849253</v>
          </cell>
        </row>
        <row r="1063">
          <cell r="C1063">
            <v>0</v>
          </cell>
          <cell r="D1063">
            <v>0</v>
          </cell>
          <cell r="E1063">
            <v>0</v>
          </cell>
          <cell r="F1063">
            <v>0</v>
          </cell>
          <cell r="G1063">
            <v>0</v>
          </cell>
          <cell r="H1063">
            <v>0</v>
          </cell>
          <cell r="I1063">
            <v>157.07963097483838</v>
          </cell>
          <cell r="J1063">
            <v>170.92711009787146</v>
          </cell>
          <cell r="K1063">
            <v>480.65912541574767</v>
          </cell>
          <cell r="L1063">
            <v>1115.5963237496287</v>
          </cell>
          <cell r="M1063">
            <v>1875.0351102032971</v>
          </cell>
          <cell r="N1063">
            <v>2685.5741510384378</v>
          </cell>
        </row>
      </sheetData>
      <sheetData sheetId="12" refreshError="1"/>
      <sheetData sheetId="13">
        <row r="18">
          <cell r="H18">
            <v>5.3015746897568858</v>
          </cell>
        </row>
        <row r="34">
          <cell r="H34">
            <v>6.3593043115962056</v>
          </cell>
        </row>
        <row r="50">
          <cell r="H50">
            <v>7.8463329943630438</v>
          </cell>
        </row>
        <row r="66">
          <cell r="H66">
            <v>7.3197844674227008</v>
          </cell>
        </row>
        <row r="82">
          <cell r="H82">
            <v>7.4278511342739035</v>
          </cell>
        </row>
        <row r="98">
          <cell r="H98">
            <v>7.28539842780883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BRANCH"/>
      <sheetName val="UMBM"/>
      <sheetName val="US"/>
      <sheetName val="INDIVIDUAL"/>
      <sheetName val="Indi_Pivot"/>
    </sheetNames>
    <sheetDataSet>
      <sheetData sheetId="0" refreshError="1"/>
      <sheetData sheetId="1">
        <row r="7">
          <cell r="F7">
            <v>9.0122718418783387E-2</v>
          </cell>
        </row>
        <row r="8">
          <cell r="F8">
            <v>2.1657661218910444E-2</v>
          </cell>
        </row>
        <row r="9">
          <cell r="F9">
            <v>5.0344042647680491E-2</v>
          </cell>
        </row>
        <row r="10">
          <cell r="F10">
            <v>6.2266651800769401E-2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8">
          <cell r="W8">
            <v>25754863.375430539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ual H1+YTD Q3"/>
      <sheetName val="Projection Summary"/>
      <sheetName val="Sheet1"/>
      <sheetName val="Guidlines"/>
      <sheetName val="Summary"/>
      <sheetName val="Data_KPIs Trend"/>
      <sheetName val="Yearly Summary"/>
      <sheetName val="AL Promotion &amp; Recruited"/>
      <sheetName val="Total Agency"/>
      <sheetName val="Agency North"/>
      <sheetName val="Agency South"/>
      <sheetName val="Assump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2">
          <cell r="Y22">
            <v>1882.2865947642795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 Plan"/>
      <sheetName val="Agency Comp Budget"/>
      <sheetName val="Pure Contest Tracking"/>
      <sheetName val="Full Expense Tracking"/>
      <sheetName val="Comp &amp; Incentive Items"/>
      <sheetName val="Comp &amp; Incentive Tracking"/>
      <sheetName val="Assumption"/>
      <sheetName val="Projection"/>
      <sheetName val="MDRT_Projection"/>
      <sheetName val="RSP &amp; MDRT Sum"/>
      <sheetName val="Sheet1"/>
      <sheetName val="Monthly Contest_Tracking_Sum"/>
      <sheetName val="Sheet6"/>
      <sheetName val="Monthly Contest List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D4">
            <v>13641.9247</v>
          </cell>
          <cell r="E4">
            <v>13892.638999999999</v>
          </cell>
          <cell r="F4">
            <v>33141.966699999997</v>
          </cell>
          <cell r="G4">
            <v>30639.373500000002</v>
          </cell>
          <cell r="H4">
            <v>27458.014999999999</v>
          </cell>
          <cell r="I4">
            <v>41468.133600000001</v>
          </cell>
          <cell r="J4">
            <v>29747.920999999998</v>
          </cell>
          <cell r="K4">
            <v>31024.388999999999</v>
          </cell>
          <cell r="L4">
            <v>57115.435752778605</v>
          </cell>
          <cell r="M4">
            <v>47631.558536618817</v>
          </cell>
          <cell r="N4">
            <v>53942.523858297791</v>
          </cell>
          <cell r="O4">
            <v>70376.045614909744</v>
          </cell>
        </row>
        <row r="5">
          <cell r="D5">
            <v>4254.7024700000002</v>
          </cell>
          <cell r="E5">
            <v>4245.9432999999999</v>
          </cell>
          <cell r="F5">
            <v>10233.976975</v>
          </cell>
          <cell r="G5">
            <v>9777.6431200000006</v>
          </cell>
          <cell r="H5">
            <v>8583.7165700000005</v>
          </cell>
          <cell r="I5">
            <v>12969.911534999999</v>
          </cell>
          <cell r="J5">
            <v>9370.4067799999993</v>
          </cell>
          <cell r="K5">
            <v>9881.3886650000004</v>
          </cell>
          <cell r="L5">
            <v>18276.939440889153</v>
          </cell>
          <cell r="M5">
            <v>15242.098731718022</v>
          </cell>
          <cell r="N5">
            <v>17261.607634655295</v>
          </cell>
          <cell r="O5">
            <v>22520.334596771118</v>
          </cell>
        </row>
        <row r="14">
          <cell r="D14">
            <v>562</v>
          </cell>
          <cell r="E14">
            <v>543</v>
          </cell>
          <cell r="F14">
            <v>565</v>
          </cell>
          <cell r="G14">
            <v>595</v>
          </cell>
          <cell r="H14">
            <v>651</v>
          </cell>
          <cell r="I14">
            <v>724</v>
          </cell>
          <cell r="J14">
            <v>719</v>
          </cell>
          <cell r="K14">
            <v>784</v>
          </cell>
          <cell r="L14">
            <v>944</v>
          </cell>
          <cell r="M14">
            <v>1060</v>
          </cell>
          <cell r="N14">
            <v>1191</v>
          </cell>
          <cell r="O14">
            <v>1317</v>
          </cell>
        </row>
        <row r="15">
          <cell r="D15">
            <v>204</v>
          </cell>
          <cell r="E15">
            <v>204</v>
          </cell>
          <cell r="F15">
            <v>216</v>
          </cell>
          <cell r="G15">
            <v>235</v>
          </cell>
          <cell r="H15">
            <v>256</v>
          </cell>
          <cell r="I15">
            <v>280</v>
          </cell>
          <cell r="J15">
            <v>282</v>
          </cell>
          <cell r="K15">
            <v>297</v>
          </cell>
          <cell r="L15">
            <v>337</v>
          </cell>
          <cell r="M15">
            <v>350</v>
          </cell>
          <cell r="N15">
            <v>376</v>
          </cell>
          <cell r="O15">
            <v>400</v>
          </cell>
        </row>
        <row r="16">
          <cell r="D16">
            <v>70</v>
          </cell>
          <cell r="E16">
            <v>67</v>
          </cell>
          <cell r="F16">
            <v>68</v>
          </cell>
          <cell r="G16">
            <v>68</v>
          </cell>
          <cell r="H16">
            <v>69</v>
          </cell>
          <cell r="I16">
            <v>75</v>
          </cell>
          <cell r="J16">
            <v>78</v>
          </cell>
          <cell r="K16">
            <v>80</v>
          </cell>
          <cell r="L16">
            <v>96</v>
          </cell>
          <cell r="M16">
            <v>109</v>
          </cell>
          <cell r="N16">
            <v>114</v>
          </cell>
          <cell r="O16">
            <v>119</v>
          </cell>
        </row>
        <row r="17">
          <cell r="D17">
            <v>32</v>
          </cell>
          <cell r="E17">
            <v>33</v>
          </cell>
          <cell r="F17">
            <v>36</v>
          </cell>
          <cell r="G17">
            <v>38</v>
          </cell>
          <cell r="H17">
            <v>38</v>
          </cell>
          <cell r="I17">
            <v>45</v>
          </cell>
          <cell r="J17">
            <v>47</v>
          </cell>
          <cell r="K17">
            <v>50</v>
          </cell>
          <cell r="L17">
            <v>56</v>
          </cell>
          <cell r="M17">
            <v>60</v>
          </cell>
          <cell r="N17">
            <v>62</v>
          </cell>
          <cell r="O17">
            <v>64</v>
          </cell>
        </row>
        <row r="31">
          <cell r="D31">
            <v>12</v>
          </cell>
          <cell r="E31">
            <v>8</v>
          </cell>
          <cell r="F31">
            <v>40</v>
          </cell>
          <cell r="G31">
            <v>49</v>
          </cell>
          <cell r="H31">
            <v>88</v>
          </cell>
          <cell r="I31">
            <v>123</v>
          </cell>
          <cell r="J31">
            <v>73</v>
          </cell>
          <cell r="K31">
            <v>80</v>
          </cell>
          <cell r="L31">
            <v>117</v>
          </cell>
          <cell r="M31">
            <v>116.10000000000001</v>
          </cell>
          <cell r="N31">
            <v>108</v>
          </cell>
          <cell r="O31">
            <v>108</v>
          </cell>
        </row>
        <row r="33">
          <cell r="D33">
            <v>1</v>
          </cell>
          <cell r="E33">
            <v>1</v>
          </cell>
          <cell r="F33">
            <v>14</v>
          </cell>
          <cell r="G33">
            <v>9</v>
          </cell>
          <cell r="H33">
            <v>19</v>
          </cell>
          <cell r="I33">
            <v>20</v>
          </cell>
          <cell r="J33">
            <v>10</v>
          </cell>
          <cell r="K33">
            <v>19</v>
          </cell>
          <cell r="L33">
            <v>36</v>
          </cell>
          <cell r="M33">
            <v>22.5</v>
          </cell>
          <cell r="N33">
            <v>20.7</v>
          </cell>
          <cell r="O33">
            <v>20.7</v>
          </cell>
        </row>
        <row r="35">
          <cell r="D35">
            <v>0</v>
          </cell>
          <cell r="E35">
            <v>0</v>
          </cell>
          <cell r="F35">
            <v>3</v>
          </cell>
          <cell r="G35">
            <v>1</v>
          </cell>
          <cell r="H35">
            <v>6</v>
          </cell>
          <cell r="I35">
            <v>6</v>
          </cell>
          <cell r="J35">
            <v>2</v>
          </cell>
          <cell r="K35">
            <v>5</v>
          </cell>
          <cell r="L35">
            <v>13.5</v>
          </cell>
          <cell r="M35">
            <v>11.700000000000001</v>
          </cell>
          <cell r="N35">
            <v>4.5</v>
          </cell>
          <cell r="O35">
            <v>4.5</v>
          </cell>
        </row>
        <row r="37">
          <cell r="D37">
            <v>0</v>
          </cell>
          <cell r="E37">
            <v>0</v>
          </cell>
          <cell r="F37">
            <v>2</v>
          </cell>
          <cell r="G37">
            <v>2</v>
          </cell>
          <cell r="H37">
            <v>2</v>
          </cell>
          <cell r="I37">
            <v>3</v>
          </cell>
          <cell r="J37">
            <v>2</v>
          </cell>
          <cell r="K37">
            <v>2</v>
          </cell>
          <cell r="L37">
            <v>7</v>
          </cell>
          <cell r="M37">
            <v>4</v>
          </cell>
          <cell r="N37">
            <v>2</v>
          </cell>
          <cell r="O37">
            <v>2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ual H1+YTD Q3"/>
      <sheetName val="Projection Summary"/>
      <sheetName val="Sheet1"/>
      <sheetName val="Guidlines"/>
      <sheetName val="Summary"/>
      <sheetName val="Data_KPIs Trend"/>
      <sheetName val="Yearly Summary"/>
      <sheetName val="AL Promotion &amp; Recruited"/>
      <sheetName val="Total Agency"/>
      <sheetName val="Agency North"/>
      <sheetName val="Agency South"/>
      <sheetName val="Assumption"/>
    </sheetNames>
    <sheetDataSet>
      <sheetData sheetId="0"/>
      <sheetData sheetId="1"/>
      <sheetData sheetId="2"/>
      <sheetData sheetId="3"/>
      <sheetData sheetId="4"/>
      <sheetData sheetId="5"/>
      <sheetData sheetId="6">
        <row r="45">
          <cell r="S45">
            <v>34321.297796595798</v>
          </cell>
        </row>
        <row r="46">
          <cell r="S46">
            <v>32250.92796261872</v>
          </cell>
        </row>
        <row r="47">
          <cell r="S47">
            <v>70684.424538215841</v>
          </cell>
        </row>
        <row r="48">
          <cell r="S48">
            <v>70401.181392558297</v>
          </cell>
        </row>
        <row r="49">
          <cell r="S49">
            <v>81385.213666934636</v>
          </cell>
        </row>
        <row r="50">
          <cell r="S50">
            <v>88189.814000671846</v>
          </cell>
        </row>
        <row r="51">
          <cell r="S51">
            <v>82962.854586778689</v>
          </cell>
        </row>
        <row r="52">
          <cell r="S52">
            <v>92166.847510437743</v>
          </cell>
        </row>
        <row r="53">
          <cell r="S53">
            <v>101894.627425999</v>
          </cell>
        </row>
        <row r="54">
          <cell r="S54">
            <v>96015.437422263494</v>
          </cell>
        </row>
        <row r="55">
          <cell r="S55">
            <v>104828.68554601222</v>
          </cell>
        </row>
        <row r="56">
          <cell r="S56">
            <v>112845.20900166998</v>
          </cell>
        </row>
        <row r="60">
          <cell r="S60">
            <v>47263.622369885292</v>
          </cell>
        </row>
        <row r="61">
          <cell r="S61">
            <v>43882.836063481911</v>
          </cell>
        </row>
        <row r="62">
          <cell r="S62">
            <v>100136.60504735899</v>
          </cell>
        </row>
        <row r="63">
          <cell r="S63">
            <v>98265.176335136173</v>
          </cell>
        </row>
        <row r="64">
          <cell r="S64">
            <v>113451.8404682462</v>
          </cell>
        </row>
        <row r="65">
          <cell r="S65">
            <v>121633.20845398761</v>
          </cell>
        </row>
        <row r="66">
          <cell r="S66">
            <v>115675.67310345649</v>
          </cell>
        </row>
        <row r="67">
          <cell r="S67">
            <v>128253.26564032436</v>
          </cell>
        </row>
        <row r="68">
          <cell r="S68">
            <v>141594.15261520579</v>
          </cell>
        </row>
        <row r="69">
          <cell r="S69">
            <v>135169.86425313604</v>
          </cell>
        </row>
        <row r="70">
          <cell r="S70">
            <v>146816.36621835019</v>
          </cell>
        </row>
        <row r="71">
          <cell r="S71">
            <v>158519.15773317625</v>
          </cell>
        </row>
        <row r="75">
          <cell r="S75">
            <v>62906.017346450491</v>
          </cell>
        </row>
        <row r="76">
          <cell r="S76">
            <v>58606.205861667389</v>
          </cell>
        </row>
        <row r="77">
          <cell r="S77">
            <v>131837.47078280666</v>
          </cell>
        </row>
        <row r="78">
          <cell r="S78">
            <v>130927.02075911182</v>
          </cell>
        </row>
        <row r="79">
          <cell r="S79">
            <v>149857.68304294563</v>
          </cell>
        </row>
        <row r="80">
          <cell r="S80">
            <v>158698.2168866914</v>
          </cell>
        </row>
        <row r="81">
          <cell r="S81">
            <v>151427.29952664426</v>
          </cell>
        </row>
        <row r="82">
          <cell r="S82">
            <v>166400.77403503735</v>
          </cell>
        </row>
        <row r="83">
          <cell r="S83">
            <v>183137.02266460669</v>
          </cell>
        </row>
        <row r="84">
          <cell r="S84">
            <v>173291.11433310361</v>
          </cell>
        </row>
        <row r="85">
          <cell r="S85">
            <v>186366.30331545442</v>
          </cell>
        </row>
        <row r="86">
          <cell r="S86">
            <v>199889.55689179816</v>
          </cell>
        </row>
        <row r="90">
          <cell r="S90">
            <v>81401.598139586975</v>
          </cell>
        </row>
        <row r="91">
          <cell r="S91">
            <v>75470.280181445152</v>
          </cell>
        </row>
        <row r="92">
          <cell r="S92">
            <v>169434.38471165992</v>
          </cell>
        </row>
        <row r="93">
          <cell r="S93">
            <v>168467.63540539288</v>
          </cell>
        </row>
        <row r="94">
          <cell r="S94">
            <v>192799.16214823214</v>
          </cell>
        </row>
        <row r="95">
          <cell r="S95">
            <v>204254.70715070594</v>
          </cell>
        </row>
        <row r="96">
          <cell r="S96">
            <v>194993.01011496337</v>
          </cell>
        </row>
        <row r="97">
          <cell r="S97">
            <v>216572.4955398695</v>
          </cell>
        </row>
        <row r="98">
          <cell r="S98">
            <v>238603.77049330593</v>
          </cell>
        </row>
        <row r="99">
          <cell r="S99">
            <v>226364.87782416897</v>
          </cell>
        </row>
        <row r="100">
          <cell r="S100">
            <v>245014.36622881636</v>
          </cell>
        </row>
        <row r="101">
          <cell r="S101">
            <v>263434.16988250619</v>
          </cell>
        </row>
        <row r="105">
          <cell r="S105">
            <v>104329.76892462958</v>
          </cell>
        </row>
        <row r="106">
          <cell r="S106">
            <v>96851.466058082238</v>
          </cell>
        </row>
        <row r="107">
          <cell r="S107">
            <v>217730.72621455471</v>
          </cell>
        </row>
        <row r="108">
          <cell r="S108">
            <v>217026.59580959508</v>
          </cell>
        </row>
        <row r="109">
          <cell r="S109">
            <v>248741.56737455723</v>
          </cell>
        </row>
        <row r="110">
          <cell r="S110">
            <v>263956.73104074755</v>
          </cell>
        </row>
        <row r="111">
          <cell r="S111">
            <v>252373.30016577523</v>
          </cell>
        </row>
        <row r="112">
          <cell r="S112">
            <v>280154.88038704911</v>
          </cell>
        </row>
        <row r="113">
          <cell r="S113">
            <v>308717.89028989204</v>
          </cell>
        </row>
        <row r="114">
          <cell r="S114">
            <v>296198.63401163981</v>
          </cell>
        </row>
        <row r="115">
          <cell r="S115">
            <v>323683.35146853433</v>
          </cell>
        </row>
        <row r="116">
          <cell r="S116">
            <v>348281.70048459002</v>
          </cell>
        </row>
      </sheetData>
      <sheetData sheetId="7">
        <row r="10">
          <cell r="AL10">
            <v>16</v>
          </cell>
          <cell r="AM10">
            <v>16</v>
          </cell>
          <cell r="AN10">
            <v>49</v>
          </cell>
          <cell r="AO10">
            <v>49</v>
          </cell>
          <cell r="AP10">
            <v>45</v>
          </cell>
          <cell r="AQ10">
            <v>45</v>
          </cell>
          <cell r="AR10">
            <v>45</v>
          </cell>
          <cell r="AS10">
            <v>45</v>
          </cell>
          <cell r="AT10">
            <v>45</v>
          </cell>
          <cell r="AU10">
            <v>45</v>
          </cell>
          <cell r="AV10">
            <v>45</v>
          </cell>
          <cell r="AW10">
            <v>45</v>
          </cell>
          <cell r="AX10">
            <v>16</v>
          </cell>
          <cell r="AY10">
            <v>16</v>
          </cell>
          <cell r="AZ10">
            <v>49</v>
          </cell>
          <cell r="BA10">
            <v>33</v>
          </cell>
          <cell r="BB10">
            <v>33</v>
          </cell>
          <cell r="BC10">
            <v>33</v>
          </cell>
          <cell r="BD10">
            <v>33</v>
          </cell>
          <cell r="BE10">
            <v>33</v>
          </cell>
          <cell r="BF10">
            <v>33</v>
          </cell>
          <cell r="BG10">
            <v>33</v>
          </cell>
          <cell r="BH10">
            <v>33</v>
          </cell>
          <cell r="BI10">
            <v>33</v>
          </cell>
          <cell r="BJ10">
            <v>16</v>
          </cell>
          <cell r="BK10">
            <v>16</v>
          </cell>
          <cell r="BL10">
            <v>16</v>
          </cell>
          <cell r="BM10">
            <v>16</v>
          </cell>
          <cell r="BN10">
            <v>16</v>
          </cell>
          <cell r="BO10">
            <v>16</v>
          </cell>
          <cell r="BP10">
            <v>16</v>
          </cell>
          <cell r="BQ10">
            <v>16</v>
          </cell>
          <cell r="BR10">
            <v>16</v>
          </cell>
          <cell r="BS10">
            <v>16</v>
          </cell>
          <cell r="BT10">
            <v>16</v>
          </cell>
          <cell r="BU10">
            <v>16</v>
          </cell>
          <cell r="BV10">
            <v>16</v>
          </cell>
          <cell r="BW10">
            <v>16</v>
          </cell>
          <cell r="BX10">
            <v>16</v>
          </cell>
          <cell r="BY10">
            <v>16</v>
          </cell>
          <cell r="BZ10">
            <v>16</v>
          </cell>
          <cell r="CA10">
            <v>16</v>
          </cell>
          <cell r="CB10">
            <v>16</v>
          </cell>
          <cell r="CC10">
            <v>16</v>
          </cell>
          <cell r="CD10">
            <v>16</v>
          </cell>
          <cell r="CE10">
            <v>16</v>
          </cell>
          <cell r="CF10">
            <v>16</v>
          </cell>
          <cell r="CG10">
            <v>16</v>
          </cell>
          <cell r="CH10">
            <v>16</v>
          </cell>
          <cell r="CI10">
            <v>16</v>
          </cell>
          <cell r="CJ10">
            <v>16</v>
          </cell>
          <cell r="CK10">
            <v>16</v>
          </cell>
          <cell r="CL10">
            <v>16</v>
          </cell>
          <cell r="CM10">
            <v>16</v>
          </cell>
          <cell r="CN10">
            <v>16</v>
          </cell>
          <cell r="CO10">
            <v>16</v>
          </cell>
          <cell r="CP10">
            <v>16</v>
          </cell>
          <cell r="CQ10">
            <v>16</v>
          </cell>
          <cell r="CR10">
            <v>16</v>
          </cell>
          <cell r="CS10">
            <v>16</v>
          </cell>
        </row>
        <row r="11">
          <cell r="AL11">
            <v>2</v>
          </cell>
          <cell r="AM11">
            <v>2</v>
          </cell>
          <cell r="AN11">
            <v>7</v>
          </cell>
          <cell r="AO11">
            <v>7</v>
          </cell>
          <cell r="AP11">
            <v>7</v>
          </cell>
          <cell r="AQ11">
            <v>7</v>
          </cell>
          <cell r="AR11">
            <v>7</v>
          </cell>
          <cell r="AS11">
            <v>7</v>
          </cell>
          <cell r="AT11">
            <v>7</v>
          </cell>
          <cell r="AU11">
            <v>7</v>
          </cell>
          <cell r="AV11">
            <v>7</v>
          </cell>
          <cell r="AW11">
            <v>7</v>
          </cell>
          <cell r="AX11">
            <v>2</v>
          </cell>
          <cell r="AY11">
            <v>2</v>
          </cell>
          <cell r="AZ11">
            <v>7</v>
          </cell>
          <cell r="BA11">
            <v>5</v>
          </cell>
          <cell r="BB11">
            <v>5</v>
          </cell>
          <cell r="BC11">
            <v>5</v>
          </cell>
          <cell r="BD11">
            <v>5</v>
          </cell>
          <cell r="BE11">
            <v>5</v>
          </cell>
          <cell r="BF11">
            <v>5</v>
          </cell>
          <cell r="BG11">
            <v>5</v>
          </cell>
          <cell r="BH11">
            <v>5</v>
          </cell>
          <cell r="BI11">
            <v>5</v>
          </cell>
          <cell r="BJ11">
            <v>2</v>
          </cell>
          <cell r="BK11">
            <v>2</v>
          </cell>
          <cell r="BL11">
            <v>2</v>
          </cell>
          <cell r="BM11">
            <v>2</v>
          </cell>
          <cell r="BN11">
            <v>2</v>
          </cell>
          <cell r="BO11">
            <v>2</v>
          </cell>
          <cell r="BP11">
            <v>2</v>
          </cell>
          <cell r="BQ11">
            <v>2</v>
          </cell>
          <cell r="BR11">
            <v>2</v>
          </cell>
          <cell r="BS11">
            <v>2</v>
          </cell>
          <cell r="BT11">
            <v>2</v>
          </cell>
          <cell r="BU11">
            <v>2</v>
          </cell>
          <cell r="BV11">
            <v>2</v>
          </cell>
          <cell r="BW11">
            <v>2</v>
          </cell>
          <cell r="BX11">
            <v>2</v>
          </cell>
          <cell r="BY11">
            <v>2</v>
          </cell>
          <cell r="BZ11">
            <v>2</v>
          </cell>
          <cell r="CA11">
            <v>2</v>
          </cell>
          <cell r="CB11">
            <v>2</v>
          </cell>
          <cell r="CC11">
            <v>2</v>
          </cell>
          <cell r="CD11">
            <v>2</v>
          </cell>
          <cell r="CE11">
            <v>2</v>
          </cell>
          <cell r="CF11">
            <v>2</v>
          </cell>
          <cell r="CG11">
            <v>2</v>
          </cell>
          <cell r="CH11">
            <v>2</v>
          </cell>
          <cell r="CI11">
            <v>2</v>
          </cell>
          <cell r="CJ11">
            <v>2</v>
          </cell>
          <cell r="CK11">
            <v>2</v>
          </cell>
          <cell r="CL11">
            <v>2</v>
          </cell>
          <cell r="CM11">
            <v>2</v>
          </cell>
          <cell r="CN11">
            <v>2</v>
          </cell>
          <cell r="CO11">
            <v>2</v>
          </cell>
          <cell r="CP11">
            <v>2</v>
          </cell>
          <cell r="CQ11">
            <v>2</v>
          </cell>
          <cell r="CR11">
            <v>2</v>
          </cell>
          <cell r="CS11">
            <v>2</v>
          </cell>
        </row>
        <row r="12">
          <cell r="AL12">
            <v>1</v>
          </cell>
          <cell r="AM12">
            <v>1</v>
          </cell>
          <cell r="AN12">
            <v>2</v>
          </cell>
          <cell r="AO12">
            <v>2</v>
          </cell>
          <cell r="AP12">
            <v>2</v>
          </cell>
          <cell r="AQ12">
            <v>2</v>
          </cell>
          <cell r="AR12">
            <v>2</v>
          </cell>
          <cell r="AS12">
            <v>2</v>
          </cell>
          <cell r="AT12">
            <v>2</v>
          </cell>
          <cell r="AU12">
            <v>2</v>
          </cell>
          <cell r="AV12">
            <v>2</v>
          </cell>
          <cell r="AW12">
            <v>2</v>
          </cell>
          <cell r="AX12">
            <v>1</v>
          </cell>
          <cell r="AY12">
            <v>1</v>
          </cell>
          <cell r="AZ12">
            <v>2</v>
          </cell>
          <cell r="BA12">
            <v>2</v>
          </cell>
          <cell r="BB12">
            <v>2</v>
          </cell>
          <cell r="BC12">
            <v>2</v>
          </cell>
          <cell r="BD12">
            <v>2</v>
          </cell>
          <cell r="BE12">
            <v>2</v>
          </cell>
          <cell r="BF12">
            <v>2</v>
          </cell>
          <cell r="BG12">
            <v>2</v>
          </cell>
          <cell r="BH12">
            <v>2</v>
          </cell>
          <cell r="BI12">
            <v>2</v>
          </cell>
          <cell r="BJ12">
            <v>1</v>
          </cell>
          <cell r="BK12">
            <v>1</v>
          </cell>
          <cell r="BL12">
            <v>1</v>
          </cell>
          <cell r="BM12">
            <v>1</v>
          </cell>
          <cell r="BN12">
            <v>1</v>
          </cell>
          <cell r="BO12">
            <v>1</v>
          </cell>
          <cell r="BP12">
            <v>1</v>
          </cell>
          <cell r="BQ12">
            <v>1</v>
          </cell>
          <cell r="BR12">
            <v>1</v>
          </cell>
          <cell r="BS12">
            <v>1</v>
          </cell>
          <cell r="BT12">
            <v>1</v>
          </cell>
          <cell r="BU12">
            <v>1</v>
          </cell>
          <cell r="BV12">
            <v>1</v>
          </cell>
          <cell r="BW12">
            <v>1</v>
          </cell>
          <cell r="BX12">
            <v>1</v>
          </cell>
          <cell r="BY12">
            <v>1</v>
          </cell>
          <cell r="BZ12">
            <v>1</v>
          </cell>
          <cell r="CA12">
            <v>1</v>
          </cell>
          <cell r="CB12">
            <v>1</v>
          </cell>
          <cell r="CC12">
            <v>1</v>
          </cell>
          <cell r="CD12">
            <v>1</v>
          </cell>
          <cell r="CE12">
            <v>1</v>
          </cell>
          <cell r="CF12">
            <v>1</v>
          </cell>
          <cell r="CG12">
            <v>1</v>
          </cell>
          <cell r="CH12">
            <v>1</v>
          </cell>
          <cell r="CI12">
            <v>1</v>
          </cell>
          <cell r="CJ12">
            <v>1</v>
          </cell>
          <cell r="CK12">
            <v>1</v>
          </cell>
          <cell r="CL12">
            <v>1</v>
          </cell>
          <cell r="CM12">
            <v>1</v>
          </cell>
          <cell r="CN12">
            <v>1</v>
          </cell>
          <cell r="CO12">
            <v>1</v>
          </cell>
          <cell r="CP12">
            <v>1</v>
          </cell>
          <cell r="CQ12">
            <v>1</v>
          </cell>
          <cell r="CR12">
            <v>1</v>
          </cell>
          <cell r="CS12">
            <v>1</v>
          </cell>
        </row>
        <row r="13">
          <cell r="AL13">
            <v>0</v>
          </cell>
          <cell r="AM13">
            <v>0</v>
          </cell>
          <cell r="AN13">
            <v>1</v>
          </cell>
          <cell r="AO13">
            <v>1</v>
          </cell>
          <cell r="AP13">
            <v>1</v>
          </cell>
          <cell r="AQ13">
            <v>1</v>
          </cell>
          <cell r="AR13">
            <v>1</v>
          </cell>
          <cell r="AS13">
            <v>1</v>
          </cell>
          <cell r="AT13">
            <v>1</v>
          </cell>
          <cell r="AU13">
            <v>1</v>
          </cell>
          <cell r="AV13">
            <v>1</v>
          </cell>
          <cell r="AW13">
            <v>1</v>
          </cell>
          <cell r="AX13">
            <v>0</v>
          </cell>
          <cell r="AY13">
            <v>0</v>
          </cell>
          <cell r="AZ13">
            <v>1</v>
          </cell>
          <cell r="BA13">
            <v>1</v>
          </cell>
          <cell r="BB13">
            <v>1</v>
          </cell>
          <cell r="BC13">
            <v>1</v>
          </cell>
          <cell r="BD13">
            <v>1</v>
          </cell>
          <cell r="BE13">
            <v>1</v>
          </cell>
          <cell r="BF13">
            <v>1</v>
          </cell>
          <cell r="BG13">
            <v>1</v>
          </cell>
          <cell r="BH13">
            <v>1</v>
          </cell>
          <cell r="BI13">
            <v>1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</row>
      </sheetData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2:W63"/>
  <sheetViews>
    <sheetView showGridLines="0" zoomScale="80" zoomScaleNormal="8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P24" sqref="P24"/>
    </sheetView>
  </sheetViews>
  <sheetFormatPr defaultRowHeight="15"/>
  <cols>
    <col min="1" max="1" width="2.140625" customWidth="1"/>
    <col min="2" max="2" width="28.42578125" customWidth="1"/>
    <col min="3" max="4" width="9.5703125" style="442" customWidth="1"/>
    <col min="5" max="5" width="11.5703125" style="442" customWidth="1"/>
    <col min="6" max="7" width="9.5703125" style="442" customWidth="1"/>
    <col min="8" max="8" width="11.28515625" style="442" hidden="1" customWidth="1"/>
    <col min="9" max="12" width="12.5703125" style="442" hidden="1" customWidth="1"/>
    <col min="13" max="13" width="2.28515625" customWidth="1"/>
    <col min="14" max="15" width="9.5703125" style="594" customWidth="1"/>
    <col min="16" max="16" width="11.5703125" style="594" customWidth="1"/>
    <col min="17" max="18" width="9.5703125" style="594" customWidth="1"/>
    <col min="19" max="23" width="10.42578125" style="594" hidden="1" customWidth="1"/>
  </cols>
  <sheetData>
    <row r="2" spans="2:23">
      <c r="C2" s="1132" t="s">
        <v>761</v>
      </c>
      <c r="F2" s="464">
        <f>F5/E5-1</f>
        <v>0.58561690226094187</v>
      </c>
      <c r="N2" s="1140" t="s">
        <v>762</v>
      </c>
    </row>
    <row r="3" spans="2:23" ht="30.75" thickBot="1">
      <c r="C3" s="1133" t="s">
        <v>727</v>
      </c>
      <c r="D3" s="1133" t="s">
        <v>728</v>
      </c>
      <c r="E3" s="1142" t="s">
        <v>1232</v>
      </c>
      <c r="F3" s="1142" t="s">
        <v>1230</v>
      </c>
      <c r="G3" s="1142" t="s">
        <v>1231</v>
      </c>
      <c r="H3" s="1142">
        <v>2018</v>
      </c>
      <c r="I3" s="1142">
        <v>2019</v>
      </c>
      <c r="J3" s="1142">
        <v>2020</v>
      </c>
      <c r="K3" s="1142">
        <v>2021</v>
      </c>
      <c r="L3" s="1142">
        <v>2022</v>
      </c>
      <c r="N3" s="1141" t="s">
        <v>727</v>
      </c>
      <c r="O3" s="1141" t="s">
        <v>728</v>
      </c>
      <c r="P3" s="1142" t="s">
        <v>1232</v>
      </c>
      <c r="Q3" s="1142" t="s">
        <v>1230</v>
      </c>
      <c r="R3" s="1142" t="s">
        <v>1231</v>
      </c>
      <c r="S3" s="1143">
        <v>2018</v>
      </c>
      <c r="T3" s="1143">
        <v>2019</v>
      </c>
      <c r="U3" s="1143">
        <v>2020</v>
      </c>
      <c r="V3" s="1143">
        <v>2021</v>
      </c>
      <c r="W3" s="1143">
        <v>2022</v>
      </c>
    </row>
    <row r="5" spans="2:23" s="1144" customFormat="1">
      <c r="B5" s="1144" t="s">
        <v>499</v>
      </c>
      <c r="C5" s="1145">
        <v>121827.155</v>
      </c>
      <c r="D5" s="1145">
        <v>319929.83399999997</v>
      </c>
      <c r="E5" s="1145">
        <v>274069.95832999999</v>
      </c>
      <c r="F5" s="1145">
        <v>434569.95832999999</v>
      </c>
      <c r="G5" s="1145">
        <f>[1]Summary!G22</f>
        <v>700156.68629347836</v>
      </c>
      <c r="H5" s="1145">
        <f>[1]Summary!H22</f>
        <v>967946.52085075621</v>
      </c>
      <c r="I5" s="1145">
        <f>[1]Summary!I22</f>
        <v>1350661.7683017454</v>
      </c>
      <c r="J5" s="1145">
        <f>[1]Summary!J22</f>
        <v>1753344.6854463178</v>
      </c>
      <c r="K5" s="1145">
        <f>[1]Summary!K22</f>
        <v>2276810.457820653</v>
      </c>
      <c r="L5" s="1145">
        <f>[1]Summary!L22</f>
        <v>2958046.6122296471</v>
      </c>
      <c r="N5" s="1146"/>
      <c r="O5" s="1146"/>
      <c r="P5" s="1146"/>
      <c r="Q5" s="1146"/>
      <c r="R5" s="1146"/>
      <c r="S5" s="1146"/>
      <c r="T5" s="1146"/>
      <c r="U5" s="1146"/>
      <c r="V5" s="1146"/>
      <c r="W5" s="1146"/>
    </row>
    <row r="6" spans="2:23" s="1144" customFormat="1">
      <c r="B6" s="1144" t="s">
        <v>206</v>
      </c>
      <c r="C6" s="1145">
        <v>116699.148</v>
      </c>
      <c r="D6" s="1145">
        <v>312309.09950000001</v>
      </c>
      <c r="E6" s="1145">
        <v>271033.51582999999</v>
      </c>
      <c r="F6" s="1145">
        <v>428323.51582999999</v>
      </c>
      <c r="G6" s="1145">
        <f>'Sale Plan &amp; KPIs'!N15</f>
        <v>686153.55256760889</v>
      </c>
      <c r="H6" s="1145">
        <f>H5*98%</f>
        <v>948587.5904337411</v>
      </c>
      <c r="I6" s="1145">
        <f t="shared" ref="I6:L6" si="0">I5*98%</f>
        <v>1323648.5329357104</v>
      </c>
      <c r="J6" s="1145">
        <f t="shared" si="0"/>
        <v>1718277.7917373914</v>
      </c>
      <c r="K6" s="1145">
        <f t="shared" si="0"/>
        <v>2231274.2486642399</v>
      </c>
      <c r="L6" s="1145">
        <f t="shared" si="0"/>
        <v>2898885.6799850543</v>
      </c>
      <c r="N6" s="1146"/>
      <c r="O6" s="1146"/>
      <c r="P6" s="1146"/>
      <c r="Q6" s="1146"/>
      <c r="R6" s="1289"/>
      <c r="S6" s="1146"/>
      <c r="T6" s="1146"/>
      <c r="U6" s="1146"/>
      <c r="V6" s="1146"/>
      <c r="W6" s="1146"/>
    </row>
    <row r="7" spans="2:23" s="1271" customFormat="1">
      <c r="B7" s="1271" t="s">
        <v>1206</v>
      </c>
      <c r="C7" s="1272"/>
      <c r="D7" s="1272"/>
      <c r="E7" s="1272"/>
      <c r="F7" s="1273">
        <f>'GA Cost Projection'!C6</f>
        <v>0.10689622786680239</v>
      </c>
      <c r="G7" s="1273">
        <f>'GA Cost Projection'!D6</f>
        <v>0.61842576018506712</v>
      </c>
      <c r="H7" s="1273">
        <f>'GA Cost Projection'!E6</f>
        <v>0.85610776491493668</v>
      </c>
      <c r="I7" s="1273">
        <f>'GA Cost Projection'!F6</f>
        <v>0.85991821890981623</v>
      </c>
      <c r="J7" s="1273">
        <f>'GA Cost Projection'!G6</f>
        <v>0.91478013993915797</v>
      </c>
      <c r="K7" s="1273">
        <f>'GA Cost Projection'!H6</f>
        <v>0.92974809987159523</v>
      </c>
      <c r="L7" s="1273">
        <f>'GA Cost Projection'!I6</f>
        <v>0.95777370447542065</v>
      </c>
      <c r="N7" s="1274"/>
      <c r="O7" s="1274"/>
      <c r="P7" s="1274"/>
      <c r="Q7" s="1274"/>
      <c r="R7" s="1274"/>
      <c r="S7" s="1274"/>
      <c r="T7" s="1274"/>
      <c r="U7" s="1274"/>
      <c r="V7" s="1274"/>
      <c r="W7" s="1274"/>
    </row>
    <row r="8" spans="2:23" s="1144" customFormat="1">
      <c r="C8" s="1145"/>
      <c r="D8" s="1145"/>
      <c r="E8" s="1145"/>
      <c r="F8" s="1145"/>
      <c r="G8" s="1145"/>
      <c r="H8" s="1145"/>
      <c r="I8" s="1145"/>
      <c r="J8" s="1145"/>
      <c r="K8" s="1145"/>
      <c r="L8" s="1145"/>
      <c r="N8" s="1146"/>
      <c r="O8" s="1146"/>
      <c r="P8" s="1146"/>
      <c r="Q8" s="1146"/>
      <c r="R8" s="1146"/>
      <c r="S8" s="1146"/>
      <c r="T8" s="1146"/>
      <c r="U8" s="1146"/>
      <c r="V8" s="1146"/>
      <c r="W8" s="1146"/>
    </row>
    <row r="9" spans="2:23" s="1144" customFormat="1">
      <c r="B9" s="1144" t="s">
        <v>760</v>
      </c>
      <c r="C9" s="1145">
        <f>C14+C16+C21+C30+C35+C44+C52</f>
        <v>108371.23842452624</v>
      </c>
      <c r="D9" s="1145">
        <f t="shared" ref="D9:L9" si="1">D14+D16+D21+D30+D35+D44+D52</f>
        <v>314761.5980192796</v>
      </c>
      <c r="E9" s="1145">
        <f t="shared" ref="E9" si="2">E14+E16+E21+E30+E35+E44+E52</f>
        <v>254397.98385267542</v>
      </c>
      <c r="F9" s="1145">
        <f t="shared" si="1"/>
        <v>427599.37121665542</v>
      </c>
      <c r="G9" s="1145">
        <f t="shared" si="1"/>
        <v>680505.23579686054</v>
      </c>
      <c r="H9" s="1145">
        <f t="shared" si="1"/>
        <v>200625.24393149611</v>
      </c>
      <c r="I9" s="1145">
        <f t="shared" si="1"/>
        <v>249230.44928728577</v>
      </c>
      <c r="J9" s="1145">
        <f t="shared" si="1"/>
        <v>319349.75249495305</v>
      </c>
      <c r="K9" s="1145">
        <f t="shared" si="1"/>
        <v>402409.26265926362</v>
      </c>
      <c r="L9" s="1145">
        <f t="shared" si="1"/>
        <v>528700.38332099759</v>
      </c>
      <c r="N9" s="1146">
        <f>N14+N16+N21+N30+N35+N44+N52</f>
        <v>0.92863778598046176</v>
      </c>
      <c r="O9" s="1146">
        <f t="shared" ref="O9:W9" si="3">O14+O16+O21+O30+O35+O44+O52</f>
        <v>1.0078527923880731</v>
      </c>
      <c r="P9" s="1146">
        <f t="shared" ref="P9" si="4">P14+P16+P21+P30+P35+P44+P52</f>
        <v>0.93862186406584902</v>
      </c>
      <c r="Q9" s="1146">
        <f>Q14+Q16+Q21+Q30+Q35+Q44+Q52</f>
        <v>0.99830935125767872</v>
      </c>
      <c r="R9" s="1146">
        <f>R14+R16+R21+R30+R35+R44+R52</f>
        <v>0.99176814468188335</v>
      </c>
      <c r="S9" s="1146">
        <f t="shared" si="3"/>
        <v>0.21149891265155635</v>
      </c>
      <c r="T9" s="1146">
        <f t="shared" si="3"/>
        <v>0.18829050392593219</v>
      </c>
      <c r="U9" s="1146">
        <f t="shared" si="3"/>
        <v>0.18585455392055725</v>
      </c>
      <c r="V9" s="1146">
        <f t="shared" si="3"/>
        <v>0.1803495302740877</v>
      </c>
      <c r="W9" s="1146">
        <f t="shared" si="3"/>
        <v>0.18238055642253662</v>
      </c>
    </row>
    <row r="10" spans="2:23" s="1144" customFormat="1">
      <c r="B10" s="1144" t="s">
        <v>1207</v>
      </c>
      <c r="C10" s="1145">
        <f>C14+C16+C21+C30+C35+C44</f>
        <v>105529.13901799999</v>
      </c>
      <c r="D10" s="1145">
        <f t="shared" ref="D10:L10" si="5">D14+D16+D21+D30+D35+D44</f>
        <v>307237.09797727957</v>
      </c>
      <c r="E10" s="1145">
        <f t="shared" ref="E10" si="6">E14+E16+E21+E30+E35+E44</f>
        <v>250100.98385267542</v>
      </c>
      <c r="F10" s="1145">
        <f t="shared" si="5"/>
        <v>412674.7747351554</v>
      </c>
      <c r="G10" s="1145">
        <f>G14+G16+G21+G30+G35+G44</f>
        <v>570511.62822091335</v>
      </c>
      <c r="H10" s="1145">
        <f t="shared" si="5"/>
        <v>0</v>
      </c>
      <c r="I10" s="1145">
        <f t="shared" si="5"/>
        <v>0</v>
      </c>
      <c r="J10" s="1145">
        <f t="shared" si="5"/>
        <v>0</v>
      </c>
      <c r="K10" s="1145">
        <f t="shared" si="5"/>
        <v>0</v>
      </c>
      <c r="L10" s="1145">
        <f t="shared" si="5"/>
        <v>0</v>
      </c>
      <c r="N10" s="1146">
        <f>N14+N16+N21+N30+N35+N44</f>
        <v>0.90428371437638932</v>
      </c>
      <c r="O10" s="1146">
        <f t="shared" ref="O10:W10" si="7">O14+O16+O21+O30+O35+O44</f>
        <v>0.98375967421109212</v>
      </c>
      <c r="P10" s="1146">
        <f t="shared" ref="P10" si="8">P14+P16+P21+P30+P35+P44</f>
        <v>0.92276773625866226</v>
      </c>
      <c r="Q10" s="1146">
        <f t="shared" si="7"/>
        <v>0.96346513670975853</v>
      </c>
      <c r="R10" s="1146">
        <f>R14+R16+R21+R30+R35+R44</f>
        <v>0.83146349105974937</v>
      </c>
      <c r="S10" s="1146">
        <f t="shared" si="7"/>
        <v>0</v>
      </c>
      <c r="T10" s="1146">
        <f t="shared" si="7"/>
        <v>0</v>
      </c>
      <c r="U10" s="1146">
        <f t="shared" si="7"/>
        <v>0</v>
      </c>
      <c r="V10" s="1146">
        <f t="shared" si="7"/>
        <v>0</v>
      </c>
      <c r="W10" s="1146">
        <f t="shared" si="7"/>
        <v>0</v>
      </c>
    </row>
    <row r="11" spans="2:23" s="1144" customFormat="1">
      <c r="B11" s="1144" t="s">
        <v>1210</v>
      </c>
      <c r="C11" s="1145">
        <f>C14+C16+C21+C30+C36+C44</f>
        <v>93969.139017999987</v>
      </c>
      <c r="D11" s="1145">
        <f t="shared" ref="D11:L11" si="9">D14+D16+D21+D30+D36+D44</f>
        <v>269975.13000872405</v>
      </c>
      <c r="E11" s="1145">
        <f t="shared" ref="E11" si="10">E14+E16+E21+E30+E36+E44</f>
        <v>212423.98385267542</v>
      </c>
      <c r="F11" s="1145">
        <f t="shared" si="9"/>
        <v>351835.93712756061</v>
      </c>
      <c r="G11" s="1145">
        <f t="shared" si="9"/>
        <v>529701.72822091344</v>
      </c>
      <c r="H11" s="1145">
        <f t="shared" si="9"/>
        <v>0</v>
      </c>
      <c r="I11" s="1145">
        <f t="shared" si="9"/>
        <v>0</v>
      </c>
      <c r="J11" s="1145">
        <f t="shared" si="9"/>
        <v>0</v>
      </c>
      <c r="K11" s="1145">
        <f t="shared" si="9"/>
        <v>0</v>
      </c>
      <c r="L11" s="1145">
        <f t="shared" si="9"/>
        <v>0</v>
      </c>
      <c r="N11" s="1146">
        <f>N14+N16+N21+N30+N36+N44</f>
        <v>0.80522557900765468</v>
      </c>
      <c r="O11" s="1146">
        <f t="shared" ref="O11:W11" si="11">O14+O16+O21+O30+O36+O44</f>
        <v>0.86444849170564764</v>
      </c>
      <c r="P11" s="1146">
        <f t="shared" ref="P11" si="12">P14+P16+P21+P30+P36+P44</f>
        <v>0.78375540826439272</v>
      </c>
      <c r="Q11" s="1146">
        <f t="shared" si="11"/>
        <v>0.82142568438199626</v>
      </c>
      <c r="R11" s="1146">
        <f t="shared" si="11"/>
        <v>0.77198715395227835</v>
      </c>
      <c r="S11" s="1146">
        <f t="shared" si="11"/>
        <v>0</v>
      </c>
      <c r="T11" s="1146">
        <f t="shared" si="11"/>
        <v>0</v>
      </c>
      <c r="U11" s="1146">
        <f t="shared" si="11"/>
        <v>0</v>
      </c>
      <c r="V11" s="1146">
        <f t="shared" si="11"/>
        <v>0</v>
      </c>
      <c r="W11" s="1146">
        <f t="shared" si="11"/>
        <v>0</v>
      </c>
    </row>
    <row r="12" spans="2:23" s="1144" customFormat="1">
      <c r="C12" s="1145"/>
      <c r="D12" s="1145"/>
      <c r="E12" s="1145"/>
      <c r="F12" s="1145"/>
      <c r="G12" s="1145"/>
      <c r="H12" s="1145"/>
      <c r="I12" s="1145"/>
      <c r="J12" s="1145"/>
      <c r="K12" s="1145"/>
      <c r="L12" s="1145"/>
      <c r="N12" s="1146"/>
      <c r="O12" s="1146"/>
      <c r="P12" s="1146"/>
      <c r="Q12" s="1146"/>
      <c r="R12" s="1146"/>
      <c r="S12" s="1146"/>
      <c r="T12" s="1146"/>
      <c r="U12" s="1146"/>
      <c r="V12" s="1146"/>
      <c r="W12" s="1146"/>
    </row>
    <row r="14" spans="2:23" s="1144" customFormat="1">
      <c r="B14" s="1144" t="s">
        <v>729</v>
      </c>
      <c r="C14" s="1145">
        <v>34879.911</v>
      </c>
      <c r="D14" s="1145">
        <v>99342.799446000005</v>
      </c>
      <c r="E14" s="1145">
        <v>84942.605505</v>
      </c>
      <c r="F14" s="1145">
        <v>134174.375505</v>
      </c>
      <c r="G14" s="1145">
        <f>'2017 Scheme &amp; cost projection'!Q22</f>
        <v>217279.47454649099</v>
      </c>
      <c r="H14" s="1145"/>
      <c r="I14" s="1145"/>
      <c r="J14" s="1145"/>
      <c r="K14" s="1145"/>
      <c r="L14" s="1145"/>
      <c r="N14" s="1146">
        <f>C14/C$6</f>
        <v>0.29888745203178346</v>
      </c>
      <c r="O14" s="1146">
        <f>D14/D$6</f>
        <v>0.31809127433381107</v>
      </c>
      <c r="P14" s="1146">
        <f>E14/E$6</f>
        <v>0.31340258877163535</v>
      </c>
      <c r="Q14" s="1146">
        <f>F14/F$6</f>
        <v>0.31325474914679519</v>
      </c>
      <c r="R14" s="1146">
        <f t="shared" ref="R14:W14" si="13">G14/G$6</f>
        <v>0.31666304682592422</v>
      </c>
      <c r="S14" s="1146">
        <f t="shared" si="13"/>
        <v>0</v>
      </c>
      <c r="T14" s="1146">
        <f t="shared" si="13"/>
        <v>0</v>
      </c>
      <c r="U14" s="1146">
        <f t="shared" si="13"/>
        <v>0</v>
      </c>
      <c r="V14" s="1146">
        <f t="shared" si="13"/>
        <v>0</v>
      </c>
      <c r="W14" s="1146">
        <f t="shared" si="13"/>
        <v>0</v>
      </c>
    </row>
    <row r="16" spans="2:23" s="1144" customFormat="1">
      <c r="B16" s="1144" t="s">
        <v>730</v>
      </c>
      <c r="C16" s="1145">
        <f>SUM(C17:C19)</f>
        <v>9763.7780840000014</v>
      </c>
      <c r="D16" s="1145">
        <f t="shared" ref="D16:L16" si="14">SUM(D17:D19)</f>
        <v>29740.268093999999</v>
      </c>
      <c r="E16" s="1145">
        <v>25387.289822999996</v>
      </c>
      <c r="F16" s="1145">
        <f t="shared" si="14"/>
        <v>41439.199822999995</v>
      </c>
      <c r="G16" s="1145">
        <f t="shared" si="14"/>
        <v>42161.007169136763</v>
      </c>
      <c r="H16" s="1145">
        <f t="shared" si="14"/>
        <v>0</v>
      </c>
      <c r="I16" s="1145">
        <f t="shared" si="14"/>
        <v>0</v>
      </c>
      <c r="J16" s="1145">
        <f t="shared" si="14"/>
        <v>0</v>
      </c>
      <c r="K16" s="1145">
        <f t="shared" si="14"/>
        <v>0</v>
      </c>
      <c r="L16" s="1145">
        <f t="shared" si="14"/>
        <v>0</v>
      </c>
      <c r="N16" s="1146">
        <f>C16/C$6</f>
        <v>8.3666232798889004E-2</v>
      </c>
      <c r="O16" s="1146">
        <f>D16/D$6</f>
        <v>9.5227030341458227E-2</v>
      </c>
      <c r="P16" s="1146">
        <f>E16/E$6</f>
        <v>9.3668451834287653E-2</v>
      </c>
      <c r="Q16" s="1146">
        <f t="shared" ref="Q16:W19" si="15">F16/F$6</f>
        <v>9.6747431069012471E-2</v>
      </c>
      <c r="R16" s="1146">
        <f t="shared" si="15"/>
        <v>6.1445440326540472E-2</v>
      </c>
      <c r="S16" s="1146">
        <f t="shared" si="15"/>
        <v>0</v>
      </c>
      <c r="T16" s="1146">
        <f t="shared" si="15"/>
        <v>0</v>
      </c>
      <c r="U16" s="1146">
        <f t="shared" si="15"/>
        <v>0</v>
      </c>
      <c r="V16" s="1146">
        <f t="shared" si="15"/>
        <v>0</v>
      </c>
      <c r="W16" s="1146">
        <f t="shared" si="15"/>
        <v>0</v>
      </c>
    </row>
    <row r="17" spans="2:23" hidden="1">
      <c r="B17" s="902" t="s">
        <v>556</v>
      </c>
      <c r="C17" s="442">
        <v>4858.1800440000006</v>
      </c>
      <c r="D17" s="442">
        <v>14632.381222</v>
      </c>
      <c r="F17" s="442">
        <v>20152.059366999998</v>
      </c>
      <c r="G17" s="442">
        <f>'2017 Scheme &amp; cost projection'!AB225</f>
        <v>31834.522245987071</v>
      </c>
      <c r="N17" s="594">
        <f t="shared" ref="N17:O19" si="16">C17/C$6</f>
        <v>4.1629952979605304E-2</v>
      </c>
      <c r="O17" s="594">
        <f t="shared" si="16"/>
        <v>4.6852241082395996E-2</v>
      </c>
      <c r="Q17" s="594">
        <f t="shared" si="15"/>
        <v>4.7048687784394902E-2</v>
      </c>
      <c r="R17" s="594">
        <f t="shared" si="15"/>
        <v>4.6395624021563768E-2</v>
      </c>
      <c r="S17" s="594">
        <f t="shared" si="15"/>
        <v>0</v>
      </c>
      <c r="T17" s="594">
        <f t="shared" si="15"/>
        <v>0</v>
      </c>
      <c r="U17" s="594">
        <f t="shared" si="15"/>
        <v>0</v>
      </c>
      <c r="V17" s="594">
        <f t="shared" si="15"/>
        <v>0</v>
      </c>
      <c r="W17" s="594">
        <f t="shared" si="15"/>
        <v>0</v>
      </c>
    </row>
    <row r="18" spans="2:23" hidden="1">
      <c r="B18" s="902" t="s">
        <v>731</v>
      </c>
      <c r="C18" s="442">
        <v>3497.2014280000003</v>
      </c>
      <c r="D18" s="442">
        <v>10901.362347999999</v>
      </c>
      <c r="F18" s="442">
        <v>14816.280462999999</v>
      </c>
      <c r="G18" s="442">
        <v>0</v>
      </c>
      <c r="N18" s="594">
        <f t="shared" si="16"/>
        <v>2.9967668898491017E-2</v>
      </c>
      <c r="O18" s="594">
        <f t="shared" si="16"/>
        <v>3.4905682752929199E-2</v>
      </c>
      <c r="Q18" s="594">
        <f t="shared" si="15"/>
        <v>3.4591330887563332E-2</v>
      </c>
      <c r="R18" s="594">
        <f t="shared" si="15"/>
        <v>0</v>
      </c>
      <c r="S18" s="594">
        <f t="shared" si="15"/>
        <v>0</v>
      </c>
      <c r="T18" s="594">
        <f t="shared" si="15"/>
        <v>0</v>
      </c>
      <c r="U18" s="594">
        <f t="shared" si="15"/>
        <v>0</v>
      </c>
      <c r="V18" s="594">
        <f t="shared" si="15"/>
        <v>0</v>
      </c>
      <c r="W18" s="594">
        <f t="shared" si="15"/>
        <v>0</v>
      </c>
    </row>
    <row r="19" spans="2:23" hidden="1">
      <c r="B19" s="902" t="s">
        <v>36</v>
      </c>
      <c r="C19" s="442">
        <v>1408.396612</v>
      </c>
      <c r="D19" s="442">
        <v>4206.5245239999986</v>
      </c>
      <c r="F19" s="442">
        <v>6470.859993</v>
      </c>
      <c r="G19" s="442">
        <f>'2017 Scheme &amp; cost projection'!AB255</f>
        <v>10326.484923149696</v>
      </c>
      <c r="N19" s="594">
        <f t="shared" si="16"/>
        <v>1.206861092079267E-2</v>
      </c>
      <c r="O19" s="594">
        <f t="shared" si="16"/>
        <v>1.3469106506133031E-2</v>
      </c>
      <c r="Q19" s="594">
        <f t="shared" si="15"/>
        <v>1.5107412397054241E-2</v>
      </c>
      <c r="R19" s="594">
        <f t="shared" si="15"/>
        <v>1.5049816304976711E-2</v>
      </c>
      <c r="S19" s="594">
        <f t="shared" si="15"/>
        <v>0</v>
      </c>
      <c r="T19" s="594">
        <f t="shared" si="15"/>
        <v>0</v>
      </c>
      <c r="U19" s="594">
        <f t="shared" si="15"/>
        <v>0</v>
      </c>
      <c r="V19" s="594">
        <f t="shared" si="15"/>
        <v>0</v>
      </c>
      <c r="W19" s="594">
        <f t="shared" si="15"/>
        <v>0</v>
      </c>
    </row>
    <row r="21" spans="2:23" s="1144" customFormat="1">
      <c r="B21" s="1266" t="s">
        <v>732</v>
      </c>
      <c r="C21" s="1145">
        <f>SUM(C22:C28)</f>
        <v>19023.250990999997</v>
      </c>
      <c r="D21" s="1145">
        <f t="shared" ref="D21:L21" si="17">SUM(D22:D28)</f>
        <v>56028.242899451339</v>
      </c>
      <c r="E21" s="1145">
        <f t="shared" si="17"/>
        <v>38080.716501999996</v>
      </c>
      <c r="F21" s="1145">
        <f t="shared" si="17"/>
        <v>63247.116502000012</v>
      </c>
      <c r="G21" s="1145">
        <f t="shared" si="17"/>
        <v>124336.15834018184</v>
      </c>
      <c r="H21" s="1145">
        <f t="shared" si="17"/>
        <v>0</v>
      </c>
      <c r="I21" s="1145">
        <f t="shared" si="17"/>
        <v>0</v>
      </c>
      <c r="J21" s="1145">
        <f t="shared" si="17"/>
        <v>0</v>
      </c>
      <c r="K21" s="1145">
        <f t="shared" si="17"/>
        <v>0</v>
      </c>
      <c r="L21" s="1145">
        <f t="shared" si="17"/>
        <v>0</v>
      </c>
      <c r="N21" s="1146">
        <f t="shared" ref="N21:P28" si="18">C21/C$6</f>
        <v>0.16301105292559631</v>
      </c>
      <c r="O21" s="1146">
        <f t="shared" si="18"/>
        <v>0.17939996941860267</v>
      </c>
      <c r="P21" s="1146">
        <f t="shared" si="18"/>
        <v>0.14050187256503477</v>
      </c>
      <c r="Q21" s="1146">
        <f t="shared" ref="Q21:W28" si="19">F21/F$6</f>
        <v>0.14766202219703145</v>
      </c>
      <c r="R21" s="1146">
        <f t="shared" si="19"/>
        <v>0.1812074831863974</v>
      </c>
      <c r="S21" s="1146">
        <f t="shared" si="19"/>
        <v>0</v>
      </c>
      <c r="T21" s="1146">
        <f t="shared" si="19"/>
        <v>0</v>
      </c>
      <c r="U21" s="1146">
        <f t="shared" si="19"/>
        <v>0</v>
      </c>
      <c r="V21" s="1146">
        <f t="shared" si="19"/>
        <v>0</v>
      </c>
      <c r="W21" s="1146">
        <f t="shared" si="19"/>
        <v>0</v>
      </c>
    </row>
    <row r="22" spans="2:23">
      <c r="B22" s="902" t="s">
        <v>733</v>
      </c>
      <c r="C22" s="442">
        <v>3209.8407399999996</v>
      </c>
      <c r="D22" s="442">
        <v>9716.52736</v>
      </c>
      <c r="E22" s="442">
        <v>5611.2588099999994</v>
      </c>
      <c r="F22" s="442">
        <v>8757.0588099999986</v>
      </c>
      <c r="G22" s="442">
        <f>'2017 Scheme &amp; cost projection'!Q113</f>
        <v>5037.0998253866055</v>
      </c>
      <c r="N22" s="594">
        <f t="shared" si="18"/>
        <v>2.750526284904839E-2</v>
      </c>
      <c r="O22" s="594">
        <f t="shared" si="18"/>
        <v>3.1111893235118496E-2</v>
      </c>
      <c r="P22" s="594">
        <f t="shared" si="18"/>
        <v>2.0703191606456312E-2</v>
      </c>
      <c r="Q22" s="594">
        <f t="shared" si="19"/>
        <v>2.0444963879768963E-2</v>
      </c>
      <c r="R22" s="594">
        <f t="shared" si="19"/>
        <v>7.3410679089798694E-3</v>
      </c>
      <c r="S22" s="594">
        <f t="shared" si="19"/>
        <v>0</v>
      </c>
      <c r="T22" s="594">
        <f t="shared" si="19"/>
        <v>0</v>
      </c>
      <c r="U22" s="594">
        <f t="shared" si="19"/>
        <v>0</v>
      </c>
      <c r="V22" s="594">
        <f t="shared" si="19"/>
        <v>0</v>
      </c>
      <c r="W22" s="594">
        <f t="shared" si="19"/>
        <v>0</v>
      </c>
    </row>
    <row r="23" spans="2:23">
      <c r="B23" s="902" t="s">
        <v>734</v>
      </c>
      <c r="C23" s="442">
        <v>11199.023729</v>
      </c>
      <c r="D23" s="442">
        <v>31433.503821000002</v>
      </c>
      <c r="E23" s="442">
        <v>23053.618799000003</v>
      </c>
      <c r="F23" s="442">
        <v>37996.168799000006</v>
      </c>
      <c r="G23" s="442">
        <f>'2017 Scheme &amp; cost projection'!Q37</f>
        <v>56377.026467544536</v>
      </c>
      <c r="N23" s="594">
        <f t="shared" si="18"/>
        <v>9.5964914233992532E-2</v>
      </c>
      <c r="O23" s="594">
        <f t="shared" si="18"/>
        <v>0.10064869666405606</v>
      </c>
      <c r="P23" s="594">
        <f t="shared" si="18"/>
        <v>8.5058184514198221E-2</v>
      </c>
      <c r="Q23" s="594">
        <f t="shared" si="19"/>
        <v>8.8709042101906319E-2</v>
      </c>
      <c r="R23" s="594">
        <f t="shared" si="19"/>
        <v>8.2163862967086401E-2</v>
      </c>
      <c r="S23" s="594">
        <f t="shared" si="19"/>
        <v>0</v>
      </c>
      <c r="T23" s="594">
        <f t="shared" si="19"/>
        <v>0</v>
      </c>
      <c r="U23" s="594">
        <f t="shared" si="19"/>
        <v>0</v>
      </c>
      <c r="V23" s="594">
        <f t="shared" si="19"/>
        <v>0</v>
      </c>
      <c r="W23" s="594">
        <f t="shared" si="19"/>
        <v>0</v>
      </c>
    </row>
    <row r="24" spans="2:23">
      <c r="B24" s="902" t="s">
        <v>557</v>
      </c>
      <c r="C24" s="442">
        <v>3256.6338059999998</v>
      </c>
      <c r="D24" s="442">
        <v>10454.396048000001</v>
      </c>
      <c r="E24" s="442">
        <v>7181.0527949999996</v>
      </c>
      <c r="F24" s="442">
        <v>12371.622794999999</v>
      </c>
      <c r="G24" s="442">
        <f>'2017 Scheme &amp; cost projection'!Q292</f>
        <v>21120.698756170554</v>
      </c>
      <c r="N24" s="594">
        <f t="shared" si="18"/>
        <v>2.7906234636777296E-2</v>
      </c>
      <c r="O24" s="594">
        <f t="shared" si="18"/>
        <v>3.3474516319688598E-2</v>
      </c>
      <c r="P24" s="594">
        <f t="shared" si="18"/>
        <v>2.6495073028179151E-2</v>
      </c>
      <c r="Q24" s="594">
        <f t="shared" si="19"/>
        <v>2.8883828082673497E-2</v>
      </c>
      <c r="R24" s="594">
        <f t="shared" si="19"/>
        <v>3.0781300595378706E-2</v>
      </c>
      <c r="S24" s="594">
        <f t="shared" si="19"/>
        <v>0</v>
      </c>
      <c r="T24" s="594">
        <f t="shared" si="19"/>
        <v>0</v>
      </c>
      <c r="U24" s="594">
        <f t="shared" si="19"/>
        <v>0</v>
      </c>
      <c r="V24" s="594">
        <f t="shared" si="19"/>
        <v>0</v>
      </c>
      <c r="W24" s="594">
        <f t="shared" si="19"/>
        <v>0</v>
      </c>
    </row>
    <row r="25" spans="2:23">
      <c r="B25" s="902" t="s">
        <v>558</v>
      </c>
      <c r="C25" s="442">
        <v>1357.752716</v>
      </c>
      <c r="D25" s="442">
        <v>4423.8156704513403</v>
      </c>
      <c r="E25" s="442">
        <v>2234.786098</v>
      </c>
      <c r="F25" s="442">
        <v>4122.2660980000001</v>
      </c>
      <c r="G25" s="442">
        <f>'2017 Scheme &amp; cost projection'!Q381</f>
        <v>8239.1044182733749</v>
      </c>
      <c r="N25" s="594">
        <f t="shared" si="18"/>
        <v>1.1634641205778127E-2</v>
      </c>
      <c r="O25" s="594">
        <f t="shared" si="18"/>
        <v>1.4164863199739527E-2</v>
      </c>
      <c r="P25" s="594">
        <f t="shared" si="18"/>
        <v>8.2454234162011239E-3</v>
      </c>
      <c r="Q25" s="594">
        <f t="shared" si="19"/>
        <v>9.6241881326826623E-3</v>
      </c>
      <c r="R25" s="594">
        <f t="shared" si="19"/>
        <v>1.2007668527609277E-2</v>
      </c>
      <c r="S25" s="594">
        <f t="shared" si="19"/>
        <v>0</v>
      </c>
      <c r="T25" s="594">
        <f t="shared" si="19"/>
        <v>0</v>
      </c>
      <c r="U25" s="594">
        <f t="shared" si="19"/>
        <v>0</v>
      </c>
      <c r="V25" s="594">
        <f t="shared" si="19"/>
        <v>0</v>
      </c>
      <c r="W25" s="594">
        <f t="shared" si="19"/>
        <v>0</v>
      </c>
    </row>
    <row r="26" spans="2:23">
      <c r="B26" s="902" t="s">
        <v>735</v>
      </c>
      <c r="G26" s="442">
        <f>'2017 Scheme &amp; cost projection'!Q130*90%</f>
        <v>15014.778164105903</v>
      </c>
      <c r="N26" s="594">
        <f t="shared" si="18"/>
        <v>0</v>
      </c>
      <c r="O26" s="594">
        <f t="shared" si="18"/>
        <v>0</v>
      </c>
      <c r="P26" s="594">
        <f t="shared" si="18"/>
        <v>0</v>
      </c>
      <c r="Q26" s="594">
        <f t="shared" si="19"/>
        <v>0</v>
      </c>
      <c r="R26" s="594">
        <f t="shared" si="19"/>
        <v>2.1882533593129576E-2</v>
      </c>
      <c r="S26" s="594">
        <f t="shared" si="19"/>
        <v>0</v>
      </c>
      <c r="T26" s="594">
        <f t="shared" si="19"/>
        <v>0</v>
      </c>
      <c r="U26" s="594">
        <f t="shared" si="19"/>
        <v>0</v>
      </c>
      <c r="V26" s="594">
        <f t="shared" si="19"/>
        <v>0</v>
      </c>
      <c r="W26" s="594">
        <f t="shared" si="19"/>
        <v>0</v>
      </c>
    </row>
    <row r="27" spans="2:23">
      <c r="B27" s="902" t="s">
        <v>736</v>
      </c>
      <c r="G27" s="442">
        <f>'2017 Scheme &amp; cost projection'!Q471</f>
        <v>17047.450708700875</v>
      </c>
      <c r="N27" s="594">
        <f t="shared" si="18"/>
        <v>0</v>
      </c>
      <c r="O27" s="594">
        <f t="shared" si="18"/>
        <v>0</v>
      </c>
      <c r="P27" s="594">
        <f t="shared" si="18"/>
        <v>0</v>
      </c>
      <c r="Q27" s="594">
        <f t="shared" si="19"/>
        <v>0</v>
      </c>
      <c r="R27" s="594">
        <f t="shared" si="19"/>
        <v>2.4844950004133566E-2</v>
      </c>
      <c r="S27" s="594">
        <f t="shared" si="19"/>
        <v>0</v>
      </c>
      <c r="T27" s="594">
        <f t="shared" si="19"/>
        <v>0</v>
      </c>
      <c r="U27" s="594">
        <f t="shared" si="19"/>
        <v>0</v>
      </c>
      <c r="V27" s="594">
        <f t="shared" si="19"/>
        <v>0</v>
      </c>
      <c r="W27" s="594">
        <f t="shared" si="19"/>
        <v>0</v>
      </c>
    </row>
    <row r="28" spans="2:23">
      <c r="B28" s="902" t="s">
        <v>737</v>
      </c>
      <c r="G28" s="442">
        <v>1500</v>
      </c>
      <c r="N28" s="594">
        <f t="shared" si="18"/>
        <v>0</v>
      </c>
      <c r="O28" s="594">
        <f t="shared" si="18"/>
        <v>0</v>
      </c>
      <c r="P28" s="594">
        <f t="shared" si="18"/>
        <v>0</v>
      </c>
      <c r="Q28" s="594">
        <f t="shared" si="19"/>
        <v>0</v>
      </c>
      <c r="R28" s="594">
        <f t="shared" si="19"/>
        <v>2.1860995900800212E-3</v>
      </c>
      <c r="S28" s="594">
        <f t="shared" si="19"/>
        <v>0</v>
      </c>
      <c r="T28" s="594">
        <f t="shared" si="19"/>
        <v>0</v>
      </c>
      <c r="U28" s="594">
        <f t="shared" si="19"/>
        <v>0</v>
      </c>
      <c r="V28" s="594">
        <f t="shared" si="19"/>
        <v>0</v>
      </c>
      <c r="W28" s="594">
        <f t="shared" si="19"/>
        <v>0</v>
      </c>
    </row>
    <row r="30" spans="2:23" s="1144" customFormat="1">
      <c r="B30" s="1266" t="s">
        <v>569</v>
      </c>
      <c r="C30" s="1145">
        <f>SUM(C31:C33)</f>
        <v>1955.122325</v>
      </c>
      <c r="D30" s="1145">
        <f t="shared" ref="D30:L30" si="20">SUM(D31:D33)</f>
        <v>6629.1338302727263</v>
      </c>
      <c r="E30" s="1145">
        <f>5784.318131+3389</f>
        <v>9173.318131</v>
      </c>
      <c r="F30" s="1145">
        <f t="shared" si="20"/>
        <v>12776.903861342276</v>
      </c>
      <c r="G30" s="1145">
        <f t="shared" si="20"/>
        <v>20072.632679374768</v>
      </c>
      <c r="H30" s="1145">
        <f t="shared" si="20"/>
        <v>0</v>
      </c>
      <c r="I30" s="1145">
        <f t="shared" si="20"/>
        <v>0</v>
      </c>
      <c r="J30" s="1145">
        <f t="shared" si="20"/>
        <v>0</v>
      </c>
      <c r="K30" s="1145">
        <f t="shared" si="20"/>
        <v>0</v>
      </c>
      <c r="L30" s="1145">
        <f t="shared" si="20"/>
        <v>0</v>
      </c>
      <c r="N30" s="1146">
        <f>C30/C$6</f>
        <v>1.6753526983761698E-2</v>
      </c>
      <c r="O30" s="1146">
        <f>D30/D$6</f>
        <v>2.1226194948804962E-2</v>
      </c>
      <c r="P30" s="1146">
        <f>E30/E$6</f>
        <v>3.3845696547558229E-2</v>
      </c>
      <c r="Q30" s="1146">
        <f t="shared" ref="Q30:W33" si="21">F30/F$6</f>
        <v>2.9830031247720198E-2</v>
      </c>
      <c r="R30" s="1146">
        <f t="shared" si="21"/>
        <v>2.9253849381472012E-2</v>
      </c>
      <c r="S30" s="1146">
        <f t="shared" si="21"/>
        <v>0</v>
      </c>
      <c r="T30" s="1146">
        <f t="shared" si="21"/>
        <v>0</v>
      </c>
      <c r="U30" s="1146">
        <f t="shared" si="21"/>
        <v>0</v>
      </c>
      <c r="V30" s="1146">
        <f t="shared" si="21"/>
        <v>0</v>
      </c>
      <c r="W30" s="1146">
        <f t="shared" si="21"/>
        <v>0</v>
      </c>
    </row>
    <row r="31" spans="2:23" hidden="1">
      <c r="B31" s="902" t="s">
        <v>738</v>
      </c>
      <c r="C31" s="442">
        <v>1743.122325</v>
      </c>
      <c r="D31" s="442">
        <v>6073.0611029999991</v>
      </c>
      <c r="F31" s="442">
        <v>9387.4081310000001</v>
      </c>
      <c r="G31" s="1181">
        <f>'2017 Scheme &amp; cost projection'!Q569</f>
        <v>12318.332679374769</v>
      </c>
      <c r="N31" s="594">
        <f t="shared" ref="N31:O33" si="22">C31/C$6</f>
        <v>1.4936889899144766E-2</v>
      </c>
      <c r="O31" s="594">
        <f t="shared" si="22"/>
        <v>1.9445674534372633E-2</v>
      </c>
      <c r="Q31" s="594">
        <f t="shared" si="21"/>
        <v>2.1916630266748716E-2</v>
      </c>
      <c r="R31" s="594">
        <f t="shared" si="21"/>
        <v>1.7952734680567007E-2</v>
      </c>
      <c r="S31" s="594">
        <f t="shared" si="21"/>
        <v>0</v>
      </c>
      <c r="T31" s="594">
        <f t="shared" si="21"/>
        <v>0</v>
      </c>
      <c r="U31" s="594">
        <f t="shared" si="21"/>
        <v>0</v>
      </c>
      <c r="V31" s="594">
        <f t="shared" si="21"/>
        <v>0</v>
      </c>
      <c r="W31" s="594">
        <f t="shared" si="21"/>
        <v>0</v>
      </c>
    </row>
    <row r="32" spans="2:23" hidden="1">
      <c r="B32" s="902" t="s">
        <v>739</v>
      </c>
      <c r="C32" s="442">
        <v>211.99999999999997</v>
      </c>
      <c r="D32" s="442">
        <v>556.07272727272732</v>
      </c>
      <c r="F32" s="442">
        <v>3389.4957303422761</v>
      </c>
      <c r="G32" s="442">
        <f>'2017 Scheme &amp; cost projection'!Q262</f>
        <v>7754.2999999999993</v>
      </c>
      <c r="N32" s="594">
        <f t="shared" si="22"/>
        <v>1.8166370846169329E-3</v>
      </c>
      <c r="O32" s="594">
        <f t="shared" si="22"/>
        <v>1.7805204144323284E-3</v>
      </c>
      <c r="Q32" s="594">
        <f t="shared" si="21"/>
        <v>7.9134009809714821E-3</v>
      </c>
      <c r="R32" s="594">
        <f t="shared" si="21"/>
        <v>1.1301114700905003E-2</v>
      </c>
      <c r="S32" s="594">
        <f t="shared" si="21"/>
        <v>0</v>
      </c>
      <c r="T32" s="594">
        <f t="shared" si="21"/>
        <v>0</v>
      </c>
      <c r="U32" s="594">
        <f t="shared" si="21"/>
        <v>0</v>
      </c>
      <c r="V32" s="594">
        <f t="shared" si="21"/>
        <v>0</v>
      </c>
      <c r="W32" s="594">
        <f t="shared" si="21"/>
        <v>0</v>
      </c>
    </row>
    <row r="33" spans="2:23" hidden="1">
      <c r="B33" s="902" t="s">
        <v>740</v>
      </c>
      <c r="N33" s="594">
        <f t="shared" si="22"/>
        <v>0</v>
      </c>
      <c r="O33" s="594">
        <f t="shared" si="22"/>
        <v>0</v>
      </c>
      <c r="Q33" s="594">
        <f t="shared" si="21"/>
        <v>0</v>
      </c>
      <c r="R33" s="594">
        <f t="shared" si="21"/>
        <v>0</v>
      </c>
      <c r="S33" s="594">
        <f t="shared" si="21"/>
        <v>0</v>
      </c>
      <c r="T33" s="594">
        <f t="shared" si="21"/>
        <v>0</v>
      </c>
      <c r="U33" s="594">
        <f t="shared" si="21"/>
        <v>0</v>
      </c>
      <c r="V33" s="594">
        <f t="shared" si="21"/>
        <v>0</v>
      </c>
      <c r="W33" s="594">
        <f t="shared" si="21"/>
        <v>0</v>
      </c>
    </row>
    <row r="35" spans="2:23" s="1144" customFormat="1">
      <c r="B35" s="1266" t="s">
        <v>741</v>
      </c>
      <c r="C35" s="1145">
        <f>C36+C41+C42</f>
        <v>12725.641842999999</v>
      </c>
      <c r="D35" s="1145">
        <f t="shared" ref="D35:L35" si="23">D36+D41+D42</f>
        <v>43404.967968555524</v>
      </c>
      <c r="E35" s="1145">
        <f t="shared" si="23"/>
        <v>45696.4</v>
      </c>
      <c r="F35" s="1145">
        <f t="shared" si="23"/>
        <v>73786.237607594827</v>
      </c>
      <c r="G35" s="1145">
        <f t="shared" si="23"/>
        <v>58583.929177615937</v>
      </c>
      <c r="H35" s="1145">
        <f t="shared" si="23"/>
        <v>0</v>
      </c>
      <c r="I35" s="1145">
        <f t="shared" si="23"/>
        <v>0</v>
      </c>
      <c r="J35" s="1145">
        <f t="shared" si="23"/>
        <v>0</v>
      </c>
      <c r="K35" s="1145">
        <f t="shared" si="23"/>
        <v>0</v>
      </c>
      <c r="L35" s="1145">
        <f t="shared" si="23"/>
        <v>0</v>
      </c>
      <c r="N35" s="1146">
        <f t="shared" ref="N35:P42" si="24">C35/C$6</f>
        <v>0.10904657027144705</v>
      </c>
      <c r="O35" s="1146">
        <f t="shared" si="24"/>
        <v>0.13898079831181967</v>
      </c>
      <c r="P35" s="1146">
        <f t="shared" si="24"/>
        <v>0.16860055060003021</v>
      </c>
      <c r="Q35" s="1146">
        <f t="shared" ref="Q35:W42" si="25">F35/F$6</f>
        <v>0.17226753815889087</v>
      </c>
      <c r="R35" s="1146">
        <f t="shared" si="25"/>
        <v>8.538020237364212E-2</v>
      </c>
      <c r="S35" s="1146">
        <f t="shared" si="25"/>
        <v>0</v>
      </c>
      <c r="T35" s="1146">
        <f t="shared" si="25"/>
        <v>0</v>
      </c>
      <c r="U35" s="1146">
        <f t="shared" si="25"/>
        <v>0</v>
      </c>
      <c r="V35" s="1146">
        <f t="shared" si="25"/>
        <v>0</v>
      </c>
      <c r="W35" s="1146">
        <f t="shared" si="25"/>
        <v>0</v>
      </c>
    </row>
    <row r="36" spans="2:23" s="1269" customFormat="1">
      <c r="B36" s="1267" t="s">
        <v>746</v>
      </c>
      <c r="C36" s="1268">
        <f>SUM(C37:C40)</f>
        <v>1165.6418429999999</v>
      </c>
      <c r="D36" s="1268">
        <f t="shared" ref="D36:L36" si="26">SUM(D37:D40)</f>
        <v>6143</v>
      </c>
      <c r="E36" s="1268">
        <v>8019.4</v>
      </c>
      <c r="F36" s="1268">
        <f t="shared" si="26"/>
        <v>12947.4</v>
      </c>
      <c r="G36" s="1268">
        <f t="shared" si="26"/>
        <v>17774.029177615939</v>
      </c>
      <c r="H36" s="1268">
        <f t="shared" si="26"/>
        <v>0</v>
      </c>
      <c r="I36" s="1268">
        <f t="shared" si="26"/>
        <v>0</v>
      </c>
      <c r="J36" s="1268">
        <f t="shared" si="26"/>
        <v>0</v>
      </c>
      <c r="K36" s="1268">
        <f t="shared" si="26"/>
        <v>0</v>
      </c>
      <c r="L36" s="1268">
        <f t="shared" si="26"/>
        <v>0</v>
      </c>
      <c r="N36" s="1270">
        <f t="shared" si="24"/>
        <v>9.9884349027123988E-3</v>
      </c>
      <c r="O36" s="1270">
        <f t="shared" si="24"/>
        <v>1.9669615806375183E-2</v>
      </c>
      <c r="P36" s="1270">
        <f t="shared" si="24"/>
        <v>2.9588222605760675E-2</v>
      </c>
      <c r="Q36" s="1270">
        <f t="shared" si="25"/>
        <v>3.0228085831128577E-2</v>
      </c>
      <c r="R36" s="1270">
        <f t="shared" si="25"/>
        <v>2.5903865266171028E-2</v>
      </c>
      <c r="S36" s="1270">
        <f t="shared" si="25"/>
        <v>0</v>
      </c>
      <c r="T36" s="1270">
        <f t="shared" si="25"/>
        <v>0</v>
      </c>
      <c r="U36" s="1270">
        <f t="shared" si="25"/>
        <v>0</v>
      </c>
      <c r="V36" s="1270">
        <f t="shared" si="25"/>
        <v>0</v>
      </c>
      <c r="W36" s="1270">
        <f t="shared" si="25"/>
        <v>0</v>
      </c>
    </row>
    <row r="37" spans="2:23" hidden="1">
      <c r="B37" s="903" t="s">
        <v>742</v>
      </c>
      <c r="C37" s="442">
        <v>1165.6418429999999</v>
      </c>
      <c r="D37" s="442">
        <v>4055</v>
      </c>
      <c r="F37" s="442">
        <v>8097.4</v>
      </c>
      <c r="G37" s="442">
        <f>('2017 Scheme &amp; cost projection'!AN687+'2017 Scheme &amp; cost projection'!AN691+'2017 Scheme &amp; cost projection'!AN695)</f>
        <v>5356.5388123632347</v>
      </c>
      <c r="N37" s="594">
        <f t="shared" si="24"/>
        <v>9.9884349027123988E-3</v>
      </c>
      <c r="O37" s="594">
        <f t="shared" si="24"/>
        <v>1.298393164493755E-2</v>
      </c>
      <c r="P37" s="594">
        <f t="shared" si="24"/>
        <v>0</v>
      </c>
      <c r="Q37" s="594">
        <f t="shared" si="25"/>
        <v>1.8904869101825889E-2</v>
      </c>
      <c r="R37" s="594">
        <f t="shared" si="25"/>
        <v>7.8066182013033268E-3</v>
      </c>
      <c r="S37" s="594">
        <f t="shared" si="25"/>
        <v>0</v>
      </c>
      <c r="T37" s="594">
        <f t="shared" si="25"/>
        <v>0</v>
      </c>
      <c r="U37" s="594">
        <f t="shared" si="25"/>
        <v>0</v>
      </c>
      <c r="V37" s="594">
        <f t="shared" si="25"/>
        <v>0</v>
      </c>
      <c r="W37" s="594">
        <f t="shared" si="25"/>
        <v>0</v>
      </c>
    </row>
    <row r="38" spans="2:23" hidden="1">
      <c r="B38" s="903" t="s">
        <v>743</v>
      </c>
      <c r="G38" s="442">
        <f>'2017 Scheme &amp; cost projection'!AN701+'2017 Scheme &amp; cost projection'!AN703-4000</f>
        <v>4887.9502388345954</v>
      </c>
      <c r="N38" s="594">
        <f t="shared" si="24"/>
        <v>0</v>
      </c>
      <c r="O38" s="594">
        <f t="shared" si="24"/>
        <v>0</v>
      </c>
      <c r="P38" s="594">
        <f t="shared" si="24"/>
        <v>0</v>
      </c>
      <c r="Q38" s="594">
        <f t="shared" si="25"/>
        <v>0</v>
      </c>
      <c r="R38" s="594">
        <f t="shared" si="25"/>
        <v>7.1236973422985671E-3</v>
      </c>
      <c r="S38" s="594">
        <f t="shared" si="25"/>
        <v>0</v>
      </c>
      <c r="T38" s="594">
        <f t="shared" si="25"/>
        <v>0</v>
      </c>
      <c r="U38" s="594">
        <f t="shared" si="25"/>
        <v>0</v>
      </c>
      <c r="V38" s="594">
        <f t="shared" si="25"/>
        <v>0</v>
      </c>
      <c r="W38" s="594">
        <f t="shared" si="25"/>
        <v>0</v>
      </c>
    </row>
    <row r="39" spans="2:23" hidden="1">
      <c r="B39" s="903" t="s">
        <v>744</v>
      </c>
      <c r="C39" s="442">
        <v>0</v>
      </c>
      <c r="D39" s="442">
        <v>2088</v>
      </c>
      <c r="F39" s="442">
        <v>4850</v>
      </c>
      <c r="G39" s="442">
        <f>'2017 Scheme &amp; cost projection'!AC714+'2017 Scheme &amp; cost projection'!AC718</f>
        <v>5356.5388123632347</v>
      </c>
      <c r="N39" s="594">
        <f t="shared" si="24"/>
        <v>0</v>
      </c>
      <c r="O39" s="594">
        <f t="shared" si="24"/>
        <v>6.6856841614376331E-3</v>
      </c>
      <c r="P39" s="594">
        <f t="shared" si="24"/>
        <v>0</v>
      </c>
      <c r="Q39" s="594">
        <f t="shared" si="25"/>
        <v>1.1323216729302686E-2</v>
      </c>
      <c r="R39" s="594">
        <f t="shared" si="25"/>
        <v>7.8066182013033268E-3</v>
      </c>
      <c r="S39" s="594">
        <f t="shared" si="25"/>
        <v>0</v>
      </c>
      <c r="T39" s="594">
        <f t="shared" si="25"/>
        <v>0</v>
      </c>
      <c r="U39" s="594">
        <f t="shared" si="25"/>
        <v>0</v>
      </c>
      <c r="V39" s="594">
        <f t="shared" si="25"/>
        <v>0</v>
      </c>
      <c r="W39" s="594">
        <f t="shared" si="25"/>
        <v>0</v>
      </c>
    </row>
    <row r="40" spans="2:23" hidden="1">
      <c r="B40" s="903" t="s">
        <v>745</v>
      </c>
      <c r="G40" s="442">
        <f>'2017 Scheme &amp; cost projection'!AC727</f>
        <v>2173.0013140548735</v>
      </c>
      <c r="N40" s="594">
        <f t="shared" si="24"/>
        <v>0</v>
      </c>
      <c r="O40" s="594">
        <f t="shared" si="24"/>
        <v>0</v>
      </c>
      <c r="P40" s="594">
        <f t="shared" si="24"/>
        <v>0</v>
      </c>
      <c r="Q40" s="594">
        <f t="shared" si="25"/>
        <v>0</v>
      </c>
      <c r="R40" s="594">
        <f t="shared" si="25"/>
        <v>3.166931521265804E-3</v>
      </c>
      <c r="S40" s="594">
        <f t="shared" si="25"/>
        <v>0</v>
      </c>
      <c r="T40" s="594">
        <f t="shared" si="25"/>
        <v>0</v>
      </c>
      <c r="U40" s="594">
        <f t="shared" si="25"/>
        <v>0</v>
      </c>
      <c r="V40" s="594">
        <f t="shared" si="25"/>
        <v>0</v>
      </c>
      <c r="W40" s="594">
        <f t="shared" si="25"/>
        <v>0</v>
      </c>
    </row>
    <row r="41" spans="2:23" s="669" customFormat="1">
      <c r="B41" s="906" t="s">
        <v>747</v>
      </c>
      <c r="C41" s="842">
        <v>1143</v>
      </c>
      <c r="D41" s="842">
        <v>15354</v>
      </c>
      <c r="E41" s="842">
        <v>19498</v>
      </c>
      <c r="F41" s="842">
        <v>28876.6</v>
      </c>
      <c r="G41" s="842">
        <f>'MDRT Recruitment'!N161</f>
        <v>14809.900000000001</v>
      </c>
      <c r="H41" s="842"/>
      <c r="I41" s="842"/>
      <c r="J41" s="842"/>
      <c r="K41" s="842"/>
      <c r="L41" s="842"/>
      <c r="N41" s="671">
        <f t="shared" si="24"/>
        <v>9.7944159797978981E-3</v>
      </c>
      <c r="O41" s="671">
        <f t="shared" si="24"/>
        <v>4.916283266988191E-2</v>
      </c>
      <c r="P41" s="671">
        <f t="shared" si="24"/>
        <v>7.1939442398074885E-2</v>
      </c>
      <c r="Q41" s="671">
        <f>F41/F$6</f>
        <v>6.7417732001109676E-2</v>
      </c>
      <c r="R41" s="671">
        <f t="shared" si="25"/>
        <v>2.1583944212750738E-2</v>
      </c>
      <c r="S41" s="671">
        <f t="shared" si="25"/>
        <v>0</v>
      </c>
      <c r="T41" s="671">
        <f t="shared" si="25"/>
        <v>0</v>
      </c>
      <c r="U41" s="671">
        <f t="shared" si="25"/>
        <v>0</v>
      </c>
      <c r="V41" s="671">
        <f t="shared" si="25"/>
        <v>0</v>
      </c>
      <c r="W41" s="671">
        <f t="shared" si="25"/>
        <v>0</v>
      </c>
    </row>
    <row r="42" spans="2:23" s="669" customFormat="1">
      <c r="B42" s="906" t="s">
        <v>748</v>
      </c>
      <c r="C42" s="842">
        <v>10417</v>
      </c>
      <c r="D42" s="842">
        <v>21907.967968555524</v>
      </c>
      <c r="E42" s="842">
        <v>18179</v>
      </c>
      <c r="F42" s="842">
        <v>31962.237607594827</v>
      </c>
      <c r="G42" s="842">
        <v>26000</v>
      </c>
      <c r="H42" s="842"/>
      <c r="I42" s="842"/>
      <c r="J42" s="842"/>
      <c r="K42" s="842"/>
      <c r="L42" s="842"/>
      <c r="N42" s="671">
        <f t="shared" si="24"/>
        <v>8.9263719388936749E-2</v>
      </c>
      <c r="O42" s="671">
        <f t="shared" si="24"/>
        <v>7.0148349835562576E-2</v>
      </c>
      <c r="P42" s="671">
        <f t="shared" si="24"/>
        <v>6.7072885596194648E-2</v>
      </c>
      <c r="Q42" s="671">
        <f>F42/F$6</f>
        <v>7.4621720326652624E-2</v>
      </c>
      <c r="R42" s="671">
        <f t="shared" si="25"/>
        <v>3.7892392894720364E-2</v>
      </c>
      <c r="S42" s="671">
        <f t="shared" si="25"/>
        <v>0</v>
      </c>
      <c r="T42" s="671">
        <f t="shared" si="25"/>
        <v>0</v>
      </c>
      <c r="U42" s="671">
        <f t="shared" si="25"/>
        <v>0</v>
      </c>
      <c r="V42" s="671">
        <f t="shared" si="25"/>
        <v>0</v>
      </c>
      <c r="W42" s="671">
        <f t="shared" si="25"/>
        <v>0</v>
      </c>
    </row>
    <row r="44" spans="2:23" s="1144" customFormat="1">
      <c r="B44" s="1144" t="s">
        <v>574</v>
      </c>
      <c r="C44" s="1145">
        <f>SUM(C45:C49)</f>
        <v>27181.434774999994</v>
      </c>
      <c r="D44" s="1145">
        <f t="shared" ref="D44:L44" si="27">SUM(D45:D49)</f>
        <v>72091.685738999993</v>
      </c>
      <c r="E44" s="1145">
        <f>44445.6538916754+1875+500</f>
        <v>46820.6538916754</v>
      </c>
      <c r="F44" s="1145">
        <f t="shared" si="27"/>
        <v>87250.941436218272</v>
      </c>
      <c r="G44" s="1145">
        <f t="shared" si="27"/>
        <v>108078.42630811306</v>
      </c>
      <c r="H44" s="1145">
        <f t="shared" si="27"/>
        <v>0</v>
      </c>
      <c r="I44" s="1145">
        <f t="shared" si="27"/>
        <v>0</v>
      </c>
      <c r="J44" s="1145">
        <f t="shared" si="27"/>
        <v>0</v>
      </c>
      <c r="K44" s="1145">
        <f t="shared" si="27"/>
        <v>0</v>
      </c>
      <c r="L44" s="1145">
        <f t="shared" si="27"/>
        <v>0</v>
      </c>
      <c r="N44" s="1146">
        <f>C44/C$6</f>
        <v>0.23291887936491185</v>
      </c>
      <c r="O44" s="1146">
        <f>D44/D$6</f>
        <v>0.23083440685659556</v>
      </c>
      <c r="P44" s="1146">
        <f>E44/E$6</f>
        <v>0.17274857594011606</v>
      </c>
      <c r="Q44" s="1146">
        <f t="shared" ref="Q44:W47" si="28">F44/F$6</f>
        <v>0.20370336489030841</v>
      </c>
      <c r="R44" s="1146">
        <f t="shared" si="28"/>
        <v>0.15751346896577315</v>
      </c>
      <c r="S44" s="1146">
        <f t="shared" si="28"/>
        <v>0</v>
      </c>
      <c r="T44" s="1146">
        <f t="shared" si="28"/>
        <v>0</v>
      </c>
      <c r="U44" s="1146">
        <f t="shared" si="28"/>
        <v>0</v>
      </c>
      <c r="V44" s="1146">
        <f t="shared" si="28"/>
        <v>0</v>
      </c>
      <c r="W44" s="1146">
        <f t="shared" si="28"/>
        <v>0</v>
      </c>
    </row>
    <row r="45" spans="2:23" hidden="1">
      <c r="B45" s="904" t="s">
        <v>749</v>
      </c>
      <c r="C45" s="442">
        <v>21025.659742999997</v>
      </c>
      <c r="D45" s="442">
        <v>44009.216317999999</v>
      </c>
      <c r="F45" s="442">
        <f>66081.11419617+437</f>
        <v>66518.114196170005</v>
      </c>
      <c r="G45" s="442">
        <f>G6*12%</f>
        <v>82338.426308113063</v>
      </c>
      <c r="N45" s="594">
        <f t="shared" ref="N45:O47" si="29">C45/C$6</f>
        <v>0.1801697793286374</v>
      </c>
      <c r="O45" s="594">
        <f t="shared" si="29"/>
        <v>0.14091557494949006</v>
      </c>
      <c r="Q45" s="594">
        <f t="shared" si="28"/>
        <v>0.15529876772530696</v>
      </c>
      <c r="R45" s="594">
        <f t="shared" si="28"/>
        <v>0.12</v>
      </c>
      <c r="S45" s="594">
        <f t="shared" si="28"/>
        <v>0</v>
      </c>
      <c r="T45" s="594">
        <f t="shared" si="28"/>
        <v>0</v>
      </c>
      <c r="U45" s="594">
        <f t="shared" si="28"/>
        <v>0</v>
      </c>
      <c r="V45" s="594">
        <f t="shared" si="28"/>
        <v>0</v>
      </c>
      <c r="W45" s="594">
        <f t="shared" si="28"/>
        <v>0</v>
      </c>
    </row>
    <row r="46" spans="2:23" hidden="1">
      <c r="B46" s="904" t="s">
        <v>750</v>
      </c>
      <c r="C46" s="442">
        <v>3949.9999999999995</v>
      </c>
      <c r="D46" s="442">
        <v>14089.6</v>
      </c>
      <c r="F46" s="442">
        <v>12939.562320230092</v>
      </c>
      <c r="G46" s="442">
        <f>'Contest Plan'!H7</f>
        <v>21740</v>
      </c>
      <c r="N46" s="594">
        <f t="shared" si="29"/>
        <v>3.3847719265268326E-2</v>
      </c>
      <c r="O46" s="594">
        <f t="shared" si="29"/>
        <v>4.5114279483233564E-2</v>
      </c>
      <c r="Q46" s="594">
        <f t="shared" si="28"/>
        <v>3.0209787326656509E-2</v>
      </c>
      <c r="R46" s="594">
        <f t="shared" si="28"/>
        <v>3.1683870058893109E-2</v>
      </c>
      <c r="S46" s="594">
        <f t="shared" si="28"/>
        <v>0</v>
      </c>
      <c r="T46" s="594">
        <f t="shared" si="28"/>
        <v>0</v>
      </c>
      <c r="U46" s="594">
        <f t="shared" si="28"/>
        <v>0</v>
      </c>
      <c r="V46" s="594">
        <f t="shared" si="28"/>
        <v>0</v>
      </c>
      <c r="W46" s="594">
        <f t="shared" si="28"/>
        <v>0</v>
      </c>
    </row>
    <row r="47" spans="2:23" hidden="1">
      <c r="B47" s="902" t="s">
        <v>751</v>
      </c>
      <c r="C47" s="442">
        <v>1104.2074319999999</v>
      </c>
      <c r="D47" s="442">
        <v>13324.126554999999</v>
      </c>
      <c r="F47" s="442">
        <v>5079</v>
      </c>
      <c r="G47" s="442">
        <f>200*20</f>
        <v>4000</v>
      </c>
      <c r="N47" s="594">
        <f t="shared" si="29"/>
        <v>9.4620008022680679E-3</v>
      </c>
      <c r="O47" s="594">
        <f t="shared" si="29"/>
        <v>4.2663267180916703E-2</v>
      </c>
      <c r="Q47" s="594">
        <f t="shared" si="28"/>
        <v>1.185785933363471E-2</v>
      </c>
      <c r="R47" s="594">
        <f t="shared" si="28"/>
        <v>5.8295989068800564E-3</v>
      </c>
      <c r="S47" s="594">
        <f t="shared" si="28"/>
        <v>0</v>
      </c>
      <c r="T47" s="594">
        <f t="shared" si="28"/>
        <v>0</v>
      </c>
      <c r="U47" s="594">
        <f t="shared" si="28"/>
        <v>0</v>
      </c>
      <c r="V47" s="594">
        <f t="shared" si="28"/>
        <v>0</v>
      </c>
      <c r="W47" s="594">
        <f t="shared" si="28"/>
        <v>0</v>
      </c>
    </row>
    <row r="48" spans="2:23" hidden="1">
      <c r="B48" s="902" t="s">
        <v>1166</v>
      </c>
      <c r="C48" s="442">
        <v>1059.5676000000001</v>
      </c>
      <c r="D48" s="442">
        <v>521.74286599999994</v>
      </c>
      <c r="F48" s="442">
        <v>2103.7649198181816</v>
      </c>
      <c r="G48" s="442">
        <v>0</v>
      </c>
      <c r="H48" s="442">
        <v>0</v>
      </c>
      <c r="I48" s="442">
        <v>0</v>
      </c>
      <c r="J48" s="442">
        <v>0</v>
      </c>
      <c r="K48" s="442">
        <v>0</v>
      </c>
      <c r="L48" s="442">
        <v>0</v>
      </c>
    </row>
    <row r="49" spans="2:23" hidden="1">
      <c r="B49" s="902" t="s">
        <v>1167</v>
      </c>
      <c r="C49" s="442">
        <v>42</v>
      </c>
      <c r="D49" s="442">
        <v>147</v>
      </c>
      <c r="F49" s="442">
        <v>610.5</v>
      </c>
      <c r="G49" s="442">
        <v>0</v>
      </c>
      <c r="H49" s="442">
        <v>0</v>
      </c>
      <c r="I49" s="442">
        <v>0</v>
      </c>
      <c r="J49" s="442">
        <v>0</v>
      </c>
      <c r="K49" s="442">
        <v>0</v>
      </c>
      <c r="L49" s="442">
        <v>0</v>
      </c>
    </row>
    <row r="50" spans="2:23" hidden="1">
      <c r="B50" s="902"/>
    </row>
    <row r="52" spans="2:23" s="1144" customFormat="1">
      <c r="B52" s="1144" t="s">
        <v>570</v>
      </c>
      <c r="C52" s="1145">
        <f>C53+C57</f>
        <v>2842.0994065262435</v>
      </c>
      <c r="D52" s="1145">
        <f t="shared" ref="D52:L52" si="30">D53+D57</f>
        <v>7524.5000420000033</v>
      </c>
      <c r="E52" s="1145">
        <f t="shared" si="30"/>
        <v>4297</v>
      </c>
      <c r="F52" s="1145">
        <f>F53+F57</f>
        <v>14924.596481500001</v>
      </c>
      <c r="G52" s="1145">
        <f t="shared" si="30"/>
        <v>109993.6075759472</v>
      </c>
      <c r="H52" s="1145">
        <f t="shared" si="30"/>
        <v>200625.24393149611</v>
      </c>
      <c r="I52" s="1145">
        <f t="shared" si="30"/>
        <v>249230.44928728577</v>
      </c>
      <c r="J52" s="1145">
        <f t="shared" si="30"/>
        <v>319349.75249495305</v>
      </c>
      <c r="K52" s="1145">
        <f t="shared" si="30"/>
        <v>402409.26265926362</v>
      </c>
      <c r="L52" s="1145">
        <f t="shared" si="30"/>
        <v>528700.38332099759</v>
      </c>
      <c r="M52" s="1145"/>
      <c r="N52" s="1146">
        <f t="shared" ref="N52:P53" si="31">C52/C$6</f>
        <v>2.4354071604072408E-2</v>
      </c>
      <c r="O52" s="1146">
        <f t="shared" si="31"/>
        <v>2.4093118176980954E-2</v>
      </c>
      <c r="P52" s="1146">
        <f t="shared" si="31"/>
        <v>1.5854127807186775E-2</v>
      </c>
      <c r="Q52" s="1146">
        <f t="shared" ref="Q52:W55" si="32">F52/F$6</f>
        <v>3.4844214547920173E-2</v>
      </c>
      <c r="R52" s="1146">
        <f t="shared" si="32"/>
        <v>0.16030465362213392</v>
      </c>
      <c r="S52" s="1146">
        <f t="shared" si="32"/>
        <v>0.21149891265155635</v>
      </c>
      <c r="T52" s="1146">
        <f t="shared" si="32"/>
        <v>0.18829050392593219</v>
      </c>
      <c r="U52" s="1146">
        <f t="shared" si="32"/>
        <v>0.18585455392055725</v>
      </c>
      <c r="V52" s="1146">
        <f t="shared" si="32"/>
        <v>0.1803495302740877</v>
      </c>
      <c r="W52" s="1146">
        <f t="shared" si="32"/>
        <v>0.18238055642253662</v>
      </c>
    </row>
    <row r="53" spans="2:23" s="669" customFormat="1">
      <c r="B53" s="906" t="s">
        <v>752</v>
      </c>
      <c r="C53" s="842">
        <f>SUM(C54:C55)</f>
        <v>393.02867351856338</v>
      </c>
      <c r="D53" s="842">
        <f t="shared" ref="D53:L53" si="33">SUM(D54:D55)</f>
        <v>2024.0000000000007</v>
      </c>
      <c r="E53" s="842">
        <v>361</v>
      </c>
      <c r="F53" s="842">
        <f t="shared" si="33"/>
        <v>2761.2233000000001</v>
      </c>
      <c r="G53" s="842">
        <f t="shared" si="33"/>
        <v>29255.063114906141</v>
      </c>
      <c r="H53" s="842">
        <f t="shared" si="33"/>
        <v>46643.430429988606</v>
      </c>
      <c r="I53" s="842">
        <f t="shared" si="33"/>
        <v>33579.669417383033</v>
      </c>
      <c r="J53" s="842">
        <f t="shared" si="33"/>
        <v>21764.193978887248</v>
      </c>
      <c r="K53" s="842">
        <f t="shared" si="33"/>
        <v>9596.0193800938268</v>
      </c>
      <c r="L53" s="842">
        <f t="shared" si="33"/>
        <v>3372.1805454729888</v>
      </c>
      <c r="N53" s="671">
        <f t="shared" si="31"/>
        <v>3.3678795454321858E-3</v>
      </c>
      <c r="O53" s="671">
        <f t="shared" si="31"/>
        <v>6.4807589764127272E-3</v>
      </c>
      <c r="P53" s="671">
        <f t="shared" si="31"/>
        <v>1.3319385939945139E-3</v>
      </c>
      <c r="Q53" s="671">
        <f t="shared" si="32"/>
        <v>6.4465834770928605E-3</v>
      </c>
      <c r="R53" s="671">
        <f t="shared" si="32"/>
        <v>4.2636320988840973E-2</v>
      </c>
      <c r="S53" s="671">
        <f t="shared" si="32"/>
        <v>4.9171453327426437E-2</v>
      </c>
      <c r="T53" s="671">
        <f t="shared" si="32"/>
        <v>2.5369022502451561E-2</v>
      </c>
      <c r="U53" s="671">
        <f t="shared" si="32"/>
        <v>1.2666283696119331E-2</v>
      </c>
      <c r="V53" s="671">
        <f t="shared" si="32"/>
        <v>4.3006902382522081E-3</v>
      </c>
      <c r="W53" s="671">
        <f t="shared" si="32"/>
        <v>1.1632678614254201E-3</v>
      </c>
    </row>
    <row r="54" spans="2:23" hidden="1">
      <c r="B54" s="905" t="s">
        <v>753</v>
      </c>
      <c r="C54" s="442">
        <v>393.02867351856338</v>
      </c>
      <c r="D54" s="442">
        <v>2024.0000000000007</v>
      </c>
      <c r="F54" s="442">
        <v>0</v>
      </c>
      <c r="G54" s="442">
        <f>'GA Cost Projection'!D22</f>
        <v>10740</v>
      </c>
      <c r="H54" s="442">
        <f>'GA Cost Projection'!E22</f>
        <v>30620</v>
      </c>
      <c r="I54" s="442">
        <f>'GA Cost Projection'!F22</f>
        <v>24840</v>
      </c>
      <c r="J54" s="442">
        <f>'GA Cost Projection'!G22</f>
        <v>14575</v>
      </c>
      <c r="K54" s="442">
        <f>'GA Cost Projection'!H22</f>
        <v>5625</v>
      </c>
      <c r="L54" s="442">
        <f>'GA Cost Projection'!I22</f>
        <v>0</v>
      </c>
      <c r="N54" s="594">
        <f>C54/C$6</f>
        <v>3.3678795454321858E-3</v>
      </c>
      <c r="O54" s="594">
        <f>D54/D$6</f>
        <v>6.4807589764127272E-3</v>
      </c>
      <c r="Q54" s="594">
        <f t="shared" si="32"/>
        <v>0</v>
      </c>
      <c r="R54" s="594">
        <f t="shared" si="32"/>
        <v>1.5652473064972951E-2</v>
      </c>
      <c r="S54" s="594">
        <f t="shared" si="32"/>
        <v>3.2279570499123889E-2</v>
      </c>
      <c r="T54" s="594">
        <f t="shared" si="32"/>
        <v>1.8766310982045623E-2</v>
      </c>
      <c r="U54" s="594">
        <f t="shared" si="32"/>
        <v>8.4823304299724862E-3</v>
      </c>
      <c r="V54" s="594">
        <f t="shared" si="32"/>
        <v>2.5209810059733471E-3</v>
      </c>
      <c r="W54" s="594">
        <f t="shared" si="32"/>
        <v>0</v>
      </c>
    </row>
    <row r="55" spans="2:23" hidden="1">
      <c r="B55" s="905" t="s">
        <v>754</v>
      </c>
      <c r="F55" s="442">
        <v>2761.2233000000001</v>
      </c>
      <c r="G55" s="442">
        <f>'GA Cost Projection'!D23</f>
        <v>18515.063114906141</v>
      </c>
      <c r="H55" s="442">
        <f>'GA Cost Projection'!E23</f>
        <v>16023.430429988608</v>
      </c>
      <c r="I55" s="442">
        <f>'GA Cost Projection'!F23</f>
        <v>8739.6694173830347</v>
      </c>
      <c r="J55" s="442">
        <f>'GA Cost Projection'!G23</f>
        <v>7189.1939788872478</v>
      </c>
      <c r="K55" s="442">
        <f>'GA Cost Projection'!H23</f>
        <v>3971.0193800938264</v>
      </c>
      <c r="L55" s="442">
        <f>'GA Cost Projection'!I23</f>
        <v>3372.1805454729888</v>
      </c>
      <c r="N55" s="594">
        <f>C55/C$6</f>
        <v>0</v>
      </c>
      <c r="O55" s="594">
        <f>D55/D$6</f>
        <v>0</v>
      </c>
      <c r="Q55" s="594">
        <f t="shared" si="32"/>
        <v>6.4465834770928605E-3</v>
      </c>
      <c r="R55" s="594">
        <f t="shared" si="32"/>
        <v>2.6983847923868022E-2</v>
      </c>
      <c r="S55" s="594">
        <f t="shared" si="32"/>
        <v>1.6891882828302555E-2</v>
      </c>
      <c r="T55" s="594">
        <f t="shared" si="32"/>
        <v>6.6027115204059387E-3</v>
      </c>
      <c r="U55" s="594">
        <f t="shared" si="32"/>
        <v>4.1839532661468457E-3</v>
      </c>
      <c r="V55" s="594">
        <f t="shared" si="32"/>
        <v>1.7797092322788608E-3</v>
      </c>
      <c r="W55" s="594">
        <f t="shared" si="32"/>
        <v>1.1632678614254201E-3</v>
      </c>
    </row>
    <row r="56" spans="2:23" hidden="1"/>
    <row r="57" spans="2:23" s="669" customFormat="1">
      <c r="B57" s="906" t="s">
        <v>755</v>
      </c>
      <c r="C57" s="842">
        <f>SUM(C58:C62)</f>
        <v>2449.0707330076802</v>
      </c>
      <c r="D57" s="842">
        <f t="shared" ref="D57:L57" si="34">SUM(D58:D62)</f>
        <v>5500.5000420000024</v>
      </c>
      <c r="E57" s="842">
        <f>1306+2630</f>
        <v>3936</v>
      </c>
      <c r="F57" s="842">
        <f t="shared" si="34"/>
        <v>12163.373181500001</v>
      </c>
      <c r="G57" s="842">
        <f t="shared" si="34"/>
        <v>80738.544461041063</v>
      </c>
      <c r="H57" s="842">
        <f t="shared" si="34"/>
        <v>153981.81350150751</v>
      </c>
      <c r="I57" s="842">
        <f t="shared" si="34"/>
        <v>215650.77986990273</v>
      </c>
      <c r="J57" s="842">
        <f t="shared" si="34"/>
        <v>297585.55851606582</v>
      </c>
      <c r="K57" s="842">
        <f t="shared" si="34"/>
        <v>392813.24327916978</v>
      </c>
      <c r="L57" s="842">
        <f t="shared" si="34"/>
        <v>525328.20277552458</v>
      </c>
      <c r="N57" s="671">
        <f>C57/C$6</f>
        <v>2.0986192058640225E-2</v>
      </c>
      <c r="O57" s="671">
        <f>D57/D$6</f>
        <v>1.7612359200568226E-2</v>
      </c>
      <c r="P57" s="671">
        <f>E57/E$6</f>
        <v>1.4522189213192262E-2</v>
      </c>
      <c r="Q57" s="671">
        <f t="shared" ref="Q57:W61" si="35">F57/F$6</f>
        <v>2.8397631070827309E-2</v>
      </c>
      <c r="R57" s="671">
        <f t="shared" si="35"/>
        <v>0.11766833263329295</v>
      </c>
      <c r="S57" s="671">
        <f t="shared" si="35"/>
        <v>0.1623274593241299</v>
      </c>
      <c r="T57" s="671">
        <f t="shared" si="35"/>
        <v>0.16292148142348065</v>
      </c>
      <c r="U57" s="671">
        <f t="shared" si="35"/>
        <v>0.17318827022443795</v>
      </c>
      <c r="V57" s="671">
        <f t="shared" si="35"/>
        <v>0.17604884003583549</v>
      </c>
      <c r="W57" s="671">
        <f t="shared" si="35"/>
        <v>0.18121728856111119</v>
      </c>
    </row>
    <row r="58" spans="2:23" hidden="1">
      <c r="B58" s="903" t="s">
        <v>756</v>
      </c>
      <c r="F58" s="442">
        <v>202.73570999999998</v>
      </c>
      <c r="G58" s="442">
        <f>'GA Cost Projection'!D26</f>
        <v>1543.8899397568548</v>
      </c>
      <c r="H58" s="442">
        <f>'GA Cost Projection'!E26</f>
        <v>2418.9312074416334</v>
      </c>
      <c r="I58" s="442">
        <f>'GA Cost Projection'!F26</f>
        <v>3220.3080314923732</v>
      </c>
      <c r="J58" s="442">
        <f>'GA Cost Projection'!G26</f>
        <v>4228.1333173568764</v>
      </c>
      <c r="K58" s="442">
        <f>'GA Cost Projection'!H26</f>
        <v>5640.0918752685866</v>
      </c>
      <c r="L58" s="442">
        <f>'GA Cost Projection'!I26</f>
        <v>7147.8061899473241</v>
      </c>
      <c r="N58" s="594">
        <f t="shared" ref="N58:O61" si="36">C58/C$6</f>
        <v>0</v>
      </c>
      <c r="O58" s="594">
        <f t="shared" si="36"/>
        <v>0</v>
      </c>
      <c r="Q58" s="594">
        <f t="shared" si="35"/>
        <v>4.7332379032970261E-4</v>
      </c>
      <c r="R58" s="594">
        <f t="shared" si="35"/>
        <v>2.2500647762874193E-3</v>
      </c>
      <c r="S58" s="594">
        <f t="shared" si="35"/>
        <v>2.5500346323691402E-3</v>
      </c>
      <c r="T58" s="594">
        <f t="shared" si="35"/>
        <v>2.4329026560774977E-3</v>
      </c>
      <c r="U58" s="594">
        <f t="shared" si="35"/>
        <v>2.4606808850632417E-3</v>
      </c>
      <c r="V58" s="594">
        <f t="shared" si="35"/>
        <v>2.5277447981327476E-3</v>
      </c>
      <c r="W58" s="594">
        <f t="shared" si="35"/>
        <v>2.465708199291314E-3</v>
      </c>
    </row>
    <row r="59" spans="2:23" hidden="1">
      <c r="B59" s="903" t="s">
        <v>757</v>
      </c>
      <c r="C59" s="442">
        <v>2449.0707330076802</v>
      </c>
      <c r="D59" s="442">
        <v>5500.5000420000024</v>
      </c>
      <c r="F59" s="442">
        <f>7017.32921+2630</f>
        <v>9647.3292099999999</v>
      </c>
      <c r="G59" s="442">
        <f>'GA Cost Projection'!D27</f>
        <v>55163.554205540029</v>
      </c>
      <c r="H59" s="442">
        <f>'GA Cost Projection'!E27</f>
        <v>105572.11624339578</v>
      </c>
      <c r="I59" s="442">
        <f>'GA Cost Projection'!F27</f>
        <v>147969.83355760676</v>
      </c>
      <c r="J59" s="442">
        <f>'GA Cost Projection'!G27</f>
        <v>204340.03184138419</v>
      </c>
      <c r="K59" s="442">
        <f>'GA Cost Projection'!H27</f>
        <v>269687.98908843979</v>
      </c>
      <c r="L59" s="442">
        <f>'GA Cost Projection'!I27</f>
        <v>360941.94195410446</v>
      </c>
      <c r="N59" s="594">
        <f t="shared" si="36"/>
        <v>2.0986192058640225E-2</v>
      </c>
      <c r="O59" s="594">
        <f t="shared" si="36"/>
        <v>1.7612359200568226E-2</v>
      </c>
      <c r="Q59" s="594">
        <f t="shared" si="35"/>
        <v>2.2523463815208755E-2</v>
      </c>
      <c r="R59" s="594">
        <f t="shared" si="35"/>
        <v>8.0395348824058716E-2</v>
      </c>
      <c r="S59" s="594">
        <f t="shared" si="35"/>
        <v>0.11129400943894173</v>
      </c>
      <c r="T59" s="594">
        <f t="shared" si="35"/>
        <v>0.11178936845827613</v>
      </c>
      <c r="U59" s="594">
        <f t="shared" si="35"/>
        <v>0.11892141819209055</v>
      </c>
      <c r="V59" s="594">
        <f t="shared" si="35"/>
        <v>0.12086725298330739</v>
      </c>
      <c r="W59" s="594">
        <f t="shared" si="35"/>
        <v>0.12451058158180468</v>
      </c>
    </row>
    <row r="60" spans="2:23" hidden="1">
      <c r="B60" s="903" t="s">
        <v>758</v>
      </c>
      <c r="F60" s="442">
        <v>1260.7088800000001</v>
      </c>
      <c r="G60" s="442">
        <f>'GA Cost Projection'!D28</f>
        <v>16973.401294012318</v>
      </c>
      <c r="H60" s="442">
        <f>'GA Cost Projection'!E28</f>
        <v>32483.728074891009</v>
      </c>
      <c r="I60" s="442">
        <f>'GA Cost Projection'!F28</f>
        <v>34146.884667140017</v>
      </c>
      <c r="J60" s="442">
        <f>'GA Cost Projection'!G28</f>
        <v>47155.391963396352</v>
      </c>
      <c r="K60" s="442">
        <f>'GA Cost Projection'!H28</f>
        <v>62235.689789639953</v>
      </c>
      <c r="L60" s="442">
        <f>'GA Cost Projection'!I28</f>
        <v>83294.294297101034</v>
      </c>
      <c r="N60" s="594">
        <f t="shared" si="36"/>
        <v>0</v>
      </c>
      <c r="O60" s="594">
        <f t="shared" si="36"/>
        <v>0</v>
      </c>
      <c r="Q60" s="594">
        <f t="shared" si="35"/>
        <v>2.9433566764528771E-3</v>
      </c>
      <c r="R60" s="594">
        <f t="shared" si="35"/>
        <v>2.4737030407402685E-2</v>
      </c>
      <c r="S60" s="594">
        <f t="shared" si="35"/>
        <v>3.4244310596597459E-2</v>
      </c>
      <c r="T60" s="594">
        <f t="shared" si="35"/>
        <v>2.5797546567294487E-2</v>
      </c>
      <c r="U60" s="594">
        <f t="shared" si="35"/>
        <v>2.7443404198174742E-2</v>
      </c>
      <c r="V60" s="594">
        <f t="shared" si="35"/>
        <v>2.7892442996147859E-2</v>
      </c>
      <c r="W60" s="594">
        <f t="shared" si="35"/>
        <v>2.8733211134262623E-2</v>
      </c>
    </row>
    <row r="61" spans="2:23" hidden="1">
      <c r="B61" s="903" t="s">
        <v>697</v>
      </c>
      <c r="F61" s="442">
        <v>1052.5993814999999</v>
      </c>
      <c r="G61" s="442">
        <f>'GA Cost Projection'!D29</f>
        <v>7057.6990217318653</v>
      </c>
      <c r="H61" s="442">
        <f>'GA Cost Projection'!E29</f>
        <v>13507.037975779087</v>
      </c>
      <c r="I61" s="442">
        <f>'GA Cost Projection'!F29</f>
        <v>18931.458724616907</v>
      </c>
      <c r="J61" s="442">
        <f>'GA Cost Projection'!G29</f>
        <v>26143.537406129639</v>
      </c>
      <c r="K61" s="442">
        <f>'GA Cost Projection'!H29</f>
        <v>34504.242595941389</v>
      </c>
      <c r="L61" s="442">
        <f>'GA Cost Projection'!I29</f>
        <v>46179.395568671462</v>
      </c>
      <c r="N61" s="594">
        <f t="shared" si="36"/>
        <v>0</v>
      </c>
      <c r="O61" s="594">
        <f t="shared" si="36"/>
        <v>0</v>
      </c>
      <c r="Q61" s="594">
        <f t="shared" si="35"/>
        <v>2.457486788835971E-3</v>
      </c>
      <c r="R61" s="594">
        <f t="shared" si="35"/>
        <v>1.028588862554413E-2</v>
      </c>
      <c r="S61" s="594">
        <f t="shared" si="35"/>
        <v>1.4239104656221574E-2</v>
      </c>
      <c r="T61" s="594">
        <f t="shared" si="35"/>
        <v>1.4302481552734368E-2</v>
      </c>
      <c r="U61" s="594">
        <f t="shared" si="35"/>
        <v>1.5214965549717831E-2</v>
      </c>
      <c r="V61" s="594">
        <f t="shared" si="35"/>
        <v>1.5463918259531509E-2</v>
      </c>
      <c r="W61" s="594">
        <f t="shared" si="35"/>
        <v>1.5930050600998363E-2</v>
      </c>
    </row>
    <row r="62" spans="2:23" hidden="1">
      <c r="B62" s="903" t="s">
        <v>759</v>
      </c>
      <c r="G62" s="442">
        <f>'GA Cost Projection'!D30</f>
        <v>0</v>
      </c>
      <c r="H62" s="442">
        <f>'GA Cost Projection'!E30</f>
        <v>0</v>
      </c>
      <c r="I62" s="442">
        <f>'GA Cost Projection'!F30</f>
        <v>11382.294889046674</v>
      </c>
      <c r="J62" s="442">
        <f>'GA Cost Projection'!G30</f>
        <v>15718.463987798785</v>
      </c>
      <c r="K62" s="442">
        <f>'GA Cost Projection'!H30</f>
        <v>20745.229929879984</v>
      </c>
      <c r="L62" s="442">
        <f>'GA Cost Projection'!I30</f>
        <v>27764.764765700344</v>
      </c>
    </row>
    <row r="63" spans="2:23">
      <c r="F63" s="464"/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2:H23"/>
  <sheetViews>
    <sheetView showGridLines="0" zoomScale="90" zoomScaleNormal="90" workbookViewId="0">
      <selection activeCell="D7" sqref="D7"/>
    </sheetView>
  </sheetViews>
  <sheetFormatPr defaultRowHeight="15"/>
  <cols>
    <col min="1" max="1" width="3.140625" customWidth="1"/>
    <col min="2" max="2" width="16.85546875" customWidth="1"/>
    <col min="3" max="3" width="27.7109375" customWidth="1"/>
    <col min="4" max="4" width="27.28515625" customWidth="1"/>
    <col min="5" max="5" width="29.42578125" customWidth="1"/>
    <col min="6" max="7" width="30.5703125" customWidth="1"/>
    <col min="8" max="8" width="35.7109375" customWidth="1"/>
  </cols>
  <sheetData>
    <row r="2" spans="2:8" ht="30" customHeight="1">
      <c r="B2" s="1395" t="s">
        <v>1348</v>
      </c>
      <c r="C2" s="1390" t="s">
        <v>841</v>
      </c>
      <c r="D2" s="1390" t="s">
        <v>1266</v>
      </c>
      <c r="E2" s="1390" t="s">
        <v>628</v>
      </c>
      <c r="F2" s="1390" t="s">
        <v>506</v>
      </c>
      <c r="G2" s="1392" t="s">
        <v>629</v>
      </c>
    </row>
    <row r="3" spans="2:8" ht="30" customHeight="1">
      <c r="B3" s="1396" t="s">
        <v>1349</v>
      </c>
      <c r="C3" s="1394" t="s">
        <v>1266</v>
      </c>
      <c r="D3" s="1391" t="s">
        <v>628</v>
      </c>
      <c r="E3" s="1391" t="s">
        <v>506</v>
      </c>
      <c r="F3" s="1391" t="s">
        <v>629</v>
      </c>
      <c r="G3" s="1393" t="s">
        <v>630</v>
      </c>
    </row>
    <row r="4" spans="2:8" ht="30" customHeight="1">
      <c r="B4" s="1373" t="s">
        <v>1354</v>
      </c>
      <c r="C4" s="1374" t="s">
        <v>1350</v>
      </c>
      <c r="D4" s="1374" t="s">
        <v>1350</v>
      </c>
      <c r="E4" s="1375" t="s">
        <v>1351</v>
      </c>
      <c r="F4" s="1389" t="s">
        <v>1352</v>
      </c>
      <c r="G4" s="1376" t="s">
        <v>1352</v>
      </c>
    </row>
    <row r="5" spans="2:8" ht="30" customHeight="1">
      <c r="B5" s="1373" t="s">
        <v>717</v>
      </c>
      <c r="C5" s="1374" t="s">
        <v>1355</v>
      </c>
      <c r="D5" s="1374" t="s">
        <v>1356</v>
      </c>
      <c r="E5" s="1374" t="s">
        <v>1356</v>
      </c>
      <c r="F5" s="1389" t="s">
        <v>1357</v>
      </c>
      <c r="G5" s="1376" t="s">
        <v>1357</v>
      </c>
    </row>
    <row r="6" spans="2:8" s="675" customFormat="1" ht="30" customHeight="1">
      <c r="B6" s="1377" t="s">
        <v>1358</v>
      </c>
      <c r="C6" s="1378" t="s">
        <v>1353</v>
      </c>
      <c r="D6" s="1379" t="s">
        <v>1359</v>
      </c>
      <c r="E6" s="1379" t="s">
        <v>1345</v>
      </c>
      <c r="F6" s="1379" t="s">
        <v>1346</v>
      </c>
      <c r="G6" s="1380" t="s">
        <v>1347</v>
      </c>
    </row>
    <row r="7" spans="2:8" s="675" customFormat="1" ht="30" customHeight="1">
      <c r="B7" s="1377" t="s">
        <v>357</v>
      </c>
      <c r="C7" s="1385" t="s">
        <v>1362</v>
      </c>
      <c r="D7" s="1379" t="s">
        <v>1420</v>
      </c>
      <c r="E7" s="1379" t="s">
        <v>1366</v>
      </c>
      <c r="F7" s="1398" t="s">
        <v>1386</v>
      </c>
      <c r="G7" s="1399" t="s">
        <v>1373</v>
      </c>
    </row>
    <row r="8" spans="2:8" s="675" customFormat="1" ht="30" customHeight="1">
      <c r="B8" s="1377"/>
      <c r="C8" s="1378" t="s">
        <v>462</v>
      </c>
      <c r="D8" s="1382" t="s">
        <v>1363</v>
      </c>
      <c r="E8" s="1379" t="s">
        <v>1367</v>
      </c>
      <c r="F8" s="1382" t="s">
        <v>1369</v>
      </c>
      <c r="G8" s="1381" t="s">
        <v>1372</v>
      </c>
    </row>
    <row r="9" spans="2:8" s="675" customFormat="1" ht="30" customHeight="1">
      <c r="B9" s="1377"/>
      <c r="C9" s="1378" t="s">
        <v>1360</v>
      </c>
      <c r="D9" s="1379" t="s">
        <v>1364</v>
      </c>
      <c r="E9" s="1379" t="s">
        <v>1368</v>
      </c>
      <c r="F9" s="1379" t="s">
        <v>1370</v>
      </c>
      <c r="G9" s="1381"/>
    </row>
    <row r="10" spans="2:8" s="675" customFormat="1" ht="30" customHeight="1">
      <c r="B10" s="1386"/>
      <c r="C10" s="1387" t="s">
        <v>1361</v>
      </c>
      <c r="D10" s="1388" t="s">
        <v>1365</v>
      </c>
      <c r="E10" s="1388" t="s">
        <v>1365</v>
      </c>
      <c r="F10" s="1379" t="s">
        <v>1371</v>
      </c>
      <c r="G10" s="1381"/>
    </row>
    <row r="11" spans="2:8" ht="30" customHeight="1">
      <c r="B11" s="713"/>
      <c r="C11" s="714"/>
      <c r="D11" s="1384" t="s">
        <v>1361</v>
      </c>
      <c r="E11" s="714"/>
      <c r="F11" s="714"/>
      <c r="G11" s="492"/>
    </row>
    <row r="14" spans="2:8" ht="20.100000000000001" customHeight="1">
      <c r="B14" s="1395" t="s">
        <v>1348</v>
      </c>
      <c r="C14" s="1390" t="s">
        <v>841</v>
      </c>
      <c r="D14" s="1390" t="s">
        <v>1266</v>
      </c>
      <c r="E14" s="1390" t="s">
        <v>628</v>
      </c>
      <c r="F14" s="1390" t="s">
        <v>506</v>
      </c>
      <c r="G14" s="1390" t="s">
        <v>629</v>
      </c>
      <c r="H14" s="1392" t="s">
        <v>630</v>
      </c>
    </row>
    <row r="15" spans="2:8" ht="20.100000000000001" customHeight="1">
      <c r="B15" s="1396" t="s">
        <v>1349</v>
      </c>
      <c r="C15" s="1394"/>
      <c r="D15" s="1391"/>
      <c r="E15" s="1391"/>
      <c r="F15" s="1391"/>
      <c r="G15" s="1391"/>
      <c r="H15" s="1393"/>
    </row>
    <row r="16" spans="2:8" ht="20.100000000000001" customHeight="1">
      <c r="B16" s="1397" t="s">
        <v>1354</v>
      </c>
      <c r="C16" s="1400" t="s">
        <v>1350</v>
      </c>
      <c r="D16" s="1400" t="s">
        <v>1350</v>
      </c>
      <c r="E16" s="1389" t="s">
        <v>1351</v>
      </c>
      <c r="F16" s="1389" t="s">
        <v>1352</v>
      </c>
      <c r="G16" s="1389" t="s">
        <v>1352</v>
      </c>
      <c r="H16" s="1401" t="s">
        <v>1352</v>
      </c>
    </row>
    <row r="17" spans="2:8" ht="20.100000000000001" customHeight="1">
      <c r="B17" s="1397" t="s">
        <v>717</v>
      </c>
      <c r="C17" s="1400" t="s">
        <v>1355</v>
      </c>
      <c r="D17" s="1400" t="s">
        <v>1356</v>
      </c>
      <c r="E17" s="1400" t="s">
        <v>1356</v>
      </c>
      <c r="F17" s="1389" t="s">
        <v>1356</v>
      </c>
      <c r="G17" s="1389" t="s">
        <v>1357</v>
      </c>
      <c r="H17" s="1401" t="s">
        <v>1357</v>
      </c>
    </row>
    <row r="18" spans="2:8" ht="30" customHeight="1">
      <c r="B18" s="1377" t="s">
        <v>357</v>
      </c>
      <c r="C18" s="1385" t="s">
        <v>1375</v>
      </c>
      <c r="D18" s="1379" t="s">
        <v>1380</v>
      </c>
      <c r="E18" s="1379" t="s">
        <v>1382</v>
      </c>
      <c r="F18" s="1379" t="s">
        <v>1383</v>
      </c>
      <c r="G18" s="1379" t="s">
        <v>1385</v>
      </c>
      <c r="H18" s="1379" t="s">
        <v>1383</v>
      </c>
    </row>
    <row r="19" spans="2:8" ht="44.25" customHeight="1">
      <c r="B19" s="1377"/>
      <c r="C19" s="1403" t="s">
        <v>1374</v>
      </c>
      <c r="D19" s="1382" t="s">
        <v>1381</v>
      </c>
      <c r="E19" s="1379" t="s">
        <v>1290</v>
      </c>
      <c r="F19" s="1379" t="s">
        <v>1300</v>
      </c>
      <c r="G19" s="1398" t="s">
        <v>1386</v>
      </c>
      <c r="H19" s="1381" t="s">
        <v>1372</v>
      </c>
    </row>
    <row r="20" spans="2:8" ht="30" customHeight="1">
      <c r="B20" s="1377"/>
      <c r="C20" s="1378" t="s">
        <v>1376</v>
      </c>
      <c r="D20" s="1379"/>
      <c r="E20" s="1379" t="s">
        <v>1292</v>
      </c>
      <c r="F20" s="1379" t="s">
        <v>1384</v>
      </c>
      <c r="G20" s="1379"/>
      <c r="H20" s="1381"/>
    </row>
    <row r="21" spans="2:8" ht="30" customHeight="1">
      <c r="B21" s="1386"/>
      <c r="C21" s="1404" t="s">
        <v>1377</v>
      </c>
      <c r="D21" s="1388"/>
      <c r="E21" s="1402" t="s">
        <v>1338</v>
      </c>
      <c r="F21" s="1388" t="s">
        <v>1365</v>
      </c>
      <c r="G21" s="1379"/>
      <c r="H21" s="1381"/>
    </row>
    <row r="22" spans="2:8" ht="30" customHeight="1">
      <c r="B22" s="1386"/>
      <c r="C22" s="1404" t="s">
        <v>1378</v>
      </c>
      <c r="D22" s="1388"/>
      <c r="E22" s="1402" t="s">
        <v>1337</v>
      </c>
      <c r="F22" s="1379"/>
      <c r="G22" s="1379"/>
      <c r="H22" s="1381"/>
    </row>
    <row r="23" spans="2:8" ht="30" customHeight="1">
      <c r="B23" s="713"/>
      <c r="C23" s="1405" t="s">
        <v>1379</v>
      </c>
      <c r="D23" s="1384"/>
      <c r="E23" s="1383" t="s">
        <v>1365</v>
      </c>
      <c r="F23" s="714"/>
      <c r="G23" s="714"/>
      <c r="H23" s="49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118"/>
  <sheetViews>
    <sheetView showGridLines="0" topLeftCell="D99" zoomScale="90" zoomScaleNormal="90" workbookViewId="0">
      <selection activeCell="I95" sqref="I95"/>
    </sheetView>
  </sheetViews>
  <sheetFormatPr defaultColWidth="9.140625" defaultRowHeight="15"/>
  <cols>
    <col min="1" max="1" width="4.28515625" style="141" customWidth="1"/>
    <col min="2" max="2" width="14.7109375" style="141" customWidth="1"/>
    <col min="3" max="3" width="9.140625" style="141"/>
    <col min="4" max="4" width="41.85546875" style="141" customWidth="1"/>
    <col min="5" max="5" width="4.5703125" style="141" customWidth="1"/>
    <col min="6" max="6" width="9.140625" style="141"/>
    <col min="7" max="7" width="39.85546875" style="141" customWidth="1"/>
    <col min="8" max="10" width="9.140625" style="141"/>
    <col min="11" max="11" width="9.5703125" style="141" customWidth="1"/>
    <col min="12" max="16384" width="9.140625" style="141"/>
  </cols>
  <sheetData>
    <row r="1" spans="1:19">
      <c r="A1" s="1144" t="s">
        <v>1329</v>
      </c>
    </row>
    <row r="2" spans="1:19">
      <c r="A2" s="1144"/>
    </row>
    <row r="4" spans="1:19">
      <c r="B4" s="1307"/>
      <c r="C4" s="1308" t="s">
        <v>1243</v>
      </c>
      <c r="D4" s="1307"/>
      <c r="E4" s="1307"/>
      <c r="F4" s="1307"/>
      <c r="G4" s="1307"/>
      <c r="H4" s="1309" t="s">
        <v>1246</v>
      </c>
      <c r="I4" s="1307"/>
      <c r="J4" s="1307"/>
      <c r="K4" s="1307"/>
      <c r="L4" s="1307"/>
      <c r="M4" s="1310"/>
      <c r="N4" s="1310"/>
      <c r="O4" s="1310"/>
      <c r="P4" s="1310"/>
      <c r="Q4" s="1310"/>
    </row>
    <row r="5" spans="1:19">
      <c r="A5" s="1311"/>
      <c r="B5" s="1312"/>
      <c r="C5" s="1313"/>
      <c r="D5" s="1312"/>
      <c r="E5" s="1312"/>
      <c r="F5" s="1312"/>
      <c r="G5" s="1312"/>
      <c r="H5" s="1314"/>
      <c r="I5" s="1315"/>
      <c r="J5" s="1315"/>
      <c r="K5" s="1315"/>
      <c r="L5" s="1315"/>
      <c r="M5" s="1316"/>
      <c r="N5" s="1316"/>
      <c r="O5" s="1316"/>
      <c r="P5" s="1316"/>
      <c r="Q5" s="1316"/>
      <c r="R5" s="1316"/>
      <c r="S5" s="1317"/>
    </row>
    <row r="6" spans="1:19">
      <c r="A6" s="1311"/>
      <c r="B6" s="1353" t="s">
        <v>1328</v>
      </c>
      <c r="C6" s="1319"/>
      <c r="D6" s="1312"/>
      <c r="E6" s="1312"/>
      <c r="F6" s="1312"/>
      <c r="G6" s="1312"/>
      <c r="H6" s="1320" t="s">
        <v>1247</v>
      </c>
      <c r="I6" s="1315"/>
      <c r="J6" s="1315"/>
      <c r="K6" s="1315"/>
      <c r="L6" s="1315"/>
      <c r="M6" s="1316"/>
      <c r="N6" s="1316"/>
      <c r="O6" s="1316"/>
      <c r="P6" s="1316"/>
      <c r="Q6" s="1316"/>
      <c r="R6" s="1316"/>
      <c r="S6" s="1317"/>
    </row>
    <row r="7" spans="1:19">
      <c r="A7" s="1311"/>
      <c r="B7" s="1311"/>
      <c r="C7" s="1319"/>
      <c r="D7" s="1312"/>
      <c r="E7" s="1312"/>
      <c r="F7" s="1312"/>
      <c r="G7" s="1312"/>
      <c r="H7" s="422"/>
      <c r="I7" s="1321" t="s">
        <v>1248</v>
      </c>
      <c r="J7" s="1315"/>
      <c r="K7" s="1322"/>
      <c r="L7" s="1315"/>
      <c r="M7" s="1316"/>
      <c r="N7" s="1316"/>
      <c r="O7" s="1316"/>
      <c r="P7" s="1316"/>
      <c r="Q7" s="1316"/>
      <c r="R7" s="1316"/>
      <c r="S7" s="1317"/>
    </row>
    <row r="8" spans="1:19">
      <c r="A8" s="1311"/>
      <c r="B8" s="1318"/>
      <c r="C8" s="1319"/>
      <c r="D8" s="1312"/>
      <c r="E8" s="1312"/>
      <c r="F8" s="1312"/>
      <c r="G8" s="1312"/>
      <c r="H8" s="422"/>
      <c r="I8" s="1315" t="s">
        <v>1249</v>
      </c>
      <c r="J8" s="1315"/>
      <c r="K8" s="1322"/>
      <c r="L8" s="1315"/>
      <c r="M8" s="1316"/>
      <c r="N8" s="1316"/>
      <c r="O8" s="1316"/>
      <c r="P8" s="1316"/>
      <c r="Q8" s="1316"/>
      <c r="R8" s="1316"/>
      <c r="S8" s="1317"/>
    </row>
    <row r="9" spans="1:19">
      <c r="A9" s="1311"/>
      <c r="B9" s="1318"/>
      <c r="C9" s="1319"/>
      <c r="D9" s="1312"/>
      <c r="E9" s="1312"/>
      <c r="F9" s="1312"/>
      <c r="G9" s="1312"/>
      <c r="H9" s="1323" t="s">
        <v>1250</v>
      </c>
      <c r="I9" s="1315"/>
      <c r="J9" s="1315"/>
      <c r="K9" s="1322"/>
      <c r="L9" s="1315"/>
      <c r="M9" s="1316"/>
      <c r="N9" s="1316"/>
      <c r="O9" s="1316"/>
      <c r="P9" s="1316"/>
      <c r="Q9" s="1316"/>
      <c r="R9" s="1316"/>
      <c r="S9" s="1317"/>
    </row>
    <row r="10" spans="1:19" hidden="1">
      <c r="A10" s="1311"/>
      <c r="B10" s="1318" t="s">
        <v>1251</v>
      </c>
      <c r="C10" s="1244" t="s">
        <v>1252</v>
      </c>
      <c r="D10" s="960"/>
      <c r="E10" s="960"/>
      <c r="F10" s="960"/>
      <c r="G10" s="1312"/>
      <c r="H10" s="1320" t="s">
        <v>1253</v>
      </c>
      <c r="I10" s="1316"/>
      <c r="J10" s="1316"/>
      <c r="K10" s="1316"/>
      <c r="L10" s="1316"/>
      <c r="M10" s="1316"/>
      <c r="N10" s="1316"/>
      <c r="O10" s="1316"/>
      <c r="P10" s="1316"/>
      <c r="Q10" s="1316"/>
      <c r="R10" s="1316"/>
      <c r="S10" s="1317"/>
    </row>
    <row r="11" spans="1:19" hidden="1">
      <c r="A11" s="1311"/>
      <c r="B11" s="1318"/>
      <c r="C11" s="1244" t="s">
        <v>1254</v>
      </c>
      <c r="D11" s="960"/>
      <c r="E11" s="1311"/>
      <c r="F11" s="960"/>
      <c r="G11" s="1311"/>
      <c r="H11" s="1323" t="s">
        <v>1255</v>
      </c>
      <c r="I11" s="1316"/>
      <c r="J11" s="1316"/>
      <c r="K11" s="1316"/>
      <c r="L11" s="1316"/>
      <c r="M11" s="1316"/>
      <c r="N11" s="1316"/>
      <c r="O11" s="1316"/>
      <c r="P11" s="1316"/>
      <c r="Q11" s="1316"/>
      <c r="R11" s="1316"/>
      <c r="S11" s="1317"/>
    </row>
    <row r="12" spans="1:19" hidden="1">
      <c r="A12" s="1311"/>
      <c r="B12" s="1318"/>
      <c r="C12" s="1244"/>
      <c r="D12" s="1324" t="s">
        <v>1256</v>
      </c>
      <c r="E12" s="1325"/>
      <c r="F12" s="1326"/>
      <c r="G12" s="1311"/>
      <c r="H12" s="1323" t="s">
        <v>1257</v>
      </c>
      <c r="I12" s="1316"/>
      <c r="J12" s="1316"/>
      <c r="K12" s="1316"/>
      <c r="L12" s="1316"/>
      <c r="M12" s="1316"/>
      <c r="N12" s="1316"/>
      <c r="O12" s="1316"/>
      <c r="P12" s="1316"/>
      <c r="Q12" s="1316"/>
      <c r="R12" s="1316"/>
      <c r="S12" s="1317"/>
    </row>
    <row r="13" spans="1:19" hidden="1">
      <c r="A13" s="1311"/>
      <c r="B13" s="1318"/>
      <c r="C13" s="1244"/>
      <c r="D13" s="1324" t="s">
        <v>1258</v>
      </c>
      <c r="E13" s="1325"/>
      <c r="F13" s="1326"/>
      <c r="G13" s="1311"/>
      <c r="H13" s="1323"/>
      <c r="I13" s="1316"/>
      <c r="J13" s="1316"/>
      <c r="K13" s="1316"/>
      <c r="L13" s="1316"/>
      <c r="M13" s="1316"/>
      <c r="N13" s="1316"/>
      <c r="O13" s="1316"/>
      <c r="P13" s="1316"/>
      <c r="Q13" s="1316"/>
      <c r="R13" s="1316"/>
      <c r="S13" s="1317"/>
    </row>
    <row r="14" spans="1:19" hidden="1">
      <c r="A14" s="1311"/>
      <c r="B14" s="1318"/>
      <c r="C14" s="1244"/>
      <c r="D14" s="1324" t="s">
        <v>1259</v>
      </c>
      <c r="E14" s="1326"/>
      <c r="F14" s="1326"/>
      <c r="G14" s="1311"/>
      <c r="H14" s="1323"/>
      <c r="I14" s="1316"/>
      <c r="J14" s="1316"/>
      <c r="K14" s="1316"/>
      <c r="L14" s="1316"/>
      <c r="M14" s="1316"/>
      <c r="N14" s="1316"/>
      <c r="O14" s="1316"/>
      <c r="P14" s="1316"/>
      <c r="Q14" s="1316"/>
      <c r="R14" s="1316"/>
      <c r="S14" s="1317"/>
    </row>
    <row r="15" spans="1:19" hidden="1">
      <c r="A15" s="1311"/>
      <c r="B15" s="1318"/>
      <c r="C15" s="1244"/>
      <c r="D15" s="1324"/>
      <c r="E15" s="1326"/>
      <c r="F15" s="1326"/>
      <c r="G15" s="1311"/>
      <c r="H15" s="1323"/>
      <c r="I15" s="1316"/>
      <c r="J15" s="1316"/>
      <c r="K15" s="1316"/>
      <c r="L15" s="1316"/>
      <c r="M15" s="1316"/>
      <c r="N15" s="1316"/>
      <c r="O15" s="1316"/>
      <c r="P15" s="1316"/>
      <c r="Q15" s="1316"/>
      <c r="R15" s="1316"/>
      <c r="S15" s="1317"/>
    </row>
    <row r="16" spans="1:19" hidden="1">
      <c r="A16" s="1311"/>
      <c r="B16" s="1318" t="s">
        <v>1260</v>
      </c>
      <c r="C16" s="1244" t="s">
        <v>1252</v>
      </c>
      <c r="D16" s="1326"/>
      <c r="E16" s="1326"/>
      <c r="F16" s="1326"/>
      <c r="G16" s="1312"/>
      <c r="H16" s="1320" t="s">
        <v>1261</v>
      </c>
      <c r="I16" s="1316"/>
      <c r="J16" s="1316"/>
      <c r="K16" s="1316"/>
      <c r="L16" s="1316"/>
      <c r="M16" s="1316"/>
      <c r="N16" s="1316"/>
      <c r="O16" s="1316"/>
      <c r="P16" s="1316"/>
      <c r="Q16" s="1316"/>
      <c r="R16" s="1316"/>
      <c r="S16" s="1317"/>
    </row>
    <row r="17" spans="1:19" hidden="1">
      <c r="A17" s="1311"/>
      <c r="B17" s="1327" t="s">
        <v>1262</v>
      </c>
      <c r="C17" s="1244" t="s">
        <v>1263</v>
      </c>
      <c r="D17" s="1326"/>
      <c r="E17" s="1325"/>
      <c r="F17" s="1326"/>
      <c r="G17" s="1311"/>
      <c r="H17" s="1323" t="s">
        <v>1255</v>
      </c>
      <c r="I17" s="1316"/>
      <c r="J17" s="1316"/>
      <c r="K17" s="1316"/>
      <c r="L17" s="1316"/>
      <c r="M17" s="1316"/>
      <c r="N17" s="1316"/>
      <c r="O17" s="1316"/>
      <c r="P17" s="1316"/>
      <c r="Q17" s="1316"/>
      <c r="R17" s="1316"/>
      <c r="S17" s="1317"/>
    </row>
    <row r="18" spans="1:19" hidden="1">
      <c r="A18" s="1311"/>
      <c r="B18" s="1327"/>
      <c r="C18" s="1244"/>
      <c r="D18" s="1324" t="s">
        <v>1264</v>
      </c>
      <c r="E18" s="1324"/>
      <c r="F18" s="1326"/>
      <c r="G18" s="1311"/>
      <c r="H18" s="1323" t="s">
        <v>1265</v>
      </c>
      <c r="I18" s="1316"/>
      <c r="J18" s="1316"/>
      <c r="K18" s="1316"/>
      <c r="L18" s="1316"/>
      <c r="M18" s="1316"/>
      <c r="N18" s="1316"/>
      <c r="O18" s="1316"/>
      <c r="P18" s="1316"/>
      <c r="Q18" s="1316"/>
      <c r="R18" s="1316"/>
      <c r="S18" s="1317"/>
    </row>
    <row r="19" spans="1:19" hidden="1">
      <c r="A19" s="1311"/>
      <c r="B19" s="1327"/>
      <c r="C19" s="1244"/>
      <c r="D19" s="1327" t="s">
        <v>1258</v>
      </c>
      <c r="E19" s="1311"/>
      <c r="F19" s="960"/>
      <c r="G19" s="1311"/>
      <c r="H19" s="1323"/>
      <c r="I19" s="1316"/>
      <c r="J19" s="1316"/>
      <c r="K19" s="1316"/>
      <c r="L19" s="1316"/>
      <c r="M19" s="1316"/>
      <c r="N19" s="1316"/>
      <c r="O19" s="1316"/>
      <c r="P19" s="1316"/>
      <c r="Q19" s="1316"/>
      <c r="R19" s="1316"/>
      <c r="S19" s="1317"/>
    </row>
    <row r="20" spans="1:19" hidden="1">
      <c r="A20" s="1311"/>
      <c r="B20" s="1327"/>
      <c r="C20" s="1244"/>
      <c r="D20" s="1327" t="s">
        <v>1259</v>
      </c>
      <c r="E20" s="1327"/>
      <c r="F20" s="960"/>
      <c r="G20" s="1311"/>
      <c r="H20" s="1323"/>
      <c r="I20" s="1316"/>
      <c r="J20" s="1316"/>
      <c r="K20" s="1316"/>
      <c r="L20" s="1316"/>
      <c r="M20" s="1316"/>
      <c r="N20" s="1316"/>
      <c r="O20" s="1316"/>
      <c r="P20" s="1316"/>
      <c r="Q20" s="1316"/>
      <c r="R20" s="1316"/>
      <c r="S20" s="1317"/>
    </row>
    <row r="21" spans="1:19" hidden="1">
      <c r="A21" s="1311"/>
      <c r="B21" s="1327"/>
      <c r="C21" s="1244"/>
      <c r="D21" s="960"/>
      <c r="E21" s="960"/>
      <c r="F21" s="960"/>
      <c r="G21" s="1311"/>
      <c r="H21" s="1323"/>
      <c r="I21" s="1316"/>
      <c r="J21" s="1316"/>
      <c r="K21" s="1316"/>
      <c r="L21" s="1316"/>
      <c r="M21" s="1316"/>
      <c r="N21" s="1316"/>
      <c r="O21" s="1316"/>
      <c r="P21" s="1316"/>
      <c r="Q21" s="1316"/>
      <c r="R21" s="1316"/>
      <c r="S21" s="1317"/>
    </row>
    <row r="22" spans="1:19">
      <c r="A22" s="1311"/>
      <c r="B22" s="1327"/>
      <c r="C22" s="1244"/>
      <c r="D22" s="960"/>
      <c r="E22" s="960"/>
      <c r="F22" s="960"/>
      <c r="G22" s="1311"/>
      <c r="H22" s="1323"/>
      <c r="I22" s="1316"/>
      <c r="J22" s="1316"/>
      <c r="K22" s="1316"/>
      <c r="L22" s="1316"/>
      <c r="M22" s="1316"/>
      <c r="N22" s="1316"/>
      <c r="O22" s="1316"/>
      <c r="P22" s="1316"/>
      <c r="Q22" s="1316"/>
      <c r="R22" s="1316"/>
      <c r="S22" s="1317"/>
    </row>
    <row r="23" spans="1:19" s="1357" customFormat="1">
      <c r="A23" s="1352"/>
      <c r="B23" s="1353" t="s">
        <v>1244</v>
      </c>
      <c r="C23" s="1354" t="s">
        <v>1326</v>
      </c>
      <c r="D23" s="1352"/>
      <c r="E23" s="1352"/>
      <c r="F23" s="1352"/>
      <c r="G23" s="1352"/>
      <c r="H23" s="1354" t="s">
        <v>1326</v>
      </c>
      <c r="I23" s="1355"/>
      <c r="J23" s="1355"/>
      <c r="K23" s="1355"/>
      <c r="L23" s="1355"/>
      <c r="M23" s="1355"/>
      <c r="N23" s="1355"/>
      <c r="O23" s="1355"/>
      <c r="P23" s="1355"/>
      <c r="Q23" s="1355"/>
      <c r="R23" s="1355"/>
      <c r="S23" s="1356"/>
    </row>
    <row r="24" spans="1:19">
      <c r="A24" s="1311"/>
      <c r="B24" s="1328"/>
      <c r="C24" s="1244" t="s">
        <v>1325</v>
      </c>
      <c r="D24" s="960"/>
      <c r="E24" s="960"/>
      <c r="F24" s="1361" t="s">
        <v>1331</v>
      </c>
      <c r="G24" s="1311"/>
      <c r="H24" s="1323" t="s">
        <v>1252</v>
      </c>
      <c r="I24" s="1316"/>
      <c r="J24" s="1316"/>
      <c r="K24" s="1316"/>
      <c r="L24" s="1316"/>
      <c r="M24" s="1316"/>
      <c r="N24" s="1316"/>
      <c r="O24" s="1316"/>
      <c r="P24" s="1316"/>
      <c r="Q24" s="1316"/>
      <c r="R24" s="1316"/>
      <c r="S24" s="1317"/>
    </row>
    <row r="25" spans="1:19">
      <c r="A25" s="1311"/>
      <c r="B25" s="1328"/>
      <c r="C25" s="1244" t="s">
        <v>1267</v>
      </c>
      <c r="D25" s="960"/>
      <c r="E25" s="1311"/>
      <c r="F25" s="1361" t="s">
        <v>1332</v>
      </c>
      <c r="G25" s="1311"/>
      <c r="H25" s="1351" t="s">
        <v>1327</v>
      </c>
      <c r="I25" s="1316"/>
      <c r="J25" s="1316"/>
      <c r="K25" s="1316"/>
      <c r="L25" s="1316"/>
      <c r="M25" s="1316"/>
      <c r="N25" s="1316"/>
      <c r="O25" s="1316"/>
      <c r="P25" s="1316"/>
      <c r="Q25" s="1316"/>
      <c r="R25" s="1316"/>
      <c r="S25" s="1317"/>
    </row>
    <row r="26" spans="1:19">
      <c r="A26" s="1311"/>
      <c r="B26" s="1328"/>
      <c r="C26" s="1329" t="s">
        <v>1330</v>
      </c>
      <c r="D26" s="1311"/>
      <c r="E26" s="1330"/>
      <c r="F26" s="467" t="s">
        <v>1333</v>
      </c>
      <c r="G26" s="1311"/>
      <c r="H26" s="1323" t="s">
        <v>1272</v>
      </c>
      <c r="I26" s="1316"/>
      <c r="J26" s="1316"/>
      <c r="K26" s="1316"/>
      <c r="L26" s="1316"/>
      <c r="M26" s="1316"/>
      <c r="N26" s="1316"/>
      <c r="O26" s="1316"/>
      <c r="P26" s="1316"/>
      <c r="Q26" s="1316"/>
      <c r="R26" s="1316"/>
      <c r="S26" s="1317"/>
    </row>
    <row r="27" spans="1:19">
      <c r="A27" s="1311"/>
      <c r="B27" s="1328"/>
      <c r="C27" s="1329" t="s">
        <v>1273</v>
      </c>
      <c r="D27" s="1311"/>
      <c r="E27" s="1330"/>
      <c r="F27" s="1331"/>
      <c r="G27" s="1311"/>
      <c r="H27" s="1323"/>
      <c r="I27" s="1316"/>
      <c r="J27" s="1316"/>
      <c r="K27" s="1316"/>
      <c r="L27" s="1316"/>
      <c r="M27" s="1316"/>
      <c r="N27" s="1316"/>
      <c r="O27" s="1316"/>
      <c r="P27" s="1316"/>
      <c r="Q27" s="1316"/>
      <c r="R27" s="1316"/>
      <c r="S27" s="1317"/>
    </row>
    <row r="28" spans="1:19">
      <c r="A28" s="1311"/>
      <c r="B28" s="1328"/>
      <c r="C28" s="1329" t="s">
        <v>1259</v>
      </c>
      <c r="D28" s="1311"/>
      <c r="E28" s="1311"/>
      <c r="F28" s="1331"/>
      <c r="G28" s="1311"/>
      <c r="H28" s="1332"/>
      <c r="I28" s="1311"/>
      <c r="J28" s="1311"/>
      <c r="K28" s="1311"/>
      <c r="L28" s="1311"/>
      <c r="M28" s="1311"/>
      <c r="N28" s="1311"/>
      <c r="O28" s="1311"/>
      <c r="P28" s="1311"/>
      <c r="Q28" s="1311"/>
      <c r="R28" s="1311"/>
    </row>
    <row r="29" spans="1:19">
      <c r="A29" s="1311"/>
      <c r="B29" s="1328"/>
      <c r="C29" s="1348" t="s">
        <v>1334</v>
      </c>
      <c r="D29" s="1311"/>
      <c r="E29" s="1311"/>
      <c r="F29" s="1331"/>
      <c r="G29" s="1311"/>
      <c r="H29" s="1332"/>
      <c r="I29" s="1311"/>
      <c r="J29" s="1311"/>
      <c r="K29" s="1311"/>
      <c r="L29" s="1311"/>
      <c r="M29" s="1311"/>
      <c r="N29" s="1311"/>
      <c r="O29" s="1311"/>
      <c r="P29" s="1311"/>
      <c r="Q29" s="1311"/>
      <c r="R29" s="1311"/>
    </row>
    <row r="30" spans="1:19">
      <c r="A30" s="1311"/>
      <c r="B30" s="1328"/>
      <c r="C30" s="1348" t="s">
        <v>1335</v>
      </c>
      <c r="D30" s="1311"/>
      <c r="E30" s="1311"/>
      <c r="F30" s="1349"/>
      <c r="G30" s="1311"/>
      <c r="H30" s="1332"/>
      <c r="I30" s="1311"/>
      <c r="J30" s="1311"/>
      <c r="K30" s="1311"/>
      <c r="L30" s="1311"/>
      <c r="M30" s="1311"/>
      <c r="N30" s="1311"/>
      <c r="O30" s="1311"/>
      <c r="P30" s="1311"/>
      <c r="Q30" s="1311"/>
      <c r="R30" s="1311"/>
    </row>
    <row r="31" spans="1:19">
      <c r="A31" s="1311"/>
      <c r="B31" s="1328"/>
      <c r="C31" s="1329"/>
      <c r="D31" s="1311"/>
      <c r="E31" s="1311"/>
      <c r="F31" s="1331"/>
      <c r="G31" s="1311"/>
      <c r="H31" s="1332"/>
      <c r="I31" s="1311"/>
      <c r="J31" s="1311"/>
      <c r="K31" s="1311"/>
      <c r="L31" s="1311"/>
      <c r="M31" s="1311"/>
      <c r="N31" s="1311"/>
      <c r="O31" s="1311"/>
      <c r="P31" s="1311"/>
      <c r="Q31" s="1311"/>
      <c r="R31" s="1311"/>
    </row>
    <row r="32" spans="1:19" s="1357" customFormat="1">
      <c r="A32" s="1352"/>
      <c r="B32" s="1358"/>
      <c r="C32" s="1359" t="s">
        <v>626</v>
      </c>
      <c r="D32" s="1352"/>
      <c r="E32" s="1352"/>
      <c r="F32" s="1352"/>
      <c r="G32" s="1352"/>
      <c r="H32" s="1360"/>
      <c r="I32" s="1352"/>
      <c r="J32" s="1352"/>
      <c r="K32" s="1352"/>
      <c r="L32" s="1352"/>
      <c r="M32" s="1352"/>
      <c r="N32" s="1352"/>
      <c r="O32" s="1352"/>
      <c r="P32" s="1352"/>
      <c r="Q32" s="1352"/>
      <c r="R32" s="1352"/>
    </row>
    <row r="33" spans="1:18">
      <c r="A33" s="1311"/>
      <c r="B33" s="1328"/>
      <c r="C33" s="1244" t="s">
        <v>1325</v>
      </c>
      <c r="D33" s="960"/>
      <c r="E33" s="960"/>
      <c r="F33" s="960"/>
      <c r="G33" s="1311"/>
      <c r="H33" s="1350" t="s">
        <v>626</v>
      </c>
      <c r="I33" s="1311"/>
      <c r="J33" s="1311"/>
      <c r="K33" s="1311"/>
      <c r="L33" s="1311"/>
      <c r="M33" s="1311"/>
      <c r="N33" s="1311"/>
      <c r="O33" s="1311"/>
      <c r="P33" s="1311"/>
      <c r="Q33" s="1311"/>
      <c r="R33" s="1311"/>
    </row>
    <row r="34" spans="1:18">
      <c r="A34" s="1311"/>
      <c r="B34" s="1328"/>
      <c r="C34" s="1244" t="s">
        <v>1267</v>
      </c>
      <c r="D34" s="960"/>
      <c r="E34" s="1311"/>
      <c r="F34" s="960"/>
      <c r="G34" s="1311"/>
      <c r="H34" s="1323" t="s">
        <v>1252</v>
      </c>
      <c r="I34" s="1311"/>
      <c r="J34" s="1311"/>
      <c r="K34" s="1311"/>
      <c r="L34" s="1311"/>
      <c r="M34" s="1311"/>
      <c r="N34" s="1311"/>
      <c r="O34" s="1311"/>
      <c r="P34" s="1311"/>
      <c r="Q34" s="1311"/>
      <c r="R34" s="1311"/>
    </row>
    <row r="35" spans="1:18">
      <c r="A35" s="1311"/>
      <c r="B35" s="1328"/>
      <c r="C35" s="1329" t="s">
        <v>1269</v>
      </c>
      <c r="D35" s="1311"/>
      <c r="E35" s="1330" t="s">
        <v>1270</v>
      </c>
      <c r="F35" s="1331" t="s">
        <v>1271</v>
      </c>
      <c r="G35" s="1311"/>
      <c r="H35" s="1323" t="s">
        <v>1268</v>
      </c>
      <c r="I35" s="1311"/>
      <c r="J35" s="1311"/>
      <c r="K35" s="1311"/>
      <c r="L35" s="1311"/>
      <c r="M35" s="1311"/>
      <c r="N35" s="1311"/>
      <c r="O35" s="1311"/>
      <c r="P35" s="1311"/>
      <c r="Q35" s="1311"/>
      <c r="R35" s="1311"/>
    </row>
    <row r="36" spans="1:18">
      <c r="A36" s="1311"/>
      <c r="B36" s="1328"/>
      <c r="C36" s="1329" t="s">
        <v>1273</v>
      </c>
      <c r="D36" s="1311"/>
      <c r="E36" s="1330"/>
      <c r="F36" s="1331" t="s">
        <v>1273</v>
      </c>
      <c r="G36" s="1311"/>
      <c r="H36" s="1323" t="s">
        <v>1272</v>
      </c>
      <c r="I36" s="1311"/>
      <c r="J36" s="1311"/>
      <c r="K36" s="1311"/>
      <c r="L36" s="1311"/>
      <c r="M36" s="1311"/>
      <c r="N36" s="1311"/>
      <c r="O36" s="1311"/>
      <c r="P36" s="1311"/>
      <c r="Q36" s="1311"/>
      <c r="R36" s="1311"/>
    </row>
    <row r="37" spans="1:18">
      <c r="A37" s="1311"/>
      <c r="B37" s="1328"/>
      <c r="C37" s="1329" t="s">
        <v>1259</v>
      </c>
      <c r="D37" s="1311"/>
      <c r="E37" s="1311"/>
      <c r="F37" s="1331" t="s">
        <v>1259</v>
      </c>
      <c r="G37" s="1311"/>
      <c r="H37" s="1332"/>
      <c r="I37" s="1311"/>
      <c r="J37" s="1311"/>
      <c r="K37" s="1311"/>
      <c r="L37" s="1311"/>
      <c r="M37" s="1311"/>
      <c r="N37" s="1311"/>
      <c r="O37" s="1311"/>
      <c r="P37" s="1311"/>
      <c r="Q37" s="1311"/>
      <c r="R37" s="1311"/>
    </row>
    <row r="38" spans="1:18">
      <c r="A38" s="1311"/>
      <c r="B38" s="1328"/>
      <c r="C38" s="1329" t="s">
        <v>1274</v>
      </c>
      <c r="D38" s="1311"/>
      <c r="E38" s="1311"/>
      <c r="F38" s="1331" t="s">
        <v>1274</v>
      </c>
      <c r="G38" s="1311"/>
      <c r="H38" s="1332"/>
      <c r="I38" s="1311"/>
      <c r="J38" s="1311"/>
      <c r="K38" s="1311"/>
      <c r="L38" s="1311"/>
      <c r="M38" s="1311"/>
      <c r="N38" s="1311"/>
      <c r="O38" s="1311"/>
      <c r="P38" s="1311"/>
      <c r="Q38" s="1311"/>
      <c r="R38" s="1311"/>
    </row>
    <row r="39" spans="1:18">
      <c r="A39" s="1311"/>
      <c r="B39" s="1328"/>
      <c r="C39" s="1348" t="s">
        <v>1275</v>
      </c>
      <c r="D39" s="1311"/>
      <c r="E39" s="1311"/>
      <c r="F39" s="1349" t="s">
        <v>1275</v>
      </c>
      <c r="G39" s="1311"/>
      <c r="H39" s="1332"/>
      <c r="I39" s="1311"/>
      <c r="J39" s="1311"/>
      <c r="K39" s="1311"/>
      <c r="L39" s="1311"/>
      <c r="M39" s="1311"/>
      <c r="N39" s="1311"/>
      <c r="O39" s="1311"/>
      <c r="P39" s="1311"/>
      <c r="Q39" s="1311"/>
      <c r="R39" s="1311"/>
    </row>
    <row r="40" spans="1:18">
      <c r="A40" s="1311"/>
      <c r="B40" s="1328"/>
      <c r="C40" s="1329"/>
      <c r="D40" s="1311"/>
      <c r="E40" s="1311"/>
      <c r="F40" s="1331"/>
      <c r="G40" s="1311"/>
      <c r="H40" s="1332"/>
      <c r="I40" s="1311"/>
      <c r="J40" s="1311"/>
      <c r="K40" s="1311"/>
      <c r="L40" s="1311"/>
      <c r="M40" s="1311"/>
      <c r="N40" s="1311"/>
      <c r="O40" s="1311"/>
      <c r="P40" s="1311"/>
      <c r="Q40" s="1311"/>
      <c r="R40" s="1311"/>
    </row>
    <row r="41" spans="1:18" s="424" customFormat="1">
      <c r="A41" s="961"/>
      <c r="B41" s="1362"/>
      <c r="C41" s="1363"/>
      <c r="D41" s="961"/>
      <c r="E41" s="961"/>
      <c r="F41" s="1364"/>
      <c r="G41" s="961"/>
      <c r="H41" s="1365"/>
      <c r="I41" s="961"/>
      <c r="J41" s="961"/>
      <c r="K41" s="961"/>
      <c r="L41" s="961"/>
      <c r="M41" s="961"/>
      <c r="N41" s="961"/>
      <c r="O41" s="961"/>
      <c r="P41" s="961"/>
      <c r="Q41" s="961"/>
      <c r="R41" s="961"/>
    </row>
    <row r="42" spans="1:18">
      <c r="A42" s="1311"/>
      <c r="B42" s="1328"/>
      <c r="C42" s="1244"/>
      <c r="D42" s="960"/>
      <c r="E42" s="960"/>
      <c r="F42" s="960"/>
      <c r="G42" s="1311"/>
      <c r="H42" s="1332"/>
      <c r="I42" s="1311"/>
      <c r="J42" s="1311"/>
      <c r="K42" s="1311"/>
      <c r="L42" s="1311"/>
      <c r="M42" s="1311"/>
      <c r="N42" s="1311"/>
      <c r="O42" s="1311"/>
      <c r="P42" s="1311"/>
      <c r="Q42" s="1311"/>
      <c r="R42" s="1311"/>
    </row>
    <row r="43" spans="1:18">
      <c r="A43" s="1311"/>
      <c r="B43" s="1328"/>
      <c r="C43" s="1333" t="s">
        <v>1276</v>
      </c>
      <c r="D43" s="960"/>
      <c r="E43" s="960"/>
      <c r="F43" s="960"/>
      <c r="G43" s="1311"/>
      <c r="H43" s="1332"/>
      <c r="I43" s="1311"/>
      <c r="J43" s="1311"/>
      <c r="K43" s="1311"/>
      <c r="L43" s="1311"/>
      <c r="M43" s="1311"/>
      <c r="N43" s="1311"/>
      <c r="O43" s="1311"/>
      <c r="P43" s="1311"/>
      <c r="Q43" s="1311"/>
      <c r="R43" s="1311"/>
    </row>
    <row r="44" spans="1:18">
      <c r="A44" s="1311"/>
      <c r="B44" s="1328"/>
      <c r="C44" s="1244"/>
      <c r="D44" s="960"/>
      <c r="E44" s="960"/>
      <c r="F44" s="960"/>
      <c r="G44" s="1311"/>
      <c r="H44" s="1332"/>
      <c r="I44" s="1311"/>
      <c r="J44" s="1311"/>
      <c r="K44" s="1311"/>
      <c r="L44" s="1311"/>
      <c r="M44" s="1311"/>
      <c r="N44" s="1311"/>
      <c r="O44" s="1311"/>
      <c r="P44" s="1311"/>
      <c r="Q44" s="1311"/>
      <c r="R44" s="1311"/>
    </row>
    <row r="45" spans="1:18">
      <c r="A45" s="1311"/>
      <c r="B45" s="1328"/>
      <c r="C45" s="1334" t="s">
        <v>1277</v>
      </c>
      <c r="D45" s="960"/>
      <c r="E45" s="960"/>
      <c r="F45" s="960"/>
      <c r="G45" s="1311"/>
      <c r="H45" s="1332"/>
      <c r="I45" s="1311"/>
      <c r="J45" s="1311"/>
      <c r="K45" s="1311"/>
      <c r="L45" s="1311"/>
      <c r="M45" s="1311"/>
      <c r="N45" s="1311"/>
      <c r="O45" s="1311"/>
      <c r="P45" s="1311"/>
      <c r="Q45" s="1311"/>
      <c r="R45" s="1311"/>
    </row>
    <row r="46" spans="1:18">
      <c r="A46" s="1311"/>
      <c r="B46" s="1328"/>
      <c r="C46" s="1334" t="s">
        <v>1278</v>
      </c>
      <c r="D46" s="960"/>
      <c r="E46" s="960"/>
      <c r="F46" s="960"/>
      <c r="G46" s="1311"/>
      <c r="H46" s="1332"/>
      <c r="I46" s="1311"/>
      <c r="J46" s="1311"/>
      <c r="K46" s="1311"/>
      <c r="L46" s="1311"/>
      <c r="M46" s="1311"/>
      <c r="N46" s="1311"/>
      <c r="O46" s="1311"/>
      <c r="P46" s="1311"/>
      <c r="Q46" s="1311"/>
      <c r="R46" s="1311"/>
    </row>
    <row r="47" spans="1:18">
      <c r="A47" s="1311"/>
      <c r="B47" s="1328"/>
      <c r="C47" s="1334" t="s">
        <v>1279</v>
      </c>
      <c r="D47" s="960"/>
      <c r="E47" s="960"/>
      <c r="F47" s="960"/>
      <c r="G47" s="1311"/>
      <c r="H47" s="1332"/>
      <c r="I47" s="1311"/>
      <c r="J47" s="1311"/>
      <c r="K47" s="1311"/>
      <c r="L47" s="1311"/>
      <c r="M47" s="1311"/>
      <c r="N47" s="1311"/>
      <c r="O47" s="1311"/>
      <c r="P47" s="1311"/>
      <c r="Q47" s="1311"/>
      <c r="R47" s="1311"/>
    </row>
    <row r="48" spans="1:18">
      <c r="A48" s="1311"/>
      <c r="B48" s="1328"/>
      <c r="C48" s="1335"/>
      <c r="D48" s="960"/>
      <c r="E48" s="960"/>
      <c r="F48" s="960"/>
      <c r="G48" s="1311"/>
      <c r="H48" s="1332"/>
      <c r="I48" s="1311"/>
      <c r="J48" s="1311"/>
      <c r="K48" s="1311"/>
      <c r="L48" s="1311"/>
      <c r="M48" s="1311"/>
      <c r="N48" s="1311"/>
      <c r="O48" s="1311"/>
      <c r="P48" s="1311"/>
      <c r="Q48" s="1311"/>
      <c r="R48" s="1311"/>
    </row>
    <row r="49" spans="1:18">
      <c r="A49" s="1311"/>
      <c r="B49" s="1328"/>
      <c r="C49" s="1336" t="s">
        <v>1280</v>
      </c>
      <c r="D49" s="960"/>
      <c r="E49" s="960"/>
      <c r="F49" s="960"/>
      <c r="G49" s="1311"/>
      <c r="H49" s="1332"/>
      <c r="I49" s="1311"/>
      <c r="J49" s="1311"/>
      <c r="K49" s="1311"/>
      <c r="L49" s="1311"/>
      <c r="M49" s="1311"/>
      <c r="N49" s="1311"/>
      <c r="O49" s="1311"/>
      <c r="P49" s="1311"/>
      <c r="Q49" s="1311"/>
      <c r="R49" s="1311"/>
    </row>
    <row r="50" spans="1:18">
      <c r="A50" s="1311"/>
      <c r="B50" s="1328"/>
      <c r="C50" s="1334" t="s">
        <v>1281</v>
      </c>
      <c r="D50" s="960"/>
      <c r="E50" s="960"/>
      <c r="F50" s="960"/>
      <c r="G50" s="1311"/>
      <c r="H50" s="1332"/>
      <c r="I50" s="1311"/>
      <c r="J50" s="1311"/>
      <c r="K50" s="1311"/>
      <c r="L50" s="1311"/>
      <c r="M50" s="1311"/>
      <c r="N50" s="1311"/>
      <c r="O50" s="1311"/>
      <c r="P50" s="1311"/>
      <c r="Q50" s="1311"/>
      <c r="R50" s="1311"/>
    </row>
    <row r="51" spans="1:18">
      <c r="A51" s="1311"/>
      <c r="B51" s="1328"/>
      <c r="C51" s="1334" t="s">
        <v>1282</v>
      </c>
      <c r="D51" s="960"/>
      <c r="E51" s="960"/>
      <c r="F51" s="960"/>
      <c r="G51" s="1311"/>
      <c r="H51" s="1332"/>
      <c r="I51" s="1311"/>
      <c r="J51" s="1311"/>
      <c r="K51" s="1311"/>
      <c r="L51" s="1311"/>
      <c r="M51" s="1311"/>
      <c r="N51" s="1311"/>
      <c r="O51" s="1311"/>
      <c r="P51" s="1311"/>
      <c r="Q51" s="1311"/>
      <c r="R51" s="1311"/>
    </row>
    <row r="52" spans="1:18">
      <c r="A52" s="1311"/>
      <c r="B52" s="1328"/>
      <c r="C52" s="1334"/>
      <c r="D52" s="960"/>
      <c r="E52" s="960"/>
      <c r="F52" s="960"/>
      <c r="G52" s="1311"/>
      <c r="H52" s="1332"/>
      <c r="I52" s="1311"/>
      <c r="J52" s="1311"/>
      <c r="K52" s="1311"/>
      <c r="L52" s="1311"/>
      <c r="M52" s="1311"/>
      <c r="N52" s="1311"/>
      <c r="O52" s="1311"/>
      <c r="P52" s="1311"/>
      <c r="Q52" s="1311"/>
      <c r="R52" s="1311"/>
    </row>
    <row r="53" spans="1:18">
      <c r="A53" s="1311"/>
      <c r="B53" s="1328"/>
      <c r="C53" s="1334"/>
      <c r="D53" s="1337" t="s">
        <v>1283</v>
      </c>
      <c r="E53" s="960"/>
      <c r="F53" s="960"/>
      <c r="G53" s="1338" t="s">
        <v>1284</v>
      </c>
      <c r="H53" s="1332"/>
      <c r="I53" s="1311"/>
      <c r="J53" s="1311"/>
      <c r="K53" s="1311"/>
      <c r="L53" s="1311"/>
      <c r="M53" s="1311"/>
      <c r="N53" s="1311"/>
      <c r="O53" s="1311"/>
      <c r="P53" s="1311"/>
      <c r="Q53" s="1311"/>
      <c r="R53" s="1311"/>
    </row>
    <row r="54" spans="1:18">
      <c r="A54" s="1311"/>
      <c r="B54" s="1328"/>
      <c r="C54" s="1334"/>
      <c r="D54" s="960"/>
      <c r="E54" s="960"/>
      <c r="F54" s="960"/>
      <c r="G54" s="1311"/>
      <c r="H54" s="1332"/>
      <c r="I54" s="1311"/>
      <c r="J54" s="1311"/>
      <c r="K54" s="1311"/>
      <c r="L54" s="1311"/>
      <c r="M54" s="1311"/>
      <c r="N54" s="1311"/>
      <c r="O54" s="1311"/>
      <c r="P54" s="1311"/>
      <c r="Q54" s="1311"/>
      <c r="R54" s="1311"/>
    </row>
    <row r="55" spans="1:18">
      <c r="A55" s="1311"/>
      <c r="B55" s="1328"/>
      <c r="C55" s="1334"/>
      <c r="D55" s="960"/>
      <c r="E55" s="960"/>
      <c r="F55" s="960"/>
      <c r="G55" s="1311"/>
      <c r="H55" s="1332"/>
      <c r="I55" s="1311"/>
      <c r="J55" s="1311"/>
      <c r="K55" s="1311"/>
      <c r="L55" s="1311"/>
      <c r="M55" s="1311"/>
      <c r="N55" s="1311"/>
      <c r="O55" s="1311"/>
      <c r="P55" s="1311"/>
      <c r="Q55" s="1311"/>
      <c r="R55" s="1311"/>
    </row>
    <row r="56" spans="1:18">
      <c r="A56" s="1311"/>
      <c r="B56" s="1328"/>
      <c r="C56" s="1334"/>
      <c r="D56" s="960"/>
      <c r="E56" s="960"/>
      <c r="F56" s="960"/>
      <c r="G56" s="1311"/>
      <c r="H56" s="1332"/>
      <c r="I56" s="1311"/>
      <c r="J56" s="1311"/>
      <c r="K56" s="1311"/>
      <c r="L56" s="1311"/>
      <c r="M56" s="1311"/>
      <c r="N56" s="1311"/>
      <c r="O56" s="1311"/>
      <c r="P56" s="1311"/>
      <c r="Q56" s="1311"/>
      <c r="R56" s="1311"/>
    </row>
    <row r="57" spans="1:18">
      <c r="A57" s="1311"/>
      <c r="B57" s="1328"/>
      <c r="C57" s="1334"/>
      <c r="D57" s="960"/>
      <c r="E57" s="960"/>
      <c r="F57" s="960"/>
      <c r="G57" s="1311"/>
      <c r="H57" s="1332"/>
      <c r="I57" s="1311"/>
      <c r="J57" s="1311"/>
      <c r="K57" s="1311"/>
      <c r="L57" s="1311"/>
      <c r="M57" s="1311"/>
      <c r="N57" s="1311"/>
      <c r="O57" s="1311"/>
      <c r="P57" s="1311"/>
      <c r="Q57" s="1311"/>
      <c r="R57" s="1311"/>
    </row>
    <row r="58" spans="1:18">
      <c r="A58" s="1311"/>
      <c r="B58" s="1328"/>
      <c r="C58" s="1334"/>
      <c r="D58" s="960"/>
      <c r="E58" s="960"/>
      <c r="F58" s="960"/>
      <c r="G58" s="1311"/>
      <c r="H58" s="1332"/>
      <c r="I58" s="1311"/>
      <c r="J58" s="1311"/>
      <c r="K58" s="1311"/>
      <c r="L58" s="1311"/>
      <c r="M58" s="1311"/>
      <c r="N58" s="1311"/>
      <c r="O58" s="1311"/>
      <c r="P58" s="1311"/>
      <c r="Q58" s="1311"/>
      <c r="R58" s="1311"/>
    </row>
    <row r="59" spans="1:18">
      <c r="A59" s="1311"/>
      <c r="B59" s="1328"/>
      <c r="C59" s="1334"/>
      <c r="D59" s="960"/>
      <c r="E59" s="960"/>
      <c r="F59" s="960"/>
      <c r="G59" s="1311"/>
      <c r="H59" s="1332"/>
      <c r="I59" s="1311"/>
      <c r="J59" s="1311"/>
      <c r="K59" s="1311"/>
      <c r="L59" s="1311"/>
      <c r="M59" s="1311"/>
      <c r="N59" s="1311"/>
      <c r="O59" s="1311"/>
      <c r="P59" s="1311"/>
      <c r="Q59" s="1311"/>
      <c r="R59" s="1311"/>
    </row>
    <row r="60" spans="1:18">
      <c r="A60" s="1311"/>
      <c r="B60" s="1328"/>
      <c r="C60" s="1334"/>
      <c r="D60" s="960"/>
      <c r="E60" s="960"/>
      <c r="F60" s="960"/>
      <c r="G60" s="1311"/>
      <c r="H60" s="1332"/>
      <c r="I60" s="1311"/>
      <c r="J60" s="1311"/>
      <c r="K60" s="1311"/>
      <c r="L60" s="1311"/>
      <c r="M60" s="1311"/>
      <c r="N60" s="1311"/>
      <c r="O60" s="1311"/>
      <c r="P60" s="1311"/>
      <c r="Q60" s="1311"/>
      <c r="R60" s="1311"/>
    </row>
    <row r="61" spans="1:18">
      <c r="A61" s="1311"/>
      <c r="B61" s="1328"/>
      <c r="C61" s="1334"/>
      <c r="D61" s="960"/>
      <c r="E61" s="960"/>
      <c r="F61" s="960"/>
      <c r="G61" s="1311"/>
      <c r="H61" s="1332"/>
      <c r="I61" s="1311"/>
      <c r="J61" s="1311"/>
      <c r="K61" s="1311"/>
      <c r="L61" s="1311"/>
      <c r="M61" s="1311"/>
      <c r="N61" s="1311"/>
      <c r="O61" s="1311"/>
      <c r="P61" s="1311"/>
      <c r="Q61" s="1311"/>
      <c r="R61" s="1311"/>
    </row>
    <row r="62" spans="1:18" s="424" customFormat="1">
      <c r="A62" s="961"/>
      <c r="B62" s="1362"/>
      <c r="C62" s="1366"/>
      <c r="D62" s="1367"/>
      <c r="E62" s="1367"/>
      <c r="F62" s="1367"/>
      <c r="G62" s="961"/>
      <c r="H62" s="1365"/>
      <c r="I62" s="961"/>
      <c r="J62" s="961"/>
      <c r="K62" s="961"/>
      <c r="L62" s="961"/>
      <c r="M62" s="961"/>
      <c r="N62" s="961"/>
      <c r="O62" s="961"/>
      <c r="P62" s="961"/>
      <c r="Q62" s="961"/>
      <c r="R62" s="961"/>
    </row>
    <row r="63" spans="1:18" s="143" customFormat="1">
      <c r="A63" s="1312"/>
      <c r="B63" s="1368"/>
      <c r="C63" s="1334"/>
      <c r="D63" s="1344"/>
      <c r="E63" s="1344"/>
      <c r="F63" s="1344"/>
      <c r="G63" s="1312"/>
      <c r="H63" s="1332"/>
      <c r="I63" s="1312"/>
      <c r="J63" s="1312"/>
      <c r="K63" s="1312"/>
      <c r="L63" s="1312"/>
      <c r="M63" s="1312"/>
      <c r="N63" s="1312"/>
      <c r="O63" s="1312"/>
      <c r="P63" s="1312"/>
      <c r="Q63" s="1312"/>
      <c r="R63" s="1312"/>
    </row>
    <row r="64" spans="1:18">
      <c r="A64" s="1311"/>
      <c r="B64" s="1358" t="s">
        <v>1245</v>
      </c>
      <c r="C64" s="1354" t="s">
        <v>1326</v>
      </c>
      <c r="D64" s="960"/>
      <c r="E64" s="960"/>
      <c r="F64" s="960"/>
      <c r="G64" s="1311"/>
      <c r="H64" s="1354" t="s">
        <v>1326</v>
      </c>
      <c r="I64" s="1311"/>
      <c r="J64" s="1311"/>
      <c r="K64" s="1311"/>
      <c r="L64" s="1311"/>
      <c r="M64" s="1311"/>
      <c r="N64" s="1311"/>
      <c r="O64" s="1311"/>
      <c r="P64" s="1311"/>
      <c r="Q64" s="1311"/>
      <c r="R64" s="1311"/>
    </row>
    <row r="65" spans="1:18">
      <c r="A65" s="1311"/>
      <c r="C65" s="1244" t="s">
        <v>1285</v>
      </c>
      <c r="D65" s="960"/>
      <c r="E65" s="960"/>
      <c r="F65" s="960"/>
      <c r="G65" s="1311"/>
      <c r="H65" s="1339" t="s">
        <v>1336</v>
      </c>
      <c r="I65" s="1311"/>
      <c r="J65" s="1311"/>
      <c r="K65" s="1325"/>
      <c r="L65" s="1325"/>
      <c r="M65" s="1325"/>
      <c r="N65" s="1325"/>
      <c r="O65" s="1325"/>
      <c r="P65" s="1311"/>
      <c r="Q65" s="1311"/>
      <c r="R65" s="1311"/>
    </row>
    <row r="66" spans="1:18">
      <c r="A66" s="1311"/>
      <c r="B66" s="1328"/>
      <c r="C66" s="1244" t="s">
        <v>1339</v>
      </c>
      <c r="D66" s="960"/>
      <c r="E66" s="1311"/>
      <c r="F66" s="960"/>
      <c r="G66" s="1311"/>
      <c r="H66" s="1340" t="s">
        <v>1288</v>
      </c>
      <c r="I66" s="1326"/>
      <c r="J66" s="1325"/>
      <c r="K66" s="1311"/>
      <c r="L66" s="1311"/>
      <c r="M66" s="1311"/>
      <c r="N66" s="1311"/>
      <c r="O66" s="1311"/>
      <c r="P66" s="1311"/>
      <c r="Q66" s="1311"/>
      <c r="R66" s="1311"/>
    </row>
    <row r="67" spans="1:18">
      <c r="A67" s="1311"/>
      <c r="B67" s="1328"/>
      <c r="C67" s="1244"/>
      <c r="D67" s="1326" t="s">
        <v>1341</v>
      </c>
      <c r="E67" s="1311"/>
      <c r="F67" s="960"/>
      <c r="G67" s="1311"/>
      <c r="H67" s="1339"/>
      <c r="I67" s="1331" t="s">
        <v>1290</v>
      </c>
      <c r="J67" s="1311"/>
      <c r="K67" s="1311"/>
      <c r="L67" s="1311"/>
      <c r="M67" s="1311"/>
      <c r="N67" s="1311"/>
      <c r="O67" s="1311"/>
      <c r="P67" s="1311"/>
      <c r="Q67" s="1311"/>
      <c r="R67" s="1311"/>
    </row>
    <row r="68" spans="1:18">
      <c r="A68" s="1311"/>
      <c r="B68" s="1328"/>
      <c r="C68" s="1244"/>
      <c r="D68" s="1326" t="s">
        <v>1340</v>
      </c>
      <c r="E68" s="1311"/>
      <c r="F68" s="960"/>
      <c r="G68" s="1311"/>
      <c r="H68" s="1339"/>
      <c r="I68" s="1331" t="s">
        <v>1292</v>
      </c>
      <c r="J68" s="1341"/>
      <c r="K68" s="1341"/>
      <c r="L68" s="1311"/>
      <c r="M68" s="1311"/>
      <c r="N68" s="1311"/>
      <c r="O68" s="1311"/>
      <c r="P68" s="1311"/>
      <c r="Q68" s="1311"/>
      <c r="R68" s="1311"/>
    </row>
    <row r="69" spans="1:18">
      <c r="A69" s="1311"/>
      <c r="B69" s="1328"/>
      <c r="C69" s="1244"/>
      <c r="D69" s="960" t="s">
        <v>1293</v>
      </c>
      <c r="E69" s="1311"/>
      <c r="F69" s="960"/>
      <c r="G69" s="1311"/>
      <c r="H69" s="1339"/>
      <c r="I69" s="1349" t="s">
        <v>1338</v>
      </c>
      <c r="J69" s="1325"/>
      <c r="K69" s="1325"/>
      <c r="L69" s="1311"/>
      <c r="M69" s="1311"/>
      <c r="N69" s="1311"/>
      <c r="O69" s="1311"/>
      <c r="P69" s="1311"/>
      <c r="Q69" s="1311"/>
      <c r="R69" s="1311"/>
    </row>
    <row r="70" spans="1:18">
      <c r="A70" s="1311"/>
      <c r="B70" s="1328"/>
      <c r="C70" s="1244"/>
      <c r="D70" s="960" t="s">
        <v>1295</v>
      </c>
      <c r="E70" s="1311"/>
      <c r="F70" s="960"/>
      <c r="G70" s="1311"/>
      <c r="H70" s="1339"/>
      <c r="I70" s="1331" t="s">
        <v>1337</v>
      </c>
      <c r="J70" s="1311"/>
      <c r="K70" s="1311"/>
      <c r="L70" s="1311"/>
      <c r="M70" s="1311"/>
      <c r="N70" s="1311"/>
      <c r="O70" s="1311"/>
      <c r="P70" s="1311"/>
      <c r="Q70" s="1311"/>
      <c r="R70" s="1311"/>
    </row>
    <row r="71" spans="1:18">
      <c r="A71" s="1311"/>
      <c r="B71" s="1328"/>
      <c r="C71" s="1244"/>
      <c r="D71" s="1349" t="s">
        <v>1297</v>
      </c>
      <c r="E71" s="1311"/>
      <c r="F71" s="960"/>
      <c r="G71" s="1311"/>
      <c r="H71" s="1339" t="s">
        <v>1296</v>
      </c>
      <c r="I71" s="960"/>
      <c r="J71" s="1311"/>
      <c r="K71" s="1311"/>
      <c r="L71" s="1311"/>
      <c r="M71" s="1311"/>
      <c r="N71" s="1311"/>
      <c r="O71" s="1311"/>
      <c r="P71" s="1311"/>
      <c r="Q71" s="1311"/>
      <c r="R71" s="1311"/>
    </row>
    <row r="72" spans="1:18">
      <c r="A72" s="1311"/>
      <c r="B72" s="1328"/>
      <c r="C72" s="1244"/>
      <c r="D72" s="960"/>
      <c r="E72" s="1311"/>
      <c r="F72" s="960"/>
      <c r="G72" s="1311"/>
      <c r="H72" s="1339"/>
      <c r="I72" s="960"/>
      <c r="J72" s="1311"/>
      <c r="K72" s="1311"/>
      <c r="L72" s="1311"/>
      <c r="M72" s="1311"/>
      <c r="N72" s="1311"/>
      <c r="O72" s="1311"/>
      <c r="P72" s="1311"/>
      <c r="Q72" s="1311"/>
      <c r="R72" s="1311"/>
    </row>
    <row r="73" spans="1:18">
      <c r="A73" s="1311"/>
      <c r="B73" s="1328"/>
      <c r="C73" s="1244"/>
      <c r="D73" s="960"/>
      <c r="E73" s="1311"/>
      <c r="F73" s="960"/>
      <c r="G73" s="1311"/>
      <c r="H73" s="1339"/>
      <c r="I73" s="960"/>
      <c r="J73" s="1311"/>
      <c r="K73" s="1311"/>
      <c r="L73" s="1311"/>
      <c r="M73" s="1311"/>
      <c r="N73" s="1311"/>
      <c r="O73" s="1311"/>
      <c r="P73" s="1311"/>
      <c r="Q73" s="1311"/>
      <c r="R73" s="1311"/>
    </row>
    <row r="74" spans="1:18">
      <c r="A74" s="1311"/>
      <c r="B74" s="1328"/>
      <c r="C74" s="1354" t="s">
        <v>626</v>
      </c>
      <c r="D74" s="960"/>
      <c r="E74" s="1311"/>
      <c r="F74" s="960"/>
      <c r="G74" s="1311"/>
      <c r="H74" s="1354" t="s">
        <v>626</v>
      </c>
      <c r="I74" s="960"/>
      <c r="J74" s="1311"/>
      <c r="K74" s="1311"/>
      <c r="L74" s="1311"/>
      <c r="M74" s="1311"/>
      <c r="N74" s="1311"/>
      <c r="O74" s="1311"/>
      <c r="P74" s="1311"/>
      <c r="Q74" s="1311"/>
      <c r="R74" s="1311"/>
    </row>
    <row r="75" spans="1:18">
      <c r="A75" s="1311"/>
      <c r="B75" s="1328"/>
      <c r="C75" s="1244" t="s">
        <v>1285</v>
      </c>
      <c r="D75" s="960"/>
      <c r="E75" s="1311"/>
      <c r="F75" s="960"/>
      <c r="G75" s="1311"/>
      <c r="H75" s="1339" t="s">
        <v>1286</v>
      </c>
      <c r="I75" s="1311"/>
      <c r="J75" s="1311"/>
      <c r="K75" s="1311"/>
      <c r="L75" s="1311"/>
      <c r="M75" s="1311"/>
      <c r="N75" s="1311"/>
      <c r="O75" s="1311"/>
      <c r="P75" s="1311"/>
      <c r="Q75" s="1311"/>
      <c r="R75" s="1311"/>
    </row>
    <row r="76" spans="1:18">
      <c r="A76" s="1311"/>
      <c r="B76" s="1328"/>
      <c r="C76" s="1244" t="s">
        <v>1287</v>
      </c>
      <c r="D76" s="960"/>
      <c r="E76" s="1311"/>
      <c r="F76" s="960"/>
      <c r="G76" s="1311"/>
      <c r="H76" s="1340" t="s">
        <v>1288</v>
      </c>
      <c r="I76" s="1326"/>
      <c r="J76" s="1311"/>
      <c r="K76" s="1311"/>
      <c r="L76" s="1311"/>
      <c r="M76" s="1311"/>
      <c r="N76" s="1311"/>
      <c r="O76" s="1311"/>
      <c r="P76" s="1311"/>
      <c r="Q76" s="1311"/>
      <c r="R76" s="1311"/>
    </row>
    <row r="77" spans="1:18">
      <c r="A77" s="1311"/>
      <c r="B77" s="1328"/>
      <c r="C77" s="1244"/>
      <c r="D77" s="1326" t="s">
        <v>1289</v>
      </c>
      <c r="E77" s="1311"/>
      <c r="F77" s="960"/>
      <c r="G77" s="1311"/>
      <c r="H77" s="1339"/>
      <c r="I77" s="1331" t="s">
        <v>1290</v>
      </c>
      <c r="J77" s="1311"/>
      <c r="K77" s="1311"/>
      <c r="L77" s="1311"/>
      <c r="M77" s="1311"/>
      <c r="N77" s="1311"/>
      <c r="O77" s="1311"/>
      <c r="P77" s="1311"/>
      <c r="Q77" s="1311"/>
      <c r="R77" s="1311"/>
    </row>
    <row r="78" spans="1:18">
      <c r="A78" s="1311"/>
      <c r="B78" s="1328"/>
      <c r="C78" s="1244"/>
      <c r="D78" s="1326" t="s">
        <v>1291</v>
      </c>
      <c r="E78" s="1311"/>
      <c r="F78" s="960"/>
      <c r="G78" s="1311"/>
      <c r="H78" s="1339"/>
      <c r="I78" s="1331" t="s">
        <v>1292</v>
      </c>
      <c r="J78" s="1311"/>
      <c r="K78" s="1311"/>
      <c r="L78" s="1311"/>
      <c r="M78" s="1311"/>
      <c r="N78" s="1311"/>
      <c r="O78" s="1311"/>
      <c r="P78" s="1311"/>
      <c r="Q78" s="1311"/>
      <c r="R78" s="1311"/>
    </row>
    <row r="79" spans="1:18">
      <c r="A79" s="1311"/>
      <c r="B79" s="1328"/>
      <c r="C79" s="1244"/>
      <c r="D79" s="960" t="s">
        <v>1293</v>
      </c>
      <c r="E79" s="1311"/>
      <c r="F79" s="960"/>
      <c r="G79" s="1311"/>
      <c r="H79" s="1339"/>
      <c r="I79" s="1331" t="s">
        <v>1294</v>
      </c>
      <c r="J79" s="1311"/>
      <c r="K79" s="1311"/>
      <c r="L79" s="1311"/>
      <c r="M79" s="1311"/>
      <c r="N79" s="1311"/>
      <c r="O79" s="1311"/>
      <c r="P79" s="1311"/>
      <c r="Q79" s="1311"/>
      <c r="R79" s="1311"/>
    </row>
    <row r="80" spans="1:18">
      <c r="A80" s="1311"/>
      <c r="B80" s="1328"/>
      <c r="C80" s="1244"/>
      <c r="D80" s="960" t="s">
        <v>1295</v>
      </c>
      <c r="E80" s="1311"/>
      <c r="F80" s="960"/>
      <c r="G80" s="1311"/>
      <c r="H80" s="1339" t="s">
        <v>1296</v>
      </c>
      <c r="I80" s="960"/>
      <c r="J80" s="1311"/>
      <c r="K80" s="1311"/>
      <c r="L80" s="1311"/>
      <c r="M80" s="1311"/>
      <c r="N80" s="1311"/>
      <c r="O80" s="1311"/>
      <c r="P80" s="1311"/>
      <c r="Q80" s="1311"/>
      <c r="R80" s="1311"/>
    </row>
    <row r="81" spans="1:18">
      <c r="A81" s="1311"/>
      <c r="B81" s="1328"/>
      <c r="C81" s="1244"/>
      <c r="D81" s="960" t="s">
        <v>1297</v>
      </c>
      <c r="E81" s="1311"/>
      <c r="F81" s="960"/>
      <c r="G81" s="1311"/>
      <c r="H81" s="1339"/>
      <c r="I81" s="960"/>
      <c r="J81" s="1311"/>
      <c r="K81" s="1311"/>
      <c r="L81" s="1311"/>
      <c r="M81" s="1311"/>
      <c r="N81" s="1311"/>
      <c r="O81" s="1311"/>
      <c r="P81" s="1311"/>
      <c r="Q81" s="1311"/>
      <c r="R81" s="1311"/>
    </row>
    <row r="82" spans="1:18">
      <c r="A82" s="1311"/>
      <c r="B82" s="1328"/>
      <c r="C82" s="1244"/>
      <c r="D82" s="960"/>
      <c r="E82" s="1311"/>
      <c r="F82" s="960"/>
      <c r="G82" s="1311"/>
      <c r="H82" s="1339"/>
      <c r="I82" s="960"/>
      <c r="J82" s="1311"/>
      <c r="K82" s="1311"/>
      <c r="L82" s="1311"/>
      <c r="M82" s="1311"/>
      <c r="N82" s="1311"/>
      <c r="O82" s="1311"/>
      <c r="P82" s="1311"/>
      <c r="Q82" s="1311"/>
      <c r="R82" s="1311"/>
    </row>
    <row r="83" spans="1:18" s="424" customFormat="1">
      <c r="A83" s="961"/>
      <c r="B83" s="1362"/>
      <c r="C83" s="1370"/>
      <c r="D83" s="961"/>
      <c r="E83" s="961"/>
      <c r="F83" s="961"/>
      <c r="G83" s="961"/>
      <c r="H83" s="1371"/>
      <c r="I83" s="961"/>
      <c r="J83" s="961"/>
      <c r="K83" s="961"/>
      <c r="L83" s="961"/>
      <c r="M83" s="961"/>
      <c r="N83" s="961"/>
      <c r="O83" s="961"/>
      <c r="P83" s="961"/>
      <c r="Q83" s="961"/>
      <c r="R83" s="961"/>
    </row>
    <row r="84" spans="1:18">
      <c r="A84" s="1311"/>
      <c r="B84" s="1328"/>
      <c r="C84" s="1342"/>
      <c r="D84" s="1311"/>
      <c r="E84" s="1311"/>
      <c r="F84" s="1311"/>
      <c r="G84" s="1312"/>
      <c r="H84" s="1319"/>
      <c r="I84" s="1311"/>
      <c r="J84" s="1311"/>
      <c r="K84" s="1311"/>
      <c r="L84" s="1311"/>
      <c r="M84" s="1311"/>
      <c r="N84" s="1311"/>
      <c r="O84" s="1311"/>
      <c r="P84" s="1311"/>
      <c r="Q84" s="1311"/>
      <c r="R84" s="1311"/>
    </row>
    <row r="85" spans="1:18">
      <c r="A85" s="1311"/>
      <c r="B85" s="1343" t="s">
        <v>1342</v>
      </c>
      <c r="C85" s="1354" t="s">
        <v>1326</v>
      </c>
      <c r="D85" s="960"/>
      <c r="E85" s="960"/>
      <c r="F85" s="960"/>
      <c r="G85" s="1311"/>
      <c r="H85" s="1354" t="s">
        <v>1326</v>
      </c>
      <c r="I85" s="1311"/>
      <c r="J85" s="1311"/>
      <c r="K85" s="1311"/>
      <c r="L85" s="1311"/>
      <c r="M85" s="1311"/>
      <c r="N85" s="1311"/>
      <c r="O85" s="1311"/>
      <c r="P85" s="1311"/>
      <c r="Q85" s="1311"/>
      <c r="R85" s="1311"/>
    </row>
    <row r="86" spans="1:18">
      <c r="C86" s="1244" t="s">
        <v>1343</v>
      </c>
      <c r="G86" s="1372"/>
    </row>
    <row r="87" spans="1:18">
      <c r="C87" s="422" t="s">
        <v>1344</v>
      </c>
      <c r="G87" s="1372"/>
    </row>
    <row r="88" spans="1:18">
      <c r="C88" s="422"/>
      <c r="G88" s="1372"/>
    </row>
    <row r="89" spans="1:18">
      <c r="C89" s="422"/>
      <c r="G89" s="1372"/>
    </row>
    <row r="90" spans="1:18">
      <c r="A90" s="1311"/>
      <c r="B90" s="1311"/>
      <c r="C90" s="1244"/>
      <c r="D90" s="1331"/>
      <c r="E90" s="1311"/>
      <c r="F90" s="960"/>
      <c r="G90" s="1312"/>
      <c r="H90" s="1339"/>
      <c r="I90" s="1331"/>
      <c r="J90" s="1311"/>
      <c r="K90" s="1311"/>
      <c r="L90" s="1311"/>
      <c r="M90" s="1311"/>
      <c r="N90" s="1311"/>
      <c r="O90" s="1311"/>
      <c r="P90" s="1311"/>
      <c r="Q90" s="1311"/>
      <c r="R90" s="1311"/>
    </row>
    <row r="91" spans="1:18">
      <c r="A91" s="1311"/>
      <c r="B91" s="1311"/>
      <c r="C91" s="1244"/>
      <c r="D91" s="1331"/>
      <c r="E91" s="1311"/>
      <c r="F91" s="960"/>
      <c r="G91" s="1312"/>
      <c r="H91" s="1339"/>
      <c r="I91" s="1331"/>
      <c r="J91" s="1311"/>
      <c r="K91" s="1311"/>
      <c r="L91" s="1311"/>
      <c r="M91" s="1311"/>
      <c r="N91" s="1311"/>
      <c r="O91" s="1311"/>
      <c r="P91" s="1311"/>
      <c r="Q91" s="1311"/>
      <c r="R91" s="1311"/>
    </row>
    <row r="92" spans="1:18">
      <c r="A92" s="1311"/>
      <c r="B92" s="1311"/>
      <c r="C92" s="1244"/>
      <c r="D92" s="1331"/>
      <c r="E92" s="1311"/>
      <c r="F92" s="960"/>
      <c r="G92" s="1312"/>
      <c r="H92" s="1339"/>
      <c r="I92" s="1331"/>
      <c r="J92" s="1311"/>
      <c r="K92" s="1311"/>
      <c r="L92" s="1311"/>
      <c r="M92" s="1311"/>
      <c r="N92" s="1311"/>
      <c r="O92" s="1311"/>
      <c r="P92" s="1311"/>
      <c r="Q92" s="1311"/>
      <c r="R92" s="1311"/>
    </row>
    <row r="93" spans="1:18">
      <c r="A93" s="1311"/>
      <c r="B93" s="1311"/>
      <c r="C93" s="1354" t="s">
        <v>1326</v>
      </c>
      <c r="D93" s="960"/>
      <c r="E93" s="960"/>
      <c r="F93" s="960"/>
      <c r="G93" s="1311"/>
      <c r="H93" s="1354" t="s">
        <v>1326</v>
      </c>
      <c r="I93" s="1331"/>
      <c r="J93" s="1311"/>
      <c r="K93" s="1311"/>
      <c r="L93" s="1311"/>
      <c r="M93" s="1311"/>
      <c r="N93" s="1311"/>
      <c r="O93" s="1311"/>
      <c r="P93" s="1311"/>
      <c r="Q93" s="1311"/>
      <c r="R93" s="1311"/>
    </row>
    <row r="94" spans="1:18">
      <c r="A94" s="1311"/>
      <c r="C94" s="1244" t="s">
        <v>1298</v>
      </c>
      <c r="D94" s="960"/>
      <c r="E94" s="960"/>
      <c r="F94" s="960"/>
      <c r="G94" s="1312"/>
      <c r="H94" s="1339" t="s">
        <v>1299</v>
      </c>
      <c r="I94" s="1311"/>
      <c r="J94" s="1311"/>
      <c r="K94" s="1311"/>
      <c r="L94" s="1311"/>
      <c r="M94" s="1311"/>
      <c r="N94" s="1311"/>
      <c r="O94" s="1311"/>
      <c r="P94" s="1311"/>
      <c r="Q94" s="1311"/>
      <c r="R94" s="1311"/>
    </row>
    <row r="95" spans="1:18">
      <c r="A95" s="1311"/>
      <c r="B95" s="1311"/>
      <c r="C95" s="1244"/>
      <c r="D95" s="960"/>
      <c r="E95" s="1311"/>
      <c r="F95" s="960"/>
      <c r="G95" s="1312"/>
      <c r="H95" s="1340"/>
      <c r="I95" s="1344" t="s">
        <v>1300</v>
      </c>
      <c r="J95" s="1326"/>
      <c r="K95" s="1326"/>
      <c r="L95" s="1326"/>
      <c r="M95" s="1311"/>
      <c r="N95" s="1311"/>
      <c r="O95" s="1311"/>
      <c r="P95" s="1311"/>
      <c r="Q95" s="1311"/>
      <c r="R95" s="1311"/>
    </row>
    <row r="96" spans="1:18">
      <c r="A96" s="1311"/>
      <c r="B96" s="1311"/>
      <c r="C96" s="1244"/>
      <c r="D96" s="1331"/>
      <c r="E96" s="1311"/>
      <c r="F96" s="960"/>
      <c r="G96" s="1312"/>
      <c r="H96" s="1339"/>
      <c r="I96" s="1331"/>
      <c r="J96" s="1311"/>
      <c r="K96" s="1311"/>
      <c r="L96" s="1311"/>
      <c r="M96" s="1311"/>
      <c r="N96" s="1311"/>
      <c r="O96" s="1311"/>
      <c r="P96" s="1311"/>
      <c r="Q96" s="1311"/>
      <c r="R96" s="1311"/>
    </row>
    <row r="97" spans="1:18">
      <c r="A97" s="1311"/>
      <c r="B97" s="1311"/>
      <c r="C97" s="1244"/>
      <c r="D97" s="1331"/>
      <c r="E97" s="1311"/>
      <c r="F97" s="960"/>
      <c r="G97" s="1312"/>
      <c r="H97" s="1339" t="s">
        <v>1301</v>
      </c>
      <c r="I97" s="1331"/>
      <c r="J97" s="1311"/>
      <c r="K97" s="1311"/>
      <c r="L97" s="1311"/>
      <c r="M97" s="1311"/>
      <c r="N97" s="1311"/>
      <c r="O97" s="1311"/>
      <c r="P97" s="1311"/>
      <c r="Q97" s="1311"/>
      <c r="R97" s="1311"/>
    </row>
    <row r="98" spans="1:18">
      <c r="A98" s="1311"/>
      <c r="B98" s="1311"/>
      <c r="C98" s="1244"/>
      <c r="D98" s="1331"/>
      <c r="E98" s="1311"/>
      <c r="F98" s="960"/>
      <c r="G98" s="1312"/>
      <c r="H98" s="1339"/>
      <c r="I98" s="1331"/>
      <c r="J98" s="1325"/>
      <c r="K98" s="1345"/>
      <c r="L98" s="1311"/>
      <c r="M98" s="1311"/>
      <c r="N98" s="1311"/>
      <c r="O98" s="1311"/>
      <c r="P98" s="1311"/>
      <c r="Q98" s="1311"/>
      <c r="R98" s="1311"/>
    </row>
    <row r="99" spans="1:18" s="424" customFormat="1">
      <c r="A99" s="961"/>
      <c r="B99" s="1362"/>
      <c r="C99" s="1370"/>
      <c r="D99" s="961"/>
      <c r="E99" s="961"/>
      <c r="F99" s="961"/>
      <c r="G99" s="961"/>
      <c r="H99" s="1371"/>
      <c r="I99" s="961"/>
      <c r="J99" s="961"/>
      <c r="K99" s="961"/>
      <c r="L99" s="961"/>
      <c r="M99" s="961"/>
      <c r="N99" s="961"/>
      <c r="O99" s="961"/>
      <c r="P99" s="961"/>
      <c r="Q99" s="961"/>
      <c r="R99" s="961"/>
    </row>
    <row r="100" spans="1:18">
      <c r="A100" s="1311"/>
      <c r="B100" s="1328"/>
      <c r="C100" s="1342"/>
      <c r="D100" s="1311"/>
      <c r="E100" s="1311"/>
      <c r="F100" s="1311"/>
      <c r="G100" s="1311"/>
      <c r="H100" s="1319"/>
      <c r="I100" s="1311"/>
      <c r="J100" s="1311"/>
      <c r="K100" s="1311"/>
      <c r="L100" s="1311"/>
      <c r="M100" s="1311"/>
      <c r="N100" s="1311"/>
      <c r="O100" s="1311"/>
      <c r="P100" s="1311"/>
      <c r="Q100" s="1311"/>
      <c r="R100" s="1311"/>
    </row>
    <row r="101" spans="1:18">
      <c r="A101" s="1311"/>
      <c r="B101" s="1328" t="s">
        <v>629</v>
      </c>
      <c r="C101" s="1244" t="s">
        <v>1302</v>
      </c>
      <c r="D101" s="960"/>
      <c r="E101" s="1311"/>
      <c r="F101" s="1311"/>
      <c r="G101" s="1311"/>
      <c r="H101" s="1339" t="s">
        <v>1303</v>
      </c>
      <c r="I101" s="1311"/>
      <c r="J101" s="1311"/>
      <c r="K101" s="1311"/>
      <c r="L101" s="1311"/>
      <c r="M101" s="1311"/>
      <c r="N101" s="1311"/>
      <c r="O101" s="1311"/>
      <c r="P101" s="1311"/>
      <c r="Q101" s="1311"/>
      <c r="R101" s="1311"/>
    </row>
    <row r="102" spans="1:18">
      <c r="A102" s="1311"/>
      <c r="B102" s="1331"/>
      <c r="C102" s="1244" t="s">
        <v>1304</v>
      </c>
      <c r="D102" s="1331"/>
      <c r="E102" s="1311"/>
      <c r="F102" s="1311"/>
      <c r="G102" s="1311"/>
      <c r="H102" s="1339" t="s">
        <v>1305</v>
      </c>
      <c r="I102" s="960"/>
      <c r="J102" s="1311"/>
      <c r="K102" s="1325"/>
      <c r="L102" s="1325"/>
      <c r="M102" s="1311"/>
      <c r="N102" s="1311"/>
      <c r="O102" s="1311"/>
      <c r="P102" s="1311"/>
      <c r="Q102" s="1311"/>
      <c r="R102" s="1311"/>
    </row>
    <row r="103" spans="1:18">
      <c r="A103" s="1311"/>
      <c r="B103" s="1331"/>
      <c r="C103" s="1244" t="s">
        <v>1306</v>
      </c>
      <c r="D103" s="960"/>
      <c r="E103" s="1311"/>
      <c r="F103" s="1311"/>
      <c r="G103" s="1311"/>
      <c r="H103" s="1339"/>
      <c r="I103" s="1331" t="s">
        <v>1307</v>
      </c>
      <c r="J103" s="1311"/>
      <c r="K103" s="1311"/>
      <c r="L103" s="1311"/>
      <c r="M103" s="1311"/>
      <c r="N103" s="1311"/>
      <c r="O103" s="1311"/>
      <c r="P103" s="1311"/>
      <c r="Q103" s="1311"/>
      <c r="R103" s="1311"/>
    </row>
    <row r="104" spans="1:18">
      <c r="A104" s="1311"/>
      <c r="B104" s="1331"/>
      <c r="C104" s="1244"/>
      <c r="D104" s="1331" t="s">
        <v>1308</v>
      </c>
      <c r="E104" s="1311"/>
      <c r="F104" s="1311"/>
      <c r="G104" s="1311"/>
      <c r="H104" s="1339" t="s">
        <v>1309</v>
      </c>
      <c r="I104" s="1331"/>
      <c r="J104" s="1311"/>
      <c r="K104" s="1325"/>
      <c r="L104" s="1325"/>
      <c r="M104" s="1311"/>
      <c r="N104" s="1311"/>
      <c r="O104" s="1311"/>
      <c r="P104" s="1311"/>
      <c r="Q104" s="1311"/>
      <c r="R104" s="1311"/>
    </row>
    <row r="105" spans="1:18">
      <c r="A105" s="1311"/>
      <c r="B105" s="1331"/>
      <c r="C105" s="1346"/>
      <c r="D105" s="1331" t="s">
        <v>1310</v>
      </c>
      <c r="E105" s="1325"/>
      <c r="F105" s="1325"/>
      <c r="G105" s="1311"/>
      <c r="H105" s="1339"/>
      <c r="I105" s="1331" t="s">
        <v>1311</v>
      </c>
      <c r="J105" s="1325"/>
      <c r="K105" s="1325"/>
      <c r="L105" s="1325"/>
      <c r="M105" s="1325"/>
      <c r="N105" s="1341"/>
      <c r="O105" s="1341"/>
      <c r="P105" s="1341"/>
      <c r="Q105" s="1311"/>
      <c r="R105" s="1311"/>
    </row>
    <row r="106" spans="1:18">
      <c r="A106" s="1311"/>
      <c r="B106" s="1331"/>
      <c r="C106" s="1244"/>
      <c r="D106" s="1331" t="s">
        <v>1312</v>
      </c>
      <c r="E106" s="1311"/>
      <c r="F106" s="1311"/>
      <c r="G106" s="1311"/>
      <c r="H106" s="1340" t="s">
        <v>1313</v>
      </c>
      <c r="I106" s="1326"/>
      <c r="J106" s="1326"/>
      <c r="K106" s="1311"/>
      <c r="L106" s="1311"/>
      <c r="M106" s="1311"/>
      <c r="N106" s="1311"/>
      <c r="O106" s="1311"/>
      <c r="P106" s="1311"/>
      <c r="Q106" s="1311"/>
      <c r="R106" s="1311"/>
    </row>
    <row r="107" spans="1:18">
      <c r="A107" s="1311"/>
      <c r="B107" s="1328"/>
      <c r="C107" s="1244"/>
      <c r="D107" s="1331" t="s">
        <v>1314</v>
      </c>
      <c r="E107" s="1311"/>
      <c r="F107" s="960"/>
      <c r="G107" s="1311"/>
      <c r="H107" s="1340" t="s">
        <v>1315</v>
      </c>
      <c r="I107" s="1326"/>
      <c r="J107" s="1326"/>
      <c r="K107" s="1311"/>
      <c r="L107" s="1311"/>
      <c r="M107" s="1311"/>
      <c r="N107" s="1311"/>
      <c r="O107" s="1311"/>
      <c r="P107" s="1311"/>
      <c r="Q107" s="1311"/>
      <c r="R107" s="1311"/>
    </row>
    <row r="108" spans="1:18">
      <c r="A108" s="1311"/>
      <c r="B108" s="1331"/>
      <c r="C108" s="1342" t="s">
        <v>1316</v>
      </c>
      <c r="D108" s="1347"/>
      <c r="E108" s="1312"/>
      <c r="F108" s="1312"/>
      <c r="G108" s="1312"/>
      <c r="H108" s="1319"/>
      <c r="I108" s="1311"/>
      <c r="J108" s="1311"/>
      <c r="K108" s="1311"/>
      <c r="L108" s="1311"/>
      <c r="M108" s="1311"/>
      <c r="N108" s="1311"/>
      <c r="O108" s="1311"/>
      <c r="P108" s="1311"/>
      <c r="Q108" s="1311"/>
      <c r="R108" s="1311"/>
    </row>
    <row r="109" spans="1:18">
      <c r="A109" s="1311"/>
      <c r="B109" s="1311"/>
      <c r="C109" s="1342" t="s">
        <v>1317</v>
      </c>
      <c r="D109" s="1312"/>
      <c r="E109" s="1312"/>
      <c r="F109" s="1312"/>
      <c r="G109" s="1312"/>
      <c r="H109" s="1319"/>
      <c r="I109" s="1311"/>
      <c r="J109" s="1311"/>
      <c r="K109" s="1311"/>
      <c r="L109" s="1311"/>
      <c r="M109" s="1311"/>
      <c r="N109" s="1311"/>
      <c r="O109" s="1311"/>
      <c r="P109" s="1311"/>
      <c r="Q109" s="1311"/>
      <c r="R109" s="1311"/>
    </row>
    <row r="110" spans="1:18">
      <c r="A110" s="1311"/>
      <c r="B110" s="1311"/>
      <c r="C110" s="1319"/>
      <c r="D110" s="1311"/>
      <c r="E110" s="960"/>
      <c r="F110" s="960"/>
      <c r="G110" s="1312"/>
      <c r="H110" s="1319"/>
      <c r="I110" s="1311"/>
      <c r="J110" s="1311"/>
      <c r="K110" s="1311"/>
      <c r="L110" s="1311"/>
      <c r="M110" s="1311"/>
      <c r="N110" s="1311"/>
      <c r="O110" s="1311"/>
      <c r="P110" s="1311"/>
      <c r="Q110" s="1311"/>
      <c r="R110" s="1311"/>
    </row>
    <row r="111" spans="1:18">
      <c r="A111" s="1311"/>
      <c r="B111" s="1311"/>
      <c r="C111" s="1244"/>
      <c r="D111" s="960"/>
      <c r="E111" s="1311"/>
      <c r="F111" s="960"/>
      <c r="G111" s="1312"/>
      <c r="H111" s="1319"/>
      <c r="I111" s="1311"/>
      <c r="J111" s="1311"/>
      <c r="K111" s="1311"/>
      <c r="L111" s="1311"/>
      <c r="M111" s="1311"/>
      <c r="N111" s="1311"/>
      <c r="O111" s="1311"/>
      <c r="P111" s="1311"/>
      <c r="Q111" s="1311"/>
      <c r="R111" s="1311"/>
    </row>
    <row r="112" spans="1:18">
      <c r="A112" s="1311"/>
      <c r="B112" s="1311"/>
      <c r="C112" s="1244"/>
      <c r="D112" s="1331"/>
      <c r="E112" s="1311"/>
      <c r="F112" s="960"/>
      <c r="G112" s="1312"/>
      <c r="H112" s="1319"/>
      <c r="I112" s="1311"/>
      <c r="J112" s="1311"/>
      <c r="K112" s="1311"/>
      <c r="L112" s="1311"/>
      <c r="M112" s="1311"/>
      <c r="N112" s="1311"/>
      <c r="O112" s="1311"/>
      <c r="P112" s="1311"/>
      <c r="Q112" s="1311"/>
      <c r="R112" s="1311"/>
    </row>
    <row r="113" spans="1:18">
      <c r="A113" s="1311"/>
      <c r="B113" s="1343" t="s">
        <v>630</v>
      </c>
      <c r="C113" s="1244" t="s">
        <v>1318</v>
      </c>
      <c r="D113" s="960"/>
      <c r="E113" s="1311"/>
      <c r="F113" s="960"/>
      <c r="G113" s="1312"/>
      <c r="H113" s="1339" t="s">
        <v>1319</v>
      </c>
      <c r="I113" s="1311"/>
      <c r="J113" s="1311"/>
      <c r="K113" s="1311"/>
      <c r="L113" s="1311"/>
      <c r="M113" s="1311"/>
      <c r="N113" s="1311"/>
      <c r="O113" s="1311"/>
      <c r="P113" s="1311"/>
      <c r="Q113" s="1311"/>
      <c r="R113" s="1311"/>
    </row>
    <row r="114" spans="1:18">
      <c r="A114" s="1311"/>
      <c r="B114" s="1311"/>
      <c r="C114" s="1244"/>
      <c r="D114" s="1331"/>
      <c r="E114" s="1311"/>
      <c r="F114" s="960"/>
      <c r="G114" s="1312"/>
      <c r="H114" s="1339" t="s">
        <v>1320</v>
      </c>
      <c r="I114" s="960"/>
      <c r="J114" s="1311"/>
      <c r="K114" s="1311"/>
      <c r="L114" s="1311"/>
      <c r="M114" s="1311"/>
      <c r="N114" s="1311"/>
      <c r="O114" s="1311"/>
      <c r="P114" s="1311"/>
      <c r="Q114" s="1311"/>
      <c r="R114" s="1311"/>
    </row>
    <row r="115" spans="1:18">
      <c r="A115" s="1311"/>
      <c r="B115" s="1311"/>
      <c r="C115" s="1244"/>
      <c r="D115" s="1331"/>
      <c r="E115" s="1311"/>
      <c r="F115" s="960"/>
      <c r="G115" s="1312"/>
      <c r="H115" s="1339"/>
      <c r="I115" s="1331" t="s">
        <v>1321</v>
      </c>
      <c r="J115" s="1311"/>
      <c r="K115" s="1311"/>
      <c r="L115" s="1311"/>
      <c r="M115" s="1311"/>
      <c r="N115" s="1311"/>
      <c r="O115" s="1311"/>
      <c r="P115" s="1311"/>
      <c r="Q115" s="1311"/>
      <c r="R115" s="1311"/>
    </row>
    <row r="116" spans="1:18">
      <c r="A116" s="1311"/>
      <c r="B116" s="1311"/>
      <c r="C116" s="1319"/>
      <c r="D116" s="1312"/>
      <c r="E116" s="1312"/>
      <c r="F116" s="1312"/>
      <c r="G116" s="1312"/>
      <c r="H116" s="1339"/>
      <c r="I116" s="1331" t="s">
        <v>1322</v>
      </c>
      <c r="J116" s="1311"/>
      <c r="K116" s="1311"/>
      <c r="L116" s="1311"/>
      <c r="M116" s="1311"/>
      <c r="N116" s="1311"/>
      <c r="O116" s="1311"/>
      <c r="P116" s="1311"/>
      <c r="Q116" s="1311"/>
      <c r="R116" s="1311"/>
    </row>
    <row r="117" spans="1:18">
      <c r="A117" s="1311"/>
      <c r="B117" s="1311"/>
      <c r="C117" s="1319"/>
      <c r="D117" s="1311"/>
      <c r="E117" s="1311"/>
      <c r="F117" s="1311"/>
      <c r="G117" s="1311"/>
      <c r="H117" s="1339"/>
      <c r="I117" s="1331" t="s">
        <v>1323</v>
      </c>
      <c r="J117" s="1325"/>
      <c r="K117" s="1325"/>
      <c r="L117" s="1311"/>
      <c r="M117" s="1311"/>
      <c r="N117" s="1311"/>
      <c r="O117" s="1311"/>
      <c r="P117" s="1311"/>
      <c r="Q117" s="1311"/>
      <c r="R117" s="1311"/>
    </row>
    <row r="118" spans="1:18">
      <c r="A118" s="1311"/>
      <c r="B118" s="1311"/>
      <c r="C118" s="1319"/>
      <c r="D118" s="1311"/>
      <c r="E118" s="1311"/>
      <c r="F118" s="1311"/>
      <c r="G118" s="1311"/>
      <c r="H118" s="1339" t="s">
        <v>1324</v>
      </c>
      <c r="I118" s="960"/>
      <c r="J118" s="1311"/>
      <c r="K118" s="1311"/>
      <c r="L118" s="1311"/>
      <c r="M118" s="1311"/>
      <c r="N118" s="1311"/>
      <c r="O118" s="1311"/>
      <c r="P118" s="1311"/>
      <c r="Q118" s="1311"/>
      <c r="R118" s="1311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39997558519241921"/>
  </sheetPr>
  <dimension ref="B2:AX815"/>
  <sheetViews>
    <sheetView showGridLines="0" tabSelected="1" topLeftCell="M532" zoomScale="80" zoomScaleNormal="80" workbookViewId="0">
      <selection activeCell="AB557" sqref="AB557"/>
    </sheetView>
  </sheetViews>
  <sheetFormatPr defaultRowHeight="15"/>
  <cols>
    <col min="1" max="1" width="2.140625" customWidth="1"/>
    <col min="4" max="4" width="9.7109375" customWidth="1"/>
    <col min="5" max="5" width="10.140625" customWidth="1"/>
    <col min="14" max="14" width="11.42578125" customWidth="1"/>
    <col min="15" max="15" width="9.140625" bestFit="1" customWidth="1"/>
    <col min="16" max="20" width="10.85546875" bestFit="1" customWidth="1"/>
    <col min="21" max="21" width="9.28515625" customWidth="1"/>
    <col min="22" max="22" width="10.85546875" bestFit="1" customWidth="1"/>
    <col min="24" max="24" width="10.140625" customWidth="1"/>
    <col min="25" max="25" width="10.7109375" customWidth="1"/>
    <col min="26" max="27" width="10" bestFit="1" customWidth="1"/>
    <col min="28" max="31" width="10" customWidth="1"/>
    <col min="32" max="32" width="10.42578125" bestFit="1" customWidth="1"/>
    <col min="33" max="35" width="11.42578125" bestFit="1" customWidth="1"/>
    <col min="36" max="39" width="10" bestFit="1" customWidth="1"/>
    <col min="40" max="40" width="10.42578125" bestFit="1" customWidth="1"/>
  </cols>
  <sheetData>
    <row r="2" spans="2:17" ht="19.5">
      <c r="B2" s="33" t="s">
        <v>0</v>
      </c>
    </row>
    <row r="4" spans="2:17" s="48" customFormat="1" ht="22.5" customHeight="1">
      <c r="B4" s="50" t="s">
        <v>189</v>
      </c>
      <c r="Q4" s="49" t="s">
        <v>200</v>
      </c>
    </row>
    <row r="6" spans="2:17" s="35" customFormat="1" ht="17.25" customHeight="1">
      <c r="B6" s="34" t="s">
        <v>181</v>
      </c>
    </row>
    <row r="7" spans="2:17">
      <c r="B7" s="1"/>
    </row>
    <row r="8" spans="2:17">
      <c r="B8" s="36" t="s">
        <v>25</v>
      </c>
      <c r="C8" s="37"/>
      <c r="D8" s="37"/>
      <c r="E8" s="37"/>
      <c r="F8" s="37"/>
      <c r="G8" s="37"/>
      <c r="H8" s="37"/>
      <c r="I8" s="37"/>
      <c r="J8" s="37"/>
      <c r="K8" s="2"/>
      <c r="L8" s="2"/>
      <c r="M8" s="2"/>
      <c r="N8" s="2"/>
      <c r="O8" s="2"/>
    </row>
    <row r="9" spans="2:17">
      <c r="B9" s="38"/>
      <c r="C9" s="39" t="s">
        <v>26</v>
      </c>
      <c r="D9" s="39"/>
      <c r="E9" s="39"/>
      <c r="F9" s="39"/>
      <c r="G9" s="37"/>
      <c r="H9" s="37"/>
      <c r="I9" s="37"/>
      <c r="J9" s="37"/>
      <c r="K9" s="2"/>
      <c r="L9" s="2"/>
      <c r="M9" s="2"/>
      <c r="N9" s="2"/>
      <c r="O9" s="2"/>
    </row>
    <row r="10" spans="2:17">
      <c r="B10" s="38"/>
      <c r="C10" s="39" t="s">
        <v>27</v>
      </c>
      <c r="D10" s="39"/>
      <c r="E10" s="39"/>
      <c r="F10" s="37"/>
      <c r="G10" s="37"/>
      <c r="H10" s="37"/>
      <c r="I10" s="37"/>
      <c r="J10" s="37"/>
      <c r="K10" s="2"/>
      <c r="L10" s="2"/>
      <c r="M10" s="2"/>
      <c r="N10" s="2"/>
      <c r="O10" s="2"/>
    </row>
    <row r="11" spans="2:17">
      <c r="B11" s="38"/>
      <c r="C11" s="39"/>
      <c r="D11" s="39" t="s">
        <v>28</v>
      </c>
      <c r="E11" s="39"/>
      <c r="F11" s="37"/>
      <c r="G11" s="37"/>
      <c r="H11" s="37"/>
      <c r="I11" s="37"/>
      <c r="J11" s="37"/>
      <c r="K11" s="2"/>
      <c r="L11" s="2"/>
      <c r="M11" s="2"/>
      <c r="N11" s="2"/>
      <c r="O11" s="2"/>
    </row>
    <row r="12" spans="2:17">
      <c r="B12" s="38"/>
      <c r="C12" s="39"/>
      <c r="D12" s="39" t="s">
        <v>29</v>
      </c>
      <c r="E12" s="39"/>
      <c r="F12" s="37"/>
      <c r="G12" s="37"/>
      <c r="H12" s="37"/>
      <c r="I12" s="37"/>
      <c r="J12" s="37"/>
      <c r="K12" s="2"/>
      <c r="L12" s="2"/>
      <c r="M12" s="2"/>
      <c r="N12" s="2"/>
      <c r="O12" s="2"/>
    </row>
    <row r="13" spans="2:17">
      <c r="B13" s="38"/>
      <c r="C13" s="39" t="s">
        <v>526</v>
      </c>
      <c r="D13" s="39"/>
      <c r="E13" s="39"/>
      <c r="F13" s="39"/>
      <c r="G13" s="37"/>
      <c r="H13" s="37"/>
      <c r="I13" s="37"/>
      <c r="J13" s="37"/>
      <c r="K13" s="2"/>
      <c r="L13" s="2"/>
      <c r="M13" s="2"/>
      <c r="N13" s="2"/>
      <c r="O13" s="2"/>
    </row>
    <row r="14" spans="2:17">
      <c r="B14" s="38"/>
      <c r="C14" s="39"/>
      <c r="D14" s="39" t="s">
        <v>527</v>
      </c>
      <c r="E14" s="39"/>
      <c r="F14" s="39"/>
      <c r="G14" s="37"/>
      <c r="H14" s="37"/>
      <c r="I14" s="37"/>
      <c r="J14" s="37"/>
      <c r="K14" s="2"/>
      <c r="L14" s="2"/>
      <c r="M14" s="2"/>
      <c r="N14" s="2"/>
      <c r="O14" s="2"/>
    </row>
    <row r="15" spans="2:17">
      <c r="B15" s="38"/>
      <c r="C15" s="39"/>
      <c r="D15" s="39" t="s">
        <v>528</v>
      </c>
      <c r="E15" s="39"/>
      <c r="F15" s="39"/>
      <c r="G15" s="37"/>
      <c r="H15" s="37"/>
      <c r="I15" s="37"/>
      <c r="J15" s="37"/>
      <c r="K15" s="2"/>
      <c r="L15" s="2"/>
      <c r="M15" s="2"/>
      <c r="N15" s="2"/>
      <c r="O15" s="2"/>
    </row>
    <row r="16" spans="2:17">
      <c r="B16" s="38"/>
      <c r="C16" s="39"/>
      <c r="D16" s="39" t="s">
        <v>529</v>
      </c>
      <c r="E16" s="39"/>
      <c r="F16" s="39"/>
      <c r="G16" s="37"/>
      <c r="H16" s="37"/>
      <c r="I16" s="37"/>
      <c r="J16" s="37"/>
      <c r="K16" s="2"/>
      <c r="L16" s="2"/>
      <c r="M16" s="2"/>
      <c r="N16" s="2"/>
      <c r="O16" s="2"/>
    </row>
    <row r="17" spans="2:23">
      <c r="B17" s="38"/>
      <c r="C17" s="39"/>
      <c r="D17" s="39" t="s">
        <v>530</v>
      </c>
      <c r="E17" s="39"/>
      <c r="F17" s="39"/>
      <c r="G17" s="37"/>
      <c r="H17" s="37"/>
      <c r="I17" s="37"/>
      <c r="J17" s="37"/>
      <c r="K17" s="2"/>
      <c r="L17" s="2"/>
      <c r="M17" s="2"/>
      <c r="N17" s="2"/>
      <c r="O17" s="2"/>
    </row>
    <row r="18" spans="2:23">
      <c r="B18" s="38"/>
      <c r="C18" s="39" t="s">
        <v>183</v>
      </c>
      <c r="D18" s="37"/>
      <c r="E18" s="37"/>
      <c r="F18" s="37"/>
      <c r="G18" s="37"/>
      <c r="H18" s="37"/>
      <c r="I18" s="37"/>
      <c r="J18" s="37"/>
      <c r="K18" s="2"/>
      <c r="L18" s="2"/>
      <c r="M18" s="2"/>
      <c r="N18" s="2"/>
      <c r="O18" s="2"/>
    </row>
    <row r="19" spans="2:23" ht="18">
      <c r="B19" s="37"/>
      <c r="C19" s="37"/>
      <c r="D19" s="39" t="s">
        <v>182</v>
      </c>
      <c r="E19" s="37"/>
      <c r="F19" s="37"/>
      <c r="G19" s="37"/>
      <c r="H19" s="37"/>
      <c r="I19" s="37"/>
      <c r="J19" s="37"/>
      <c r="K19" s="2"/>
      <c r="L19" s="2"/>
      <c r="M19" s="2"/>
      <c r="N19" s="2"/>
      <c r="O19" s="2"/>
      <c r="S19" s="3"/>
      <c r="T19" s="3"/>
      <c r="U19" s="3"/>
    </row>
    <row r="20" spans="2:23" ht="18">
      <c r="B20" s="37"/>
      <c r="C20" s="37"/>
      <c r="D20" s="39" t="s">
        <v>184</v>
      </c>
      <c r="E20" s="37"/>
      <c r="F20" s="37"/>
      <c r="G20" s="37"/>
      <c r="H20" s="37"/>
      <c r="I20" s="37"/>
      <c r="J20" s="37"/>
      <c r="K20" s="2"/>
      <c r="L20" s="2"/>
      <c r="M20" s="2"/>
      <c r="N20" s="2"/>
      <c r="O20" s="2"/>
      <c r="S20" s="3"/>
      <c r="T20" s="3"/>
      <c r="U20" s="3"/>
    </row>
    <row r="21" spans="2:23" ht="18">
      <c r="D21" s="7"/>
      <c r="S21" s="3"/>
      <c r="T21" s="3"/>
      <c r="U21" s="3"/>
    </row>
    <row r="22" spans="2:23" s="42" customFormat="1" ht="18">
      <c r="B22" s="51" t="s">
        <v>2</v>
      </c>
      <c r="C22" s="43"/>
      <c r="D22" s="43"/>
      <c r="E22" s="43"/>
      <c r="F22" s="43"/>
      <c r="G22" s="43"/>
      <c r="H22" s="43"/>
      <c r="I22" s="43"/>
      <c r="J22" s="43"/>
      <c r="K22" s="43"/>
      <c r="O22" s="486" t="s">
        <v>460</v>
      </c>
      <c r="P22" s="596"/>
      <c r="Q22" s="597">
        <v>217279.47454649099</v>
      </c>
      <c r="R22" s="598">
        <f>Q22/SUM(X57:AA57)</f>
        <v>0.31666304682592422</v>
      </c>
      <c r="S22" s="485"/>
      <c r="T22" s="52"/>
      <c r="U22" s="52"/>
    </row>
    <row r="23" spans="2:23" ht="18">
      <c r="B23" s="10" t="s">
        <v>3</v>
      </c>
      <c r="C23" s="4"/>
      <c r="D23" s="4"/>
      <c r="E23" s="4"/>
      <c r="F23" s="4"/>
      <c r="G23" s="4"/>
      <c r="H23" s="4"/>
      <c r="I23" s="4"/>
      <c r="J23" s="4"/>
      <c r="K23" s="4"/>
      <c r="S23" s="3"/>
      <c r="T23" s="3"/>
      <c r="U23" s="3"/>
    </row>
    <row r="24" spans="2:23">
      <c r="B24" s="11" t="s">
        <v>30</v>
      </c>
      <c r="C24" s="4"/>
      <c r="D24" s="4"/>
      <c r="E24" s="4"/>
      <c r="F24" s="4"/>
      <c r="G24" s="4"/>
      <c r="H24" s="4"/>
      <c r="J24" s="4"/>
      <c r="K24" s="4"/>
      <c r="L24" s="67" t="s">
        <v>431</v>
      </c>
      <c r="M24" s="100" t="s">
        <v>459</v>
      </c>
      <c r="N24" s="67"/>
      <c r="O24" s="67"/>
      <c r="P24" s="67"/>
      <c r="Q24" s="67"/>
      <c r="R24" s="67"/>
      <c r="S24" s="484" t="s">
        <v>446</v>
      </c>
      <c r="T24" s="4"/>
      <c r="U24" s="4"/>
      <c r="V24" s="67"/>
      <c r="W24" s="67"/>
    </row>
    <row r="25" spans="2:23">
      <c r="B25" s="11"/>
      <c r="C25" s="4"/>
      <c r="D25" s="4"/>
      <c r="E25" s="4"/>
      <c r="F25" s="4"/>
      <c r="G25" s="4"/>
      <c r="H25" s="4"/>
      <c r="J25" s="4"/>
      <c r="K25" s="4"/>
      <c r="L25" s="67"/>
      <c r="M25" s="67" t="s">
        <v>432</v>
      </c>
      <c r="N25" s="67"/>
      <c r="O25" s="67" t="s">
        <v>442</v>
      </c>
      <c r="P25" s="67"/>
      <c r="R25" s="67"/>
      <c r="S25" s="4" t="s">
        <v>432</v>
      </c>
      <c r="T25" s="4"/>
      <c r="U25" s="4" t="s">
        <v>442</v>
      </c>
      <c r="V25" s="67"/>
      <c r="W25" s="67"/>
    </row>
    <row r="26" spans="2:23">
      <c r="B26" s="11"/>
      <c r="C26" s="56"/>
      <c r="D26" s="4"/>
      <c r="E26" s="4"/>
      <c r="F26" s="4"/>
      <c r="G26" s="4"/>
      <c r="H26" s="4"/>
      <c r="I26" s="4"/>
      <c r="J26" s="4"/>
      <c r="K26" s="4"/>
      <c r="L26" s="67"/>
      <c r="M26" s="67" t="s">
        <v>433</v>
      </c>
      <c r="N26" s="474">
        <v>3.3529020866146179E-3</v>
      </c>
      <c r="O26" s="67" t="s">
        <v>443</v>
      </c>
      <c r="P26" s="475">
        <v>0.20056565094060391</v>
      </c>
      <c r="R26" s="67"/>
      <c r="S26" s="4" t="s">
        <v>447</v>
      </c>
      <c r="T26" s="476">
        <v>2.3874316094656791E-3</v>
      </c>
      <c r="U26" s="4" t="s">
        <v>454</v>
      </c>
      <c r="V26" s="475">
        <v>5.3553354408791019E-2</v>
      </c>
      <c r="W26" s="67"/>
    </row>
    <row r="27" spans="2:23">
      <c r="B27" s="11"/>
      <c r="C27" s="56"/>
      <c r="D27" s="4"/>
      <c r="E27" s="4"/>
      <c r="F27" s="4"/>
      <c r="G27" s="4"/>
      <c r="H27" s="4"/>
      <c r="I27" s="4"/>
      <c r="J27" s="4"/>
      <c r="K27" s="4"/>
      <c r="L27" s="67"/>
      <c r="M27" s="67" t="s">
        <v>434</v>
      </c>
      <c r="N27" s="474">
        <v>0</v>
      </c>
      <c r="O27" s="67" t="s">
        <v>444</v>
      </c>
      <c r="P27" s="475">
        <v>0.40283761523720879</v>
      </c>
      <c r="R27" s="67"/>
      <c r="S27" s="4" t="s">
        <v>448</v>
      </c>
      <c r="T27" s="476">
        <v>1.570700316749184E-2</v>
      </c>
      <c r="U27" s="4" t="s">
        <v>455</v>
      </c>
      <c r="V27" s="475">
        <v>8.4446345315674527E-3</v>
      </c>
      <c r="W27" s="67"/>
    </row>
    <row r="28" spans="2:23">
      <c r="B28" s="11"/>
      <c r="C28" s="4"/>
      <c r="D28" s="4"/>
      <c r="E28" s="4"/>
      <c r="F28" s="4"/>
      <c r="G28" s="4"/>
      <c r="H28" s="4"/>
      <c r="I28" s="4"/>
      <c r="J28" s="4"/>
      <c r="K28" s="4"/>
      <c r="L28" s="67"/>
      <c r="M28" s="67" t="s">
        <v>435</v>
      </c>
      <c r="N28" s="474">
        <v>1.0269146186638676E-3</v>
      </c>
      <c r="O28" s="117" t="s">
        <v>445</v>
      </c>
      <c r="P28" s="479">
        <v>2.6312463775790902E-3</v>
      </c>
      <c r="R28" s="67"/>
      <c r="S28" s="4" t="s">
        <v>449</v>
      </c>
      <c r="T28" s="476">
        <v>1.9383216031212157E-3</v>
      </c>
      <c r="U28" s="4" t="s">
        <v>456</v>
      </c>
      <c r="V28" s="475">
        <v>4.3594868919559077E-3</v>
      </c>
      <c r="W28" s="67"/>
    </row>
    <row r="29" spans="2:23">
      <c r="B29" s="11"/>
      <c r="C29" s="4"/>
      <c r="D29" s="4"/>
      <c r="E29" s="4"/>
      <c r="F29" s="4"/>
      <c r="G29" s="4"/>
      <c r="H29" s="4"/>
      <c r="I29" s="4"/>
      <c r="J29" s="4"/>
      <c r="K29" s="4"/>
      <c r="L29" s="67"/>
      <c r="M29" s="67" t="s">
        <v>436</v>
      </c>
      <c r="N29" s="474">
        <v>5.3152171914779826E-2</v>
      </c>
      <c r="O29" s="93" t="s">
        <v>441</v>
      </c>
      <c r="P29" s="477">
        <f>SUM(P26:P28)</f>
        <v>0.60603451255539176</v>
      </c>
      <c r="R29" s="67"/>
      <c r="S29" s="4" t="s">
        <v>450</v>
      </c>
      <c r="T29" s="476">
        <v>2.9712242366420152E-3</v>
      </c>
      <c r="U29" s="4" t="s">
        <v>457</v>
      </c>
      <c r="V29" s="475">
        <v>4.5637536303212529E-3</v>
      </c>
      <c r="W29" s="67"/>
    </row>
    <row r="30" spans="2:23">
      <c r="B30" s="11"/>
      <c r="C30" s="4"/>
      <c r="D30" s="4"/>
      <c r="E30" s="4"/>
      <c r="F30" s="4"/>
      <c r="G30" s="4"/>
      <c r="H30" s="4"/>
      <c r="I30" s="4"/>
      <c r="J30" s="4"/>
      <c r="K30" s="4"/>
      <c r="L30" s="67"/>
      <c r="M30" s="67" t="s">
        <v>437</v>
      </c>
      <c r="N30" s="474">
        <v>7.6026667401160417E-2</v>
      </c>
      <c r="R30" s="67"/>
      <c r="S30" s="4" t="s">
        <v>451</v>
      </c>
      <c r="T30" s="476">
        <v>1.8793394490875649E-3</v>
      </c>
      <c r="U30" s="480" t="s">
        <v>458</v>
      </c>
      <c r="V30" s="479">
        <v>1.0174440609996174E-3</v>
      </c>
      <c r="W30" s="67"/>
    </row>
    <row r="31" spans="2:23">
      <c r="B31" s="11"/>
      <c r="C31" s="4"/>
      <c r="D31" s="4"/>
      <c r="E31" s="4"/>
      <c r="F31" s="4"/>
      <c r="G31" s="4"/>
      <c r="H31" s="4"/>
      <c r="I31" s="4"/>
      <c r="J31" s="4"/>
      <c r="K31" s="4"/>
      <c r="L31" s="67"/>
      <c r="M31" s="67" t="s">
        <v>438</v>
      </c>
      <c r="N31" s="474">
        <v>8.3833197588878139E-2</v>
      </c>
      <c r="O31" s="67"/>
      <c r="P31" s="67"/>
      <c r="Q31" s="475"/>
      <c r="R31" s="67"/>
      <c r="S31" s="4" t="s">
        <v>452</v>
      </c>
      <c r="T31" s="476">
        <v>3.5034015593993512E-3</v>
      </c>
      <c r="U31" s="482" t="s">
        <v>441</v>
      </c>
      <c r="V31" s="477">
        <f>SUM(V26:V30)</f>
        <v>7.1938673523635255E-2</v>
      </c>
      <c r="W31" s="67"/>
    </row>
    <row r="32" spans="2:23">
      <c r="B32" s="11"/>
      <c r="C32" s="4"/>
      <c r="D32" s="4"/>
      <c r="E32" s="4"/>
      <c r="F32" s="4"/>
      <c r="G32" s="4"/>
      <c r="H32" s="4"/>
      <c r="I32" s="4"/>
      <c r="J32" s="4"/>
      <c r="K32" s="4"/>
      <c r="L32" s="67"/>
      <c r="M32" s="67" t="s">
        <v>439</v>
      </c>
      <c r="N32" s="474">
        <v>5.8515357567585136E-2</v>
      </c>
      <c r="O32" s="67"/>
      <c r="P32" s="67"/>
      <c r="Q32" s="475"/>
      <c r="R32" s="67"/>
      <c r="S32" s="480" t="s">
        <v>453</v>
      </c>
      <c r="T32" s="481">
        <v>2.0804202542017134E-3</v>
      </c>
      <c r="U32" s="4"/>
      <c r="V32" s="475"/>
      <c r="W32" s="67"/>
    </row>
    <row r="33" spans="2:37">
      <c r="B33" s="11"/>
      <c r="C33" s="4"/>
      <c r="D33" s="4"/>
      <c r="E33" s="4"/>
      <c r="F33" s="4"/>
      <c r="G33" s="4"/>
      <c r="H33" s="4"/>
      <c r="I33" s="4"/>
      <c r="J33" s="4"/>
      <c r="K33" s="4"/>
      <c r="L33" s="67"/>
      <c r="M33" s="117" t="s">
        <v>440</v>
      </c>
      <c r="N33" s="478">
        <v>1.5652460863881581E-2</v>
      </c>
      <c r="O33" s="67"/>
      <c r="P33" s="67"/>
      <c r="Q33" s="475"/>
      <c r="R33" s="67"/>
      <c r="S33" s="483" t="s">
        <v>441</v>
      </c>
      <c r="T33" s="477">
        <f>SUM(T26:T32)</f>
        <v>3.0467141879409382E-2</v>
      </c>
      <c r="W33" s="67"/>
    </row>
    <row r="34" spans="2:37">
      <c r="B34" s="11"/>
      <c r="C34" s="4"/>
      <c r="D34" s="4"/>
      <c r="E34" s="4"/>
      <c r="F34" s="4"/>
      <c r="G34" s="4"/>
      <c r="H34" s="4"/>
      <c r="I34" s="4"/>
      <c r="J34" s="4"/>
      <c r="K34" s="4"/>
      <c r="L34" s="67"/>
      <c r="M34" s="93" t="s">
        <v>441</v>
      </c>
      <c r="N34" s="477">
        <f>SUM(N26:N33)</f>
        <v>0.29155967204156358</v>
      </c>
      <c r="O34" s="67"/>
      <c r="P34" s="67"/>
      <c r="Q34" s="475"/>
      <c r="R34" s="67"/>
      <c r="S34" s="4"/>
      <c r="T34" s="4"/>
      <c r="U34" s="4"/>
      <c r="V34" s="67"/>
      <c r="W34" s="67"/>
    </row>
    <row r="35" spans="2:37">
      <c r="B35" s="11"/>
      <c r="C35" s="4"/>
      <c r="D35" s="4"/>
      <c r="E35" s="4"/>
      <c r="F35" s="4"/>
      <c r="G35" s="4"/>
      <c r="H35" s="4"/>
      <c r="I35" s="4"/>
      <c r="J35" s="4"/>
      <c r="K35" s="4"/>
      <c r="L35" s="67"/>
      <c r="M35" s="93"/>
      <c r="N35" s="477"/>
      <c r="O35" s="67"/>
      <c r="P35" s="67"/>
      <c r="Q35" s="475"/>
      <c r="R35" s="67"/>
      <c r="S35" s="4"/>
      <c r="T35" s="4"/>
      <c r="U35" s="4"/>
      <c r="V35" s="67"/>
      <c r="W35" s="67"/>
    </row>
    <row r="36" spans="2:37" ht="18">
      <c r="B36" s="11"/>
      <c r="C36" s="4"/>
      <c r="D36" s="4"/>
      <c r="E36" s="4"/>
      <c r="F36" s="4"/>
      <c r="G36" s="4"/>
      <c r="H36" s="4"/>
      <c r="I36" s="4"/>
      <c r="J36" s="4"/>
      <c r="K36" s="4"/>
      <c r="S36" s="3"/>
      <c r="T36" s="3"/>
      <c r="U36" s="3"/>
    </row>
    <row r="37" spans="2:37" s="42" customFormat="1" ht="18">
      <c r="B37" s="51" t="s">
        <v>4</v>
      </c>
      <c r="C37" s="43"/>
      <c r="D37" s="43"/>
      <c r="E37" s="43"/>
      <c r="F37" s="43"/>
      <c r="G37" s="43"/>
      <c r="H37" s="43"/>
      <c r="I37" s="43"/>
      <c r="J37" s="43"/>
      <c r="K37" s="43"/>
      <c r="O37" s="486" t="s">
        <v>460</v>
      </c>
      <c r="P37" s="486"/>
      <c r="Q37" s="595">
        <f>SUM(X41:AA41)</f>
        <v>56377.026467544536</v>
      </c>
      <c r="R37" s="598">
        <f>Q37/SUM($X$57:$AA$57)</f>
        <v>8.2163862967086401E-2</v>
      </c>
      <c r="S37" s="52"/>
      <c r="T37" s="52"/>
      <c r="U37" s="52"/>
    </row>
    <row r="38" spans="2:37" s="2" customFormat="1" ht="18">
      <c r="B38" s="83"/>
      <c r="C38" s="84"/>
      <c r="D38" s="84"/>
      <c r="E38" s="84"/>
      <c r="F38" s="84"/>
      <c r="G38" s="84"/>
      <c r="H38" s="84"/>
      <c r="I38" s="84"/>
      <c r="J38" s="84"/>
      <c r="K38" s="84"/>
      <c r="S38" s="85"/>
      <c r="T38" s="85"/>
      <c r="U38" s="85"/>
    </row>
    <row r="39" spans="2:37" s="2" customFormat="1" ht="18">
      <c r="B39" s="86" t="s">
        <v>224</v>
      </c>
      <c r="C39" s="84"/>
      <c r="D39" s="84"/>
      <c r="E39" s="84"/>
      <c r="F39" s="84"/>
      <c r="G39" s="84"/>
      <c r="H39" s="84"/>
      <c r="I39" s="84"/>
      <c r="J39" s="84"/>
      <c r="K39" s="84"/>
      <c r="L39" s="544" t="s">
        <v>470</v>
      </c>
      <c r="S39" s="85"/>
      <c r="T39" s="85"/>
      <c r="U39" s="85"/>
      <c r="W39" s="545" t="s">
        <v>471</v>
      </c>
    </row>
    <row r="40" spans="2:37" s="2" customFormat="1" ht="18">
      <c r="B40" s="83"/>
      <c r="C40" s="84"/>
      <c r="D40" s="84"/>
      <c r="E40" s="84"/>
      <c r="F40" s="84"/>
      <c r="G40" s="84"/>
      <c r="H40" s="84"/>
      <c r="I40" s="84"/>
      <c r="J40" s="84"/>
      <c r="K40" s="84"/>
      <c r="S40" s="85"/>
      <c r="T40" s="85"/>
      <c r="U40" s="85"/>
      <c r="X40" s="72" t="s">
        <v>215</v>
      </c>
      <c r="Y40" s="72" t="s">
        <v>216</v>
      </c>
      <c r="Z40" s="72" t="s">
        <v>217</v>
      </c>
      <c r="AA40" s="82" t="s">
        <v>218</v>
      </c>
      <c r="AB40" s="877" t="s">
        <v>87</v>
      </c>
    </row>
    <row r="41" spans="2:37" s="2" customFormat="1" ht="18">
      <c r="B41" s="83"/>
      <c r="C41" s="84"/>
      <c r="D41" s="84"/>
      <c r="E41" s="84"/>
      <c r="F41" s="84"/>
      <c r="G41" s="84"/>
      <c r="H41" s="84"/>
      <c r="I41" s="84"/>
      <c r="J41" s="84"/>
      <c r="K41" s="84"/>
      <c r="S41" s="882"/>
      <c r="T41" s="85"/>
      <c r="U41" s="85"/>
      <c r="W41" s="540" t="s">
        <v>466</v>
      </c>
      <c r="X41" s="593">
        <f>Z111</f>
        <v>5950.7209698748547</v>
      </c>
      <c r="Y41" s="593">
        <f>AC111</f>
        <v>14168.437328834018</v>
      </c>
      <c r="Z41" s="593">
        <f>AF111</f>
        <v>16507.201367023561</v>
      </c>
      <c r="AA41" s="593">
        <f>AI111</f>
        <v>19750.666801812094</v>
      </c>
      <c r="AB41" s="878">
        <f>SUM(X41:AA41)</f>
        <v>56377.026467544536</v>
      </c>
    </row>
    <row r="42" spans="2:37" s="2" customFormat="1">
      <c r="B42" s="83"/>
      <c r="C42" s="84"/>
      <c r="D42" s="84"/>
      <c r="E42" s="84"/>
      <c r="F42" s="84"/>
      <c r="G42" s="84"/>
      <c r="H42" s="84"/>
      <c r="I42" s="84"/>
      <c r="J42" s="84"/>
      <c r="K42" s="84"/>
      <c r="N42" s="507"/>
      <c r="O42" s="504" t="s">
        <v>208</v>
      </c>
      <c r="P42" s="504" t="s">
        <v>209</v>
      </c>
      <c r="Q42" s="504" t="s">
        <v>212</v>
      </c>
      <c r="R42" s="505" t="s">
        <v>211</v>
      </c>
      <c r="S42" s="82" t="s">
        <v>213</v>
      </c>
      <c r="T42" s="82" t="s">
        <v>214</v>
      </c>
      <c r="U42" s="82" t="s">
        <v>210</v>
      </c>
      <c r="V42" s="540"/>
      <c r="W42" s="74" t="s">
        <v>464</v>
      </c>
      <c r="X42" s="474">
        <f>X41/X57</f>
        <v>6.6213626361449174E-2</v>
      </c>
      <c r="Y42" s="474">
        <f t="shared" ref="Y42:Z42" si="0">Y41/Y57</f>
        <v>8.4049948936867014E-2</v>
      </c>
      <c r="Z42" s="474">
        <f t="shared" si="0"/>
        <v>8.3884677478999414E-2</v>
      </c>
      <c r="AA42" s="474">
        <f>AA41/AA57</f>
        <v>8.5528155334038E-2</v>
      </c>
      <c r="AB42" s="879">
        <f>AB41/SUM(X57:AA57)</f>
        <v>8.2163862967086401E-2</v>
      </c>
    </row>
    <row r="43" spans="2:37">
      <c r="B43" s="10" t="s">
        <v>5</v>
      </c>
      <c r="C43" s="4"/>
      <c r="D43" s="4"/>
      <c r="E43" s="4"/>
      <c r="F43" s="4"/>
      <c r="G43" s="4"/>
      <c r="H43" s="4"/>
      <c r="I43" s="4"/>
      <c r="J43" s="4"/>
      <c r="K43" s="4"/>
      <c r="N43" s="508" t="s">
        <v>465</v>
      </c>
      <c r="O43" s="501">
        <v>2807</v>
      </c>
      <c r="P43" s="501">
        <v>3106</v>
      </c>
      <c r="Q43" s="501">
        <v>3466</v>
      </c>
      <c r="R43" s="506">
        <v>4120</v>
      </c>
      <c r="S43" s="502">
        <v>4327</v>
      </c>
      <c r="T43" s="502">
        <v>5821</v>
      </c>
      <c r="U43" s="502">
        <v>7702</v>
      </c>
      <c r="V43" s="541"/>
    </row>
    <row r="44" spans="2:37">
      <c r="B44" s="11" t="s">
        <v>22</v>
      </c>
      <c r="C44" s="4"/>
      <c r="D44" s="4"/>
      <c r="E44" s="4"/>
      <c r="F44" s="4"/>
      <c r="G44" s="4"/>
      <c r="H44" s="4"/>
      <c r="I44" s="4"/>
      <c r="J44" s="4"/>
      <c r="K44" s="4"/>
      <c r="N44" s="508" t="s">
        <v>206</v>
      </c>
      <c r="O44" s="501">
        <v>37796.877999999997</v>
      </c>
      <c r="P44" s="501">
        <v>67166.509000000005</v>
      </c>
      <c r="Q44" s="501">
        <v>82679.967999999993</v>
      </c>
      <c r="R44" s="506">
        <v>124665.7445</v>
      </c>
      <c r="S44" s="502">
        <v>60676.530400000003</v>
      </c>
      <c r="T44" s="502">
        <v>99565.522100000002</v>
      </c>
      <c r="U44" s="502">
        <v>109301.67099999994</v>
      </c>
      <c r="V44" s="541"/>
      <c r="W44" s="69" t="s">
        <v>476</v>
      </c>
      <c r="X44" s="541"/>
      <c r="Y44" s="541"/>
      <c r="Z44" s="541"/>
    </row>
    <row r="45" spans="2:37" s="675" customFormat="1" ht="18.75" customHeight="1">
      <c r="B45" s="1445"/>
      <c r="C45" s="1446" t="s">
        <v>20</v>
      </c>
      <c r="D45" s="1670" t="s">
        <v>13</v>
      </c>
      <c r="E45" s="1671"/>
      <c r="F45" s="1675" t="s">
        <v>354</v>
      </c>
      <c r="G45" s="1676"/>
      <c r="H45" s="1677"/>
      <c r="I45" s="1445"/>
      <c r="J45" s="1445"/>
      <c r="K45" s="1445"/>
      <c r="M45" s="1447"/>
      <c r="V45" s="1448"/>
      <c r="W45" s="1449"/>
      <c r="X45" s="1678" t="s">
        <v>213</v>
      </c>
      <c r="Y45" s="1679"/>
      <c r="Z45" s="1680"/>
      <c r="AA45" s="1678" t="s">
        <v>214</v>
      </c>
      <c r="AB45" s="1679"/>
      <c r="AC45" s="1680"/>
      <c r="AD45" s="1679" t="s">
        <v>210</v>
      </c>
      <c r="AE45" s="1679"/>
      <c r="AF45" s="1679"/>
    </row>
    <row r="46" spans="2:37" ht="29.25">
      <c r="B46" s="4"/>
      <c r="C46" s="5"/>
      <c r="D46" s="1655" t="s">
        <v>16</v>
      </c>
      <c r="E46" s="1656"/>
      <c r="F46" s="168" t="s">
        <v>461</v>
      </c>
      <c r="G46" s="489" t="s">
        <v>462</v>
      </c>
      <c r="H46" s="489" t="s">
        <v>463</v>
      </c>
      <c r="I46" s="4"/>
      <c r="J46" s="4"/>
      <c r="K46" s="4"/>
      <c r="L46" s="69" t="s">
        <v>219</v>
      </c>
      <c r="M46" s="70" t="s">
        <v>20</v>
      </c>
      <c r="N46" s="78" t="s">
        <v>220</v>
      </c>
      <c r="O46" s="71" t="s">
        <v>208</v>
      </c>
      <c r="P46" s="72" t="s">
        <v>209</v>
      </c>
      <c r="Q46" s="72" t="s">
        <v>212</v>
      </c>
      <c r="R46" s="73" t="s">
        <v>211</v>
      </c>
      <c r="S46" s="71" t="s">
        <v>213</v>
      </c>
      <c r="T46" s="72" t="s">
        <v>214</v>
      </c>
      <c r="U46" s="72" t="s">
        <v>210</v>
      </c>
      <c r="V46" s="76"/>
      <c r="W46" s="549" t="s">
        <v>475</v>
      </c>
      <c r="X46" s="550" t="s">
        <v>472</v>
      </c>
      <c r="Y46" s="70" t="s">
        <v>473</v>
      </c>
      <c r="Z46" s="78" t="s">
        <v>474</v>
      </c>
      <c r="AA46" s="550" t="s">
        <v>472</v>
      </c>
      <c r="AB46" s="70" t="s">
        <v>473</v>
      </c>
      <c r="AC46" s="78" t="s">
        <v>474</v>
      </c>
      <c r="AD46" s="70" t="s">
        <v>472</v>
      </c>
      <c r="AE46" s="70" t="s">
        <v>473</v>
      </c>
      <c r="AF46" s="70" t="s">
        <v>474</v>
      </c>
      <c r="AG46" s="81"/>
      <c r="AH46" s="76"/>
      <c r="AI46" s="76"/>
      <c r="AJ46" s="76"/>
      <c r="AK46" s="503"/>
    </row>
    <row r="47" spans="2:37">
      <c r="B47" s="4"/>
      <c r="C47" s="59">
        <v>6</v>
      </c>
      <c r="D47" s="1657">
        <v>180</v>
      </c>
      <c r="E47" s="1658"/>
      <c r="F47" s="171">
        <v>0.45</v>
      </c>
      <c r="G47" s="172">
        <v>0.5</v>
      </c>
      <c r="H47" s="172">
        <v>0.55000000000000004</v>
      </c>
      <c r="I47" s="4"/>
      <c r="J47" s="4"/>
      <c r="K47" s="4"/>
      <c r="M47" s="68">
        <v>6</v>
      </c>
      <c r="N47" s="79">
        <v>180</v>
      </c>
      <c r="O47" s="74">
        <v>20</v>
      </c>
      <c r="P47" s="74">
        <v>54</v>
      </c>
      <c r="Q47" s="74">
        <v>67</v>
      </c>
      <c r="R47" s="75">
        <v>110</v>
      </c>
      <c r="S47" s="76">
        <v>39</v>
      </c>
      <c r="T47" s="76">
        <v>76</v>
      </c>
      <c r="U47" s="76">
        <v>72</v>
      </c>
      <c r="V47" s="517"/>
      <c r="W47" s="508">
        <v>180</v>
      </c>
      <c r="X47" s="552">
        <v>0.20512820512820512</v>
      </c>
      <c r="Y47" s="513">
        <v>0.28205128205128205</v>
      </c>
      <c r="Z47" s="511">
        <v>0.48717948717948717</v>
      </c>
      <c r="AA47" s="553">
        <v>5.2631578947368418E-2</v>
      </c>
      <c r="AB47" s="554">
        <v>0.25</v>
      </c>
      <c r="AC47" s="555">
        <v>0.69736842105263153</v>
      </c>
      <c r="AD47" s="554">
        <v>5.2631578947368418E-2</v>
      </c>
      <c r="AE47" s="556">
        <v>0.25</v>
      </c>
      <c r="AF47" s="556">
        <v>0.69736842105263153</v>
      </c>
      <c r="AG47" s="81"/>
      <c r="AH47" s="513">
        <f>S47/S$53</f>
        <v>3.9117352056168508E-2</v>
      </c>
      <c r="AI47" s="513">
        <f>T47/T$53</f>
        <v>5.1948051948051951E-2</v>
      </c>
      <c r="AJ47" s="81"/>
      <c r="AK47" s="12"/>
    </row>
    <row r="48" spans="2:37">
      <c r="B48" s="4"/>
      <c r="C48" s="59">
        <v>5</v>
      </c>
      <c r="D48" s="1666">
        <v>130</v>
      </c>
      <c r="E48" s="1667"/>
      <c r="F48" s="171">
        <v>0.35</v>
      </c>
      <c r="G48" s="172">
        <v>0.4</v>
      </c>
      <c r="H48" s="172">
        <v>0.45</v>
      </c>
      <c r="I48" s="4"/>
      <c r="J48" s="4"/>
      <c r="K48" s="4"/>
      <c r="M48" s="68">
        <v>5</v>
      </c>
      <c r="N48" s="79">
        <v>130</v>
      </c>
      <c r="O48" s="74">
        <v>22</v>
      </c>
      <c r="P48" s="74">
        <v>29</v>
      </c>
      <c r="Q48" s="74">
        <v>36</v>
      </c>
      <c r="R48" s="75">
        <v>69</v>
      </c>
      <c r="S48" s="76">
        <v>23</v>
      </c>
      <c r="T48" s="76">
        <v>43</v>
      </c>
      <c r="U48" s="76">
        <v>47</v>
      </c>
      <c r="V48" s="517"/>
      <c r="W48" s="508">
        <v>130</v>
      </c>
      <c r="X48" s="552">
        <v>8.6956521739130432E-2</v>
      </c>
      <c r="Y48" s="513">
        <v>0.43478260869565216</v>
      </c>
      <c r="Z48" s="511">
        <v>0.47826086956521741</v>
      </c>
      <c r="AA48" s="553">
        <v>0.32558139534883723</v>
      </c>
      <c r="AB48" s="554">
        <v>0.23255813953488372</v>
      </c>
      <c r="AC48" s="555">
        <v>0.44186046511627908</v>
      </c>
      <c r="AD48" s="554">
        <v>0.32558139534883723</v>
      </c>
      <c r="AE48" s="556">
        <v>0.23255813953488372</v>
      </c>
      <c r="AF48" s="556">
        <v>0.44186046511627908</v>
      </c>
      <c r="AG48" s="81"/>
      <c r="AH48" s="513">
        <f t="shared" ref="AH48:AI52" si="1">S48/S$53</f>
        <v>2.3069207622868605E-2</v>
      </c>
      <c r="AI48" s="513">
        <f t="shared" si="1"/>
        <v>2.939166097060834E-2</v>
      </c>
      <c r="AJ48" s="81"/>
      <c r="AK48" s="12"/>
    </row>
    <row r="49" spans="2:47">
      <c r="B49" s="4"/>
      <c r="C49" s="59">
        <v>4</v>
      </c>
      <c r="D49" s="1666">
        <v>90</v>
      </c>
      <c r="E49" s="1667"/>
      <c r="F49" s="171">
        <v>0.25</v>
      </c>
      <c r="G49" s="172">
        <v>0.3</v>
      </c>
      <c r="H49" s="172">
        <v>0.35</v>
      </c>
      <c r="I49" s="4"/>
      <c r="J49" s="4"/>
      <c r="K49" s="4"/>
      <c r="M49" s="68">
        <v>4</v>
      </c>
      <c r="N49" s="79">
        <v>90</v>
      </c>
      <c r="O49" s="74">
        <v>29</v>
      </c>
      <c r="P49" s="74">
        <v>69</v>
      </c>
      <c r="Q49" s="74">
        <v>59</v>
      </c>
      <c r="R49" s="75">
        <v>146</v>
      </c>
      <c r="S49" s="76">
        <v>61</v>
      </c>
      <c r="T49" s="76">
        <v>106</v>
      </c>
      <c r="U49" s="76">
        <v>113</v>
      </c>
      <c r="V49" s="517"/>
      <c r="W49" s="75">
        <v>90</v>
      </c>
      <c r="X49" s="552">
        <v>0.22950819672131148</v>
      </c>
      <c r="Y49" s="513">
        <v>0.34426229508196721</v>
      </c>
      <c r="Z49" s="511">
        <v>0.42622950819672129</v>
      </c>
      <c r="AA49" s="553">
        <v>0.24528301886792453</v>
      </c>
      <c r="AB49" s="554">
        <v>0.31132075471698112</v>
      </c>
      <c r="AC49" s="555">
        <v>0.44339622641509435</v>
      </c>
      <c r="AD49" s="554">
        <v>0.24528301886792453</v>
      </c>
      <c r="AE49" s="556">
        <v>0.31132075471698112</v>
      </c>
      <c r="AF49" s="556">
        <v>0.44339622641509435</v>
      </c>
      <c r="AG49" s="81"/>
      <c r="AH49" s="513">
        <f t="shared" si="1"/>
        <v>6.1183550651955868E-2</v>
      </c>
      <c r="AI49" s="513">
        <f t="shared" si="1"/>
        <v>7.2453861927546132E-2</v>
      </c>
      <c r="AJ49" s="81"/>
      <c r="AK49" s="12"/>
    </row>
    <row r="50" spans="2:47">
      <c r="B50" s="4"/>
      <c r="C50" s="59">
        <v>3</v>
      </c>
      <c r="D50" s="1666">
        <v>50</v>
      </c>
      <c r="E50" s="1667"/>
      <c r="F50" s="171">
        <v>0.15</v>
      </c>
      <c r="G50" s="172">
        <v>0.2</v>
      </c>
      <c r="H50" s="172">
        <v>0.25</v>
      </c>
      <c r="I50" s="4"/>
      <c r="J50" s="4"/>
      <c r="K50" s="4"/>
      <c r="M50" s="68">
        <v>3</v>
      </c>
      <c r="N50" s="79">
        <v>50</v>
      </c>
      <c r="O50" s="74">
        <v>89</v>
      </c>
      <c r="P50" s="74">
        <v>146</v>
      </c>
      <c r="Q50" s="74">
        <v>204</v>
      </c>
      <c r="R50" s="75">
        <v>328</v>
      </c>
      <c r="S50" s="76">
        <v>157</v>
      </c>
      <c r="T50" s="76">
        <v>246</v>
      </c>
      <c r="U50" s="76">
        <v>311</v>
      </c>
      <c r="V50" s="517"/>
      <c r="W50" s="75">
        <v>50</v>
      </c>
      <c r="X50" s="552">
        <v>0.37579617834394907</v>
      </c>
      <c r="Y50" s="513">
        <v>0.35668789808917195</v>
      </c>
      <c r="Z50" s="511">
        <v>0.26751592356687898</v>
      </c>
      <c r="AA50" s="553">
        <v>0.32113821138211385</v>
      </c>
      <c r="AB50" s="554">
        <v>0.47967479674796748</v>
      </c>
      <c r="AC50" s="555">
        <v>0.1951219512195122</v>
      </c>
      <c r="AD50" s="554">
        <v>0.32113821138211385</v>
      </c>
      <c r="AE50" s="556">
        <v>0.47967479674796748</v>
      </c>
      <c r="AF50" s="556">
        <v>0.1951219512195122</v>
      </c>
      <c r="AG50" s="81"/>
      <c r="AH50" s="513">
        <f t="shared" si="1"/>
        <v>0.15747241725175526</v>
      </c>
      <c r="AI50" s="513">
        <f t="shared" si="1"/>
        <v>0.16814764183185235</v>
      </c>
      <c r="AJ50" s="81"/>
      <c r="AK50" s="12"/>
    </row>
    <row r="51" spans="2:47">
      <c r="B51" s="12"/>
      <c r="C51" s="65">
        <v>2</v>
      </c>
      <c r="D51" s="1668">
        <v>30</v>
      </c>
      <c r="E51" s="1669"/>
      <c r="F51" s="171">
        <v>0.1</v>
      </c>
      <c r="G51" s="174">
        <v>0.15</v>
      </c>
      <c r="H51" s="174">
        <v>0.2</v>
      </c>
      <c r="I51" s="12"/>
      <c r="J51" s="12"/>
      <c r="K51" s="12"/>
      <c r="M51" s="491">
        <v>2</v>
      </c>
      <c r="N51" s="473">
        <v>30</v>
      </c>
      <c r="O51" s="81">
        <v>174</v>
      </c>
      <c r="P51" s="81">
        <v>202</v>
      </c>
      <c r="Q51" s="81">
        <v>292</v>
      </c>
      <c r="R51" s="75">
        <v>328</v>
      </c>
      <c r="S51" s="76">
        <v>313</v>
      </c>
      <c r="T51" s="76">
        <v>291</v>
      </c>
      <c r="U51" s="76">
        <v>369</v>
      </c>
      <c r="V51" s="517"/>
      <c r="W51" s="75">
        <v>30</v>
      </c>
      <c r="X51" s="552">
        <v>0.62619808306709268</v>
      </c>
      <c r="Y51" s="513">
        <v>0.27156549520766771</v>
      </c>
      <c r="Z51" s="511">
        <v>8.9456869009584661E-2</v>
      </c>
      <c r="AA51" s="553">
        <v>0.42955326460481097</v>
      </c>
      <c r="AB51" s="554">
        <v>0.43986254295532645</v>
      </c>
      <c r="AC51" s="555">
        <v>0.12027491408934708</v>
      </c>
      <c r="AD51" s="554">
        <v>0.42955326460481097</v>
      </c>
      <c r="AE51" s="556">
        <v>0.43986254295532645</v>
      </c>
      <c r="AF51" s="556">
        <v>0.12027491408934708</v>
      </c>
      <c r="AG51" s="81"/>
      <c r="AH51" s="513">
        <f t="shared" si="1"/>
        <v>0.31394182547642929</v>
      </c>
      <c r="AI51" s="513">
        <f t="shared" si="1"/>
        <v>0.19890635680109364</v>
      </c>
      <c r="AJ51" s="81"/>
      <c r="AK51" s="12"/>
    </row>
    <row r="52" spans="2:47">
      <c r="B52" s="4"/>
      <c r="C52" s="58">
        <v>1</v>
      </c>
      <c r="D52" s="1655">
        <v>15</v>
      </c>
      <c r="E52" s="1656"/>
      <c r="F52" s="176">
        <v>0.08</v>
      </c>
      <c r="G52" s="177">
        <v>0.1</v>
      </c>
      <c r="H52" s="177">
        <v>0.12</v>
      </c>
      <c r="I52" s="4"/>
      <c r="J52" s="4"/>
      <c r="K52" s="4"/>
      <c r="M52" s="70">
        <v>1</v>
      </c>
      <c r="N52" s="78">
        <v>15</v>
      </c>
      <c r="O52" s="71">
        <v>376</v>
      </c>
      <c r="P52" s="71">
        <v>526</v>
      </c>
      <c r="Q52" s="71">
        <v>551</v>
      </c>
      <c r="R52" s="77">
        <v>595</v>
      </c>
      <c r="S52" s="72">
        <v>404</v>
      </c>
      <c r="T52" s="72">
        <v>701</v>
      </c>
      <c r="U52" s="72">
        <v>866</v>
      </c>
      <c r="V52" s="517"/>
      <c r="W52" s="75">
        <v>15</v>
      </c>
      <c r="X52" s="552">
        <v>0.60396039603960394</v>
      </c>
      <c r="Y52" s="513">
        <v>0.36633663366336633</v>
      </c>
      <c r="Z52" s="511">
        <v>7.4257425742574254E-3</v>
      </c>
      <c r="AA52" s="553">
        <v>0.6504992867332382</v>
      </c>
      <c r="AB52" s="554">
        <v>0.32952924393723254</v>
      </c>
      <c r="AC52" s="555">
        <v>7.1326676176890159E-3</v>
      </c>
      <c r="AD52" s="554">
        <v>0.6504992867332382</v>
      </c>
      <c r="AE52" s="556">
        <v>0.32952924393723254</v>
      </c>
      <c r="AF52" s="556">
        <v>7.1326676176890159E-3</v>
      </c>
      <c r="AG52" s="81"/>
      <c r="AH52" s="513">
        <f t="shared" si="1"/>
        <v>0.40521564694082246</v>
      </c>
      <c r="AI52" s="513">
        <f t="shared" si="1"/>
        <v>0.47915242652084755</v>
      </c>
      <c r="AJ52" s="81"/>
      <c r="AK52" s="12"/>
    </row>
    <row r="53" spans="2:47">
      <c r="B53" s="4"/>
      <c r="C53" s="6" t="s">
        <v>23</v>
      </c>
      <c r="D53" s="4"/>
      <c r="E53" s="4"/>
      <c r="F53" s="4"/>
      <c r="G53" s="4"/>
      <c r="H53" s="4"/>
      <c r="I53" s="4"/>
      <c r="J53" s="4"/>
      <c r="K53" s="4"/>
      <c r="L53" s="12"/>
      <c r="M53" s="521" t="s">
        <v>221</v>
      </c>
      <c r="N53" s="522"/>
      <c r="O53" s="529">
        <f>SUM(O47:O52)</f>
        <v>710</v>
      </c>
      <c r="P53" s="530">
        <f t="shared" ref="P53:U53" si="2">SUM(P47:P52)</f>
        <v>1026</v>
      </c>
      <c r="Q53" s="530">
        <f t="shared" si="2"/>
        <v>1209</v>
      </c>
      <c r="R53" s="531">
        <f t="shared" si="2"/>
        <v>1576</v>
      </c>
      <c r="S53" s="530">
        <f t="shared" si="2"/>
        <v>997</v>
      </c>
      <c r="T53" s="530">
        <f t="shared" si="2"/>
        <v>1463</v>
      </c>
      <c r="U53" s="530">
        <f t="shared" si="2"/>
        <v>1778</v>
      </c>
      <c r="V53" s="542"/>
      <c r="W53" s="542"/>
      <c r="X53" s="542"/>
      <c r="Y53" s="542"/>
      <c r="Z53" s="542"/>
      <c r="AD53" s="12"/>
      <c r="AE53" s="491"/>
      <c r="AF53" s="491"/>
      <c r="AG53" s="81"/>
      <c r="AH53" s="76"/>
      <c r="AI53" s="76"/>
      <c r="AJ53" s="76"/>
      <c r="AK53" s="12"/>
    </row>
    <row r="54" spans="2:47">
      <c r="B54" s="4"/>
      <c r="C54" s="6" t="s">
        <v>24</v>
      </c>
      <c r="D54" s="4"/>
      <c r="E54" s="4"/>
      <c r="F54" s="4"/>
      <c r="G54" s="4"/>
      <c r="H54" s="4"/>
      <c r="I54" s="4"/>
      <c r="J54" s="4"/>
      <c r="K54" s="4"/>
      <c r="V54" s="12"/>
      <c r="W54" s="557" t="s">
        <v>477</v>
      </c>
      <c r="X54" s="12"/>
      <c r="Y54" s="12"/>
      <c r="Z54" s="12"/>
      <c r="AC54" s="594">
        <f>AD63/X$58</f>
        <v>6.6499498495486463E-3</v>
      </c>
      <c r="AD54" s="594">
        <f t="shared" ref="AD54:AF59" si="3">AE63/Y$58</f>
        <v>1.142857142857143E-2</v>
      </c>
      <c r="AE54" s="594">
        <f t="shared" si="3"/>
        <v>1.1948051948051939E-2</v>
      </c>
      <c r="AF54" s="594">
        <f t="shared" si="3"/>
        <v>1.2467532467532468E-2</v>
      </c>
      <c r="AG54" s="546"/>
      <c r="AH54" s="546"/>
      <c r="AI54" s="546"/>
      <c r="AJ54" s="546"/>
      <c r="AK54" s="546"/>
    </row>
    <row r="55" spans="2:47">
      <c r="B55" s="4"/>
      <c r="C55" s="6"/>
      <c r="D55" s="4"/>
      <c r="E55" s="4"/>
      <c r="F55" s="4"/>
      <c r="G55" s="4"/>
      <c r="H55" s="4"/>
      <c r="I55" s="4"/>
      <c r="J55" s="4"/>
      <c r="K55" s="4"/>
      <c r="V55" s="12"/>
      <c r="X55" s="1242">
        <f>X58-3000</f>
        <v>7074.3422871485582</v>
      </c>
      <c r="Y55" s="1242">
        <f>Y58-3000</f>
        <v>8536.5369046615924</v>
      </c>
      <c r="Z55" s="1242">
        <f t="shared" ref="Z55:AA55" si="4">Z58-3000</f>
        <v>9856.4717586482766</v>
      </c>
      <c r="AA55" s="1242">
        <f t="shared" si="4"/>
        <v>11741.670769023571</v>
      </c>
      <c r="AC55" s="594">
        <f t="shared" ref="AC55:AC58" si="5">AD64/X$58</f>
        <v>3.9217652958876631E-3</v>
      </c>
      <c r="AD55" s="594">
        <f t="shared" si="3"/>
        <v>6.4661654135338351E-3</v>
      </c>
      <c r="AE55" s="594">
        <f t="shared" si="3"/>
        <v>6.7600820232399184E-3</v>
      </c>
      <c r="AF55" s="594">
        <f t="shared" si="3"/>
        <v>7.0539986329460009E-3</v>
      </c>
    </row>
    <row r="56" spans="2:47">
      <c r="B56" s="4"/>
      <c r="C56" s="6"/>
      <c r="D56" s="4"/>
      <c r="E56" s="4"/>
      <c r="F56" s="4"/>
      <c r="G56" s="4"/>
      <c r="H56" s="4"/>
      <c r="I56" s="4"/>
      <c r="J56" s="4"/>
      <c r="K56" s="4"/>
      <c r="L56" s="80" t="s">
        <v>222</v>
      </c>
      <c r="M56" s="70" t="s">
        <v>20</v>
      </c>
      <c r="N56" s="78" t="s">
        <v>220</v>
      </c>
      <c r="O56" s="71" t="s">
        <v>208</v>
      </c>
      <c r="P56" s="72" t="s">
        <v>209</v>
      </c>
      <c r="Q56" s="72" t="s">
        <v>212</v>
      </c>
      <c r="R56" s="73" t="s">
        <v>211</v>
      </c>
      <c r="S56" s="71" t="s">
        <v>213</v>
      </c>
      <c r="T56" s="72" t="s">
        <v>214</v>
      </c>
      <c r="U56" s="72" t="s">
        <v>210</v>
      </c>
      <c r="V56" s="76"/>
      <c r="W56" s="492"/>
      <c r="X56" s="72" t="s">
        <v>215</v>
      </c>
      <c r="Y56" s="72" t="s">
        <v>216</v>
      </c>
      <c r="Z56" s="72" t="s">
        <v>217</v>
      </c>
      <c r="AA56" s="82" t="s">
        <v>218</v>
      </c>
      <c r="AC56" s="594">
        <f t="shared" si="5"/>
        <v>1.0401203610832499E-2</v>
      </c>
      <c r="AD56" s="594">
        <f t="shared" si="3"/>
        <v>1.593984962406015E-2</v>
      </c>
      <c r="AE56" s="594">
        <f t="shared" si="3"/>
        <v>1.6664388243335611E-2</v>
      </c>
      <c r="AF56" s="594">
        <f t="shared" si="3"/>
        <v>1.7388926862611072E-2</v>
      </c>
    </row>
    <row r="57" spans="2:47">
      <c r="B57" s="4"/>
      <c r="C57" s="6"/>
      <c r="D57" s="4"/>
      <c r="E57" s="4"/>
      <c r="F57" s="4"/>
      <c r="G57" s="4"/>
      <c r="H57" s="4"/>
      <c r="I57" s="4"/>
      <c r="J57" s="4"/>
      <c r="K57" s="4"/>
      <c r="M57" s="68">
        <v>6</v>
      </c>
      <c r="N57" s="79">
        <v>180</v>
      </c>
      <c r="O57" s="514">
        <f>O47/O$43</f>
        <v>7.1250445315283219E-3</v>
      </c>
      <c r="P57" s="514">
        <f t="shared" ref="P57:T57" si="6">P47/P$43</f>
        <v>1.7385705086928525E-2</v>
      </c>
      <c r="Q57" s="514">
        <f t="shared" si="6"/>
        <v>1.9330640507789959E-2</v>
      </c>
      <c r="R57" s="515">
        <f t="shared" si="6"/>
        <v>2.6699029126213591E-2</v>
      </c>
      <c r="S57" s="516">
        <f t="shared" si="6"/>
        <v>9.0131730991449034E-3</v>
      </c>
      <c r="T57" s="516">
        <f t="shared" si="6"/>
        <v>1.3056175914791274E-2</v>
      </c>
      <c r="U57" s="516">
        <f t="shared" ref="U57" si="7">U47/U$43</f>
        <v>9.3482212412360419E-3</v>
      </c>
      <c r="V57" s="1558"/>
      <c r="W57" s="573" t="s">
        <v>206</v>
      </c>
      <c r="X57" s="501">
        <f>'Sale Plan &amp; KPIs'!O15</f>
        <v>89871.546037833032</v>
      </c>
      <c r="Y57" s="501">
        <f>'Sale Plan &amp; KPIs'!P15</f>
        <v>168571.63517703561</v>
      </c>
      <c r="Z57" s="501">
        <f>'Sale Plan &amp; KPIs'!Q15</f>
        <v>196784.46485242969</v>
      </c>
      <c r="AA57" s="501">
        <f>'Sale Plan &amp; KPIs'!R15</f>
        <v>230925.90650031052</v>
      </c>
      <c r="AB57" s="722"/>
      <c r="AC57" s="594">
        <f t="shared" si="5"/>
        <v>2.67703109327984E-2</v>
      </c>
      <c r="AD57" s="594">
        <f t="shared" si="3"/>
        <v>3.6992481203007514E-2</v>
      </c>
      <c r="AE57" s="594">
        <f t="shared" si="3"/>
        <v>3.8673957621326041E-2</v>
      </c>
      <c r="AF57" s="594">
        <f t="shared" si="3"/>
        <v>4.0355434039644561E-2</v>
      </c>
    </row>
    <row r="58" spans="2:47">
      <c r="B58" s="4"/>
      <c r="C58" s="6"/>
      <c r="D58" s="4"/>
      <c r="E58" s="4"/>
      <c r="F58" s="4"/>
      <c r="G58" s="4"/>
      <c r="H58" s="4"/>
      <c r="I58" s="4"/>
      <c r="J58" s="4"/>
      <c r="K58" s="4"/>
      <c r="M58" s="68">
        <v>5</v>
      </c>
      <c r="N58" s="79">
        <v>130</v>
      </c>
      <c r="O58" s="514">
        <f t="shared" ref="O58:T62" si="8">O48/O$43</f>
        <v>7.8375489846811541E-3</v>
      </c>
      <c r="P58" s="514">
        <f t="shared" si="8"/>
        <v>9.3367675466838381E-3</v>
      </c>
      <c r="Q58" s="514">
        <f t="shared" si="8"/>
        <v>1.03866128101558E-2</v>
      </c>
      <c r="R58" s="515">
        <f t="shared" si="8"/>
        <v>1.6747572815533979E-2</v>
      </c>
      <c r="S58" s="516">
        <f t="shared" si="8"/>
        <v>5.3154610584700713E-3</v>
      </c>
      <c r="T58" s="516">
        <f t="shared" si="8"/>
        <v>7.3870468991582205E-3</v>
      </c>
      <c r="U58" s="516">
        <f t="shared" ref="U58" si="9">U48/U$43</f>
        <v>6.1023110880290832E-3</v>
      </c>
      <c r="V58" s="1558"/>
      <c r="W58" s="75" t="s">
        <v>117</v>
      </c>
      <c r="X58" s="501">
        <f>'Sale Plan &amp; KPIs'!D3</f>
        <v>10074.342287148558</v>
      </c>
      <c r="Y58" s="501">
        <f>'Sale Plan &amp; KPIs'!G3</f>
        <v>11536.536904661592</v>
      </c>
      <c r="Z58" s="501">
        <f>'Sale Plan &amp; KPIs'!J3</f>
        <v>12856.471758648277</v>
      </c>
      <c r="AA58" s="501">
        <f>'Sale Plan &amp; KPIs'!M3</f>
        <v>14741.670769023571</v>
      </c>
      <c r="AC58" s="594">
        <f t="shared" si="5"/>
        <v>5.3370110330992981E-2</v>
      </c>
      <c r="AD58" s="594">
        <f t="shared" si="3"/>
        <v>4.3759398496240602E-2</v>
      </c>
      <c r="AE58" s="594">
        <f t="shared" si="3"/>
        <v>4.5748462064251538E-2</v>
      </c>
      <c r="AF58" s="594">
        <f t="shared" si="3"/>
        <v>4.7737525632262467E-2</v>
      </c>
    </row>
    <row r="59" spans="2:47">
      <c r="B59" s="4"/>
      <c r="C59" s="6"/>
      <c r="D59" s="4"/>
      <c r="E59" s="4"/>
      <c r="F59" s="4"/>
      <c r="G59" s="4"/>
      <c r="H59" s="4"/>
      <c r="I59" s="4"/>
      <c r="J59" s="4"/>
      <c r="K59" s="4"/>
      <c r="M59" s="68">
        <v>4</v>
      </c>
      <c r="N59" s="79">
        <v>90</v>
      </c>
      <c r="O59" s="514">
        <f t="shared" si="8"/>
        <v>1.0331314570716068E-2</v>
      </c>
      <c r="P59" s="514">
        <f t="shared" si="8"/>
        <v>2.2215067611075338E-2</v>
      </c>
      <c r="Q59" s="514">
        <f t="shared" si="8"/>
        <v>1.7022504327755338E-2</v>
      </c>
      <c r="R59" s="515">
        <f t="shared" si="8"/>
        <v>3.5436893203883497E-2</v>
      </c>
      <c r="S59" s="516">
        <f t="shared" si="8"/>
        <v>1.4097527155072799E-2</v>
      </c>
      <c r="T59" s="516">
        <f t="shared" si="8"/>
        <v>1.8209929565366774E-2</v>
      </c>
      <c r="U59" s="516">
        <f t="shared" ref="U59" si="10">U49/U$43</f>
        <v>1.4671513892495455E-2</v>
      </c>
      <c r="V59" s="1558"/>
      <c r="W59" s="75" t="s">
        <v>222</v>
      </c>
      <c r="X59" s="574">
        <v>0.17</v>
      </c>
      <c r="Y59" s="574">
        <v>0.22</v>
      </c>
      <c r="Z59" s="574">
        <v>0.23</v>
      </c>
      <c r="AA59" s="96">
        <v>0.24</v>
      </c>
      <c r="AB59" s="464"/>
      <c r="AC59" s="594">
        <f>AD68/X$58</f>
        <v>6.8886659979939827E-2</v>
      </c>
      <c r="AD59" s="594">
        <f t="shared" si="3"/>
        <v>0.10541353383458646</v>
      </c>
      <c r="AE59" s="594">
        <f t="shared" si="3"/>
        <v>0.11020505809979494</v>
      </c>
      <c r="AF59" s="594">
        <f t="shared" si="3"/>
        <v>0.1149965823650034</v>
      </c>
    </row>
    <row r="60" spans="2:47">
      <c r="B60" s="4"/>
      <c r="C60" s="6"/>
      <c r="D60" s="4"/>
      <c r="E60" s="4"/>
      <c r="F60" s="4"/>
      <c r="G60" s="4"/>
      <c r="H60" s="4"/>
      <c r="I60" s="4"/>
      <c r="J60" s="4"/>
      <c r="K60" s="4"/>
      <c r="M60" s="68">
        <v>3</v>
      </c>
      <c r="N60" s="79">
        <v>50</v>
      </c>
      <c r="O60" s="514">
        <f t="shared" si="8"/>
        <v>3.1706448165301035E-2</v>
      </c>
      <c r="P60" s="514">
        <f t="shared" si="8"/>
        <v>4.7005795235028978E-2</v>
      </c>
      <c r="Q60" s="514">
        <f t="shared" si="8"/>
        <v>5.8857472590882864E-2</v>
      </c>
      <c r="R60" s="515">
        <f t="shared" si="8"/>
        <v>7.9611650485436891E-2</v>
      </c>
      <c r="S60" s="516">
        <f t="shared" si="8"/>
        <v>3.6283799399121797E-2</v>
      </c>
      <c r="T60" s="516">
        <f t="shared" si="8"/>
        <v>4.226077993471912E-2</v>
      </c>
      <c r="U60" s="516">
        <f t="shared" ref="U60" si="11">U50/U$43</f>
        <v>4.037912230589457E-2</v>
      </c>
      <c r="V60" s="1558"/>
      <c r="W60" s="75" t="s">
        <v>219</v>
      </c>
      <c r="X60" s="499">
        <f>X59*X58</f>
        <v>1712.638188815255</v>
      </c>
      <c r="Y60" s="499">
        <f t="shared" ref="Y60:AA60" si="12">Y59*Y58</f>
        <v>2538.0381190255503</v>
      </c>
      <c r="Z60" s="499">
        <f t="shared" si="12"/>
        <v>2956.9885044891039</v>
      </c>
      <c r="AA60" s="501">
        <f t="shared" si="12"/>
        <v>3538.0009845656568</v>
      </c>
    </row>
    <row r="61" spans="2:47">
      <c r="B61" s="4"/>
      <c r="C61" s="6"/>
      <c r="D61" s="4"/>
      <c r="E61" s="4"/>
      <c r="F61" s="4"/>
      <c r="G61" s="4"/>
      <c r="H61" s="4"/>
      <c r="I61" s="4"/>
      <c r="J61" s="4"/>
      <c r="K61" s="4"/>
      <c r="M61" s="68">
        <v>2</v>
      </c>
      <c r="N61" s="79">
        <v>30</v>
      </c>
      <c r="O61" s="514">
        <f t="shared" si="8"/>
        <v>6.1987887424296402E-2</v>
      </c>
      <c r="P61" s="514">
        <f t="shared" si="8"/>
        <v>6.5035415325177079E-2</v>
      </c>
      <c r="Q61" s="514">
        <f t="shared" si="8"/>
        <v>8.4246970571263707E-2</v>
      </c>
      <c r="R61" s="515">
        <f t="shared" si="8"/>
        <v>7.9611650485436891E-2</v>
      </c>
      <c r="S61" s="516">
        <f t="shared" si="8"/>
        <v>7.233649179570141E-2</v>
      </c>
      <c r="T61" s="516">
        <f t="shared" si="8"/>
        <v>4.9991410410582374E-2</v>
      </c>
      <c r="U61" s="516">
        <f t="shared" ref="U61" si="13">U51/U$43</f>
        <v>4.7909633861334719E-2</v>
      </c>
      <c r="V61" s="1558"/>
      <c r="X61" s="464">
        <f>X60/X55</f>
        <v>0.24209150749271491</v>
      </c>
      <c r="Y61" s="464">
        <f t="shared" ref="Y61:AA61" si="14">Y60/Y55</f>
        <v>0.29731472462089281</v>
      </c>
      <c r="Z61" s="464">
        <f t="shared" si="14"/>
        <v>0.30000476609640564</v>
      </c>
      <c r="AA61" s="464">
        <f t="shared" si="14"/>
        <v>0.3013200637425022</v>
      </c>
    </row>
    <row r="62" spans="2:47">
      <c r="B62" s="4"/>
      <c r="C62" s="6"/>
      <c r="D62" s="4"/>
      <c r="E62" s="4"/>
      <c r="F62" s="4"/>
      <c r="G62" s="4"/>
      <c r="H62" s="4"/>
      <c r="I62" s="4"/>
      <c r="J62" s="4"/>
      <c r="K62" s="4"/>
      <c r="M62" s="70">
        <v>1</v>
      </c>
      <c r="N62" s="78">
        <v>15</v>
      </c>
      <c r="O62" s="518">
        <f>O52/O$43</f>
        <v>0.13395083719273246</v>
      </c>
      <c r="P62" s="518">
        <f>P52/P$43</f>
        <v>0.16934964584674822</v>
      </c>
      <c r="Q62" s="518">
        <f>Q52/Q$43</f>
        <v>0.15897287939988458</v>
      </c>
      <c r="R62" s="519">
        <f t="shared" si="8"/>
        <v>0.14441747572815533</v>
      </c>
      <c r="S62" s="520">
        <f t="shared" si="8"/>
        <v>9.3367229027039519E-2</v>
      </c>
      <c r="T62" s="520">
        <f t="shared" si="8"/>
        <v>0.12042604363511424</v>
      </c>
      <c r="U62" s="520">
        <f t="shared" ref="U62" si="15">U52/U$43</f>
        <v>0.11243832770708907</v>
      </c>
      <c r="V62" s="1558"/>
      <c r="W62" s="77" t="s">
        <v>222</v>
      </c>
      <c r="X62" s="72" t="s">
        <v>215</v>
      </c>
      <c r="Y62" s="72" t="s">
        <v>216</v>
      </c>
      <c r="Z62" s="72" t="s">
        <v>217</v>
      </c>
      <c r="AA62" s="82" t="s">
        <v>218</v>
      </c>
      <c r="AC62" s="77" t="s">
        <v>219</v>
      </c>
      <c r="AD62" s="72" t="s">
        <v>215</v>
      </c>
      <c r="AE62" s="72" t="s">
        <v>216</v>
      </c>
      <c r="AF62" s="72" t="s">
        <v>217</v>
      </c>
      <c r="AG62" s="82" t="s">
        <v>218</v>
      </c>
      <c r="AI62" s="77" t="s">
        <v>478</v>
      </c>
      <c r="AJ62" s="72" t="s">
        <v>215</v>
      </c>
      <c r="AK62" s="72" t="s">
        <v>216</v>
      </c>
      <c r="AL62" s="72" t="s">
        <v>217</v>
      </c>
      <c r="AM62" s="82" t="s">
        <v>218</v>
      </c>
      <c r="AO62" s="71" t="s">
        <v>208</v>
      </c>
      <c r="AP62" s="72" t="s">
        <v>209</v>
      </c>
      <c r="AQ62" s="72" t="s">
        <v>212</v>
      </c>
      <c r="AR62" s="72" t="s">
        <v>211</v>
      </c>
      <c r="AS62" s="71" t="s">
        <v>213</v>
      </c>
      <c r="AT62" s="72" t="s">
        <v>214</v>
      </c>
      <c r="AU62" s="72" t="s">
        <v>210</v>
      </c>
    </row>
    <row r="63" spans="2:47">
      <c r="B63" s="4"/>
      <c r="C63" s="6"/>
      <c r="D63" s="4"/>
      <c r="E63" s="4"/>
      <c r="F63" s="4"/>
      <c r="G63" s="4"/>
      <c r="H63" s="4"/>
      <c r="I63" s="4"/>
      <c r="J63" s="4"/>
      <c r="K63" s="4"/>
      <c r="L63" s="12"/>
      <c r="M63" s="521" t="s">
        <v>221</v>
      </c>
      <c r="N63" s="522"/>
      <c r="O63" s="523">
        <f>SUM(O57:O62)</f>
        <v>0.25293908086925543</v>
      </c>
      <c r="P63" s="524">
        <f t="shared" ref="P63:U63" si="16">SUM(P57:P62)</f>
        <v>0.33032839665164199</v>
      </c>
      <c r="Q63" s="524">
        <f t="shared" si="16"/>
        <v>0.34881708020773228</v>
      </c>
      <c r="R63" s="525">
        <f t="shared" si="16"/>
        <v>0.3825242718446602</v>
      </c>
      <c r="S63" s="524">
        <f>SUM(S57:S62)</f>
        <v>0.2304136815345505</v>
      </c>
      <c r="T63" s="524">
        <f t="shared" si="16"/>
        <v>0.25133138635973201</v>
      </c>
      <c r="U63" s="524">
        <f t="shared" si="16"/>
        <v>0.23084913009607894</v>
      </c>
      <c r="V63" s="542"/>
      <c r="W63" s="75">
        <v>180</v>
      </c>
      <c r="X63" s="576">
        <v>3.9117352056168508E-2</v>
      </c>
      <c r="Y63" s="576">
        <v>5.1948051948051951E-2</v>
      </c>
      <c r="Z63" s="513">
        <v>5.1948051948051903E-2</v>
      </c>
      <c r="AA63" s="131">
        <v>5.1948051948051951E-2</v>
      </c>
      <c r="AC63" s="75">
        <v>180</v>
      </c>
      <c r="AD63" s="880">
        <f>X63*X$60</f>
        <v>66.99387097672512</v>
      </c>
      <c r="AE63" s="578">
        <f>Y63*Y$60</f>
        <v>131.84613605327536</v>
      </c>
      <c r="AF63" s="578">
        <f>Z63*Z$60</f>
        <v>153.60979244099227</v>
      </c>
      <c r="AG63" s="579">
        <f>AA63*AA$60</f>
        <v>183.7922589384757</v>
      </c>
      <c r="AI63" s="75">
        <v>180</v>
      </c>
      <c r="AJ63" s="495">
        <v>220</v>
      </c>
      <c r="AK63" s="495">
        <v>350</v>
      </c>
      <c r="AL63" s="495">
        <f t="shared" ref="AL63:AM63" si="17">AK63</f>
        <v>350</v>
      </c>
      <c r="AM63" s="495">
        <f t="shared" si="17"/>
        <v>350</v>
      </c>
      <c r="AN63" s="442"/>
      <c r="AO63" s="582">
        <f>(O77/O47)</f>
        <v>406.7491</v>
      </c>
      <c r="AP63" s="582">
        <f t="shared" ref="AP63:AU63" si="18">(P77/P47)</f>
        <v>388.26041666666669</v>
      </c>
      <c r="AQ63" s="582">
        <f t="shared" si="18"/>
        <v>388.07354477611949</v>
      </c>
      <c r="AR63" s="582">
        <f t="shared" si="18"/>
        <v>400.54147727272721</v>
      </c>
      <c r="AS63" s="582">
        <f t="shared" si="18"/>
        <v>327.22246153846129</v>
      </c>
      <c r="AT63" s="582">
        <f t="shared" si="18"/>
        <v>357.65821710526319</v>
      </c>
      <c r="AU63" s="582">
        <f t="shared" si="18"/>
        <v>292.72288194444434</v>
      </c>
    </row>
    <row r="64" spans="2:47">
      <c r="B64" s="4"/>
      <c r="C64" s="6"/>
      <c r="D64" s="4"/>
      <c r="E64" s="4"/>
      <c r="F64" s="4"/>
      <c r="G64" s="4"/>
      <c r="H64" s="4"/>
      <c r="I64" s="4"/>
      <c r="J64" s="4"/>
      <c r="K64" s="4"/>
      <c r="V64" s="12"/>
      <c r="W64" s="75">
        <v>130</v>
      </c>
      <c r="X64" s="576">
        <v>2.3069207622868605E-2</v>
      </c>
      <c r="Y64" s="576">
        <v>2.939166097060834E-2</v>
      </c>
      <c r="Z64" s="513">
        <v>2.939166097060834E-2</v>
      </c>
      <c r="AA64" s="131">
        <v>2.939166097060834E-2</v>
      </c>
      <c r="AC64" s="75">
        <v>130</v>
      </c>
      <c r="AD64" s="578">
        <f t="shared" ref="AD64:AD67" si="19">X64*X$60</f>
        <v>39.509205960632762</v>
      </c>
      <c r="AE64" s="578">
        <f t="shared" ref="AE64:AE68" si="20">Y64*Y$60</f>
        <v>74.597155924879473</v>
      </c>
      <c r="AF64" s="578">
        <f t="shared" ref="AF64:AF68" si="21">Z64*Z$60</f>
        <v>86.910803617929915</v>
      </c>
      <c r="AG64" s="579">
        <f t="shared" ref="AG64:AG68" si="22">AA64*AA$60</f>
        <v>103.98772545203229</v>
      </c>
      <c r="AI64" s="75">
        <v>130</v>
      </c>
      <c r="AJ64" s="560">
        <v>140</v>
      </c>
      <c r="AK64" s="495">
        <v>150</v>
      </c>
      <c r="AL64" s="495">
        <f t="shared" ref="AL64:AM64" si="23">AK64</f>
        <v>150</v>
      </c>
      <c r="AM64" s="495">
        <f t="shared" si="23"/>
        <v>150</v>
      </c>
      <c r="AN64" s="442"/>
      <c r="AO64" s="582">
        <f t="shared" ref="AO64:AO68" si="24">(O78/O48)</f>
        <v>154.11086363636366</v>
      </c>
      <c r="AP64" s="582">
        <f t="shared" ref="AP64:AP68" si="25">(P78/P48)</f>
        <v>151.81672413793109</v>
      </c>
      <c r="AQ64" s="582">
        <f t="shared" ref="AQ64:AQ68" si="26">(Q78/Q48)</f>
        <v>156.29469444444445</v>
      </c>
      <c r="AR64" s="582">
        <f t="shared" ref="AR64:AR68" si="27">(R78/R48)</f>
        <v>152.30340579710142</v>
      </c>
      <c r="AS64" s="582">
        <f t="shared" ref="AS64:AS68" si="28">(S78/S48)</f>
        <v>156.1158043478261</v>
      </c>
      <c r="AT64" s="582">
        <f t="shared" ref="AT64:AU68" si="29">(T78/T48)</f>
        <v>151.8218139534884</v>
      </c>
      <c r="AU64" s="582">
        <f t="shared" si="29"/>
        <v>156.3676808510638</v>
      </c>
    </row>
    <row r="65" spans="2:47">
      <c r="B65" s="4"/>
      <c r="C65" s="6"/>
      <c r="D65" s="4"/>
      <c r="E65" s="4"/>
      <c r="F65" s="4"/>
      <c r="G65" s="4"/>
      <c r="H65" s="4"/>
      <c r="I65" s="4"/>
      <c r="J65" s="4"/>
      <c r="K65" s="4"/>
      <c r="V65" s="12"/>
      <c r="W65" s="75">
        <v>90</v>
      </c>
      <c r="X65" s="576">
        <v>6.1183550651955868E-2</v>
      </c>
      <c r="Y65" s="576">
        <v>7.2453861927546132E-2</v>
      </c>
      <c r="Z65" s="513">
        <v>7.2453861927546132E-2</v>
      </c>
      <c r="AA65" s="131">
        <v>7.2453861927546132E-2</v>
      </c>
      <c r="AC65" s="75">
        <v>90</v>
      </c>
      <c r="AD65" s="578">
        <f t="shared" si="19"/>
        <v>104.78528537385212</v>
      </c>
      <c r="AE65" s="578">
        <f t="shared" si="20"/>
        <v>183.89066344272612</v>
      </c>
      <c r="AF65" s="578">
        <f t="shared" si="21"/>
        <v>214.24523682559465</v>
      </c>
      <c r="AG65" s="579">
        <f t="shared" si="22"/>
        <v>256.34183483524237</v>
      </c>
      <c r="AI65" s="75">
        <v>90</v>
      </c>
      <c r="AJ65" s="560">
        <v>100</v>
      </c>
      <c r="AK65" s="495">
        <v>110</v>
      </c>
      <c r="AL65" s="495">
        <f t="shared" ref="AL65:AM65" si="30">AK65</f>
        <v>110</v>
      </c>
      <c r="AM65" s="495">
        <f t="shared" si="30"/>
        <v>110</v>
      </c>
      <c r="AN65" s="442"/>
      <c r="AO65" s="582">
        <f t="shared" si="24"/>
        <v>106.83568965517243</v>
      </c>
      <c r="AP65" s="582">
        <f t="shared" si="25"/>
        <v>105.74250724637682</v>
      </c>
      <c r="AQ65" s="582">
        <f t="shared" si="26"/>
        <v>106.03965254237295</v>
      </c>
      <c r="AR65" s="582">
        <f t="shared" si="27"/>
        <v>105.20651027397258</v>
      </c>
      <c r="AS65" s="582">
        <f t="shared" si="28"/>
        <v>105.45067213114753</v>
      </c>
      <c r="AT65" s="582">
        <f t="shared" si="29"/>
        <v>102.88639622641509</v>
      </c>
      <c r="AU65" s="582">
        <f t="shared" si="29"/>
        <v>107.13932300884954</v>
      </c>
    </row>
    <row r="66" spans="2:47">
      <c r="B66" s="4"/>
      <c r="C66" s="6"/>
      <c r="D66" s="4"/>
      <c r="E66" s="4"/>
      <c r="F66" s="4"/>
      <c r="G66" s="4"/>
      <c r="H66" s="4"/>
      <c r="I66" s="4"/>
      <c r="J66" s="4"/>
      <c r="K66" s="4"/>
      <c r="L66" s="80" t="s">
        <v>223</v>
      </c>
      <c r="M66" s="70" t="s">
        <v>20</v>
      </c>
      <c r="N66" s="78" t="s">
        <v>220</v>
      </c>
      <c r="O66" s="71" t="s">
        <v>208</v>
      </c>
      <c r="P66" s="72" t="s">
        <v>209</v>
      </c>
      <c r="Q66" s="72" t="s">
        <v>212</v>
      </c>
      <c r="R66" s="73" t="s">
        <v>211</v>
      </c>
      <c r="S66" s="71" t="s">
        <v>213</v>
      </c>
      <c r="T66" s="72" t="s">
        <v>214</v>
      </c>
      <c r="U66" s="72" t="s">
        <v>210</v>
      </c>
      <c r="V66" s="76"/>
      <c r="W66" s="75">
        <v>50</v>
      </c>
      <c r="X66" s="576">
        <v>0.15747241725175526</v>
      </c>
      <c r="Y66" s="576">
        <v>0.16814764183185235</v>
      </c>
      <c r="Z66" s="576">
        <v>0.16814764183185235</v>
      </c>
      <c r="AA66" s="131">
        <v>0.16814764183185235</v>
      </c>
      <c r="AC66" s="75">
        <v>50</v>
      </c>
      <c r="AD66" s="578">
        <f t="shared" si="19"/>
        <v>269.69327547040626</v>
      </c>
      <c r="AE66" s="578">
        <f t="shared" si="20"/>
        <v>426.76512459349647</v>
      </c>
      <c r="AF66" s="578">
        <f t="shared" si="21"/>
        <v>497.21064395373855</v>
      </c>
      <c r="AG66" s="579">
        <f t="shared" si="22"/>
        <v>594.90652235348705</v>
      </c>
      <c r="AI66" s="75">
        <v>50</v>
      </c>
      <c r="AJ66" s="560">
        <v>55</v>
      </c>
      <c r="AK66" s="495">
        <v>70</v>
      </c>
      <c r="AL66" s="495">
        <f t="shared" ref="AL66:AM66" si="31">AK66</f>
        <v>70</v>
      </c>
      <c r="AM66" s="495">
        <f t="shared" si="31"/>
        <v>70</v>
      </c>
      <c r="AN66" s="442"/>
      <c r="AO66" s="582">
        <f t="shared" si="24"/>
        <v>65.18466292134832</v>
      </c>
      <c r="AP66" s="582">
        <f t="shared" si="25"/>
        <v>67.104565068493187</v>
      </c>
      <c r="AQ66" s="582">
        <f t="shared" si="26"/>
        <v>64.009732843137272</v>
      </c>
      <c r="AR66" s="582">
        <f t="shared" si="27"/>
        <v>66.947464939024428</v>
      </c>
      <c r="AS66" s="582">
        <f t="shared" si="28"/>
        <v>64.661076433121039</v>
      </c>
      <c r="AT66" s="582">
        <f t="shared" si="29"/>
        <v>69.278754065040644</v>
      </c>
      <c r="AU66" s="582">
        <f t="shared" si="29"/>
        <v>68.63354823151117</v>
      </c>
    </row>
    <row r="67" spans="2:47">
      <c r="B67" s="4"/>
      <c r="C67" s="6"/>
      <c r="D67" s="4"/>
      <c r="E67" s="4"/>
      <c r="F67" s="4"/>
      <c r="G67" s="4"/>
      <c r="H67" s="4"/>
      <c r="I67" s="4"/>
      <c r="J67" s="4"/>
      <c r="K67" s="4"/>
      <c r="M67" s="68">
        <v>6</v>
      </c>
      <c r="N67" s="79">
        <v>180</v>
      </c>
      <c r="O67" s="514">
        <f>O77/O$44</f>
        <v>0.21522894033734746</v>
      </c>
      <c r="P67" s="514">
        <f t="shared" ref="P67:T67" si="32">P77/P$44</f>
        <v>0.31215054663627073</v>
      </c>
      <c r="Q67" s="514">
        <f t="shared" si="32"/>
        <v>0.3144767484670532</v>
      </c>
      <c r="R67" s="515">
        <f t="shared" si="32"/>
        <v>0.35342156481486375</v>
      </c>
      <c r="S67" s="516">
        <f t="shared" si="32"/>
        <v>0.21032310047840161</v>
      </c>
      <c r="T67" s="516">
        <f t="shared" si="32"/>
        <v>0.273006397462561</v>
      </c>
      <c r="U67" s="516">
        <f t="shared" ref="U67" si="33">U77/U$44</f>
        <v>0.19282456807087611</v>
      </c>
      <c r="V67" s="517"/>
      <c r="W67" s="558">
        <v>30</v>
      </c>
      <c r="X67" s="575">
        <v>0.31394182547642929</v>
      </c>
      <c r="Y67" s="575">
        <v>0.19890635680109364</v>
      </c>
      <c r="Z67" s="554">
        <v>0.19890635680109364</v>
      </c>
      <c r="AA67" s="131">
        <v>0.19890635680109364</v>
      </c>
      <c r="AC67" s="558">
        <v>30</v>
      </c>
      <c r="AD67" s="580">
        <f t="shared" si="19"/>
        <v>537.66875937730674</v>
      </c>
      <c r="AE67" s="580">
        <f t="shared" si="20"/>
        <v>504.83191567767267</v>
      </c>
      <c r="AF67" s="580">
        <f t="shared" si="21"/>
        <v>588.16381053064197</v>
      </c>
      <c r="AG67" s="579">
        <f t="shared" si="22"/>
        <v>703.73088619863711</v>
      </c>
      <c r="AI67" s="558">
        <v>30</v>
      </c>
      <c r="AJ67" s="560">
        <v>35</v>
      </c>
      <c r="AK67" s="495">
        <v>37</v>
      </c>
      <c r="AL67" s="495">
        <f t="shared" ref="AL67:AM67" si="34">AK67</f>
        <v>37</v>
      </c>
      <c r="AM67" s="495">
        <f t="shared" si="34"/>
        <v>37</v>
      </c>
      <c r="AN67" s="442"/>
      <c r="AO67" s="582">
        <f t="shared" si="24"/>
        <v>37.554672413793121</v>
      </c>
      <c r="AP67" s="582">
        <f t="shared" si="25"/>
        <v>37.575408415841579</v>
      </c>
      <c r="AQ67" s="582">
        <f t="shared" si="26"/>
        <v>38.418220890410957</v>
      </c>
      <c r="AR67" s="582">
        <f t="shared" si="27"/>
        <v>38.248423780487826</v>
      </c>
      <c r="AS67" s="582">
        <f t="shared" si="28"/>
        <v>36.33290894568691</v>
      </c>
      <c r="AT67" s="582">
        <f t="shared" si="29"/>
        <v>37.365958762886578</v>
      </c>
      <c r="AU67" s="582">
        <f t="shared" si="29"/>
        <v>38.458649051490525</v>
      </c>
    </row>
    <row r="68" spans="2:47">
      <c r="B68" s="4"/>
      <c r="C68" s="6"/>
      <c r="D68" s="4"/>
      <c r="E68" s="4"/>
      <c r="F68" s="4"/>
      <c r="G68" s="4"/>
      <c r="H68" s="4"/>
      <c r="I68" s="4"/>
      <c r="J68" s="4"/>
      <c r="K68" s="4"/>
      <c r="M68" s="68">
        <v>5</v>
      </c>
      <c r="N68" s="79">
        <v>130</v>
      </c>
      <c r="O68" s="514">
        <f t="shared" ref="O68:T72" si="35">O78/O$44</f>
        <v>8.9701562123728859E-2</v>
      </c>
      <c r="P68" s="514">
        <f t="shared" si="35"/>
        <v>6.5548813918555757E-2</v>
      </c>
      <c r="Q68" s="514">
        <f t="shared" si="35"/>
        <v>6.8052868622300394E-2</v>
      </c>
      <c r="R68" s="515">
        <f t="shared" si="35"/>
        <v>8.429689360255653E-2</v>
      </c>
      <c r="S68" s="516">
        <f t="shared" si="35"/>
        <v>5.9177139436436856E-2</v>
      </c>
      <c r="T68" s="516">
        <f t="shared" si="35"/>
        <v>6.5568259597365189E-2</v>
      </c>
      <c r="U68" s="516">
        <f t="shared" ref="U68" si="36">U78/U$44</f>
        <v>6.7238505438768664E-2</v>
      </c>
      <c r="V68" s="517"/>
      <c r="W68" s="508">
        <v>15</v>
      </c>
      <c r="X68" s="575">
        <v>0.40521564694082246</v>
      </c>
      <c r="Y68" s="575">
        <v>0.47915242652084755</v>
      </c>
      <c r="Z68" s="554">
        <v>0.47915242652084755</v>
      </c>
      <c r="AA68" s="131">
        <v>0.47915242652084755</v>
      </c>
      <c r="AC68" s="508">
        <v>15</v>
      </c>
      <c r="AD68" s="580">
        <f>X68*X$60</f>
        <v>693.98779165633198</v>
      </c>
      <c r="AE68" s="580">
        <f t="shared" si="20"/>
        <v>1216.1071233335001</v>
      </c>
      <c r="AF68" s="580">
        <f t="shared" si="21"/>
        <v>1416.8482171202063</v>
      </c>
      <c r="AG68" s="579">
        <f t="shared" si="22"/>
        <v>1695.2417567877822</v>
      </c>
      <c r="AI68" s="508">
        <v>15</v>
      </c>
      <c r="AJ68" s="560">
        <v>18</v>
      </c>
      <c r="AK68" s="495">
        <v>20</v>
      </c>
      <c r="AL68" s="495">
        <f t="shared" ref="AL68:AM68" si="37">AK68</f>
        <v>20</v>
      </c>
      <c r="AM68" s="495">
        <f t="shared" si="37"/>
        <v>20</v>
      </c>
      <c r="AN68" s="442"/>
      <c r="AO68" s="582">
        <f t="shared" si="24"/>
        <v>20.509696808510643</v>
      </c>
      <c r="AP68" s="582">
        <f t="shared" si="25"/>
        <v>20.29426235741445</v>
      </c>
      <c r="AQ68" s="582">
        <f t="shared" si="26"/>
        <v>21.170824863883837</v>
      </c>
      <c r="AR68" s="582">
        <f t="shared" si="27"/>
        <v>20.757464705882391</v>
      </c>
      <c r="AS68" s="582">
        <f t="shared" si="28"/>
        <v>20.39166064356435</v>
      </c>
      <c r="AT68" s="582">
        <f t="shared" si="29"/>
        <v>20.352455777460779</v>
      </c>
      <c r="AU68" s="582">
        <f t="shared" si="29"/>
        <v>20.900628175519621</v>
      </c>
    </row>
    <row r="69" spans="2:47">
      <c r="B69" s="4"/>
      <c r="C69" s="6"/>
      <c r="D69" s="4"/>
      <c r="E69" s="4"/>
      <c r="F69" s="4"/>
      <c r="G69" s="4"/>
      <c r="H69" s="4"/>
      <c r="I69" s="4"/>
      <c r="J69" s="4"/>
      <c r="K69" s="4"/>
      <c r="M69" s="68">
        <v>4</v>
      </c>
      <c r="N69" s="79">
        <v>90</v>
      </c>
      <c r="O69" s="514">
        <f t="shared" si="35"/>
        <v>8.1970659058137052E-2</v>
      </c>
      <c r="P69" s="514">
        <f t="shared" si="35"/>
        <v>0.10862903415152929</v>
      </c>
      <c r="Q69" s="514">
        <f t="shared" si="35"/>
        <v>7.5669350767044369E-2</v>
      </c>
      <c r="R69" s="515">
        <f t="shared" si="35"/>
        <v>0.12321067476559287</v>
      </c>
      <c r="S69" s="516">
        <f t="shared" si="35"/>
        <v>0.1060128349065918</v>
      </c>
      <c r="T69" s="516">
        <f t="shared" si="35"/>
        <v>0.10953548748578298</v>
      </c>
      <c r="U69" s="516">
        <f t="shared" ref="U69" si="38">U79/U$44</f>
        <v>0.11076448684851309</v>
      </c>
      <c r="V69" s="517"/>
      <c r="W69" s="517"/>
      <c r="X69" s="517"/>
      <c r="Y69" s="517"/>
      <c r="Z69" s="517"/>
      <c r="AD69" s="594"/>
      <c r="AE69" s="594"/>
      <c r="AF69" s="594"/>
      <c r="AG69" s="594"/>
      <c r="AI69" s="74" t="s">
        <v>206</v>
      </c>
      <c r="AJ69" s="584">
        <f>SUMPRODUCT(AD63:AD68,AJ63:AJ68)</f>
        <v>76891.78596564538</v>
      </c>
      <c r="AK69" s="584">
        <f>SUMPRODUCT(AE63:AE68,AK63:AK68)</f>
        <v>150438.17605436681</v>
      </c>
      <c r="AL69" s="584">
        <f t="shared" ref="AL69:AM69" si="39">SUMPRODUCT(AF63:AF68,AL63:AL68)</f>
        <v>175270.79435665178</v>
      </c>
      <c r="AM69" s="584">
        <f t="shared" si="39"/>
        <v>209709.3857679973</v>
      </c>
      <c r="AS69" s="582"/>
    </row>
    <row r="70" spans="2:47">
      <c r="B70" s="4"/>
      <c r="C70" s="6"/>
      <c r="D70" s="4"/>
      <c r="E70" s="4"/>
      <c r="F70" s="4"/>
      <c r="G70" s="4"/>
      <c r="H70" s="4"/>
      <c r="I70" s="4"/>
      <c r="J70" s="4"/>
      <c r="K70" s="4"/>
      <c r="M70" s="68">
        <v>3</v>
      </c>
      <c r="N70" s="79">
        <v>50</v>
      </c>
      <c r="O70" s="514">
        <f t="shared" si="35"/>
        <v>0.1534897935220999</v>
      </c>
      <c r="P70" s="514">
        <f t="shared" si="35"/>
        <v>0.14586535232909015</v>
      </c>
      <c r="Q70" s="514">
        <f t="shared" si="35"/>
        <v>0.15793408991159752</v>
      </c>
      <c r="R70" s="515">
        <f t="shared" si="35"/>
        <v>0.17614115720457604</v>
      </c>
      <c r="S70" s="516">
        <f t="shared" si="35"/>
        <v>0.16730997855473953</v>
      </c>
      <c r="T70" s="516">
        <f t="shared" si="35"/>
        <v>0.17116942833768356</v>
      </c>
      <c r="U70" s="516">
        <f t="shared" ref="U70" si="40">U80/U$44</f>
        <v>0.19528551855350854</v>
      </c>
      <c r="V70" s="517"/>
      <c r="W70" s="69" t="s">
        <v>476</v>
      </c>
      <c r="X70" s="541"/>
      <c r="Y70" s="541"/>
      <c r="Z70" s="541"/>
      <c r="AD70" s="12"/>
      <c r="AE70" s="12"/>
      <c r="AF70" s="548"/>
      <c r="AH70" s="7"/>
      <c r="AI70" s="1436" t="s">
        <v>223</v>
      </c>
      <c r="AJ70" s="1437">
        <f>AJ69/X57</f>
        <v>0.85557430972953785</v>
      </c>
      <c r="AK70" s="1437">
        <f t="shared" ref="AK70:AM70" si="41">AK69/Y57</f>
        <v>0.89242876416530659</v>
      </c>
      <c r="AL70" s="1437">
        <f t="shared" si="41"/>
        <v>0.89067393855550947</v>
      </c>
      <c r="AM70" s="1437">
        <f t="shared" si="41"/>
        <v>0.90812412061578418</v>
      </c>
    </row>
    <row r="71" spans="2:47">
      <c r="B71" s="4"/>
      <c r="C71" s="6"/>
      <c r="D71" s="4"/>
      <c r="E71" s="4"/>
      <c r="F71" s="4"/>
      <c r="G71" s="4"/>
      <c r="H71" s="4"/>
      <c r="I71" s="4"/>
      <c r="J71" s="4"/>
      <c r="K71" s="4"/>
      <c r="M71" s="68">
        <v>2</v>
      </c>
      <c r="N71" s="79">
        <v>30</v>
      </c>
      <c r="O71" s="514">
        <f t="shared" si="35"/>
        <v>0.17288499330553184</v>
      </c>
      <c r="P71" s="514">
        <f t="shared" si="35"/>
        <v>0.1130062081981959</v>
      </c>
      <c r="Q71" s="514">
        <f t="shared" si="35"/>
        <v>0.13568123901547713</v>
      </c>
      <c r="R71" s="515">
        <f t="shared" si="35"/>
        <v>0.10063296096547202</v>
      </c>
      <c r="S71" s="516">
        <f t="shared" si="35"/>
        <v>0.18742338141338422</v>
      </c>
      <c r="T71" s="516">
        <f t="shared" si="35"/>
        <v>0.10920943084172302</v>
      </c>
      <c r="U71" s="516">
        <f t="shared" ref="U71" si="42">U81/U$44</f>
        <v>0.12983554020871291</v>
      </c>
      <c r="V71" s="517"/>
      <c r="W71" s="547"/>
      <c r="X71" s="570" t="s">
        <v>215</v>
      </c>
      <c r="Y71" s="571"/>
      <c r="Z71" s="572"/>
      <c r="AA71" s="1672" t="s">
        <v>216</v>
      </c>
      <c r="AB71" s="1673"/>
      <c r="AC71" s="1674"/>
      <c r="AD71" s="1672" t="s">
        <v>217</v>
      </c>
      <c r="AE71" s="1673"/>
      <c r="AF71" s="1674"/>
      <c r="AG71" s="1672" t="s">
        <v>218</v>
      </c>
      <c r="AH71" s="1673"/>
      <c r="AI71" s="1673"/>
      <c r="AJ71" s="729"/>
      <c r="AK71" s="729"/>
      <c r="AL71" s="729"/>
      <c r="AM71" s="729"/>
    </row>
    <row r="72" spans="2:47">
      <c r="B72" s="4"/>
      <c r="C72" s="6"/>
      <c r="D72" s="4"/>
      <c r="E72" s="4"/>
      <c r="F72" s="4"/>
      <c r="G72" s="4"/>
      <c r="H72" s="4"/>
      <c r="I72" s="4"/>
      <c r="J72" s="4"/>
      <c r="K72" s="4"/>
      <c r="M72" s="70">
        <v>1</v>
      </c>
      <c r="N72" s="78">
        <v>15</v>
      </c>
      <c r="O72" s="518">
        <f t="shared" si="35"/>
        <v>0.20402865019698194</v>
      </c>
      <c r="P72" s="518">
        <f t="shared" si="35"/>
        <v>0.15893012989554064</v>
      </c>
      <c r="Q72" s="518">
        <f t="shared" si="35"/>
        <v>0.14108767555401081</v>
      </c>
      <c r="R72" s="519">
        <f t="shared" si="35"/>
        <v>9.9070450744390512E-2</v>
      </c>
      <c r="S72" s="520">
        <f t="shared" si="35"/>
        <v>0.13577293964718848</v>
      </c>
      <c r="T72" s="520">
        <f t="shared" si="35"/>
        <v>0.14329329268891572</v>
      </c>
      <c r="U72" s="520">
        <f t="shared" ref="U72" si="43">U82/U$44</f>
        <v>0.16559622405040816</v>
      </c>
      <c r="V72" s="517"/>
      <c r="W72" s="549" t="s">
        <v>475</v>
      </c>
      <c r="X72" s="600" t="s">
        <v>472</v>
      </c>
      <c r="Y72" s="71" t="s">
        <v>473</v>
      </c>
      <c r="Z72" s="77" t="s">
        <v>474</v>
      </c>
      <c r="AA72" s="600" t="s">
        <v>472</v>
      </c>
      <c r="AB72" s="71" t="s">
        <v>473</v>
      </c>
      <c r="AC72" s="77" t="s">
        <v>474</v>
      </c>
      <c r="AD72" s="71" t="s">
        <v>472</v>
      </c>
      <c r="AE72" s="71" t="s">
        <v>473</v>
      </c>
      <c r="AF72" s="77" t="s">
        <v>474</v>
      </c>
      <c r="AG72" s="71" t="s">
        <v>472</v>
      </c>
      <c r="AH72" s="71" t="s">
        <v>473</v>
      </c>
      <c r="AI72" s="71" t="s">
        <v>474</v>
      </c>
    </row>
    <row r="73" spans="2:47">
      <c r="B73" s="4"/>
      <c r="C73" s="6"/>
      <c r="D73" s="4"/>
      <c r="E73" s="4"/>
      <c r="F73" s="4"/>
      <c r="G73" s="4"/>
      <c r="H73" s="4"/>
      <c r="I73" s="4"/>
      <c r="J73" s="4"/>
      <c r="K73" s="4"/>
      <c r="L73" s="12"/>
      <c r="M73" s="521" t="s">
        <v>221</v>
      </c>
      <c r="N73" s="522"/>
      <c r="O73" s="599">
        <f>SUM(O67:O72)</f>
        <v>0.91730459854382707</v>
      </c>
      <c r="P73" s="524">
        <f t="shared" ref="P73:U73" si="44">SUM(P67:P72)</f>
        <v>0.90413008512918258</v>
      </c>
      <c r="Q73" s="524">
        <f t="shared" si="44"/>
        <v>0.89290197233748347</v>
      </c>
      <c r="R73" s="525">
        <f t="shared" si="44"/>
        <v>0.9367737020974517</v>
      </c>
      <c r="S73" s="524">
        <f t="shared" si="44"/>
        <v>0.86601937443674248</v>
      </c>
      <c r="T73" s="524">
        <f t="shared" si="44"/>
        <v>0.87178229641403138</v>
      </c>
      <c r="U73" s="524">
        <f t="shared" si="44"/>
        <v>0.8615448431707875</v>
      </c>
      <c r="V73" s="517"/>
      <c r="W73" s="508">
        <v>180</v>
      </c>
      <c r="X73" s="552">
        <v>0.20512820512820512</v>
      </c>
      <c r="Y73" s="513">
        <v>0.28205128205128205</v>
      </c>
      <c r="Z73" s="511">
        <v>0.48717948717948717</v>
      </c>
      <c r="AA73" s="553">
        <v>5.2631578947368418E-2</v>
      </c>
      <c r="AB73" s="554">
        <v>0.25</v>
      </c>
      <c r="AC73" s="555">
        <v>0.69736842105263153</v>
      </c>
      <c r="AD73" s="554">
        <v>5.2631578947368418E-2</v>
      </c>
      <c r="AE73" s="556">
        <v>0.25</v>
      </c>
      <c r="AF73" s="559">
        <v>0.69736842105263153</v>
      </c>
      <c r="AG73" s="554">
        <v>5.2631578947368418E-2</v>
      </c>
      <c r="AH73" s="556">
        <v>0.25</v>
      </c>
      <c r="AI73" s="556">
        <v>0.69736842105263153</v>
      </c>
    </row>
    <row r="74" spans="2:47">
      <c r="B74" s="4"/>
      <c r="C74" s="6"/>
      <c r="D74" s="4"/>
      <c r="E74" s="4"/>
      <c r="F74" s="4"/>
      <c r="G74" s="4"/>
      <c r="H74" s="4"/>
      <c r="I74" s="4"/>
      <c r="J74" s="4"/>
      <c r="K74" s="4"/>
      <c r="V74" s="12"/>
      <c r="W74" s="508">
        <v>130</v>
      </c>
      <c r="X74" s="552">
        <v>8.6956521739130432E-2</v>
      </c>
      <c r="Y74" s="513">
        <v>0.43478260869565216</v>
      </c>
      <c r="Z74" s="511">
        <v>0.47826086956521741</v>
      </c>
      <c r="AA74" s="553">
        <v>0.32558139534883723</v>
      </c>
      <c r="AB74" s="554">
        <v>0.23255813953488372</v>
      </c>
      <c r="AC74" s="555">
        <v>0.44186046511627908</v>
      </c>
      <c r="AD74" s="554">
        <v>0.32558139534883723</v>
      </c>
      <c r="AE74" s="556">
        <v>0.23255813953488372</v>
      </c>
      <c r="AF74" s="559">
        <v>0.44186046511627908</v>
      </c>
      <c r="AG74" s="554">
        <v>0.32558139534883723</v>
      </c>
      <c r="AH74" s="556">
        <v>0.23255813953488372</v>
      </c>
      <c r="AI74" s="556">
        <v>0.44186046511627908</v>
      </c>
    </row>
    <row r="75" spans="2:47">
      <c r="B75" s="4"/>
      <c r="C75" s="6"/>
      <c r="D75" s="4"/>
      <c r="E75" s="4"/>
      <c r="F75" s="4"/>
      <c r="G75" s="4"/>
      <c r="H75" s="4"/>
      <c r="I75" s="4"/>
      <c r="J75" s="4"/>
      <c r="K75" s="4"/>
      <c r="V75" s="12"/>
      <c r="W75" s="75">
        <v>90</v>
      </c>
      <c r="X75" s="552">
        <v>0.22950819672131148</v>
      </c>
      <c r="Y75" s="513">
        <v>0.34426229508196721</v>
      </c>
      <c r="Z75" s="511">
        <v>0.42622950819672129</v>
      </c>
      <c r="AA75" s="553">
        <v>0.24528301886792453</v>
      </c>
      <c r="AB75" s="554">
        <v>0.31132075471698112</v>
      </c>
      <c r="AC75" s="555">
        <v>0.44339622641509435</v>
      </c>
      <c r="AD75" s="554">
        <v>0.24528301886792453</v>
      </c>
      <c r="AE75" s="556">
        <v>0.31132075471698112</v>
      </c>
      <c r="AF75" s="559">
        <v>0.44339622641509435</v>
      </c>
      <c r="AG75" s="554">
        <v>0.24528301886792453</v>
      </c>
      <c r="AH75" s="556">
        <v>0.31132075471698112</v>
      </c>
      <c r="AI75" s="556">
        <v>0.44339622641509435</v>
      </c>
    </row>
    <row r="76" spans="2:47">
      <c r="B76" s="4"/>
      <c r="C76" s="6"/>
      <c r="D76" s="4"/>
      <c r="E76" s="4"/>
      <c r="F76" s="4"/>
      <c r="G76" s="4"/>
      <c r="H76" s="4"/>
      <c r="I76" s="4"/>
      <c r="J76" s="4"/>
      <c r="K76" s="4"/>
      <c r="L76" s="80" t="s">
        <v>206</v>
      </c>
      <c r="M76" s="70" t="s">
        <v>20</v>
      </c>
      <c r="N76" s="78" t="s">
        <v>220</v>
      </c>
      <c r="O76" s="71" t="s">
        <v>208</v>
      </c>
      <c r="P76" s="72" t="s">
        <v>209</v>
      </c>
      <c r="Q76" s="72" t="s">
        <v>212</v>
      </c>
      <c r="R76" s="73" t="s">
        <v>211</v>
      </c>
      <c r="S76" s="71" t="s">
        <v>213</v>
      </c>
      <c r="T76" s="72" t="s">
        <v>214</v>
      </c>
      <c r="U76" s="72" t="s">
        <v>210</v>
      </c>
      <c r="V76" s="76"/>
      <c r="W76" s="75">
        <v>50</v>
      </c>
      <c r="X76" s="552">
        <v>0.37579617834394907</v>
      </c>
      <c r="Y76" s="513">
        <v>0.35668789808917195</v>
      </c>
      <c r="Z76" s="511">
        <v>0.26751592356687898</v>
      </c>
      <c r="AA76" s="553">
        <v>0.32113821138211385</v>
      </c>
      <c r="AB76" s="554">
        <v>0.47967479674796748</v>
      </c>
      <c r="AC76" s="555">
        <v>0.1951219512195122</v>
      </c>
      <c r="AD76" s="554">
        <v>0.32113821138211385</v>
      </c>
      <c r="AE76" s="556">
        <v>0.47967479674796748</v>
      </c>
      <c r="AF76" s="559">
        <v>0.1951219512195122</v>
      </c>
      <c r="AG76" s="554">
        <v>0.32113821138211385</v>
      </c>
      <c r="AH76" s="556">
        <v>0.47967479674796748</v>
      </c>
      <c r="AI76" s="556">
        <v>0.1951219512195122</v>
      </c>
    </row>
    <row r="77" spans="2:47">
      <c r="B77" s="4"/>
      <c r="C77" s="6"/>
      <c r="D77" s="4"/>
      <c r="E77" s="4"/>
      <c r="F77" s="4"/>
      <c r="G77" s="4"/>
      <c r="H77" s="4"/>
      <c r="I77" s="4"/>
      <c r="J77" s="4"/>
      <c r="K77" s="4"/>
      <c r="M77" s="68">
        <v>6</v>
      </c>
      <c r="N77" s="79">
        <v>180</v>
      </c>
      <c r="O77" s="496">
        <v>8134.982</v>
      </c>
      <c r="P77" s="496">
        <v>20966.0625</v>
      </c>
      <c r="Q77" s="496">
        <v>26000.927500000005</v>
      </c>
      <c r="R77" s="497">
        <v>44059.562499999993</v>
      </c>
      <c r="S77" s="498">
        <v>12761.67599999999</v>
      </c>
      <c r="T77" s="498">
        <v>27182.024500000003</v>
      </c>
      <c r="U77" s="498">
        <v>21076.047499999993</v>
      </c>
      <c r="V77" s="881"/>
      <c r="W77" s="75">
        <v>30</v>
      </c>
      <c r="X77" s="552">
        <v>0.62619808306709268</v>
      </c>
      <c r="Y77" s="513">
        <v>0.27156549520766771</v>
      </c>
      <c r="Z77" s="511">
        <v>8.9456869009584661E-2</v>
      </c>
      <c r="AA77" s="553">
        <v>0.42955326460481097</v>
      </c>
      <c r="AB77" s="554">
        <v>0.43986254295532645</v>
      </c>
      <c r="AC77" s="555">
        <v>0.12027491408934708</v>
      </c>
      <c r="AD77" s="554">
        <v>0.42955326460481097</v>
      </c>
      <c r="AE77" s="556">
        <v>0.43986254295532645</v>
      </c>
      <c r="AF77" s="559">
        <v>0.12027491408934708</v>
      </c>
      <c r="AG77" s="554">
        <v>0.42955326460481097</v>
      </c>
      <c r="AH77" s="556">
        <v>0.43986254295532645</v>
      </c>
      <c r="AI77" s="556">
        <v>0.12027491408934708</v>
      </c>
    </row>
    <row r="78" spans="2:47">
      <c r="B78" s="4"/>
      <c r="C78" s="6"/>
      <c r="D78" s="4"/>
      <c r="E78" s="4"/>
      <c r="F78" s="4"/>
      <c r="G78" s="4"/>
      <c r="H78" s="4"/>
      <c r="I78" s="4"/>
      <c r="J78" s="4"/>
      <c r="K78" s="4"/>
      <c r="M78" s="68">
        <v>5</v>
      </c>
      <c r="N78" s="79">
        <v>130</v>
      </c>
      <c r="O78" s="496">
        <v>3390.4390000000003</v>
      </c>
      <c r="P78" s="496">
        <v>4402.6850000000013</v>
      </c>
      <c r="Q78" s="496">
        <v>5626.6090000000004</v>
      </c>
      <c r="R78" s="497">
        <v>10508.934999999998</v>
      </c>
      <c r="S78" s="498">
        <v>3590.6635000000001</v>
      </c>
      <c r="T78" s="498">
        <v>6528.3380000000016</v>
      </c>
      <c r="U78" s="498">
        <v>7349.280999999999</v>
      </c>
      <c r="V78" s="881"/>
      <c r="W78" s="75">
        <v>15</v>
      </c>
      <c r="X78" s="552">
        <v>0.60396039603960394</v>
      </c>
      <c r="Y78" s="513">
        <v>0.36633663366336633</v>
      </c>
      <c r="Z78" s="511">
        <v>7.4257425742574254E-3</v>
      </c>
      <c r="AA78" s="553">
        <v>0.6504992867332382</v>
      </c>
      <c r="AB78" s="554">
        <v>0.32952924393723254</v>
      </c>
      <c r="AC78" s="555">
        <v>7.1326676176890159E-3</v>
      </c>
      <c r="AD78" s="554">
        <v>0.6504992867332382</v>
      </c>
      <c r="AE78" s="556">
        <v>0.32952924393723254</v>
      </c>
      <c r="AF78" s="559">
        <v>7.1326676176890159E-3</v>
      </c>
      <c r="AG78" s="554">
        <v>0.6504992867332382</v>
      </c>
      <c r="AH78" s="556">
        <v>0.32952924393723254</v>
      </c>
      <c r="AI78" s="556">
        <v>7.1326676176890159E-3</v>
      </c>
    </row>
    <row r="79" spans="2:47">
      <c r="B79" s="4"/>
      <c r="C79" s="6"/>
      <c r="D79" s="4"/>
      <c r="E79" s="4"/>
      <c r="F79" s="4"/>
      <c r="G79" s="4"/>
      <c r="H79" s="4"/>
      <c r="I79" s="4"/>
      <c r="J79" s="4"/>
      <c r="K79" s="4"/>
      <c r="M79" s="68">
        <v>4</v>
      </c>
      <c r="N79" s="79">
        <v>90</v>
      </c>
      <c r="O79" s="496">
        <v>3098.2350000000006</v>
      </c>
      <c r="P79" s="496">
        <v>7296.2330000000002</v>
      </c>
      <c r="Q79" s="496">
        <v>6256.3395000000037</v>
      </c>
      <c r="R79" s="497">
        <v>15360.150499999998</v>
      </c>
      <c r="S79" s="498">
        <v>6432.4909999999991</v>
      </c>
      <c r="T79" s="498">
        <v>10905.957999999999</v>
      </c>
      <c r="U79" s="498">
        <v>12106.743499999999</v>
      </c>
      <c r="V79" s="881"/>
      <c r="W79" s="499"/>
      <c r="X79" s="499"/>
      <c r="Y79" s="499"/>
      <c r="Z79" s="499"/>
    </row>
    <row r="80" spans="2:47">
      <c r="B80" s="4"/>
      <c r="C80" s="6"/>
      <c r="D80" s="4"/>
      <c r="E80" s="4"/>
      <c r="F80" s="4"/>
      <c r="G80" s="4"/>
      <c r="H80" s="4"/>
      <c r="I80" s="4"/>
      <c r="J80" s="4"/>
      <c r="K80" s="4"/>
      <c r="M80" s="68">
        <v>3</v>
      </c>
      <c r="N80" s="79">
        <v>50</v>
      </c>
      <c r="O80" s="496">
        <v>5801.4350000000004</v>
      </c>
      <c r="P80" s="496">
        <v>9797.2665000000052</v>
      </c>
      <c r="Q80" s="496">
        <v>13057.985500000004</v>
      </c>
      <c r="R80" s="497">
        <v>21958.768500000013</v>
      </c>
      <c r="S80" s="498">
        <v>10151.789000000002</v>
      </c>
      <c r="T80" s="498">
        <v>17042.573499999999</v>
      </c>
      <c r="U80" s="498">
        <v>21345.033499999976</v>
      </c>
      <c r="V80" s="881"/>
      <c r="W80" s="69" t="s">
        <v>219</v>
      </c>
      <c r="X80" s="541"/>
      <c r="Y80" s="541"/>
      <c r="Z80" s="541"/>
      <c r="AD80" s="12"/>
      <c r="AE80" s="12"/>
      <c r="AF80" s="548"/>
    </row>
    <row r="81" spans="2:35">
      <c r="B81" s="4"/>
      <c r="C81" s="6"/>
      <c r="D81" s="4"/>
      <c r="E81" s="4"/>
      <c r="F81" s="4"/>
      <c r="G81" s="4"/>
      <c r="H81" s="4"/>
      <c r="I81" s="4"/>
      <c r="J81" s="4"/>
      <c r="K81" s="4"/>
      <c r="M81" s="68">
        <v>2</v>
      </c>
      <c r="N81" s="79">
        <v>30</v>
      </c>
      <c r="O81" s="496">
        <v>6534.5130000000026</v>
      </c>
      <c r="P81" s="496">
        <v>7590.2324999999992</v>
      </c>
      <c r="Q81" s="496">
        <v>11218.120499999999</v>
      </c>
      <c r="R81" s="497">
        <v>12545.483000000007</v>
      </c>
      <c r="S81" s="498">
        <v>11372.200500000003</v>
      </c>
      <c r="T81" s="498">
        <v>10873.493999999995</v>
      </c>
      <c r="U81" s="498">
        <v>14191.241500000004</v>
      </c>
      <c r="V81" s="881"/>
      <c r="W81" s="547"/>
      <c r="X81" s="1672" t="s">
        <v>215</v>
      </c>
      <c r="Y81" s="1673"/>
      <c r="Z81" s="1674"/>
      <c r="AA81" s="1672" t="s">
        <v>216</v>
      </c>
      <c r="AB81" s="1673"/>
      <c r="AC81" s="1674"/>
      <c r="AD81" s="1672" t="s">
        <v>217</v>
      </c>
      <c r="AE81" s="1673"/>
      <c r="AF81" s="1674"/>
      <c r="AG81" s="1672" t="s">
        <v>218</v>
      </c>
      <c r="AH81" s="1673"/>
      <c r="AI81" s="1673"/>
    </row>
    <row r="82" spans="2:35">
      <c r="B82" s="4"/>
      <c r="C82" s="6"/>
      <c r="D82" s="4"/>
      <c r="E82" s="4"/>
      <c r="F82" s="4"/>
      <c r="G82" s="4"/>
      <c r="H82" s="4"/>
      <c r="I82" s="4"/>
      <c r="J82" s="4"/>
      <c r="K82" s="4"/>
      <c r="M82" s="70">
        <v>1</v>
      </c>
      <c r="N82" s="78">
        <v>15</v>
      </c>
      <c r="O82" s="526">
        <v>7711.6460000000015</v>
      </c>
      <c r="P82" s="526">
        <v>10674.782000000001</v>
      </c>
      <c r="Q82" s="526">
        <v>11665.124499999994</v>
      </c>
      <c r="R82" s="527">
        <v>12350.691500000023</v>
      </c>
      <c r="S82" s="528">
        <v>8238.2308999999968</v>
      </c>
      <c r="T82" s="528">
        <v>14267.071500000007</v>
      </c>
      <c r="U82" s="528">
        <v>18099.943999999992</v>
      </c>
      <c r="V82" s="881"/>
      <c r="W82" s="549" t="s">
        <v>475</v>
      </c>
      <c r="X82" s="550" t="s">
        <v>472</v>
      </c>
      <c r="Y82" s="70" t="s">
        <v>473</v>
      </c>
      <c r="Z82" s="78" t="s">
        <v>474</v>
      </c>
      <c r="AA82" s="550" t="s">
        <v>472</v>
      </c>
      <c r="AB82" s="70" t="s">
        <v>473</v>
      </c>
      <c r="AC82" s="78" t="s">
        <v>474</v>
      </c>
      <c r="AD82" s="70" t="s">
        <v>472</v>
      </c>
      <c r="AE82" s="70" t="s">
        <v>473</v>
      </c>
      <c r="AF82" s="78" t="s">
        <v>474</v>
      </c>
      <c r="AG82" s="70" t="s">
        <v>472</v>
      </c>
      <c r="AH82" s="70" t="s">
        <v>473</v>
      </c>
      <c r="AI82" s="70" t="s">
        <v>474</v>
      </c>
    </row>
    <row r="83" spans="2:35">
      <c r="B83" s="4"/>
      <c r="C83" s="6"/>
      <c r="D83" s="4"/>
      <c r="E83" s="4"/>
      <c r="F83" s="4"/>
      <c r="G83" s="4"/>
      <c r="H83" s="4"/>
      <c r="I83" s="4"/>
      <c r="J83" s="4"/>
      <c r="K83" s="4"/>
      <c r="L83" s="12"/>
      <c r="M83" s="521" t="s">
        <v>221</v>
      </c>
      <c r="N83" s="522"/>
      <c r="O83" s="529">
        <f>SUM(O77:O82)</f>
        <v>34671.250000000007</v>
      </c>
      <c r="P83" s="530">
        <f t="shared" ref="P83:U83" si="45">SUM(P77:P82)</f>
        <v>60727.261500000001</v>
      </c>
      <c r="Q83" s="530">
        <f t="shared" si="45"/>
        <v>73825.106500000009</v>
      </c>
      <c r="R83" s="531">
        <f t="shared" si="45"/>
        <v>116783.59100000001</v>
      </c>
      <c r="S83" s="530">
        <f t="shared" si="45"/>
        <v>52547.050899999987</v>
      </c>
      <c r="T83" s="530">
        <f t="shared" si="45"/>
        <v>86799.459499999997</v>
      </c>
      <c r="U83" s="530">
        <f t="shared" si="45"/>
        <v>94168.290999999968</v>
      </c>
      <c r="V83" s="543"/>
      <c r="W83" s="508">
        <v>180</v>
      </c>
      <c r="X83" s="561">
        <f t="shared" ref="X83:Z84" si="46">X73*$AD63</f>
        <v>13.742332508046179</v>
      </c>
      <c r="Y83" s="499">
        <f t="shared" si="46"/>
        <v>18.895707198563496</v>
      </c>
      <c r="Z83" s="497">
        <f t="shared" si="46"/>
        <v>32.638039706609675</v>
      </c>
      <c r="AA83" s="585">
        <f>AA73*$AE63</f>
        <v>6.9392703185934392</v>
      </c>
      <c r="AB83" s="563">
        <f t="shared" ref="AB83:AC83" si="47">AB73*$AE63</f>
        <v>32.96153401331884</v>
      </c>
      <c r="AC83" s="506">
        <f t="shared" si="47"/>
        <v>91.945331721363075</v>
      </c>
      <c r="AD83" s="563">
        <f>AD73*$AF63</f>
        <v>8.0847259179469617</v>
      </c>
      <c r="AE83" s="564">
        <f t="shared" ref="AE83:AF83" si="48">AE73*$AF63</f>
        <v>38.402448110248066</v>
      </c>
      <c r="AF83" s="565">
        <f t="shared" si="48"/>
        <v>107.12261841279722</v>
      </c>
      <c r="AG83" s="586">
        <f>AG73*$AG63</f>
        <v>9.6732767862355633</v>
      </c>
      <c r="AH83" s="564">
        <f t="shared" ref="AH83:AI83" si="49">AH73*$AG63</f>
        <v>45.948064734618924</v>
      </c>
      <c r="AI83" s="564">
        <f t="shared" si="49"/>
        <v>128.17091741762121</v>
      </c>
    </row>
    <row r="84" spans="2:35">
      <c r="B84" s="4"/>
      <c r="C84" s="6"/>
      <c r="D84" s="4"/>
      <c r="E84" s="4"/>
      <c r="F84" s="4"/>
      <c r="G84" s="4"/>
      <c r="H84" s="4"/>
      <c r="I84" s="4"/>
      <c r="J84" s="4"/>
      <c r="K84" s="4"/>
      <c r="V84" s="12"/>
      <c r="W84" s="508">
        <v>130</v>
      </c>
      <c r="X84" s="561">
        <f t="shared" si="46"/>
        <v>3.4355831270115447</v>
      </c>
      <c r="Y84" s="499">
        <f t="shared" si="46"/>
        <v>17.177915635057722</v>
      </c>
      <c r="Z84" s="497">
        <f t="shared" si="46"/>
        <v>18.895707198563496</v>
      </c>
      <c r="AA84" s="562">
        <f t="shared" ref="AA84:AC84" si="50">AA74*$AE64</f>
        <v>24.287446115077039</v>
      </c>
      <c r="AB84" s="563">
        <f t="shared" si="50"/>
        <v>17.348175796483599</v>
      </c>
      <c r="AC84" s="506">
        <f t="shared" si="50"/>
        <v>32.96153401331884</v>
      </c>
      <c r="AD84" s="563">
        <f t="shared" ref="AD84:AF84" si="51">AD74*$AF64</f>
        <v>28.296540712814394</v>
      </c>
      <c r="AE84" s="564">
        <f t="shared" si="51"/>
        <v>20.211814794867422</v>
      </c>
      <c r="AF84" s="565">
        <f t="shared" si="51"/>
        <v>38.402448110248102</v>
      </c>
      <c r="AG84" s="563">
        <f t="shared" ref="AG84:AH84" si="52">AG74*$AG64</f>
        <v>33.856468751824472</v>
      </c>
      <c r="AH84" s="564">
        <f t="shared" si="52"/>
        <v>24.183191965588904</v>
      </c>
      <c r="AI84" s="587">
        <f>AI74*$AG64</f>
        <v>45.948064734618924</v>
      </c>
    </row>
    <row r="85" spans="2:35">
      <c r="B85" s="4"/>
      <c r="C85" s="6"/>
      <c r="D85" s="4"/>
      <c r="E85" s="4"/>
      <c r="F85" s="4"/>
      <c r="G85" s="4"/>
      <c r="H85" s="4"/>
      <c r="I85" s="4"/>
      <c r="J85" s="4"/>
      <c r="K85" s="4"/>
      <c r="M85" s="67"/>
      <c r="N85" s="67"/>
      <c r="O85" s="67"/>
      <c r="P85" s="4"/>
      <c r="Q85" s="4"/>
      <c r="R85" s="4"/>
      <c r="S85" s="4"/>
      <c r="T85" s="4"/>
      <c r="U85" s="4"/>
      <c r="V85" s="541"/>
      <c r="W85" s="75">
        <v>90</v>
      </c>
      <c r="X85" s="561">
        <f t="shared" ref="X85:Z85" si="53">X75*$AD65</f>
        <v>24.049081889080814</v>
      </c>
      <c r="Y85" s="499">
        <f t="shared" si="53"/>
        <v>36.073622833621222</v>
      </c>
      <c r="Z85" s="497">
        <f t="shared" si="53"/>
        <v>44.66258065115008</v>
      </c>
      <c r="AA85" s="562">
        <f t="shared" ref="AA85:AC85" si="54">AA75*$AE65</f>
        <v>45.105257070857348</v>
      </c>
      <c r="AB85" s="563">
        <f t="shared" si="54"/>
        <v>57.248980128395864</v>
      </c>
      <c r="AC85" s="506">
        <f t="shared" si="54"/>
        <v>81.536426243472903</v>
      </c>
      <c r="AD85" s="563">
        <f t="shared" ref="AD85:AF85" si="55">AD75*$AF65</f>
        <v>52.55071846665529</v>
      </c>
      <c r="AE85" s="564">
        <f t="shared" si="55"/>
        <v>66.698988823062479</v>
      </c>
      <c r="AF85" s="565">
        <f t="shared" si="55"/>
        <v>94.995529535876869</v>
      </c>
      <c r="AG85" s="563">
        <f t="shared" ref="AG85:AI85" si="56">AG75*$AG65</f>
        <v>62.87629911053115</v>
      </c>
      <c r="AH85" s="564">
        <f t="shared" si="56"/>
        <v>79.804533486443376</v>
      </c>
      <c r="AI85" s="564">
        <f t="shared" si="56"/>
        <v>113.66100223826784</v>
      </c>
    </row>
    <row r="86" spans="2:35">
      <c r="B86" s="4"/>
      <c r="C86" s="6"/>
      <c r="D86" s="4"/>
      <c r="E86" s="4"/>
      <c r="F86" s="4"/>
      <c r="G86" s="4"/>
      <c r="H86" s="4"/>
      <c r="I86" s="4"/>
      <c r="J86" s="4"/>
      <c r="K86" s="4"/>
      <c r="L86" s="80" t="s">
        <v>466</v>
      </c>
      <c r="M86" s="70" t="s">
        <v>20</v>
      </c>
      <c r="N86" s="78" t="s">
        <v>220</v>
      </c>
      <c r="O86" s="71" t="s">
        <v>208</v>
      </c>
      <c r="P86" s="72" t="s">
        <v>209</v>
      </c>
      <c r="Q86" s="72" t="s">
        <v>212</v>
      </c>
      <c r="R86" s="73" t="s">
        <v>211</v>
      </c>
      <c r="S86" s="71" t="s">
        <v>213</v>
      </c>
      <c r="T86" s="72" t="s">
        <v>214</v>
      </c>
      <c r="U86" s="72" t="s">
        <v>210</v>
      </c>
      <c r="V86" s="76"/>
      <c r="W86" s="75">
        <v>50</v>
      </c>
      <c r="X86" s="561">
        <f t="shared" ref="X86:Z86" si="57">X76*$AD66</f>
        <v>101.34970224684058</v>
      </c>
      <c r="Y86" s="499">
        <f t="shared" si="57"/>
        <v>96.19632755632324</v>
      </c>
      <c r="Z86" s="497">
        <f t="shared" si="57"/>
        <v>72.147245667242444</v>
      </c>
      <c r="AA86" s="562">
        <f t="shared" ref="AA86:AC86" si="58">AA76*$AE66</f>
        <v>137.05058879222042</v>
      </c>
      <c r="AB86" s="563">
        <f t="shared" si="58"/>
        <v>204.70847439850644</v>
      </c>
      <c r="AC86" s="506">
        <f t="shared" si="58"/>
        <v>83.271243823121267</v>
      </c>
      <c r="AD86" s="563">
        <f t="shared" ref="AD86:AF86" si="59">AD76*$AF66</f>
        <v>159.67333687945265</v>
      </c>
      <c r="AE86" s="564">
        <f t="shared" si="59"/>
        <v>238.49941457943558</v>
      </c>
      <c r="AF86" s="565">
        <f t="shared" si="59"/>
        <v>97.016711015363626</v>
      </c>
      <c r="AG86" s="563">
        <f t="shared" ref="AG86:AI86" si="60">AG76*$AG66</f>
        <v>191.04721652815235</v>
      </c>
      <c r="AH86" s="564">
        <f t="shared" si="60"/>
        <v>285.36166519394908</v>
      </c>
      <c r="AI86" s="564">
        <f t="shared" si="60"/>
        <v>116.07932143482674</v>
      </c>
    </row>
    <row r="87" spans="2:35">
      <c r="B87" s="4"/>
      <c r="C87" s="6"/>
      <c r="D87" s="4"/>
      <c r="E87" s="4"/>
      <c r="F87" s="4"/>
      <c r="G87" s="4"/>
      <c r="H87" s="4"/>
      <c r="I87" s="4"/>
      <c r="J87" s="4"/>
      <c r="K87" s="4"/>
      <c r="M87" s="68">
        <v>6</v>
      </c>
      <c r="N87" s="473">
        <v>180</v>
      </c>
      <c r="O87" s="496">
        <v>1435.1397784999999</v>
      </c>
      <c r="P87" s="496">
        <v>3502.4266657500002</v>
      </c>
      <c r="Q87" s="496">
        <v>4709.5297240000009</v>
      </c>
      <c r="R87" s="497">
        <v>7437.5777847499976</v>
      </c>
      <c r="S87" s="498">
        <v>1891.1460989999998</v>
      </c>
      <c r="T87" s="498">
        <v>4319.1136937500005</v>
      </c>
      <c r="U87" s="498">
        <v>3723.3418022499995</v>
      </c>
      <c r="V87" s="499"/>
      <c r="W87" s="75">
        <v>30</v>
      </c>
      <c r="X87" s="561">
        <f t="shared" ref="X87:Z87" si="61">X77*$AD67</f>
        <v>336.6871464471314</v>
      </c>
      <c r="Y87" s="499">
        <f t="shared" si="61"/>
        <v>146.01228289799064</v>
      </c>
      <c r="Z87" s="497">
        <f t="shared" si="61"/>
        <v>48.09816377816162</v>
      </c>
      <c r="AA87" s="562">
        <f t="shared" ref="AA87:AC87" si="62">AA77*$AE67</f>
        <v>216.85219745604493</v>
      </c>
      <c r="AB87" s="563">
        <f t="shared" si="62"/>
        <v>222.05665019499003</v>
      </c>
      <c r="AC87" s="506">
        <f t="shared" si="62"/>
        <v>60.718615287692593</v>
      </c>
      <c r="AD87" s="563">
        <f t="shared" ref="AD87:AF87" si="63">AD77*$AF67</f>
        <v>252.64768493584276</v>
      </c>
      <c r="AE87" s="564">
        <f t="shared" si="63"/>
        <v>258.711229374303</v>
      </c>
      <c r="AF87" s="565">
        <f t="shared" si="63"/>
        <v>70.741351782035977</v>
      </c>
      <c r="AG87" s="563">
        <f t="shared" ref="AG87:AI87" si="64">AG77*$AG67</f>
        <v>302.28989956986129</v>
      </c>
      <c r="AH87" s="564">
        <f>AH77*$AG67</f>
        <v>309.54485715953797</v>
      </c>
      <c r="AI87" s="564">
        <f t="shared" si="64"/>
        <v>84.64117187956117</v>
      </c>
    </row>
    <row r="88" spans="2:35">
      <c r="B88" s="4"/>
      <c r="C88" s="6"/>
      <c r="D88" s="4"/>
      <c r="E88" s="4"/>
      <c r="F88" s="4"/>
      <c r="G88" s="4"/>
      <c r="H88" s="4"/>
      <c r="I88" s="4"/>
      <c r="J88" s="4"/>
      <c r="K88" s="4"/>
      <c r="M88" s="68">
        <v>5</v>
      </c>
      <c r="N88" s="473">
        <v>130</v>
      </c>
      <c r="O88" s="496">
        <v>469.06116550000002</v>
      </c>
      <c r="P88" s="496">
        <v>619.80413150000004</v>
      </c>
      <c r="Q88" s="496">
        <v>746.32786350000015</v>
      </c>
      <c r="R88" s="497">
        <v>1337.99921025</v>
      </c>
      <c r="S88" s="498">
        <v>451.43083474999992</v>
      </c>
      <c r="T88" s="498">
        <v>796.01147049999975</v>
      </c>
      <c r="U88" s="498">
        <v>1008.3208649999999</v>
      </c>
      <c r="V88" s="499"/>
      <c r="W88" s="75">
        <v>15</v>
      </c>
      <c r="X88" s="561">
        <f t="shared" ref="X88:Y88" si="65">X78*$AD68</f>
        <v>419.14114149540842</v>
      </c>
      <c r="Y88" s="499">
        <f t="shared" si="65"/>
        <v>254.23315139885429</v>
      </c>
      <c r="Z88" s="497">
        <f>Z78*$AD68</f>
        <v>5.1533746905173166</v>
      </c>
      <c r="AA88" s="562">
        <f t="shared" ref="AA88:AC88" si="66">AA78*$AE68</f>
        <v>791.07681631965193</v>
      </c>
      <c r="AB88" s="563">
        <f t="shared" si="66"/>
        <v>400.74286089877108</v>
      </c>
      <c r="AC88" s="506">
        <f t="shared" si="66"/>
        <v>8.6740878982417993</v>
      </c>
      <c r="AD88" s="563">
        <f t="shared" ref="AD88:AF88" si="67">AD78*$AF68</f>
        <v>921.65875464595445</v>
      </c>
      <c r="AE88" s="564">
        <f t="shared" si="67"/>
        <v>466.89292176143749</v>
      </c>
      <c r="AF88" s="565">
        <f t="shared" si="67"/>
        <v>10.105907397433711</v>
      </c>
      <c r="AG88" s="563">
        <f t="shared" ref="AG88:AI88" si="68">AG78*$AG68</f>
        <v>1102.753553630854</v>
      </c>
      <c r="AH88" s="564">
        <f t="shared" si="68"/>
        <v>558.63173440510366</v>
      </c>
      <c r="AI88" s="564">
        <f t="shared" si="68"/>
        <v>12.091595982794452</v>
      </c>
    </row>
    <row r="89" spans="2:35">
      <c r="B89" s="4"/>
      <c r="C89" s="6"/>
      <c r="D89" s="4"/>
      <c r="E89" s="4"/>
      <c r="F89" s="4"/>
      <c r="G89" s="4"/>
      <c r="H89" s="4"/>
      <c r="I89" s="4"/>
      <c r="J89" s="4"/>
      <c r="K89" s="4"/>
      <c r="M89" s="68">
        <v>4</v>
      </c>
      <c r="N89" s="473">
        <v>90</v>
      </c>
      <c r="O89" s="496">
        <v>282.71735949999999</v>
      </c>
      <c r="P89" s="496">
        <v>733.98965649999991</v>
      </c>
      <c r="Q89" s="496">
        <v>620.25670724999986</v>
      </c>
      <c r="R89" s="497">
        <v>1516.3231317500004</v>
      </c>
      <c r="S89" s="498">
        <v>585.98960674999978</v>
      </c>
      <c r="T89" s="498">
        <v>1056.7026572500001</v>
      </c>
      <c r="U89" s="498">
        <v>1166.8051729999995</v>
      </c>
      <c r="V89" s="499"/>
      <c r="W89" s="499"/>
      <c r="X89" s="499"/>
      <c r="Y89" s="499"/>
      <c r="Z89" s="499"/>
    </row>
    <row r="90" spans="2:35">
      <c r="B90" s="4"/>
      <c r="C90" s="6"/>
      <c r="D90" s="4"/>
      <c r="E90" s="4"/>
      <c r="F90" s="4"/>
      <c r="G90" s="4"/>
      <c r="H90" s="4"/>
      <c r="I90" s="4"/>
      <c r="J90" s="4"/>
      <c r="K90" s="4"/>
      <c r="M90" s="68">
        <v>3</v>
      </c>
      <c r="N90" s="473">
        <v>50</v>
      </c>
      <c r="O90" s="496">
        <v>387.21809300000001</v>
      </c>
      <c r="P90" s="496">
        <v>607.08614799999998</v>
      </c>
      <c r="Q90" s="496">
        <v>835.6835462500004</v>
      </c>
      <c r="R90" s="497">
        <v>1351.7052757499982</v>
      </c>
      <c r="S90" s="498">
        <v>591.73746199999994</v>
      </c>
      <c r="T90" s="498">
        <v>984.19049775000087</v>
      </c>
      <c r="U90" s="498">
        <v>1306.5338177500007</v>
      </c>
      <c r="V90" s="499"/>
      <c r="W90" s="499"/>
      <c r="X90" s="499"/>
      <c r="Y90" s="499"/>
      <c r="Z90" s="499"/>
    </row>
    <row r="91" spans="2:35">
      <c r="B91" s="4"/>
      <c r="C91" s="6"/>
      <c r="D91" s="4"/>
      <c r="E91" s="4"/>
      <c r="F91" s="4"/>
      <c r="G91" s="4"/>
      <c r="H91" s="4"/>
      <c r="I91" s="4"/>
      <c r="J91" s="4"/>
      <c r="K91" s="4"/>
      <c r="M91" s="68">
        <v>2</v>
      </c>
      <c r="N91" s="473">
        <v>30</v>
      </c>
      <c r="O91" s="496">
        <v>293.03679550000015</v>
      </c>
      <c r="P91" s="496">
        <v>357.31360550000005</v>
      </c>
      <c r="Q91" s="496">
        <v>541.52152075000004</v>
      </c>
      <c r="R91" s="497">
        <v>554.17165424999939</v>
      </c>
      <c r="S91" s="498">
        <v>422.21962074999976</v>
      </c>
      <c r="T91" s="498">
        <v>450.28582050000006</v>
      </c>
      <c r="U91" s="498">
        <v>608.76381125000012</v>
      </c>
      <c r="V91" s="499"/>
      <c r="W91" s="69" t="s">
        <v>206</v>
      </c>
      <c r="X91" s="541"/>
      <c r="Y91" s="541"/>
      <c r="Z91" s="541"/>
      <c r="AD91" s="12"/>
      <c r="AE91" s="12"/>
      <c r="AF91" s="548"/>
    </row>
    <row r="92" spans="2:35">
      <c r="B92" s="4"/>
      <c r="C92" s="6"/>
      <c r="D92" s="4"/>
      <c r="E92" s="4"/>
      <c r="F92" s="4"/>
      <c r="G92" s="4"/>
      <c r="H92" s="4"/>
      <c r="I92" s="4"/>
      <c r="J92" s="4"/>
      <c r="K92" s="4"/>
      <c r="M92" s="70">
        <v>1</v>
      </c>
      <c r="N92" s="78">
        <v>15</v>
      </c>
      <c r="O92" s="526">
        <v>205.62805410000004</v>
      </c>
      <c r="P92" s="526">
        <v>299.0346638000002</v>
      </c>
      <c r="Q92" s="526">
        <v>333.53612229999982</v>
      </c>
      <c r="R92" s="527">
        <v>339.25307309999965</v>
      </c>
      <c r="S92" s="528">
        <v>212.96053360000005</v>
      </c>
      <c r="T92" s="528">
        <v>376.55978379999937</v>
      </c>
      <c r="U92" s="528">
        <v>495.83968760000005</v>
      </c>
      <c r="V92" s="499"/>
      <c r="W92" s="547"/>
      <c r="X92" s="1672" t="s">
        <v>215</v>
      </c>
      <c r="Y92" s="1673"/>
      <c r="Z92" s="1674"/>
      <c r="AA92" s="1672" t="s">
        <v>216</v>
      </c>
      <c r="AB92" s="1673"/>
      <c r="AC92" s="1674"/>
      <c r="AD92" s="1672" t="s">
        <v>217</v>
      </c>
      <c r="AE92" s="1673"/>
      <c r="AF92" s="1674"/>
      <c r="AG92" s="1672" t="s">
        <v>218</v>
      </c>
      <c r="AH92" s="1673"/>
      <c r="AI92" s="1673"/>
    </row>
    <row r="93" spans="2:35">
      <c r="B93" s="4"/>
      <c r="C93" s="6"/>
      <c r="D93" s="4"/>
      <c r="E93" s="4"/>
      <c r="F93" s="4"/>
      <c r="G93" s="4"/>
      <c r="H93" s="4"/>
      <c r="I93" s="4"/>
      <c r="J93" s="4"/>
      <c r="K93" s="4"/>
      <c r="L93" s="12"/>
      <c r="M93" s="521" t="s">
        <v>221</v>
      </c>
      <c r="N93" s="522"/>
      <c r="O93" s="529">
        <f>SUM(O87:O92)</f>
        <v>3072.8012461000003</v>
      </c>
      <c r="P93" s="530">
        <f t="shared" ref="P93" si="69">SUM(P87:P92)</f>
        <v>6119.654871050001</v>
      </c>
      <c r="Q93" s="530">
        <f t="shared" ref="Q93" si="70">SUM(Q87:Q92)</f>
        <v>7786.8554840500001</v>
      </c>
      <c r="R93" s="531">
        <f t="shared" ref="R93" si="71">SUM(R87:R92)</f>
        <v>12537.030129849996</v>
      </c>
      <c r="S93" s="530">
        <f t="shared" ref="S93" si="72">SUM(S87:S92)</f>
        <v>4155.4841568499996</v>
      </c>
      <c r="T93" s="530">
        <f t="shared" ref="T93" si="73">SUM(T87:T92)</f>
        <v>7982.8639235500004</v>
      </c>
      <c r="U93" s="530">
        <f t="shared" ref="U93" si="74">SUM(U87:U92)</f>
        <v>8309.6051568500006</v>
      </c>
      <c r="V93" s="543"/>
      <c r="W93" s="549" t="s">
        <v>475</v>
      </c>
      <c r="X93" s="550" t="s">
        <v>472</v>
      </c>
      <c r="Y93" s="70" t="s">
        <v>473</v>
      </c>
      <c r="Z93" s="78" t="s">
        <v>474</v>
      </c>
      <c r="AA93" s="550" t="s">
        <v>472</v>
      </c>
      <c r="AB93" s="70" t="s">
        <v>473</v>
      </c>
      <c r="AC93" s="78" t="s">
        <v>474</v>
      </c>
      <c r="AD93" s="70" t="s">
        <v>472</v>
      </c>
      <c r="AE93" s="70" t="s">
        <v>473</v>
      </c>
      <c r="AF93" s="78" t="s">
        <v>474</v>
      </c>
      <c r="AG93" s="70" t="s">
        <v>472</v>
      </c>
      <c r="AH93" s="70" t="s">
        <v>473</v>
      </c>
      <c r="AI93" s="70" t="s">
        <v>474</v>
      </c>
    </row>
    <row r="94" spans="2:35">
      <c r="B94" s="4"/>
      <c r="C94" s="6"/>
      <c r="D94" s="4"/>
      <c r="E94" s="4"/>
      <c r="F94" s="4"/>
      <c r="G94" s="4"/>
      <c r="H94" s="4"/>
      <c r="I94" s="4"/>
      <c r="J94" s="4"/>
      <c r="K94" s="4"/>
      <c r="L94" s="535" t="s">
        <v>464</v>
      </c>
      <c r="M94" s="67"/>
      <c r="N94" s="67"/>
      <c r="O94" s="539">
        <f>O93/O44</f>
        <v>8.1297752848793509E-2</v>
      </c>
      <c r="P94" s="539">
        <f t="shared" ref="P94:T94" si="75">P93/P44</f>
        <v>9.1111700789004837E-2</v>
      </c>
      <c r="Q94" s="539">
        <f t="shared" si="75"/>
        <v>9.4180678493368558E-2</v>
      </c>
      <c r="R94" s="539">
        <f t="shared" si="75"/>
        <v>0.10056515669266304</v>
      </c>
      <c r="S94" s="539">
        <f>S93/S44</f>
        <v>6.8485856548745561E-2</v>
      </c>
      <c r="T94" s="539">
        <f t="shared" si="75"/>
        <v>8.0176990540282628E-2</v>
      </c>
      <c r="U94" s="539">
        <f>U93/U44</f>
        <v>7.602450246940877E-2</v>
      </c>
      <c r="V94" s="541"/>
      <c r="W94" s="508">
        <v>180</v>
      </c>
      <c r="X94" s="561">
        <f>X83*$AJ63</f>
        <v>3023.3131517701595</v>
      </c>
      <c r="Y94" s="499">
        <f t="shared" ref="Y94:Z94" si="76">Y83*$AJ63</f>
        <v>4157.0555836839694</v>
      </c>
      <c r="Z94" s="497">
        <f t="shared" si="76"/>
        <v>7180.3687354541289</v>
      </c>
      <c r="AA94" s="562">
        <f>AA83*$AK63</f>
        <v>2428.7446115077037</v>
      </c>
      <c r="AB94" s="563">
        <f t="shared" ref="AB94:AC94" si="77">AB83*$AK63</f>
        <v>11536.536904661594</v>
      </c>
      <c r="AC94" s="506">
        <f t="shared" si="77"/>
        <v>32180.866102477077</v>
      </c>
      <c r="AD94" s="563">
        <f>AD83*$AL63</f>
        <v>2829.6540712814367</v>
      </c>
      <c r="AE94" s="564">
        <f t="shared" ref="AE94:AF94" si="78">AE83*$AL63</f>
        <v>13440.856838586824</v>
      </c>
      <c r="AF94" s="565">
        <f t="shared" si="78"/>
        <v>37492.916444479029</v>
      </c>
      <c r="AG94" s="563">
        <f>AG83*$AM63</f>
        <v>3385.6468751824473</v>
      </c>
      <c r="AH94" s="564">
        <f t="shared" ref="AH94:AI94" si="79">AH83*$AM63</f>
        <v>16081.822657116623</v>
      </c>
      <c r="AI94" s="564">
        <f t="shared" si="79"/>
        <v>44859.821096167427</v>
      </c>
    </row>
    <row r="95" spans="2:35">
      <c r="B95" s="4"/>
      <c r="C95" s="6"/>
      <c r="D95" s="4"/>
      <c r="E95" s="4"/>
      <c r="F95" s="4"/>
      <c r="G95" s="4"/>
      <c r="H95" s="4"/>
      <c r="I95" s="4"/>
      <c r="J95" s="4"/>
      <c r="K95" s="4"/>
      <c r="L95" s="535" t="s">
        <v>467</v>
      </c>
      <c r="N95" s="67"/>
      <c r="O95" s="536">
        <v>3352.3947250000001</v>
      </c>
      <c r="P95" s="537">
        <v>6543.9197290000002</v>
      </c>
      <c r="Q95" s="537">
        <v>7659.1551870000003</v>
      </c>
      <c r="R95" s="537">
        <v>13710.858346999999</v>
      </c>
      <c r="S95" s="537">
        <v>4641.0371050000003</v>
      </c>
      <c r="T95" s="537">
        <v>9057.6905690000003</v>
      </c>
      <c r="U95" s="537">
        <v>9057.6905690000003</v>
      </c>
      <c r="V95" s="541"/>
      <c r="W95" s="508">
        <v>130</v>
      </c>
      <c r="X95" s="561">
        <f t="shared" ref="X95:Z95" si="80">X84*$AJ64</f>
        <v>480.98163778161626</v>
      </c>
      <c r="Y95" s="499">
        <f t="shared" si="80"/>
        <v>2404.9081889080812</v>
      </c>
      <c r="Z95" s="497">
        <f t="shared" si="80"/>
        <v>2645.3990077988897</v>
      </c>
      <c r="AA95" s="562">
        <f t="shared" ref="AA95:AC95" si="81">AA84*$AK64</f>
        <v>3643.116917261556</v>
      </c>
      <c r="AB95" s="563">
        <f t="shared" si="81"/>
        <v>2602.2263694725398</v>
      </c>
      <c r="AC95" s="506">
        <f t="shared" si="81"/>
        <v>4944.2301019978258</v>
      </c>
      <c r="AD95" s="563">
        <f t="shared" ref="AD95:AF95" si="82">AD84*$AL64</f>
        <v>4244.4811069221596</v>
      </c>
      <c r="AE95" s="564">
        <f t="shared" si="82"/>
        <v>3031.7722192301135</v>
      </c>
      <c r="AF95" s="565">
        <f t="shared" si="82"/>
        <v>5760.3672165372154</v>
      </c>
      <c r="AG95" s="563">
        <f t="shared" ref="AG95:AI95" si="83">AG84*$AM64</f>
        <v>5078.4703127736711</v>
      </c>
      <c r="AH95" s="564">
        <f t="shared" si="83"/>
        <v>3627.4787948383355</v>
      </c>
      <c r="AI95" s="564">
        <f t="shared" si="83"/>
        <v>6892.2097101928384</v>
      </c>
    </row>
    <row r="96" spans="2:35">
      <c r="B96" s="4"/>
      <c r="C96" s="6"/>
      <c r="D96" s="4"/>
      <c r="E96" s="4"/>
      <c r="F96" s="4"/>
      <c r="G96" s="4"/>
      <c r="H96" s="4"/>
      <c r="I96" s="4"/>
      <c r="J96" s="4"/>
      <c r="K96" s="4"/>
      <c r="L96" s="535" t="s">
        <v>468</v>
      </c>
      <c r="M96" s="67"/>
      <c r="N96" s="67"/>
      <c r="O96" s="538">
        <f>O93-O95</f>
        <v>-279.59347889999981</v>
      </c>
      <c r="P96" s="538">
        <f t="shared" ref="P96:U96" si="84">P93-P95</f>
        <v>-424.26485794999917</v>
      </c>
      <c r="Q96" s="538">
        <f t="shared" si="84"/>
        <v>127.70029704999979</v>
      </c>
      <c r="R96" s="538">
        <f t="shared" si="84"/>
        <v>-1173.8282171500032</v>
      </c>
      <c r="S96" s="538">
        <f t="shared" si="84"/>
        <v>-485.5529481500007</v>
      </c>
      <c r="T96" s="538">
        <f t="shared" si="84"/>
        <v>-1074.8266454499999</v>
      </c>
      <c r="U96" s="538">
        <f t="shared" si="84"/>
        <v>-748.08541214999968</v>
      </c>
      <c r="V96" s="541"/>
      <c r="W96" s="75">
        <v>90</v>
      </c>
      <c r="X96" s="561">
        <f t="shared" ref="X96:Z96" si="85">X85*$AJ65</f>
        <v>2404.9081889080812</v>
      </c>
      <c r="Y96" s="499">
        <f t="shared" si="85"/>
        <v>3607.3622833621221</v>
      </c>
      <c r="Z96" s="497">
        <f t="shared" si="85"/>
        <v>4466.2580651150083</v>
      </c>
      <c r="AA96" s="562">
        <f t="shared" ref="AA96:AC96" si="86">AA85*$AK65</f>
        <v>4961.5782777943086</v>
      </c>
      <c r="AB96" s="563">
        <f t="shared" si="86"/>
        <v>6297.3878141235455</v>
      </c>
      <c r="AC96" s="506">
        <f t="shared" si="86"/>
        <v>8969.0068867820191</v>
      </c>
      <c r="AD96" s="563">
        <f t="shared" ref="AD96:AF96" si="87">AD85*$AL65</f>
        <v>5780.5790313320822</v>
      </c>
      <c r="AE96" s="564">
        <f t="shared" si="87"/>
        <v>7336.8887705368725</v>
      </c>
      <c r="AF96" s="565">
        <f t="shared" si="87"/>
        <v>10449.508248946455</v>
      </c>
      <c r="AG96" s="563">
        <f t="shared" ref="AG96:AI96" si="88">AG85*$AM65</f>
        <v>6916.3929021584263</v>
      </c>
      <c r="AH96" s="564">
        <f t="shared" si="88"/>
        <v>8778.4986835087711</v>
      </c>
      <c r="AI96" s="564">
        <f t="shared" si="88"/>
        <v>12502.710246209463</v>
      </c>
    </row>
    <row r="97" spans="2:35">
      <c r="B97" s="4"/>
      <c r="C97" s="6"/>
      <c r="D97" s="4"/>
      <c r="E97" s="4"/>
      <c r="F97" s="4"/>
      <c r="G97" s="4"/>
      <c r="H97" s="4"/>
      <c r="I97" s="4"/>
      <c r="J97" s="4"/>
      <c r="K97" s="4"/>
      <c r="L97" s="535" t="s">
        <v>469</v>
      </c>
      <c r="M97" s="67"/>
      <c r="N97" s="67"/>
      <c r="O97" s="539">
        <f>O96/O44</f>
        <v>-7.3972638401510263E-3</v>
      </c>
      <c r="P97" s="539">
        <f t="shared" ref="P97:U97" si="89">P96/P44</f>
        <v>-6.3166132089729297E-3</v>
      </c>
      <c r="Q97" s="539">
        <f t="shared" si="89"/>
        <v>1.5445131407162591E-3</v>
      </c>
      <c r="R97" s="539">
        <f t="shared" si="89"/>
        <v>-9.4158040114219448E-3</v>
      </c>
      <c r="S97" s="539">
        <f t="shared" si="89"/>
        <v>-8.0023189353292459E-3</v>
      </c>
      <c r="T97" s="539">
        <f t="shared" si="89"/>
        <v>-1.0795169078413339E-2</v>
      </c>
      <c r="U97" s="539">
        <f t="shared" si="89"/>
        <v>-6.8442266738081257E-3</v>
      </c>
      <c r="V97" s="541"/>
      <c r="W97" s="75">
        <v>50</v>
      </c>
      <c r="X97" s="561">
        <f t="shared" ref="X97:Z97" si="90">X86*$AJ66</f>
        <v>5574.2336235762323</v>
      </c>
      <c r="Y97" s="499">
        <f t="shared" si="90"/>
        <v>5290.7980155977784</v>
      </c>
      <c r="Z97" s="497">
        <f t="shared" si="90"/>
        <v>3968.0985116983343</v>
      </c>
      <c r="AA97" s="562">
        <f t="shared" ref="AA97:AB97" si="91">AA86*$AK66</f>
        <v>9593.5412154554288</v>
      </c>
      <c r="AB97" s="563">
        <f t="shared" si="91"/>
        <v>14329.59320789545</v>
      </c>
      <c r="AC97" s="506">
        <f>AC86*$AK66</f>
        <v>5828.9870676184892</v>
      </c>
      <c r="AD97" s="563">
        <f t="shared" ref="AD97:AF97" si="92">AD86*$AL66</f>
        <v>11177.133581561686</v>
      </c>
      <c r="AE97" s="564">
        <f t="shared" si="92"/>
        <v>16694.959020560491</v>
      </c>
      <c r="AF97" s="565">
        <f t="shared" si="92"/>
        <v>6791.1697710754543</v>
      </c>
      <c r="AG97" s="563">
        <f t="shared" ref="AG97:AI97" si="93">AG86*$AM66</f>
        <v>13373.305156970664</v>
      </c>
      <c r="AH97" s="564">
        <f t="shared" si="93"/>
        <v>19975.316563576434</v>
      </c>
      <c r="AI97" s="564">
        <f t="shared" si="93"/>
        <v>8125.5525004378715</v>
      </c>
    </row>
    <row r="98" spans="2:35">
      <c r="B98" s="4"/>
      <c r="C98" s="6"/>
      <c r="D98" s="4"/>
      <c r="E98" s="4"/>
      <c r="F98" s="4"/>
      <c r="G98" s="4"/>
      <c r="H98" s="4"/>
      <c r="I98" s="4"/>
      <c r="J98" s="4"/>
      <c r="K98" s="4"/>
      <c r="M98" s="67"/>
      <c r="N98" s="67"/>
      <c r="O98" s="67"/>
      <c r="P98" s="4"/>
      <c r="Q98" s="4"/>
      <c r="R98" s="4"/>
      <c r="S98" s="4"/>
      <c r="T98" s="4"/>
      <c r="U98" s="4"/>
      <c r="V98" s="67"/>
      <c r="W98" s="75">
        <v>30</v>
      </c>
      <c r="X98" s="561">
        <f t="shared" ref="X98:Z98" si="94">X87*$AJ67</f>
        <v>11784.050125649599</v>
      </c>
      <c r="Y98" s="499">
        <f t="shared" si="94"/>
        <v>5110.4299014296721</v>
      </c>
      <c r="Z98" s="497">
        <f t="shared" si="94"/>
        <v>1683.4357322356568</v>
      </c>
      <c r="AA98" s="562">
        <f t="shared" ref="AA98:AC98" si="95">AA87*$AK67</f>
        <v>8023.5313058736629</v>
      </c>
      <c r="AB98" s="563">
        <f t="shared" si="95"/>
        <v>8216.0960572146305</v>
      </c>
      <c r="AC98" s="506">
        <f t="shared" si="95"/>
        <v>2246.5887656446262</v>
      </c>
      <c r="AD98" s="563">
        <f t="shared" ref="AD98:AF98" si="96">AD87*$AL67</f>
        <v>9347.9643426261828</v>
      </c>
      <c r="AE98" s="564">
        <f t="shared" si="96"/>
        <v>9572.3154868492111</v>
      </c>
      <c r="AF98" s="565">
        <f t="shared" si="96"/>
        <v>2617.4300159353311</v>
      </c>
      <c r="AG98" s="563">
        <f t="shared" ref="AG98:AI98" si="97">AG87*$AM67</f>
        <v>11184.726284084867</v>
      </c>
      <c r="AH98" s="564">
        <f t="shared" si="97"/>
        <v>11453.159714902904</v>
      </c>
      <c r="AI98" s="564">
        <f t="shared" si="97"/>
        <v>3131.7233595437633</v>
      </c>
    </row>
    <row r="99" spans="2:35">
      <c r="B99" s="4"/>
      <c r="C99" s="6"/>
      <c r="D99" s="4"/>
      <c r="E99" s="4"/>
      <c r="F99" s="4"/>
      <c r="G99" s="4"/>
      <c r="H99" s="4"/>
      <c r="I99" s="4"/>
      <c r="J99" s="4"/>
      <c r="K99" s="4"/>
      <c r="M99" s="67"/>
      <c r="N99" s="67"/>
      <c r="O99" s="67"/>
      <c r="P99" s="4"/>
      <c r="Q99" s="4"/>
      <c r="R99" s="4"/>
      <c r="S99" s="1444">
        <f>SUM(S93:U93)/SUM(S44:U44)</f>
        <v>7.5861359232317654E-2</v>
      </c>
      <c r="T99" s="4"/>
      <c r="U99" s="4"/>
      <c r="V99" s="67"/>
      <c r="W99" s="77">
        <v>15</v>
      </c>
      <c r="X99" s="840">
        <f t="shared" ref="X99:Z99" si="98">X88*$AJ68</f>
        <v>7544.5405469173511</v>
      </c>
      <c r="Y99" s="526">
        <f t="shared" si="98"/>
        <v>4576.1967251793776</v>
      </c>
      <c r="Z99" s="527">
        <f t="shared" si="98"/>
        <v>92.7607444293117</v>
      </c>
      <c r="AA99" s="723">
        <f t="shared" ref="AA99:AC99" si="99">AA88*$AK68</f>
        <v>15821.536326393038</v>
      </c>
      <c r="AB99" s="622">
        <f t="shared" si="99"/>
        <v>8014.8572179754219</v>
      </c>
      <c r="AC99" s="724">
        <f t="shared" si="99"/>
        <v>173.48175796483599</v>
      </c>
      <c r="AD99" s="622">
        <f t="shared" ref="AD99:AF99" si="100">AD88*$AL68</f>
        <v>18433.175092919089</v>
      </c>
      <c r="AE99" s="824">
        <f t="shared" si="100"/>
        <v>9337.8584352287507</v>
      </c>
      <c r="AF99" s="825">
        <f t="shared" si="100"/>
        <v>202.11814794867422</v>
      </c>
      <c r="AG99" s="622">
        <f t="shared" ref="AG99:AI99" si="101">AG88*$AM68</f>
        <v>22055.07107261708</v>
      </c>
      <c r="AH99" s="824">
        <f t="shared" si="101"/>
        <v>11172.634688102073</v>
      </c>
      <c r="AI99" s="824">
        <f t="shared" si="101"/>
        <v>241.83191965588904</v>
      </c>
    </row>
    <row r="100" spans="2:35">
      <c r="B100" s="4"/>
      <c r="C100" s="6"/>
      <c r="D100" s="4"/>
      <c r="E100" s="4"/>
      <c r="F100" s="4"/>
      <c r="G100" s="4"/>
      <c r="H100" s="4"/>
      <c r="I100" s="4"/>
      <c r="J100" s="4"/>
      <c r="K100" s="4"/>
      <c r="M100" s="67"/>
      <c r="N100" s="67"/>
      <c r="O100" s="67"/>
      <c r="P100" s="4"/>
      <c r="Q100" s="4"/>
      <c r="R100" s="4"/>
      <c r="S100" s="4"/>
      <c r="T100" s="4"/>
      <c r="U100" s="4"/>
      <c r="V100" s="67"/>
      <c r="W100" s="1570"/>
      <c r="X100" s="737">
        <f>SUM(X94:X99)</f>
        <v>30812.027274603039</v>
      </c>
      <c r="Y100" s="737">
        <f t="shared" ref="Y100:AI100" si="102">SUM(Y94:Y99)</f>
        <v>25146.750698160999</v>
      </c>
      <c r="Z100" s="1571">
        <f t="shared" si="102"/>
        <v>20036.320796731332</v>
      </c>
      <c r="AA100" s="737">
        <f t="shared" si="102"/>
        <v>44472.048654285696</v>
      </c>
      <c r="AB100" s="737">
        <f t="shared" si="102"/>
        <v>50996.697571343175</v>
      </c>
      <c r="AC100" s="1571">
        <f t="shared" si="102"/>
        <v>54343.160682484879</v>
      </c>
      <c r="AD100" s="737">
        <f t="shared" si="102"/>
        <v>51812.987226642639</v>
      </c>
      <c r="AE100" s="737">
        <f t="shared" si="102"/>
        <v>59414.650770992266</v>
      </c>
      <c r="AF100" s="1571">
        <f t="shared" si="102"/>
        <v>63313.509844922162</v>
      </c>
      <c r="AG100" s="737">
        <f t="shared" si="102"/>
        <v>61993.612603787158</v>
      </c>
      <c r="AH100" s="737">
        <f t="shared" si="102"/>
        <v>71088.911102045153</v>
      </c>
      <c r="AI100" s="737">
        <f t="shared" si="102"/>
        <v>75753.848832207237</v>
      </c>
    </row>
    <row r="101" spans="2:35">
      <c r="B101" s="4"/>
      <c r="C101" s="6"/>
      <c r="D101" s="4"/>
      <c r="E101" s="4"/>
      <c r="F101" s="4"/>
      <c r="G101" s="4"/>
      <c r="H101" s="4"/>
      <c r="I101" s="4"/>
      <c r="J101" s="4"/>
      <c r="K101" s="4"/>
      <c r="M101" s="67"/>
      <c r="N101" s="67"/>
      <c r="O101" s="67"/>
      <c r="P101" s="4"/>
      <c r="Q101" s="4"/>
      <c r="R101" s="4"/>
      <c r="S101" s="4"/>
      <c r="T101" s="4"/>
      <c r="U101" s="4"/>
      <c r="V101" s="67"/>
      <c r="W101" s="67"/>
      <c r="X101" s="1572">
        <f>X100/SUM($X$100:$Z$100)</f>
        <v>0.40544755877034361</v>
      </c>
      <c r="Y101" s="1572">
        <f t="shared" ref="Y101:Z101" si="103">Y100/SUM($X$100:$Z$100)</f>
        <v>0.33089963833634717</v>
      </c>
      <c r="Z101" s="1572">
        <f t="shared" si="103"/>
        <v>0.26365280289330928</v>
      </c>
      <c r="AA101" s="469">
        <f>AA100/SUM($AA$100:$AC$100)</f>
        <v>0.29685256380564173</v>
      </c>
      <c r="AB101" s="469">
        <f t="shared" ref="AB101:AC101" si="104">AB100/SUM($AA$100:$AC$100)</f>
        <v>0.34040483579600722</v>
      </c>
      <c r="AC101" s="469">
        <f t="shared" si="104"/>
        <v>0.3627426003983511</v>
      </c>
      <c r="AD101" s="469">
        <f>AD100/SUM($AD$100:$AF$100)</f>
        <v>0.29685256380564184</v>
      </c>
      <c r="AE101" s="469">
        <f t="shared" ref="AE101:AF101" si="105">AE100/SUM($AD$100:$AF$100)</f>
        <v>0.34040483579600722</v>
      </c>
      <c r="AF101" s="469">
        <f t="shared" si="105"/>
        <v>0.36274260039835088</v>
      </c>
      <c r="AG101" s="469">
        <f>AG100/SUM($AG$100:$AI$100)</f>
        <v>0.29685256380564179</v>
      </c>
      <c r="AH101" s="469">
        <f t="shared" ref="AH101:AI101" si="106">AH100/SUM($AG$100:$AI$100)</f>
        <v>0.34040483579600728</v>
      </c>
      <c r="AI101" s="469">
        <f t="shared" si="106"/>
        <v>0.36274260039835099</v>
      </c>
    </row>
    <row r="102" spans="2:35">
      <c r="B102" s="4"/>
      <c r="C102" s="6"/>
      <c r="D102" s="4"/>
      <c r="E102" s="4"/>
      <c r="F102" s="4"/>
      <c r="G102" s="4"/>
      <c r="H102" s="4"/>
      <c r="I102" s="4"/>
      <c r="J102" s="4"/>
      <c r="K102" s="4"/>
      <c r="M102" s="67"/>
      <c r="N102" s="67"/>
      <c r="O102" s="67"/>
      <c r="P102" s="4"/>
      <c r="Q102" s="4"/>
      <c r="R102" s="4"/>
      <c r="S102" s="4"/>
      <c r="T102" s="4"/>
      <c r="U102" s="4"/>
      <c r="V102" s="67"/>
      <c r="W102" s="69" t="s">
        <v>466</v>
      </c>
      <c r="X102" s="541"/>
      <c r="Y102" s="541"/>
      <c r="Z102" s="541"/>
      <c r="AD102" s="12"/>
      <c r="AE102" s="12"/>
      <c r="AF102" s="548"/>
    </row>
    <row r="103" spans="2:35">
      <c r="B103" s="4"/>
      <c r="C103" s="6"/>
      <c r="D103" s="4"/>
      <c r="E103" s="4"/>
      <c r="F103" s="4"/>
      <c r="G103" s="4"/>
      <c r="H103" s="4"/>
      <c r="I103" s="4"/>
      <c r="J103" s="4"/>
      <c r="K103" s="4"/>
      <c r="M103" s="67"/>
      <c r="N103" s="67"/>
      <c r="O103" s="67"/>
      <c r="P103" s="4"/>
      <c r="Q103" s="4"/>
      <c r="R103" s="4"/>
      <c r="S103" s="4"/>
      <c r="T103" s="4"/>
      <c r="U103" s="4"/>
      <c r="V103" s="67"/>
      <c r="W103" s="547"/>
      <c r="X103" s="1672" t="s">
        <v>215</v>
      </c>
      <c r="Y103" s="1673"/>
      <c r="Z103" s="1674"/>
      <c r="AA103" s="1672" t="s">
        <v>216</v>
      </c>
      <c r="AB103" s="1673"/>
      <c r="AC103" s="1674"/>
      <c r="AD103" s="1672" t="s">
        <v>217</v>
      </c>
      <c r="AE103" s="1673"/>
      <c r="AF103" s="1674"/>
      <c r="AG103" s="1672" t="s">
        <v>218</v>
      </c>
      <c r="AH103" s="1673"/>
      <c r="AI103" s="1673"/>
    </row>
    <row r="104" spans="2:35">
      <c r="B104" s="4"/>
      <c r="C104" s="6"/>
      <c r="D104" s="4"/>
      <c r="E104" s="4"/>
      <c r="F104" s="4"/>
      <c r="G104" s="4"/>
      <c r="H104" s="4"/>
      <c r="I104" s="4"/>
      <c r="J104" s="4"/>
      <c r="K104" s="4"/>
      <c r="M104" s="67"/>
      <c r="N104" s="67"/>
      <c r="O104" s="67"/>
      <c r="P104" s="4"/>
      <c r="Q104" s="4"/>
      <c r="R104" s="4"/>
      <c r="S104" s="4"/>
      <c r="T104" s="4"/>
      <c r="U104" s="4"/>
      <c r="V104" s="67"/>
      <c r="W104" s="549" t="s">
        <v>475</v>
      </c>
      <c r="X104" s="550" t="s">
        <v>472</v>
      </c>
      <c r="Y104" s="70" t="s">
        <v>473</v>
      </c>
      <c r="Z104" s="78" t="s">
        <v>474</v>
      </c>
      <c r="AA104" s="550" t="s">
        <v>472</v>
      </c>
      <c r="AB104" s="70" t="s">
        <v>473</v>
      </c>
      <c r="AC104" s="78" t="s">
        <v>474</v>
      </c>
      <c r="AD104" s="70" t="s">
        <v>472</v>
      </c>
      <c r="AE104" s="70" t="s">
        <v>473</v>
      </c>
      <c r="AF104" s="78" t="s">
        <v>474</v>
      </c>
      <c r="AG104" s="70" t="s">
        <v>472</v>
      </c>
      <c r="AH104" s="70" t="s">
        <v>473</v>
      </c>
      <c r="AI104" s="70" t="s">
        <v>474</v>
      </c>
    </row>
    <row r="105" spans="2:35">
      <c r="B105" s="4"/>
      <c r="C105" s="6"/>
      <c r="D105" s="4"/>
      <c r="E105" s="4"/>
      <c r="F105" s="4"/>
      <c r="G105" s="4"/>
      <c r="H105" s="4"/>
      <c r="I105" s="4"/>
      <c r="J105" s="4"/>
      <c r="K105" s="4"/>
      <c r="M105" s="67"/>
      <c r="N105" s="67"/>
      <c r="O105" s="67"/>
      <c r="P105" s="4"/>
      <c r="Q105" s="4"/>
      <c r="R105" s="4"/>
      <c r="S105" s="4"/>
      <c r="T105" s="4"/>
      <c r="U105" s="4"/>
      <c r="V105" s="67"/>
      <c r="W105" s="508">
        <v>180</v>
      </c>
      <c r="X105" s="561">
        <f>X94*31%*F47</f>
        <v>421.7521846719373</v>
      </c>
      <c r="Y105" s="499">
        <f t="shared" ref="Y105:Z105" si="107">Y94*31%*G47</f>
        <v>644.34361547101526</v>
      </c>
      <c r="Z105" s="497">
        <f t="shared" si="107"/>
        <v>1224.2528693949291</v>
      </c>
      <c r="AA105" s="562">
        <f>AA94*31%*F47</f>
        <v>338.80987330532463</v>
      </c>
      <c r="AB105" s="563">
        <f t="shared" ref="AB105:AC105" si="108">AB94*31%*G47</f>
        <v>1788.1632202225471</v>
      </c>
      <c r="AC105" s="506">
        <f t="shared" si="108"/>
        <v>5486.8376704723423</v>
      </c>
      <c r="AD105" s="586">
        <f>AD94*F47*31%</f>
        <v>394.73674294376048</v>
      </c>
      <c r="AE105" s="564">
        <f t="shared" ref="AE105:AF105" si="109">AE94*G47*31%</f>
        <v>2083.3328099809578</v>
      </c>
      <c r="AF105" s="565">
        <f t="shared" si="109"/>
        <v>6392.5422537836748</v>
      </c>
      <c r="AG105" s="586">
        <f>AG94*F47*31%</f>
        <v>472.29773908795141</v>
      </c>
      <c r="AH105" s="564">
        <f t="shared" ref="AH105:AI105" si="110">AH94*G47*31%</f>
        <v>2492.6825118530764</v>
      </c>
      <c r="AI105" s="564">
        <f t="shared" si="110"/>
        <v>7648.599496896546</v>
      </c>
    </row>
    <row r="106" spans="2:35">
      <c r="B106" s="4"/>
      <c r="C106" s="6"/>
      <c r="D106" s="4"/>
      <c r="E106" s="4"/>
      <c r="F106" s="4"/>
      <c r="G106" s="4"/>
      <c r="H106" s="4"/>
      <c r="I106" s="4"/>
      <c r="J106" s="4"/>
      <c r="K106" s="4"/>
      <c r="M106" s="67"/>
      <c r="N106" s="67"/>
      <c r="O106" s="67"/>
      <c r="P106" s="4"/>
      <c r="Q106" s="4"/>
      <c r="R106" s="4"/>
      <c r="S106" s="4"/>
      <c r="T106" s="4"/>
      <c r="U106" s="4"/>
      <c r="V106" s="67"/>
      <c r="W106" s="508">
        <v>130</v>
      </c>
      <c r="X106" s="561">
        <f t="shared" ref="X106:Z106" si="111">X95*31%*F48</f>
        <v>52.186507699305366</v>
      </c>
      <c r="Y106" s="499">
        <f t="shared" si="111"/>
        <v>298.2086154246021</v>
      </c>
      <c r="Z106" s="497">
        <f t="shared" si="111"/>
        <v>369.03316158794513</v>
      </c>
      <c r="AA106" s="562">
        <f t="shared" ref="AA106:AC106" si="112">AA95*31%*F48</f>
        <v>395.2781855228788</v>
      </c>
      <c r="AB106" s="563">
        <f t="shared" si="112"/>
        <v>322.67606981459494</v>
      </c>
      <c r="AC106" s="506">
        <f t="shared" si="112"/>
        <v>689.72009922869677</v>
      </c>
      <c r="AD106" s="563">
        <f t="shared" ref="AD106:AF106" si="113">AD95*F48*31%</f>
        <v>460.52620010105426</v>
      </c>
      <c r="AE106" s="564">
        <f t="shared" si="113"/>
        <v>375.93975518453408</v>
      </c>
      <c r="AF106" s="565">
        <f t="shared" si="113"/>
        <v>803.5712267069415</v>
      </c>
      <c r="AG106" s="563">
        <f t="shared" ref="AG106:AI106" si="114">AG95*F48*31%</f>
        <v>551.01402893594332</v>
      </c>
      <c r="AH106" s="564">
        <f t="shared" si="114"/>
        <v>449.80737055995365</v>
      </c>
      <c r="AI106" s="564">
        <f t="shared" si="114"/>
        <v>961.46325457190096</v>
      </c>
    </row>
    <row r="107" spans="2:35">
      <c r="B107" s="4"/>
      <c r="C107" s="6"/>
      <c r="D107" s="4"/>
      <c r="E107" s="4"/>
      <c r="F107" s="4"/>
      <c r="G107" s="4"/>
      <c r="H107" s="4"/>
      <c r="I107" s="4"/>
      <c r="J107" s="4"/>
      <c r="K107" s="4"/>
      <c r="M107" s="67"/>
      <c r="N107" s="67"/>
      <c r="O107" s="67"/>
      <c r="P107" s="4"/>
      <c r="Q107" s="4"/>
      <c r="R107" s="4"/>
      <c r="S107" s="4"/>
      <c r="T107" s="4"/>
      <c r="U107" s="4"/>
      <c r="V107" s="67"/>
      <c r="W107" s="75">
        <v>90</v>
      </c>
      <c r="X107" s="561">
        <f t="shared" ref="X107:Z107" si="115">X96*31%*F49</f>
        <v>186.38038464037629</v>
      </c>
      <c r="Y107" s="499">
        <f t="shared" si="115"/>
        <v>335.48469235267731</v>
      </c>
      <c r="Z107" s="497">
        <f t="shared" si="115"/>
        <v>484.58900006497839</v>
      </c>
      <c r="AA107" s="562">
        <f t="shared" ref="AA107:AC107" si="116">AA96*31%*F49</f>
        <v>384.52231652905891</v>
      </c>
      <c r="AB107" s="563">
        <f t="shared" si="116"/>
        <v>585.65706671348971</v>
      </c>
      <c r="AC107" s="506">
        <f t="shared" si="116"/>
        <v>973.13724721584902</v>
      </c>
      <c r="AD107" s="563">
        <f t="shared" ref="AD107:AF107" si="117">AD96*F49*31%</f>
        <v>447.99487492823636</v>
      </c>
      <c r="AE107" s="564">
        <f t="shared" si="117"/>
        <v>682.33065565992911</v>
      </c>
      <c r="AF107" s="565">
        <f t="shared" si="117"/>
        <v>1133.7716450106902</v>
      </c>
      <c r="AG107" s="563">
        <f t="shared" ref="AG107:AI107" si="118">AG96*F49*31%</f>
        <v>536.02044991727803</v>
      </c>
      <c r="AH107" s="564">
        <f t="shared" si="118"/>
        <v>816.40037756631568</v>
      </c>
      <c r="AI107" s="564">
        <f t="shared" si="118"/>
        <v>1356.5440617137267</v>
      </c>
    </row>
    <row r="108" spans="2:35">
      <c r="B108" s="4"/>
      <c r="C108" s="6"/>
      <c r="D108" s="4"/>
      <c r="E108" s="4"/>
      <c r="F108" s="4"/>
      <c r="G108" s="4"/>
      <c r="H108" s="4"/>
      <c r="I108" s="4"/>
      <c r="J108" s="4"/>
      <c r="K108" s="4"/>
      <c r="M108" s="67"/>
      <c r="N108" s="67"/>
      <c r="O108" s="67"/>
      <c r="P108" s="4"/>
      <c r="Q108" s="4"/>
      <c r="R108" s="4"/>
      <c r="S108" s="4"/>
      <c r="T108" s="4"/>
      <c r="U108" s="4"/>
      <c r="V108" s="67"/>
      <c r="W108" s="75">
        <v>50</v>
      </c>
      <c r="X108" s="561">
        <f t="shared" ref="X108:Z108" si="119">X97*31%*F50</f>
        <v>259.20186349629478</v>
      </c>
      <c r="Y108" s="499">
        <f t="shared" si="119"/>
        <v>328.02947696706229</v>
      </c>
      <c r="Z108" s="497">
        <f t="shared" si="119"/>
        <v>307.52763465662093</v>
      </c>
      <c r="AA108" s="562">
        <f t="shared" ref="AA108:AC108" si="120">AA97*31%*F50</f>
        <v>446.0996665186774</v>
      </c>
      <c r="AB108" s="563">
        <f t="shared" si="120"/>
        <v>888.43477888951793</v>
      </c>
      <c r="AC108" s="506">
        <f t="shared" si="120"/>
        <v>451.74649774043291</v>
      </c>
      <c r="AD108" s="563">
        <f t="shared" ref="AD108:AF108" si="121">AD97*F50*31%</f>
        <v>519.73671154261842</v>
      </c>
      <c r="AE108" s="564">
        <f t="shared" si="121"/>
        <v>1035.0874592747505</v>
      </c>
      <c r="AF108" s="565">
        <f t="shared" si="121"/>
        <v>526.31565725834776</v>
      </c>
      <c r="AG108" s="563">
        <f t="shared" ref="AG108:AI108" si="122">AG97*F50*31%</f>
        <v>621.85868979913585</v>
      </c>
      <c r="AH108" s="564">
        <f t="shared" si="122"/>
        <v>1238.4696269417389</v>
      </c>
      <c r="AI108" s="564">
        <f t="shared" si="122"/>
        <v>629.73031878393499</v>
      </c>
    </row>
    <row r="109" spans="2:35">
      <c r="B109" s="4"/>
      <c r="C109" s="6"/>
      <c r="D109" s="4"/>
      <c r="E109" s="4"/>
      <c r="F109" s="4"/>
      <c r="G109" s="4"/>
      <c r="H109" s="4"/>
      <c r="I109" s="4"/>
      <c r="J109" s="4"/>
      <c r="K109" s="4"/>
      <c r="M109" s="67"/>
      <c r="N109" s="67"/>
      <c r="O109" s="67"/>
      <c r="P109" s="4"/>
      <c r="Q109" s="4"/>
      <c r="R109" s="4"/>
      <c r="S109" s="4"/>
      <c r="T109" s="4"/>
      <c r="U109" s="4"/>
      <c r="V109" s="67"/>
      <c r="W109" s="75">
        <v>30</v>
      </c>
      <c r="X109" s="561">
        <f t="shared" ref="X109:Z109" si="123">X98*31%*F51</f>
        <v>365.30555389513756</v>
      </c>
      <c r="Y109" s="499">
        <f t="shared" si="123"/>
        <v>237.63499041647975</v>
      </c>
      <c r="Z109" s="497">
        <f t="shared" si="123"/>
        <v>104.37301539861073</v>
      </c>
      <c r="AA109" s="562">
        <f t="shared" ref="AA109:AC109" si="124">AA98*31%*F51</f>
        <v>248.72947048208354</v>
      </c>
      <c r="AB109" s="563">
        <f t="shared" si="124"/>
        <v>382.0484666604803</v>
      </c>
      <c r="AC109" s="506">
        <f t="shared" si="124"/>
        <v>139.28850346996683</v>
      </c>
      <c r="AD109" s="563">
        <f t="shared" ref="AD109:AF109" si="125">AD98*F51*31%</f>
        <v>289.78689462141165</v>
      </c>
      <c r="AE109" s="564">
        <f t="shared" si="125"/>
        <v>445.11267013848834</v>
      </c>
      <c r="AF109" s="565">
        <f t="shared" si="125"/>
        <v>162.28066098799053</v>
      </c>
      <c r="AG109" s="563">
        <f t="shared" ref="AG109:AI109" si="126">AG98*F51*31%</f>
        <v>346.72651480663092</v>
      </c>
      <c r="AH109" s="564">
        <f t="shared" si="126"/>
        <v>532.57192674298506</v>
      </c>
      <c r="AI109" s="564">
        <f t="shared" si="126"/>
        <v>194.16684829171334</v>
      </c>
    </row>
    <row r="110" spans="2:35">
      <c r="B110" s="4"/>
      <c r="C110" s="6"/>
      <c r="D110" s="4"/>
      <c r="E110" s="4"/>
      <c r="F110" s="4"/>
      <c r="G110" s="4"/>
      <c r="H110" s="4"/>
      <c r="I110" s="4"/>
      <c r="J110" s="4"/>
      <c r="K110" s="4"/>
      <c r="M110" s="67"/>
      <c r="N110" s="67"/>
      <c r="O110" s="67"/>
      <c r="P110" s="4"/>
      <c r="Q110" s="4"/>
      <c r="R110" s="4"/>
      <c r="S110" s="4"/>
      <c r="T110" s="4"/>
      <c r="U110" s="4"/>
      <c r="V110" s="67"/>
      <c r="W110" s="75">
        <v>15</v>
      </c>
      <c r="X110" s="561">
        <f t="shared" ref="X110:Z110" si="127">X99*31%*F52</f>
        <v>187.10460556355034</v>
      </c>
      <c r="Y110" s="499">
        <f t="shared" si="127"/>
        <v>141.86209848056072</v>
      </c>
      <c r="Z110" s="497">
        <f t="shared" si="127"/>
        <v>3.450699692770395</v>
      </c>
      <c r="AA110" s="562">
        <f t="shared" ref="AA110:AB110" si="128">AA99*31%*F52</f>
        <v>392.37410089454733</v>
      </c>
      <c r="AB110" s="563">
        <f t="shared" si="128"/>
        <v>248.46057375723808</v>
      </c>
      <c r="AC110" s="506">
        <f>AC99*31%*H52</f>
        <v>6.4535213962918982</v>
      </c>
      <c r="AD110" s="563">
        <f t="shared" ref="AD110:AF110" si="129">AD99*F52*31%</f>
        <v>457.14274230439338</v>
      </c>
      <c r="AE110" s="564">
        <f t="shared" si="129"/>
        <v>289.47361149209127</v>
      </c>
      <c r="AF110" s="565">
        <f t="shared" si="129"/>
        <v>7.5187951036906808</v>
      </c>
      <c r="AG110" s="563">
        <f t="shared" ref="AG110:AI110" si="130">AG99*F52*31%</f>
        <v>546.96576260090353</v>
      </c>
      <c r="AH110" s="564">
        <f t="shared" si="130"/>
        <v>346.35167533116424</v>
      </c>
      <c r="AI110" s="564">
        <f t="shared" si="130"/>
        <v>8.9961474111990718</v>
      </c>
    </row>
    <row r="111" spans="2:35">
      <c r="B111" s="4"/>
      <c r="C111" s="6"/>
      <c r="D111" s="4"/>
      <c r="E111" s="4"/>
      <c r="F111" s="4"/>
      <c r="G111" s="4"/>
      <c r="H111" s="4"/>
      <c r="I111" s="4"/>
      <c r="J111" s="4"/>
      <c r="K111" s="4"/>
      <c r="M111" s="67"/>
      <c r="N111" s="67"/>
      <c r="O111" s="67"/>
      <c r="P111" s="4"/>
      <c r="Q111" s="4"/>
      <c r="R111" s="4"/>
      <c r="S111" s="4"/>
      <c r="T111" s="4"/>
      <c r="U111" s="4"/>
      <c r="V111" s="67"/>
      <c r="W111" s="588" t="s">
        <v>506</v>
      </c>
      <c r="X111" s="589"/>
      <c r="Y111" s="589"/>
      <c r="Z111" s="592">
        <f>SUM(X105:Z110)</f>
        <v>5950.7209698748547</v>
      </c>
      <c r="AA111" s="590"/>
      <c r="AB111" s="590"/>
      <c r="AC111" s="592">
        <f>SUM(AA105:AC110)</f>
        <v>14168.437328834018</v>
      </c>
      <c r="AD111" s="590"/>
      <c r="AE111" s="591"/>
      <c r="AF111" s="592">
        <f>SUM(AD105:AF110)</f>
        <v>16507.201367023561</v>
      </c>
      <c r="AG111" s="590"/>
      <c r="AH111" s="591"/>
      <c r="AI111" s="592">
        <f>SUM(AG105:AI110)</f>
        <v>19750.666801812094</v>
      </c>
    </row>
    <row r="113" spans="2:29" s="42" customFormat="1">
      <c r="B113" s="53" t="s">
        <v>31</v>
      </c>
      <c r="O113" s="486" t="s">
        <v>460</v>
      </c>
      <c r="P113" s="486"/>
      <c r="Q113" s="595">
        <f>S124</f>
        <v>5037.0998253866055</v>
      </c>
      <c r="R113" s="598">
        <f>Q113/SUM($X$57:$AA$57)</f>
        <v>7.3410679089798694E-3</v>
      </c>
    </row>
    <row r="115" spans="2:29">
      <c r="B115" s="86" t="s">
        <v>224</v>
      </c>
      <c r="M115" s="541"/>
      <c r="N115" s="601"/>
      <c r="O115" s="541"/>
      <c r="P115" s="541"/>
      <c r="Q115" s="541"/>
    </row>
    <row r="116" spans="2:29">
      <c r="M116" s="541" t="s">
        <v>509</v>
      </c>
      <c r="O116" s="563">
        <f>'Sale Plan &amp; KPIs'!N15</f>
        <v>686153.55256760889</v>
      </c>
      <c r="P116" s="541"/>
      <c r="U116" s="606"/>
      <c r="V116" s="607" t="s">
        <v>198</v>
      </c>
      <c r="W116" s="606"/>
      <c r="X116" s="606"/>
      <c r="Y116" s="606"/>
      <c r="Z116" s="606"/>
      <c r="AA116" s="606"/>
      <c r="AB116" s="606"/>
      <c r="AC116" s="606"/>
    </row>
    <row r="117" spans="2:29">
      <c r="M117" s="67" t="s">
        <v>507</v>
      </c>
      <c r="O117" s="475">
        <v>0.20391855302721854</v>
      </c>
      <c r="P117" s="541"/>
      <c r="U117" s="608" t="s">
        <v>511</v>
      </c>
      <c r="V117" s="608">
        <v>0</v>
      </c>
      <c r="W117" s="608">
        <v>1</v>
      </c>
      <c r="X117" s="608">
        <v>2</v>
      </c>
      <c r="Y117" s="608">
        <v>3</v>
      </c>
      <c r="Z117" s="608">
        <v>4</v>
      </c>
      <c r="AA117" s="608">
        <v>5</v>
      </c>
      <c r="AB117" s="608" t="s">
        <v>512</v>
      </c>
      <c r="AC117" s="609" t="s">
        <v>254</v>
      </c>
    </row>
    <row r="118" spans="2:29">
      <c r="M118" s="541" t="s">
        <v>508</v>
      </c>
      <c r="O118" s="563">
        <f>O116*O117</f>
        <v>139919.43959407235</v>
      </c>
      <c r="P118" s="541"/>
      <c r="U118" s="606">
        <v>0</v>
      </c>
      <c r="V118" s="610">
        <v>6.8060021436227219E-2</v>
      </c>
      <c r="W118" s="610">
        <v>5.8949624866023578E-2</v>
      </c>
      <c r="X118" s="610">
        <v>0.12593783494105038</v>
      </c>
      <c r="Y118" s="610">
        <v>5.5198285101822078E-2</v>
      </c>
      <c r="Z118" s="610">
        <v>2.0364415862808145E-2</v>
      </c>
      <c r="AA118" s="610">
        <v>7.502679528403001E-3</v>
      </c>
      <c r="AB118" s="610">
        <v>6.4308681672025723E-3</v>
      </c>
      <c r="AC118" s="611">
        <v>0.34244372990353694</v>
      </c>
    </row>
    <row r="119" spans="2:29">
      <c r="M119" s="541" t="s">
        <v>510</v>
      </c>
      <c r="O119" s="541">
        <v>35</v>
      </c>
      <c r="P119" s="541"/>
      <c r="U119" s="606">
        <v>12</v>
      </c>
      <c r="V119" s="610">
        <v>2.7331189710610933E-2</v>
      </c>
      <c r="W119" s="610">
        <v>1.8220793140407289E-2</v>
      </c>
      <c r="X119" s="619">
        <v>6.3772775991425515E-2</v>
      </c>
      <c r="Y119" s="619">
        <v>2.2508038585209004E-2</v>
      </c>
      <c r="Z119" s="619">
        <v>1.0718113612004287E-2</v>
      </c>
      <c r="AA119" s="619">
        <v>2.6795284030010718E-3</v>
      </c>
      <c r="AB119" s="619">
        <v>2.1436227224008574E-3</v>
      </c>
      <c r="AC119" s="620">
        <v>0.14737406216505894</v>
      </c>
    </row>
    <row r="120" spans="2:29">
      <c r="B120" s="10" t="s">
        <v>199</v>
      </c>
      <c r="D120" s="4"/>
      <c r="E120" s="4"/>
      <c r="F120" s="4"/>
      <c r="G120" s="56"/>
      <c r="H120" s="4"/>
      <c r="I120" s="4"/>
      <c r="J120" s="4"/>
      <c r="K120" s="4"/>
      <c r="M120" s="583" t="s">
        <v>207</v>
      </c>
      <c r="N120" s="541"/>
      <c r="O120" s="563">
        <f>O118/O119</f>
        <v>3997.6982741163529</v>
      </c>
      <c r="P120" s="603"/>
      <c r="U120" s="606">
        <v>15</v>
      </c>
      <c r="V120" s="610">
        <v>2.4115755627009645E-2</v>
      </c>
      <c r="W120" s="610">
        <v>1.0718113612004287E-2</v>
      </c>
      <c r="X120" s="612">
        <v>5.9485530546623797E-2</v>
      </c>
      <c r="Y120" s="612">
        <v>1.8756698821007504E-2</v>
      </c>
      <c r="Z120" s="612">
        <v>8.0385852090032149E-3</v>
      </c>
      <c r="AA120" s="612">
        <v>1.6077170418006431E-3</v>
      </c>
      <c r="AB120" s="612">
        <v>0</v>
      </c>
      <c r="AC120" s="613">
        <v>0.12272240085744908</v>
      </c>
    </row>
    <row r="121" spans="2:29">
      <c r="B121" s="10"/>
      <c r="D121" s="4"/>
      <c r="E121" s="4"/>
      <c r="F121" s="4"/>
      <c r="G121" s="56"/>
      <c r="H121" s="4"/>
      <c r="I121" s="4"/>
      <c r="J121" s="4"/>
      <c r="K121" s="4"/>
      <c r="M121" s="117"/>
      <c r="N121" s="117"/>
      <c r="O121" s="518" t="s">
        <v>515</v>
      </c>
      <c r="P121" s="71" t="s">
        <v>207</v>
      </c>
      <c r="Q121" s="71" t="s">
        <v>516</v>
      </c>
      <c r="R121" s="71" t="s">
        <v>517</v>
      </c>
      <c r="S121" s="71" t="s">
        <v>466</v>
      </c>
      <c r="U121" s="606">
        <v>18</v>
      </c>
      <c r="V121" s="610">
        <v>3.7513397642015005E-3</v>
      </c>
      <c r="W121" s="610">
        <v>6.4308681672025723E-3</v>
      </c>
      <c r="X121" s="612">
        <v>2.1436227224008574E-2</v>
      </c>
      <c r="Y121" s="612">
        <v>9.1103965702036445E-3</v>
      </c>
      <c r="Z121" s="612">
        <v>1.6077170418006431E-3</v>
      </c>
      <c r="AA121" s="612">
        <v>0</v>
      </c>
      <c r="AB121" s="612">
        <v>0</v>
      </c>
      <c r="AC121" s="613">
        <v>4.2336548767416937E-2</v>
      </c>
    </row>
    <row r="122" spans="2:29" ht="18" customHeight="1">
      <c r="B122" s="4"/>
      <c r="C122" s="54" t="s">
        <v>198</v>
      </c>
      <c r="D122" s="55" t="s">
        <v>14</v>
      </c>
      <c r="E122" s="4"/>
      <c r="F122" s="4"/>
      <c r="G122" s="56"/>
      <c r="H122" s="4"/>
      <c r="I122" s="4"/>
      <c r="J122" s="4"/>
      <c r="K122" s="4"/>
      <c r="M122" s="541" t="s">
        <v>514</v>
      </c>
      <c r="N122" s="541"/>
      <c r="O122" s="602">
        <v>0.4</v>
      </c>
      <c r="P122" s="563">
        <f>O122*$O$120</f>
        <v>1599.0793096465413</v>
      </c>
      <c r="Q122" s="501">
        <f>P122*$O$119</f>
        <v>55967.775837628949</v>
      </c>
      <c r="R122" s="501">
        <f>Q122*90%</f>
        <v>50370.998253866055</v>
      </c>
      <c r="S122" s="501">
        <f>R122*D123</f>
        <v>4029.6798603092843</v>
      </c>
      <c r="U122" s="606">
        <v>20</v>
      </c>
      <c r="V122" s="610">
        <v>1.607717041800643E-2</v>
      </c>
      <c r="W122" s="610">
        <v>8.5744908896034297E-3</v>
      </c>
      <c r="X122" s="612">
        <v>4.2336548767416937E-2</v>
      </c>
      <c r="Y122" s="612">
        <v>1.232583065380493E-2</v>
      </c>
      <c r="Z122" s="612">
        <v>1.0718113612004287E-3</v>
      </c>
      <c r="AA122" s="612">
        <v>5.3590568060021436E-4</v>
      </c>
      <c r="AB122" s="612">
        <v>5.3590568060021436E-4</v>
      </c>
      <c r="AC122" s="613">
        <v>8.1457663451232579E-2</v>
      </c>
    </row>
    <row r="123" spans="2:29" ht="18" customHeight="1">
      <c r="B123" s="4"/>
      <c r="C123" s="64">
        <v>3</v>
      </c>
      <c r="D123" s="87">
        <v>0.08</v>
      </c>
      <c r="E123" s="4"/>
      <c r="F123" s="4"/>
      <c r="G123" s="4"/>
      <c r="H123" s="4"/>
      <c r="I123" s="4"/>
      <c r="J123" s="4"/>
      <c r="K123" s="4"/>
      <c r="M123" s="117" t="s">
        <v>513</v>
      </c>
      <c r="N123" s="117"/>
      <c r="O123" s="478">
        <v>0.08</v>
      </c>
      <c r="P123" s="622">
        <f>O123*$O$120</f>
        <v>319.81586192930826</v>
      </c>
      <c r="Q123" s="622">
        <f>P123*$O$119</f>
        <v>11193.555167525788</v>
      </c>
      <c r="R123" s="622">
        <f>Q123*90%</f>
        <v>10074.199650773209</v>
      </c>
      <c r="S123" s="622">
        <f>R123*D124</f>
        <v>1007.419965077321</v>
      </c>
      <c r="U123" s="606">
        <v>25</v>
      </c>
      <c r="V123" s="610">
        <v>5.8949624866023584E-3</v>
      </c>
      <c r="W123" s="610">
        <v>6.9667738478027871E-3</v>
      </c>
      <c r="X123" s="612">
        <v>3.0010718113612004E-2</v>
      </c>
      <c r="Y123" s="612">
        <v>5.3590568060021436E-3</v>
      </c>
      <c r="Z123" s="612">
        <v>1.0718113612004287E-3</v>
      </c>
      <c r="AA123" s="612">
        <v>0</v>
      </c>
      <c r="AB123" s="612">
        <v>5.3590568060021436E-4</v>
      </c>
      <c r="AC123" s="613">
        <v>4.983922829581993E-2</v>
      </c>
    </row>
    <row r="124" spans="2:29" ht="18" customHeight="1">
      <c r="C124" s="88">
        <v>5</v>
      </c>
      <c r="D124" s="89">
        <v>0.1</v>
      </c>
      <c r="M124" s="541"/>
      <c r="N124" s="541"/>
      <c r="O124" s="602"/>
      <c r="P124" s="541"/>
      <c r="S124" s="621">
        <f>SUM(S122:S123)</f>
        <v>5037.0998253866055</v>
      </c>
      <c r="U124" s="606">
        <v>30</v>
      </c>
      <c r="V124" s="610">
        <v>8.0385852090032149E-3</v>
      </c>
      <c r="W124" s="610">
        <v>6.4308681672025723E-3</v>
      </c>
      <c r="X124" s="612">
        <v>3.3762057877813507E-2</v>
      </c>
      <c r="Y124" s="612">
        <v>6.9667738478027871E-3</v>
      </c>
      <c r="Z124" s="612">
        <v>1.6077170418006431E-3</v>
      </c>
      <c r="AA124" s="612">
        <v>0</v>
      </c>
      <c r="AB124" s="612">
        <v>0</v>
      </c>
      <c r="AC124" s="613">
        <v>5.6806002143622726E-2</v>
      </c>
    </row>
    <row r="125" spans="2:29">
      <c r="M125" s="541"/>
      <c r="N125" s="603"/>
      <c r="O125" s="604"/>
      <c r="P125" s="541"/>
      <c r="U125" s="606">
        <v>40</v>
      </c>
      <c r="V125" s="610">
        <v>4.2872454448017148E-3</v>
      </c>
      <c r="W125" s="610">
        <v>2.6795284030010718E-3</v>
      </c>
      <c r="X125" s="612">
        <v>3.1082529474812434E-2</v>
      </c>
      <c r="Y125" s="612">
        <v>4.2872454448017148E-3</v>
      </c>
      <c r="Z125" s="612">
        <v>5.3590568060021436E-4</v>
      </c>
      <c r="AA125" s="612">
        <v>0</v>
      </c>
      <c r="AB125" s="612">
        <v>0</v>
      </c>
      <c r="AC125" s="613">
        <v>4.2872454448017148E-2</v>
      </c>
    </row>
    <row r="126" spans="2:29">
      <c r="M126" s="67"/>
      <c r="N126" s="93"/>
      <c r="O126" s="477"/>
      <c r="P126" s="67"/>
      <c r="U126" s="614">
        <v>50</v>
      </c>
      <c r="V126" s="615">
        <v>1.982851018220793E-2</v>
      </c>
      <c r="W126" s="615">
        <v>6.4308681672025723E-3</v>
      </c>
      <c r="X126" s="616">
        <v>6.9131832797427656E-2</v>
      </c>
      <c r="Y126" s="616">
        <v>1.607717041800643E-2</v>
      </c>
      <c r="Z126" s="616">
        <v>2.6795284030010718E-3</v>
      </c>
      <c r="AA126" s="616">
        <v>0</v>
      </c>
      <c r="AB126" s="616">
        <v>0</v>
      </c>
      <c r="AC126" s="617">
        <v>0.11414790996784567</v>
      </c>
    </row>
    <row r="127" spans="2:29">
      <c r="M127" s="67"/>
      <c r="N127" s="93"/>
      <c r="O127" s="477"/>
      <c r="P127" s="67"/>
      <c r="U127" s="618" t="s">
        <v>254</v>
      </c>
      <c r="V127" s="611">
        <v>0.17738478027867094</v>
      </c>
      <c r="W127" s="611">
        <v>0.12540192926045016</v>
      </c>
      <c r="X127" s="611">
        <v>0.47695605573419075</v>
      </c>
      <c r="Y127" s="611">
        <v>0.15058949624866025</v>
      </c>
      <c r="Z127" s="611">
        <v>4.7695605573419064E-2</v>
      </c>
      <c r="AA127" s="611">
        <v>1.232583065380493E-2</v>
      </c>
      <c r="AB127" s="611">
        <v>9.6463022508038593E-3</v>
      </c>
      <c r="AC127" s="611">
        <v>1</v>
      </c>
    </row>
    <row r="128" spans="2:29">
      <c r="M128" s="67"/>
      <c r="N128" s="93"/>
      <c r="O128" s="477"/>
      <c r="P128" s="67"/>
      <c r="Q128" s="67"/>
    </row>
    <row r="130" spans="2:43" s="42" customFormat="1">
      <c r="B130" s="53" t="s">
        <v>201</v>
      </c>
      <c r="O130" s="486" t="s">
        <v>460</v>
      </c>
      <c r="P130" s="486"/>
      <c r="Q130" s="595">
        <f>AQ143+AQ152+AD165</f>
        <v>16683.086849006559</v>
      </c>
      <c r="R130" s="1135">
        <f>Q130/SUM($X$57:$AA$57)</f>
        <v>2.431392621458842E-2</v>
      </c>
    </row>
    <row r="132" spans="2:43">
      <c r="B132" s="86" t="s">
        <v>224</v>
      </c>
      <c r="L132" s="544" t="s">
        <v>470</v>
      </c>
      <c r="W132" s="545" t="s">
        <v>471</v>
      </c>
    </row>
    <row r="134" spans="2:43">
      <c r="N134" s="507"/>
      <c r="O134" s="504" t="s">
        <v>208</v>
      </c>
      <c r="P134" s="504" t="s">
        <v>209</v>
      </c>
      <c r="Q134" s="504" t="s">
        <v>212</v>
      </c>
      <c r="R134" s="505" t="s">
        <v>211</v>
      </c>
      <c r="S134" s="82" t="s">
        <v>213</v>
      </c>
      <c r="T134" s="82" t="s">
        <v>214</v>
      </c>
      <c r="U134" s="82" t="s">
        <v>210</v>
      </c>
      <c r="W134" s="492"/>
      <c r="X134" s="72" t="s">
        <v>215</v>
      </c>
      <c r="Y134" s="72" t="s">
        <v>216</v>
      </c>
      <c r="Z134" s="72" t="s">
        <v>217</v>
      </c>
      <c r="AA134" s="82" t="s">
        <v>218</v>
      </c>
      <c r="AD134" t="s">
        <v>203</v>
      </c>
      <c r="AE134">
        <v>0.5</v>
      </c>
      <c r="AF134" s="722">
        <f>$AE134*AA140*3</f>
        <v>226.67270146084257</v>
      </c>
      <c r="AG134" s="722">
        <f t="shared" ref="AG134:AH136" si="131">$AE134*AB140*3</f>
        <v>249.1891971406904</v>
      </c>
      <c r="AH134" s="722">
        <f>$AE134*AC140*3</f>
        <v>289.2706145695862</v>
      </c>
    </row>
    <row r="135" spans="2:43">
      <c r="C135" s="640" t="s">
        <v>357</v>
      </c>
      <c r="D135" s="67"/>
      <c r="E135" s="67"/>
      <c r="F135" s="67"/>
      <c r="G135" s="67"/>
      <c r="H135" s="67"/>
      <c r="I135" s="67"/>
      <c r="J135" s="67"/>
      <c r="L135" s="2"/>
      <c r="M135" s="2"/>
      <c r="N135" s="508" t="s">
        <v>465</v>
      </c>
      <c r="O135" s="501">
        <v>2807</v>
      </c>
      <c r="P135" s="501">
        <v>3106</v>
      </c>
      <c r="Q135" s="501">
        <v>3466</v>
      </c>
      <c r="R135" s="506">
        <v>4120</v>
      </c>
      <c r="S135" s="502">
        <v>4327</v>
      </c>
      <c r="T135" s="502">
        <v>5821</v>
      </c>
      <c r="U135" s="502">
        <v>7702</v>
      </c>
      <c r="W135" s="573" t="s">
        <v>206</v>
      </c>
      <c r="X135" s="501">
        <f>X57</f>
        <v>89871.546037833032</v>
      </c>
      <c r="Y135" s="501">
        <f t="shared" ref="Y135:AA135" si="132">Y57</f>
        <v>168571.63517703561</v>
      </c>
      <c r="Z135" s="501">
        <f t="shared" si="132"/>
        <v>196784.46485242969</v>
      </c>
      <c r="AA135" s="501">
        <f t="shared" si="132"/>
        <v>230925.90650031052</v>
      </c>
      <c r="AD135" t="s">
        <v>204</v>
      </c>
      <c r="AE135">
        <v>0.2</v>
      </c>
      <c r="AF135" s="722">
        <f t="shared" ref="AF135:AF136" si="133">$AE135*AA141*3</f>
        <v>90.669080584337024</v>
      </c>
      <c r="AG135" s="722">
        <f t="shared" si="131"/>
        <v>99.675678856276164</v>
      </c>
      <c r="AH135" s="722">
        <f t="shared" si="131"/>
        <v>115.7082458278345</v>
      </c>
    </row>
    <row r="136" spans="2:43">
      <c r="C136" s="640"/>
      <c r="D136" s="67"/>
      <c r="E136" s="67"/>
      <c r="F136" s="67"/>
      <c r="G136" s="67"/>
      <c r="H136" s="67"/>
      <c r="I136" s="67"/>
      <c r="J136" s="67"/>
      <c r="N136" s="508" t="s">
        <v>206</v>
      </c>
      <c r="O136" s="501">
        <v>37796.877999999997</v>
      </c>
      <c r="P136" s="501">
        <v>67166.509000000005</v>
      </c>
      <c r="Q136" s="501">
        <v>82679.967999999993</v>
      </c>
      <c r="R136" s="506">
        <v>124665.7445</v>
      </c>
      <c r="S136" s="502">
        <v>60676.530400000003</v>
      </c>
      <c r="T136" s="502">
        <v>99565.522100000002</v>
      </c>
      <c r="U136" s="502">
        <v>109301.67099999994</v>
      </c>
      <c r="W136" s="75" t="s">
        <v>117</v>
      </c>
      <c r="X136" s="501">
        <f>X58</f>
        <v>10074.342287148558</v>
      </c>
      <c r="Y136" s="501">
        <f t="shared" ref="Y136:AA136" si="134">Y58</f>
        <v>11536.536904661592</v>
      </c>
      <c r="Z136" s="501">
        <f t="shared" si="134"/>
        <v>12856.471758648277</v>
      </c>
      <c r="AA136" s="501">
        <f t="shared" si="134"/>
        <v>14741.670769023571</v>
      </c>
      <c r="AD136" t="s">
        <v>205</v>
      </c>
      <c r="AE136">
        <v>0.1</v>
      </c>
      <c r="AF136" s="722">
        <f t="shared" si="133"/>
        <v>241.7842148915654</v>
      </c>
      <c r="AG136" s="722">
        <f t="shared" si="131"/>
        <v>265.80181028340309</v>
      </c>
      <c r="AH136" s="722">
        <f t="shared" si="131"/>
        <v>308.55532220755867</v>
      </c>
    </row>
    <row r="137" spans="2:43" ht="41.25" customHeight="1">
      <c r="C137" s="641" t="s">
        <v>202</v>
      </c>
      <c r="D137" s="642" t="s">
        <v>342</v>
      </c>
      <c r="E137" s="641" t="s">
        <v>229</v>
      </c>
      <c r="F137" s="643"/>
      <c r="G137" s="644"/>
      <c r="H137" s="645" t="s">
        <v>518</v>
      </c>
      <c r="I137" s="645" t="s">
        <v>519</v>
      </c>
      <c r="J137" s="645" t="s">
        <v>520</v>
      </c>
      <c r="W137" s="544" t="s">
        <v>613</v>
      </c>
    </row>
    <row r="138" spans="2:43">
      <c r="C138" s="646" t="s">
        <v>203</v>
      </c>
      <c r="D138" s="647">
        <v>300</v>
      </c>
      <c r="E138" s="647">
        <v>6</v>
      </c>
      <c r="F138" s="648">
        <f>D138/2</f>
        <v>150</v>
      </c>
      <c r="G138" s="1290">
        <f>F138*32%*5%</f>
        <v>2.4000000000000004</v>
      </c>
      <c r="H138" s="649">
        <v>270</v>
      </c>
      <c r="I138" s="649">
        <v>400</v>
      </c>
      <c r="J138" s="649">
        <v>300</v>
      </c>
      <c r="M138" s="68"/>
      <c r="W138" s="69" t="s">
        <v>222</v>
      </c>
      <c r="Z138" s="548"/>
      <c r="AA138" s="712" t="s">
        <v>610</v>
      </c>
      <c r="AC138" s="548"/>
      <c r="AD138" s="1277" t="s">
        <v>1211</v>
      </c>
      <c r="AF138" s="548"/>
      <c r="AG138" s="712" t="s">
        <v>206</v>
      </c>
      <c r="AI138" s="548"/>
      <c r="AJ138" s="712" t="s">
        <v>611</v>
      </c>
      <c r="AL138" s="548"/>
      <c r="AM138" s="733" t="s">
        <v>522</v>
      </c>
      <c r="AN138" s="741" t="s">
        <v>466</v>
      </c>
      <c r="AP138" s="12"/>
    </row>
    <row r="139" spans="2:43">
      <c r="C139" s="646" t="s">
        <v>204</v>
      </c>
      <c r="D139" s="647">
        <v>150</v>
      </c>
      <c r="E139" s="647">
        <v>6</v>
      </c>
      <c r="F139" s="648">
        <f t="shared" ref="F139:F140" si="135">D139/2</f>
        <v>75</v>
      </c>
      <c r="G139" s="1290">
        <f t="shared" ref="G139:G140" si="136">F139*32%*5%</f>
        <v>1.2000000000000002</v>
      </c>
      <c r="H139" s="649">
        <v>130</v>
      </c>
      <c r="I139" s="649">
        <v>260</v>
      </c>
      <c r="J139" s="649">
        <v>200</v>
      </c>
      <c r="L139" s="69" t="s">
        <v>219</v>
      </c>
      <c r="M139" s="70" t="s">
        <v>20</v>
      </c>
      <c r="N139" s="78" t="s">
        <v>220</v>
      </c>
      <c r="O139" s="71" t="s">
        <v>208</v>
      </c>
      <c r="P139" s="72" t="s">
        <v>209</v>
      </c>
      <c r="Q139" s="72" t="s">
        <v>212</v>
      </c>
      <c r="R139" s="73" t="s">
        <v>211</v>
      </c>
      <c r="S139" s="71" t="s">
        <v>213</v>
      </c>
      <c r="T139" s="72" t="s">
        <v>214</v>
      </c>
      <c r="U139" s="72" t="s">
        <v>210</v>
      </c>
      <c r="W139" s="711" t="s">
        <v>202</v>
      </c>
      <c r="X139" s="82" t="s">
        <v>607</v>
      </c>
      <c r="Y139" s="71" t="s">
        <v>608</v>
      </c>
      <c r="Z139" s="77" t="s">
        <v>609</v>
      </c>
      <c r="AA139" s="82" t="s">
        <v>607</v>
      </c>
      <c r="AB139" s="71" t="s">
        <v>608</v>
      </c>
      <c r="AC139" s="77" t="s">
        <v>609</v>
      </c>
      <c r="AD139" s="504" t="s">
        <v>216</v>
      </c>
      <c r="AE139" s="504" t="s">
        <v>217</v>
      </c>
      <c r="AF139" s="505" t="s">
        <v>218</v>
      </c>
      <c r="AG139" s="504" t="s">
        <v>216</v>
      </c>
      <c r="AH139" s="504" t="s">
        <v>217</v>
      </c>
      <c r="AI139" s="505" t="s">
        <v>218</v>
      </c>
      <c r="AJ139" s="715" t="s">
        <v>216</v>
      </c>
      <c r="AK139" s="504" t="s">
        <v>217</v>
      </c>
      <c r="AL139" s="505" t="s">
        <v>218</v>
      </c>
      <c r="AM139" s="734" t="s">
        <v>612</v>
      </c>
      <c r="AN139" s="504" t="s">
        <v>216</v>
      </c>
      <c r="AO139" s="504" t="s">
        <v>217</v>
      </c>
      <c r="AP139" s="504" t="s">
        <v>218</v>
      </c>
    </row>
    <row r="140" spans="2:43">
      <c r="C140" s="650" t="s">
        <v>205</v>
      </c>
      <c r="D140" s="99">
        <v>75</v>
      </c>
      <c r="E140" s="99">
        <v>6</v>
      </c>
      <c r="F140" s="648">
        <f t="shared" si="135"/>
        <v>37.5</v>
      </c>
      <c r="G140" s="1290">
        <f t="shared" si="136"/>
        <v>0.60000000000000009</v>
      </c>
      <c r="H140" s="649">
        <v>50</v>
      </c>
      <c r="I140" s="649">
        <v>146</v>
      </c>
      <c r="J140" s="649">
        <v>140</v>
      </c>
      <c r="M140" s="68">
        <v>3</v>
      </c>
      <c r="N140" s="473">
        <v>300</v>
      </c>
      <c r="O140" s="74">
        <v>53</v>
      </c>
      <c r="P140" s="74">
        <v>49</v>
      </c>
      <c r="Q140" s="74">
        <v>76</v>
      </c>
      <c r="R140" s="75">
        <v>121</v>
      </c>
      <c r="S140" s="76">
        <v>97</v>
      </c>
      <c r="T140" s="76">
        <v>71</v>
      </c>
      <c r="U140" s="76">
        <v>98</v>
      </c>
      <c r="V140" s="581"/>
      <c r="W140" s="75" t="s">
        <v>203</v>
      </c>
      <c r="X140" s="474">
        <v>1.4999999999999999E-2</v>
      </c>
      <c r="Y140" s="474">
        <f>X140*0.96</f>
        <v>1.44E-2</v>
      </c>
      <c r="Z140" s="718">
        <f>X140</f>
        <v>1.4999999999999999E-2</v>
      </c>
      <c r="AA140" s="501">
        <f>X140*X$136</f>
        <v>151.11513430722837</v>
      </c>
      <c r="AB140" s="501">
        <f>Y140*Y$136</f>
        <v>166.12613142712692</v>
      </c>
      <c r="AC140" s="506">
        <f>Z140*Z$136</f>
        <v>192.84707637972414</v>
      </c>
      <c r="AD140" s="501">
        <v>195.45966398195873</v>
      </c>
      <c r="AE140" s="1294">
        <f>AD140*1.05</f>
        <v>205.23264718105668</v>
      </c>
      <c r="AF140" s="1295">
        <f>AE140*1.05</f>
        <v>215.49427954010952</v>
      </c>
      <c r="AG140" s="501">
        <f>AD140*AA140</f>
        <v>29536.913374279422</v>
      </c>
      <c r="AH140" s="501">
        <f>AE140*AB140</f>
        <v>34094.50571873739</v>
      </c>
      <c r="AI140" s="506">
        <f>AF140*AC140</f>
        <v>41557.441785865129</v>
      </c>
      <c r="AJ140" s="131">
        <f>AG140/Y$135</f>
        <v>0.17521876289127444</v>
      </c>
      <c r="AK140" s="131">
        <f>AH140/Z$135</f>
        <v>0.17325811640824973</v>
      </c>
      <c r="AL140" s="555">
        <f t="shared" ref="AK140:AL141" si="137">AI140/AA$135</f>
        <v>0.1799600677796159</v>
      </c>
      <c r="AM140" s="738">
        <v>0.2</v>
      </c>
      <c r="AN140" s="501">
        <f>AG140*$AM140*$R$22</f>
        <v>1870.6497965865426</v>
      </c>
      <c r="AO140" s="501">
        <f>AH140*$AM140*$R$22</f>
        <v>2159.294012183856</v>
      </c>
      <c r="AP140" s="501">
        <f>AI140*$AM140*$R$22</f>
        <v>2631.9412268406059</v>
      </c>
    </row>
    <row r="141" spans="2:43">
      <c r="C141" s="67"/>
      <c r="D141" s="67"/>
      <c r="E141" s="67"/>
      <c r="F141" s="67"/>
      <c r="G141" s="67"/>
      <c r="H141" s="67"/>
      <c r="I141" s="67"/>
      <c r="J141" s="67"/>
      <c r="M141" s="68">
        <v>2</v>
      </c>
      <c r="N141" s="473">
        <v>150</v>
      </c>
      <c r="O141" s="74">
        <v>70</v>
      </c>
      <c r="P141" s="74">
        <v>67</v>
      </c>
      <c r="Q141" s="74">
        <v>92</v>
      </c>
      <c r="R141" s="75">
        <v>138</v>
      </c>
      <c r="S141" s="76">
        <v>143</v>
      </c>
      <c r="T141" s="76">
        <v>82</v>
      </c>
      <c r="U141" s="76">
        <v>109</v>
      </c>
      <c r="V141" s="581"/>
      <c r="W141" s="75" t="s">
        <v>204</v>
      </c>
      <c r="X141" s="474">
        <v>1.4999999999999999E-2</v>
      </c>
      <c r="Y141" s="474">
        <f t="shared" ref="Y141:Y142" si="138">X141*0.96</f>
        <v>1.44E-2</v>
      </c>
      <c r="Z141" s="718">
        <f t="shared" ref="Z141:Z142" si="139">X141</f>
        <v>1.4999999999999999E-2</v>
      </c>
      <c r="AA141" s="501">
        <f t="shared" ref="AA141:AA142" si="140">X141*X$136</f>
        <v>151.11513430722837</v>
      </c>
      <c r="AB141" s="501">
        <f t="shared" ref="AB141:AB142" si="141">Y141*Y$136</f>
        <v>166.12613142712692</v>
      </c>
      <c r="AC141" s="506">
        <f t="shared" ref="AC141:AC142" si="142">Z141*Z$136</f>
        <v>192.84707637972414</v>
      </c>
      <c r="AD141" s="501">
        <v>74.408155987762257</v>
      </c>
      <c r="AE141" s="563">
        <f t="shared" ref="AE141:AF141" si="143">AD141*1.05</f>
        <v>78.12856378715037</v>
      </c>
      <c r="AF141" s="506">
        <f t="shared" si="143"/>
        <v>82.034991976507897</v>
      </c>
      <c r="AG141" s="501">
        <f t="shared" ref="AG141:AG142" si="144">AD141*AA141</f>
        <v>11244.198485643892</v>
      </c>
      <c r="AH141" s="501">
        <f t="shared" ref="AH141:AI142" si="145">AE141*AB141</f>
        <v>12979.196055916811</v>
      </c>
      <c r="AI141" s="506">
        <f t="shared" si="145"/>
        <v>15820.208363503676</v>
      </c>
      <c r="AJ141" s="131">
        <f t="shared" ref="AJ141" si="146">AG141/Y$135</f>
        <v>6.6702790619757132E-2</v>
      </c>
      <c r="AK141" s="131">
        <f t="shared" si="137"/>
        <v>6.5956405987891459E-2</v>
      </c>
      <c r="AL141" s="555">
        <f t="shared" si="137"/>
        <v>6.8507724418015448E-2</v>
      </c>
      <c r="AM141" s="738">
        <v>0.15</v>
      </c>
      <c r="AN141" s="501">
        <f t="shared" ref="AN141:AN142" si="147">AG141*$AM141*$R$22</f>
        <v>534.09332273691575</v>
      </c>
      <c r="AO141" s="501">
        <f t="shared" ref="AO141:AP142" si="148">AH141*$AM141*$R$22</f>
        <v>616.50476526264538</v>
      </c>
      <c r="AP141" s="501">
        <f t="shared" si="148"/>
        <v>751.45130727120636</v>
      </c>
    </row>
    <row r="142" spans="2:43">
      <c r="C142" s="67" t="s">
        <v>23</v>
      </c>
      <c r="D142" s="67"/>
      <c r="E142" s="67"/>
      <c r="F142" s="67"/>
      <c r="G142" s="67"/>
      <c r="H142" s="67"/>
      <c r="I142" s="67"/>
      <c r="J142" s="67"/>
      <c r="M142" s="70">
        <v>1</v>
      </c>
      <c r="N142" s="78">
        <v>75</v>
      </c>
      <c r="O142" s="71">
        <v>213</v>
      </c>
      <c r="P142" s="71">
        <v>186</v>
      </c>
      <c r="Q142" s="71">
        <v>251</v>
      </c>
      <c r="R142" s="77">
        <v>397</v>
      </c>
      <c r="S142" s="72">
        <v>387</v>
      </c>
      <c r="T142" s="72">
        <v>350</v>
      </c>
      <c r="U142" s="72">
        <v>442</v>
      </c>
      <c r="V142" s="581"/>
      <c r="W142" s="77" t="s">
        <v>205</v>
      </c>
      <c r="X142" s="478">
        <v>0.08</v>
      </c>
      <c r="Y142" s="478">
        <f t="shared" si="138"/>
        <v>7.6799999999999993E-2</v>
      </c>
      <c r="Z142" s="719">
        <f t="shared" si="139"/>
        <v>0.08</v>
      </c>
      <c r="AA142" s="723">
        <f t="shared" si="140"/>
        <v>805.94738297188462</v>
      </c>
      <c r="AB142" s="622">
        <f t="shared" si="141"/>
        <v>886.00603427801025</v>
      </c>
      <c r="AC142" s="724">
        <f t="shared" si="142"/>
        <v>1028.5177406918622</v>
      </c>
      <c r="AD142" s="622">
        <v>33.473208866279066</v>
      </c>
      <c r="AE142" s="622">
        <f t="shared" ref="AE142:AF142" si="149">AD142*1.05</f>
        <v>35.146869309593022</v>
      </c>
      <c r="AF142" s="724">
        <f t="shared" si="149"/>
        <v>36.904212775072672</v>
      </c>
      <c r="AG142" s="622">
        <f t="shared" si="144"/>
        <v>26977.645085448898</v>
      </c>
      <c r="AH142" s="622">
        <f t="shared" si="145"/>
        <v>31140.33829428002</v>
      </c>
      <c r="AI142" s="724">
        <f t="shared" si="145"/>
        <v>37956.637545429505</v>
      </c>
      <c r="AJ142" s="728">
        <f>AG142/Y$135</f>
        <v>0.16003668148034933</v>
      </c>
      <c r="AK142" s="716">
        <f>AH142/Z$135</f>
        <v>0.15824591802829771</v>
      </c>
      <c r="AL142" s="717">
        <f>AI142/AA$135</f>
        <v>0.16436716919579772</v>
      </c>
      <c r="AM142" s="739">
        <v>0.1</v>
      </c>
      <c r="AN142" s="723">
        <f t="shared" si="147"/>
        <v>854.28232889466688</v>
      </c>
      <c r="AO142" s="622">
        <f t="shared" si="148"/>
        <v>986.09944034567161</v>
      </c>
      <c r="AP142" s="622">
        <f t="shared" si="148"/>
        <v>1201.9464492402979</v>
      </c>
    </row>
    <row r="143" spans="2:43">
      <c r="C143" s="67" t="s">
        <v>24</v>
      </c>
      <c r="D143" s="67"/>
      <c r="E143" s="67"/>
      <c r="F143" s="67"/>
      <c r="G143" s="67"/>
      <c r="H143" s="67"/>
      <c r="I143" s="67"/>
      <c r="J143" s="67"/>
      <c r="N143" s="548"/>
      <c r="O143" s="93">
        <f>SUM(O140:O142)</f>
        <v>336</v>
      </c>
      <c r="P143" s="93">
        <f t="shared" ref="P143:U143" si="150">SUM(P140:P142)</f>
        <v>302</v>
      </c>
      <c r="Q143" s="93">
        <f t="shared" si="150"/>
        <v>419</v>
      </c>
      <c r="R143" s="623">
        <f t="shared" si="150"/>
        <v>656</v>
      </c>
      <c r="S143" s="93">
        <f t="shared" si="150"/>
        <v>627</v>
      </c>
      <c r="T143" s="93">
        <f t="shared" si="150"/>
        <v>503</v>
      </c>
      <c r="U143" s="93">
        <f t="shared" si="150"/>
        <v>649</v>
      </c>
      <c r="W143" s="720"/>
      <c r="X143" s="477">
        <f>SUM(X140:X142)</f>
        <v>0.11</v>
      </c>
      <c r="Y143" s="626">
        <f t="shared" ref="Y143:AC143" si="151">SUM(Y140:Y142)</f>
        <v>0.1056</v>
      </c>
      <c r="Z143" s="721">
        <f t="shared" si="151"/>
        <v>0.11</v>
      </c>
      <c r="AA143" s="725">
        <f t="shared" si="151"/>
        <v>1108.1776515863414</v>
      </c>
      <c r="AB143" s="725">
        <f t="shared" si="151"/>
        <v>1218.258297132264</v>
      </c>
      <c r="AC143" s="726">
        <f t="shared" si="151"/>
        <v>1414.2118934513105</v>
      </c>
      <c r="AD143" s="725"/>
      <c r="AE143" s="725"/>
      <c r="AF143" s="726"/>
      <c r="AG143" s="725">
        <f>SUM(AG140:AG142)</f>
        <v>67758.75694537221</v>
      </c>
      <c r="AH143" s="725">
        <f t="shared" ref="AH143" si="152">SUM(AH140:AH142)</f>
        <v>78214.04006893422</v>
      </c>
      <c r="AI143" s="726">
        <f t="shared" ref="AI143" si="153">SUM(AI140:AI142)</f>
        <v>95334.287694798317</v>
      </c>
      <c r="AJ143" s="624">
        <f>SUM(AJ140:AJ142)</f>
        <v>0.40195823499138089</v>
      </c>
      <c r="AK143" s="624">
        <f>SUM(AK140:AK142)</f>
        <v>0.3974604404244389</v>
      </c>
      <c r="AL143" s="727">
        <f>SUM(AL140:AL142)</f>
        <v>0.41283496139342907</v>
      </c>
      <c r="AM143" s="735"/>
      <c r="AN143" s="605">
        <f>SUM(AN140:AN142)</f>
        <v>3259.0254482181253</v>
      </c>
      <c r="AO143" s="605">
        <f t="shared" ref="AO143:AP143" si="154">SUM(AO140:AO142)</f>
        <v>3761.898217792173</v>
      </c>
      <c r="AP143" s="605">
        <f t="shared" si="154"/>
        <v>4585.3389833521096</v>
      </c>
      <c r="AQ143" s="1134">
        <f>SUM(AN143:AP143)</f>
        <v>11606.262649362408</v>
      </c>
    </row>
    <row r="144" spans="2:43">
      <c r="C144" s="130"/>
      <c r="D144" s="67"/>
      <c r="E144" s="67"/>
      <c r="F144" s="67"/>
      <c r="G144" s="67"/>
      <c r="H144" s="67"/>
      <c r="I144" s="67"/>
      <c r="J144" s="67"/>
      <c r="AA144" s="883"/>
      <c r="AB144" s="883"/>
      <c r="AC144" s="883"/>
      <c r="AD144" s="722"/>
      <c r="AM144" s="635" t="s">
        <v>464</v>
      </c>
      <c r="AN144" s="633">
        <f>AN143/Y135</f>
        <v>1.9333178116208365E-2</v>
      </c>
      <c r="AO144" s="633">
        <f>AO143/Z135</f>
        <v>1.9116845532564024E-2</v>
      </c>
      <c r="AP144" s="633">
        <f>AP143/AA135</f>
        <v>1.9856321245385881E-2</v>
      </c>
    </row>
    <row r="145" spans="2:43">
      <c r="C145" s="67"/>
      <c r="D145" s="67"/>
      <c r="E145" s="67"/>
      <c r="F145" s="67"/>
      <c r="G145" s="67"/>
      <c r="H145" s="67"/>
      <c r="I145" s="67"/>
      <c r="J145" s="67"/>
      <c r="L145" s="80" t="s">
        <v>222</v>
      </c>
      <c r="M145" s="70" t="s">
        <v>20</v>
      </c>
      <c r="N145" s="78" t="s">
        <v>220</v>
      </c>
      <c r="O145" s="71" t="s">
        <v>208</v>
      </c>
      <c r="P145" s="72" t="s">
        <v>209</v>
      </c>
      <c r="Q145" s="72" t="s">
        <v>212</v>
      </c>
      <c r="R145" s="73" t="s">
        <v>211</v>
      </c>
      <c r="S145" s="71" t="s">
        <v>213</v>
      </c>
      <c r="T145" s="72" t="s">
        <v>214</v>
      </c>
      <c r="U145" s="72" t="s">
        <v>210</v>
      </c>
      <c r="AD145" s="722"/>
    </row>
    <row r="146" spans="2:43">
      <c r="C146" s="651" t="s">
        <v>358</v>
      </c>
      <c r="D146" s="67"/>
      <c r="E146" s="67"/>
      <c r="F146" s="67"/>
      <c r="G146" s="67"/>
      <c r="H146" s="67"/>
      <c r="I146" s="67"/>
      <c r="J146" s="67"/>
      <c r="M146" s="68">
        <v>3</v>
      </c>
      <c r="N146" s="473">
        <v>300</v>
      </c>
      <c r="O146" s="514">
        <f t="shared" ref="O146:U148" si="155">O140/O$135</f>
        <v>1.8881368008550052E-2</v>
      </c>
      <c r="P146" s="514">
        <f t="shared" si="155"/>
        <v>1.5775917578879587E-2</v>
      </c>
      <c r="Q146" s="514">
        <f t="shared" si="155"/>
        <v>2.1927293710328911E-2</v>
      </c>
      <c r="R146" s="515">
        <f t="shared" si="155"/>
        <v>2.9368932038834953E-2</v>
      </c>
      <c r="S146" s="516">
        <f t="shared" si="155"/>
        <v>2.2417379246591172E-2</v>
      </c>
      <c r="T146" s="516">
        <f t="shared" si="155"/>
        <v>1.2197216973028689E-2</v>
      </c>
      <c r="U146" s="516">
        <f t="shared" si="155"/>
        <v>1.272396780057128E-2</v>
      </c>
      <c r="W146" s="544" t="s">
        <v>523</v>
      </c>
      <c r="AD146" s="722"/>
    </row>
    <row r="147" spans="2:43">
      <c r="C147" s="67"/>
      <c r="D147" s="67"/>
      <c r="E147" s="1681" t="s">
        <v>521</v>
      </c>
      <c r="F147" s="1682"/>
      <c r="G147" s="1683"/>
      <c r="H147" s="67"/>
      <c r="I147" s="67"/>
      <c r="J147" s="67"/>
      <c r="M147" s="68">
        <v>2</v>
      </c>
      <c r="N147" s="473">
        <v>150</v>
      </c>
      <c r="O147" s="514">
        <f t="shared" si="155"/>
        <v>2.4937655860349128E-2</v>
      </c>
      <c r="P147" s="514">
        <f t="shared" si="155"/>
        <v>2.1571152607855762E-2</v>
      </c>
      <c r="Q147" s="514">
        <f t="shared" si="155"/>
        <v>2.6543566070398154E-2</v>
      </c>
      <c r="R147" s="515">
        <f t="shared" si="155"/>
        <v>3.3495145631067959E-2</v>
      </c>
      <c r="S147" s="516">
        <f t="shared" si="155"/>
        <v>3.3048301363531318E-2</v>
      </c>
      <c r="T147" s="516">
        <f t="shared" si="155"/>
        <v>1.4086926644906373E-2</v>
      </c>
      <c r="U147" s="516">
        <f t="shared" si="155"/>
        <v>1.4152168267982343E-2</v>
      </c>
      <c r="W147" s="69" t="s">
        <v>614</v>
      </c>
      <c r="Z147" s="548"/>
      <c r="AA147" s="712" t="s">
        <v>615</v>
      </c>
      <c r="AC147" s="548"/>
      <c r="AD147" s="1277" t="s">
        <v>1211</v>
      </c>
      <c r="AF147" s="548"/>
      <c r="AG147" s="712" t="s">
        <v>206</v>
      </c>
      <c r="AI147" s="548"/>
      <c r="AJ147" s="712" t="s">
        <v>611</v>
      </c>
      <c r="AL147" s="548"/>
      <c r="AM147" s="733" t="s">
        <v>522</v>
      </c>
      <c r="AN147" s="741" t="s">
        <v>466</v>
      </c>
      <c r="AP147" s="12"/>
    </row>
    <row r="148" spans="2:43">
      <c r="C148" s="115"/>
      <c r="D148" s="116"/>
      <c r="E148" s="652" t="s">
        <v>203</v>
      </c>
      <c r="F148" s="653" t="s">
        <v>204</v>
      </c>
      <c r="G148" s="654" t="s">
        <v>205</v>
      </c>
      <c r="H148" s="67"/>
      <c r="I148" s="67"/>
      <c r="J148" s="67"/>
      <c r="M148" s="70">
        <v>1</v>
      </c>
      <c r="N148" s="78">
        <v>75</v>
      </c>
      <c r="O148" s="518">
        <f t="shared" si="155"/>
        <v>7.5881724260776634E-2</v>
      </c>
      <c r="P148" s="518">
        <f t="shared" si="155"/>
        <v>5.988409529942048E-2</v>
      </c>
      <c r="Q148" s="518">
        <f t="shared" si="155"/>
        <v>7.2417772648586273E-2</v>
      </c>
      <c r="R148" s="519">
        <f t="shared" si="155"/>
        <v>9.6359223300970867E-2</v>
      </c>
      <c r="S148" s="520">
        <f t="shared" si="155"/>
        <v>8.9438409983822506E-2</v>
      </c>
      <c r="T148" s="520">
        <f t="shared" si="155"/>
        <v>6.0127125923380861E-2</v>
      </c>
      <c r="U148" s="520">
        <f t="shared" si="155"/>
        <v>5.7387691508699039E-2</v>
      </c>
      <c r="W148" s="711" t="s">
        <v>202</v>
      </c>
      <c r="X148" s="82" t="s">
        <v>607</v>
      </c>
      <c r="Y148" s="71" t="s">
        <v>608</v>
      </c>
      <c r="Z148" s="77" t="s">
        <v>609</v>
      </c>
      <c r="AA148" s="82" t="s">
        <v>607</v>
      </c>
      <c r="AB148" s="71" t="s">
        <v>608</v>
      </c>
      <c r="AC148" s="77" t="s">
        <v>609</v>
      </c>
      <c r="AD148" s="504" t="s">
        <v>216</v>
      </c>
      <c r="AE148" s="504" t="s">
        <v>217</v>
      </c>
      <c r="AF148" s="505" t="s">
        <v>218</v>
      </c>
      <c r="AG148" s="504" t="s">
        <v>216</v>
      </c>
      <c r="AH148" s="504" t="s">
        <v>217</v>
      </c>
      <c r="AI148" s="505" t="s">
        <v>218</v>
      </c>
      <c r="AJ148" s="715" t="s">
        <v>216</v>
      </c>
      <c r="AK148" s="504" t="s">
        <v>217</v>
      </c>
      <c r="AL148" s="505" t="s">
        <v>218</v>
      </c>
      <c r="AM148" s="734" t="s">
        <v>612</v>
      </c>
      <c r="AN148" s="504" t="s">
        <v>216</v>
      </c>
      <c r="AO148" s="504" t="s">
        <v>217</v>
      </c>
      <c r="AP148" s="504" t="s">
        <v>218</v>
      </c>
    </row>
    <row r="149" spans="2:43">
      <c r="C149" s="551" t="s">
        <v>606</v>
      </c>
      <c r="D149" s="541"/>
      <c r="E149" s="655">
        <v>0.2</v>
      </c>
      <c r="F149" s="656">
        <v>0.15</v>
      </c>
      <c r="G149" s="657">
        <v>0.1</v>
      </c>
      <c r="H149" s="67"/>
      <c r="I149" s="1276"/>
      <c r="J149" s="67"/>
      <c r="N149" s="548"/>
      <c r="O149" s="626">
        <f>SUM(O146:O148)</f>
        <v>0.11970074812967582</v>
      </c>
      <c r="P149" s="626">
        <f t="shared" ref="P149" si="156">SUM(P146:P148)</f>
        <v>9.7231165486155818E-2</v>
      </c>
      <c r="Q149" s="626">
        <f t="shared" ref="Q149" si="157">SUM(Q146:Q148)</f>
        <v>0.12088863242931333</v>
      </c>
      <c r="R149" s="627">
        <f t="shared" ref="R149" si="158">SUM(R146:R148)</f>
        <v>0.15922330097087378</v>
      </c>
      <c r="S149" s="626">
        <f t="shared" ref="S149" si="159">SUM(S146:S148)</f>
        <v>0.14490409059394499</v>
      </c>
      <c r="T149" s="626">
        <f t="shared" ref="T149" si="160">SUM(T146:T148)</f>
        <v>8.6411269541315922E-2</v>
      </c>
      <c r="U149" s="626">
        <f t="shared" ref="U149" si="161">SUM(U146:U148)</f>
        <v>8.4263827577252662E-2</v>
      </c>
      <c r="W149" s="75" t="s">
        <v>203</v>
      </c>
      <c r="X149" s="474">
        <v>0.6</v>
      </c>
      <c r="Y149" s="474">
        <v>0.6</v>
      </c>
      <c r="Z149" s="718">
        <v>0.6</v>
      </c>
      <c r="AA149" s="501">
        <f>X149*AA140</f>
        <v>90.669080584337024</v>
      </c>
      <c r="AB149" s="501">
        <f t="shared" ref="AB149:AC149" si="162">Y149*AB140</f>
        <v>99.67567885627615</v>
      </c>
      <c r="AC149" s="506">
        <f t="shared" si="162"/>
        <v>115.70824582783447</v>
      </c>
      <c r="AD149" s="501">
        <f>AD140</f>
        <v>195.45966398195873</v>
      </c>
      <c r="AE149" s="501">
        <f t="shared" ref="AE149:AF149" si="163">AE140</f>
        <v>205.23264718105668</v>
      </c>
      <c r="AF149" s="506">
        <f t="shared" si="163"/>
        <v>215.49427954010952</v>
      </c>
      <c r="AG149" s="501">
        <f>AD149*AA149</f>
        <v>17722.148024567654</v>
      </c>
      <c r="AH149" s="501">
        <f>AE149*AB149</f>
        <v>20456.703431242433</v>
      </c>
      <c r="AI149" s="506">
        <f>AF149*AC149</f>
        <v>24934.465071519073</v>
      </c>
      <c r="AJ149" s="131">
        <f>AG149/Y$135</f>
        <v>0.10513125773476467</v>
      </c>
      <c r="AK149" s="131">
        <f t="shared" ref="AK149:AK151" si="164">AH149/Z$135</f>
        <v>0.10395486984494982</v>
      </c>
      <c r="AL149" s="555">
        <f t="shared" ref="AL149:AL151" si="165">AI149/AA$135</f>
        <v>0.10797604066776953</v>
      </c>
      <c r="AM149" s="738">
        <v>0.1</v>
      </c>
      <c r="AN149" s="501">
        <f>AG149*$AM149*$R$22</f>
        <v>561.19493897596283</v>
      </c>
      <c r="AO149" s="501">
        <f t="shared" ref="AO149:AP151" si="166">AH149*$AM149*$R$22</f>
        <v>647.78820365515674</v>
      </c>
      <c r="AP149" s="501">
        <f t="shared" si="166"/>
        <v>789.58236805218166</v>
      </c>
    </row>
    <row r="150" spans="2:43">
      <c r="C150" s="107" t="s">
        <v>375</v>
      </c>
      <c r="D150" s="117"/>
      <c r="E150" s="658">
        <v>0.1</v>
      </c>
      <c r="F150" s="659">
        <v>0.1</v>
      </c>
      <c r="G150" s="660">
        <v>0.1</v>
      </c>
      <c r="H150" s="67"/>
      <c r="I150" s="67"/>
      <c r="J150" s="67"/>
      <c r="W150" s="75" t="s">
        <v>204</v>
      </c>
      <c r="X150" s="474">
        <v>0.35</v>
      </c>
      <c r="Y150" s="474">
        <v>0.35</v>
      </c>
      <c r="Z150" s="718">
        <v>0.35</v>
      </c>
      <c r="AA150" s="501">
        <f t="shared" ref="AA150:AC150" si="167">X150*AA141</f>
        <v>52.890297007529931</v>
      </c>
      <c r="AB150" s="501">
        <f t="shared" si="167"/>
        <v>58.14414599949442</v>
      </c>
      <c r="AC150" s="506">
        <f t="shared" si="167"/>
        <v>67.496476732903446</v>
      </c>
      <c r="AD150" s="501">
        <f t="shared" ref="AD150:AF150" si="168">AD141</f>
        <v>74.408155987762257</v>
      </c>
      <c r="AE150" s="501">
        <f t="shared" si="168"/>
        <v>78.12856378715037</v>
      </c>
      <c r="AF150" s="506">
        <f t="shared" si="168"/>
        <v>82.034991976507897</v>
      </c>
      <c r="AG150" s="501">
        <f t="shared" ref="AG150:AG151" si="169">AD150*AA150</f>
        <v>3935.4694699753622</v>
      </c>
      <c r="AH150" s="501">
        <f t="shared" ref="AH150:AH151" si="170">AE150*AB150</f>
        <v>4542.7186195708837</v>
      </c>
      <c r="AI150" s="506">
        <f t="shared" ref="AI150:AI151" si="171">AF150*AC150</f>
        <v>5537.0729272262861</v>
      </c>
      <c r="AJ150" s="131">
        <f t="shared" ref="AJ150" si="172">AG150/Y$135</f>
        <v>2.3345976716914997E-2</v>
      </c>
      <c r="AK150" s="131">
        <f t="shared" si="164"/>
        <v>2.3084742095762011E-2</v>
      </c>
      <c r="AL150" s="555">
        <f t="shared" si="165"/>
        <v>2.3977703546305407E-2</v>
      </c>
      <c r="AM150" s="738">
        <v>0.1</v>
      </c>
      <c r="AN150" s="501">
        <f t="shared" ref="AN150:AN151" si="173">AG150*$AM150*$R$22</f>
        <v>124.62177530528034</v>
      </c>
      <c r="AO150" s="501">
        <f t="shared" si="166"/>
        <v>143.85111189461728</v>
      </c>
      <c r="AP150" s="501">
        <f t="shared" si="166"/>
        <v>175.33863836328146</v>
      </c>
    </row>
    <row r="151" spans="2:43">
      <c r="C151" s="67"/>
      <c r="D151" s="67"/>
      <c r="E151" s="67"/>
      <c r="F151" s="67"/>
      <c r="G151" s="67"/>
      <c r="H151" s="67"/>
      <c r="I151" s="67"/>
      <c r="J151" s="67"/>
      <c r="L151" s="69" t="s">
        <v>584</v>
      </c>
      <c r="M151" s="70" t="s">
        <v>20</v>
      </c>
      <c r="N151" s="78" t="s">
        <v>220</v>
      </c>
      <c r="O151" s="71" t="s">
        <v>208</v>
      </c>
      <c r="P151" s="72" t="s">
        <v>209</v>
      </c>
      <c r="Q151" s="72" t="s">
        <v>212</v>
      </c>
      <c r="R151" s="73" t="s">
        <v>211</v>
      </c>
      <c r="S151" s="71" t="s">
        <v>213</v>
      </c>
      <c r="T151" s="72" t="s">
        <v>214</v>
      </c>
      <c r="U151" s="72" t="s">
        <v>210</v>
      </c>
      <c r="W151" s="77" t="s">
        <v>205</v>
      </c>
      <c r="X151" s="478">
        <v>0.18</v>
      </c>
      <c r="Y151" s="478">
        <v>0.18</v>
      </c>
      <c r="Z151" s="719">
        <v>0.18</v>
      </c>
      <c r="AA151" s="723">
        <f t="shared" ref="AA151:AC151" si="174">X151*AA142</f>
        <v>145.07052893493923</v>
      </c>
      <c r="AB151" s="622">
        <f t="shared" si="174"/>
        <v>159.48108617004183</v>
      </c>
      <c r="AC151" s="724">
        <f t="shared" si="174"/>
        <v>185.13319332453517</v>
      </c>
      <c r="AD151" s="723">
        <f t="shared" ref="AD151:AF151" si="175">AD142</f>
        <v>33.473208866279066</v>
      </c>
      <c r="AE151" s="622">
        <f t="shared" si="175"/>
        <v>35.146869309593022</v>
      </c>
      <c r="AF151" s="724">
        <f t="shared" si="175"/>
        <v>36.904212775072672</v>
      </c>
      <c r="AG151" s="622">
        <f t="shared" si="169"/>
        <v>4855.9761153808013</v>
      </c>
      <c r="AH151" s="622">
        <f t="shared" si="170"/>
        <v>5605.2608929704038</v>
      </c>
      <c r="AI151" s="724">
        <f t="shared" si="171"/>
        <v>6832.1947581773093</v>
      </c>
      <c r="AJ151" s="728">
        <f>AG151/Y$135</f>
        <v>2.8806602666462875E-2</v>
      </c>
      <c r="AK151" s="716">
        <f t="shared" si="164"/>
        <v>2.8484265245093589E-2</v>
      </c>
      <c r="AL151" s="717">
        <f t="shared" si="165"/>
        <v>2.9586090455243585E-2</v>
      </c>
      <c r="AM151" s="739">
        <v>0.1</v>
      </c>
      <c r="AN151" s="723">
        <f t="shared" si="173"/>
        <v>153.77081920104004</v>
      </c>
      <c r="AO151" s="622">
        <f t="shared" si="166"/>
        <v>177.49789926222087</v>
      </c>
      <c r="AP151" s="622">
        <f t="shared" si="166"/>
        <v>216.35036086325354</v>
      </c>
    </row>
    <row r="152" spans="2:43">
      <c r="C152" s="67" t="s">
        <v>376</v>
      </c>
      <c r="D152" s="67"/>
      <c r="E152" s="67"/>
      <c r="F152" s="67"/>
      <c r="G152" s="67"/>
      <c r="H152" s="67"/>
      <c r="I152" s="67"/>
      <c r="J152" s="67"/>
      <c r="M152" s="68">
        <v>3</v>
      </c>
      <c r="N152" s="473">
        <v>300</v>
      </c>
      <c r="O152" s="496"/>
      <c r="P152" s="496">
        <v>8077.0115000000014</v>
      </c>
      <c r="Q152" s="496">
        <v>10811.0435</v>
      </c>
      <c r="R152" s="497">
        <v>15110.622500000003</v>
      </c>
      <c r="S152" s="498">
        <v>11119.076999999994</v>
      </c>
      <c r="T152" s="498">
        <v>15481.093500000001</v>
      </c>
      <c r="U152" s="498">
        <v>11626.798500000003</v>
      </c>
      <c r="W152" s="720"/>
      <c r="X152" s="477"/>
      <c r="Y152" s="626"/>
      <c r="Z152" s="721"/>
      <c r="AA152" s="725">
        <f t="shared" ref="AA152" si="176">SUM(AA149:AA151)</f>
        <v>288.62990652680617</v>
      </c>
      <c r="AB152" s="725">
        <f t="shared" ref="AB152" si="177">SUM(AB149:AB151)</f>
        <v>317.30091102581241</v>
      </c>
      <c r="AC152" s="726">
        <f>SUM(AC149:AC151)</f>
        <v>368.33791588527311</v>
      </c>
      <c r="AD152" s="725"/>
      <c r="AE152" s="725"/>
      <c r="AF152" s="726"/>
      <c r="AG152" s="725">
        <f>SUM(AG149:AG151)</f>
        <v>26513.593609923817</v>
      </c>
      <c r="AH152" s="725">
        <f t="shared" ref="AH152" si="178">SUM(AH149:AH151)</f>
        <v>30604.682943783719</v>
      </c>
      <c r="AI152" s="726">
        <f t="shared" ref="AI152" si="179">SUM(AI149:AI151)</f>
        <v>37303.732756922669</v>
      </c>
      <c r="AJ152" s="624">
        <f>SUM(AJ149:AJ151)</f>
        <v>0.15728383711814253</v>
      </c>
      <c r="AK152" s="624">
        <f>SUM(AK149:AK151)</f>
        <v>0.15552387718580543</v>
      </c>
      <c r="AL152" s="727">
        <f>SUM(AL149:AL151)</f>
        <v>0.16153983466931851</v>
      </c>
      <c r="AM152" s="735"/>
      <c r="AN152" s="605">
        <f>SUM(AN149:AN151)</f>
        <v>839.58753348228322</v>
      </c>
      <c r="AO152" s="605">
        <f t="shared" ref="AO152" si="180">SUM(AO149:AO151)</f>
        <v>969.13721481199491</v>
      </c>
      <c r="AP152" s="605">
        <f t="shared" ref="AP152" si="181">SUM(AP149:AP151)</f>
        <v>1181.2713672787168</v>
      </c>
      <c r="AQ152" s="1134">
        <f>SUM(AN152:AP152)</f>
        <v>2989.9961155729948</v>
      </c>
    </row>
    <row r="153" spans="2:43">
      <c r="C153" s="67" t="s">
        <v>231</v>
      </c>
      <c r="D153" s="67"/>
      <c r="E153" s="67"/>
      <c r="F153" s="67"/>
      <c r="G153" s="67"/>
      <c r="H153" s="67"/>
      <c r="I153" s="67"/>
      <c r="J153" s="67"/>
      <c r="M153" s="68">
        <v>2</v>
      </c>
      <c r="N153" s="473">
        <v>150</v>
      </c>
      <c r="O153" s="496"/>
      <c r="P153" s="496">
        <v>4712.6630000000005</v>
      </c>
      <c r="Q153" s="496">
        <v>7243.5289999999995</v>
      </c>
      <c r="R153" s="497">
        <v>15228.374500000002</v>
      </c>
      <c r="S153" s="498">
        <v>6379.1279999999988</v>
      </c>
      <c r="T153" s="498">
        <v>9058.4755000000005</v>
      </c>
      <c r="U153" s="498">
        <v>8263.9954999999991</v>
      </c>
      <c r="AA153" s="469">
        <f>AA152/AA143</f>
        <v>0.26045454545454544</v>
      </c>
      <c r="AB153" s="469">
        <f t="shared" ref="AB153:AC153" si="182">AB152/AB143</f>
        <v>0.26045454545454544</v>
      </c>
      <c r="AC153" s="469">
        <f t="shared" si="182"/>
        <v>0.26045454545454544</v>
      </c>
      <c r="AM153" s="635" t="s">
        <v>464</v>
      </c>
      <c r="AN153" s="633">
        <f>AN152/Y$135</f>
        <v>4.980597907830342E-3</v>
      </c>
      <c r="AO153" s="633">
        <f t="shared" ref="AO153:AP153" si="183">AO152/Z$135</f>
        <v>4.9248664803837995E-3</v>
      </c>
      <c r="AP153" s="633">
        <f t="shared" si="183"/>
        <v>5.1153696230142476E-3</v>
      </c>
    </row>
    <row r="154" spans="2:43">
      <c r="C154" s="67"/>
      <c r="D154" s="67"/>
      <c r="E154" s="67"/>
      <c r="F154" s="67"/>
      <c r="G154" s="67"/>
      <c r="H154" s="67"/>
      <c r="I154" s="67"/>
      <c r="J154" s="67"/>
      <c r="M154" s="70">
        <v>1</v>
      </c>
      <c r="N154" s="78">
        <v>75</v>
      </c>
      <c r="O154" s="526"/>
      <c r="P154" s="526">
        <v>7870.8604999999998</v>
      </c>
      <c r="Q154" s="526">
        <v>10909.000500000006</v>
      </c>
      <c r="R154" s="527">
        <v>16057.231999999995</v>
      </c>
      <c r="S154" s="528">
        <v>7612.1113999999998</v>
      </c>
      <c r="T154" s="528">
        <v>11171.237100000006</v>
      </c>
      <c r="U154" s="528">
        <v>11880.548499999999</v>
      </c>
    </row>
    <row r="155" spans="2:43">
      <c r="C155" s="661" t="s">
        <v>377</v>
      </c>
      <c r="D155" s="116"/>
      <c r="E155" s="116"/>
      <c r="F155" s="116"/>
      <c r="G155" s="662" t="s">
        <v>203</v>
      </c>
      <c r="H155" s="663" t="s">
        <v>204</v>
      </c>
      <c r="I155" s="664" t="s">
        <v>205</v>
      </c>
      <c r="J155" s="67"/>
      <c r="N155" s="548"/>
      <c r="O155" s="577">
        <f>SUM(O152:O154)</f>
        <v>0</v>
      </c>
      <c r="P155" s="577">
        <f t="shared" ref="P155" si="184">SUM(P152:P154)</f>
        <v>20660.535</v>
      </c>
      <c r="Q155" s="577">
        <f t="shared" ref="Q155" si="185">SUM(Q152:Q154)</f>
        <v>28963.573000000004</v>
      </c>
      <c r="R155" s="686">
        <f t="shared" ref="R155" si="186">SUM(R152:R154)</f>
        <v>46396.228999999999</v>
      </c>
      <c r="S155" s="577">
        <f t="shared" ref="S155" si="187">SUM(S152:S154)</f>
        <v>25110.316399999996</v>
      </c>
      <c r="T155" s="577">
        <f t="shared" ref="T155" si="188">SUM(T152:T154)</f>
        <v>35710.806100000009</v>
      </c>
      <c r="U155" s="577">
        <f t="shared" ref="U155" si="189">SUM(U152:U154)</f>
        <v>31771.342499999999</v>
      </c>
      <c r="W155" s="544" t="s">
        <v>377</v>
      </c>
    </row>
    <row r="156" spans="2:43">
      <c r="C156" s="551"/>
      <c r="D156" s="541"/>
      <c r="E156" s="541"/>
      <c r="F156" s="541"/>
      <c r="G156" s="665"/>
      <c r="H156" s="666"/>
      <c r="I156" s="667"/>
      <c r="J156" s="67"/>
      <c r="N156" s="93"/>
      <c r="O156" s="93"/>
      <c r="P156" s="605">
        <f>P136</f>
        <v>67166.509000000005</v>
      </c>
      <c r="Q156" s="605">
        <f t="shared" ref="Q156:U156" si="190">Q136</f>
        <v>82679.967999999993</v>
      </c>
      <c r="R156" s="605">
        <f t="shared" si="190"/>
        <v>124665.7445</v>
      </c>
      <c r="S156" s="605">
        <f t="shared" si="190"/>
        <v>60676.530400000003</v>
      </c>
      <c r="T156" s="605">
        <f t="shared" si="190"/>
        <v>99565.522100000002</v>
      </c>
      <c r="U156" s="605">
        <f t="shared" si="190"/>
        <v>109301.67099999994</v>
      </c>
      <c r="W156" s="140" t="s">
        <v>684</v>
      </c>
      <c r="AA156" s="1293">
        <f>AVERAGE(AA140:AC140)*70%</f>
        <v>119.02061315995185</v>
      </c>
      <c r="AB156" s="1498">
        <f>AVERAGE(AA141:AC141)*70%</f>
        <v>119.02061315995185</v>
      </c>
      <c r="AC156" s="1293">
        <f>AVERAGE(AA142:AC142)*70%</f>
        <v>634.77660351974328</v>
      </c>
    </row>
    <row r="157" spans="2:43">
      <c r="C157" s="551"/>
      <c r="D157" s="541"/>
      <c r="E157" s="541"/>
      <c r="F157" s="541"/>
      <c r="G157" s="472"/>
      <c r="H157" s="491"/>
      <c r="I157" s="473"/>
      <c r="J157" s="67"/>
      <c r="P157" s="442"/>
      <c r="Q157" s="442"/>
      <c r="R157" s="442"/>
      <c r="S157" s="442"/>
      <c r="T157" s="442"/>
      <c r="U157" s="442"/>
      <c r="W157" s="435" t="s">
        <v>377</v>
      </c>
      <c r="X157" s="253"/>
      <c r="Y157" s="253"/>
      <c r="Z157" s="253"/>
      <c r="AA157" s="427" t="s">
        <v>203</v>
      </c>
      <c r="AB157" s="1291" t="s">
        <v>204</v>
      </c>
      <c r="AC157" s="1292" t="s">
        <v>205</v>
      </c>
    </row>
    <row r="158" spans="2:43">
      <c r="C158" s="551" t="s">
        <v>378</v>
      </c>
      <c r="D158" s="541"/>
      <c r="E158" s="541"/>
      <c r="F158" s="541"/>
      <c r="G158" s="472" t="s">
        <v>404</v>
      </c>
      <c r="H158" s="491" t="s">
        <v>404</v>
      </c>
      <c r="I158" s="473" t="s">
        <v>404</v>
      </c>
      <c r="J158" s="67"/>
      <c r="L158" s="69" t="s">
        <v>605</v>
      </c>
      <c r="M158" s="70" t="s">
        <v>20</v>
      </c>
      <c r="N158" s="78" t="s">
        <v>220</v>
      </c>
      <c r="O158" s="71" t="s">
        <v>208</v>
      </c>
      <c r="P158" s="72" t="s">
        <v>209</v>
      </c>
      <c r="Q158" s="72" t="s">
        <v>212</v>
      </c>
      <c r="R158" s="73" t="s">
        <v>211</v>
      </c>
      <c r="S158" s="71" t="s">
        <v>213</v>
      </c>
      <c r="T158" s="72" t="s">
        <v>214</v>
      </c>
      <c r="U158" s="72" t="s">
        <v>210</v>
      </c>
      <c r="W158" s="422" t="s">
        <v>381</v>
      </c>
      <c r="X158" s="143"/>
      <c r="Y158" s="143"/>
      <c r="Z158" s="143"/>
      <c r="AA158" s="859">
        <v>3.5</v>
      </c>
      <c r="AB158" s="860">
        <v>3.5</v>
      </c>
      <c r="AC158" s="861"/>
    </row>
    <row r="159" spans="2:43">
      <c r="C159" s="551"/>
      <c r="D159" s="541"/>
      <c r="E159" s="541"/>
      <c r="F159" s="541"/>
      <c r="G159" s="472" t="s">
        <v>290</v>
      </c>
      <c r="H159" s="491" t="s">
        <v>290</v>
      </c>
      <c r="I159" s="473"/>
      <c r="J159" s="67"/>
      <c r="M159" s="68">
        <v>3</v>
      </c>
      <c r="N159" s="473">
        <v>300</v>
      </c>
      <c r="O159" s="687" t="e">
        <f t="shared" ref="O159:U161" si="191">O152/O$156</f>
        <v>#DIV/0!</v>
      </c>
      <c r="P159" s="510">
        <f t="shared" si="191"/>
        <v>0.1202535552353927</v>
      </c>
      <c r="Q159" s="510">
        <f t="shared" si="191"/>
        <v>0.13075771267836001</v>
      </c>
      <c r="R159" s="511">
        <f t="shared" si="191"/>
        <v>0.12120909846248905</v>
      </c>
      <c r="S159" s="512">
        <f t="shared" si="191"/>
        <v>0.18325169429925073</v>
      </c>
      <c r="T159" s="512">
        <f t="shared" si="191"/>
        <v>0.15548648943407689</v>
      </c>
      <c r="U159" s="512">
        <f t="shared" si="191"/>
        <v>0.10637347438174123</v>
      </c>
      <c r="V159" s="722"/>
      <c r="W159" s="422"/>
      <c r="X159" s="143"/>
      <c r="Y159" s="143"/>
      <c r="Z159" s="143"/>
      <c r="AA159" s="862"/>
      <c r="AB159" s="863"/>
      <c r="AC159" s="864"/>
    </row>
    <row r="160" spans="2:43">
      <c r="B160" s="57"/>
      <c r="C160" s="551" t="s">
        <v>380</v>
      </c>
      <c r="D160" s="541"/>
      <c r="E160" s="541"/>
      <c r="F160" s="541"/>
      <c r="G160" s="472" t="s">
        <v>290</v>
      </c>
      <c r="H160" s="491" t="s">
        <v>290</v>
      </c>
      <c r="I160" s="473"/>
      <c r="J160" s="67"/>
      <c r="M160" s="68">
        <v>2</v>
      </c>
      <c r="N160" s="473">
        <v>150</v>
      </c>
      <c r="O160" s="496" t="e">
        <f t="shared" si="191"/>
        <v>#DIV/0!</v>
      </c>
      <c r="P160" s="510">
        <f t="shared" si="191"/>
        <v>7.016388182390125E-2</v>
      </c>
      <c r="Q160" s="510">
        <f t="shared" si="191"/>
        <v>8.7609238068403705E-2</v>
      </c>
      <c r="R160" s="511">
        <f t="shared" si="191"/>
        <v>0.12215364020867819</v>
      </c>
      <c r="S160" s="512">
        <f t="shared" si="191"/>
        <v>0.10513336800813512</v>
      </c>
      <c r="T160" s="512">
        <f t="shared" si="191"/>
        <v>9.0980043181032047E-2</v>
      </c>
      <c r="U160" s="512">
        <f t="shared" si="191"/>
        <v>7.5607220131154299E-2</v>
      </c>
      <c r="V160" s="722"/>
      <c r="W160" s="422" t="s">
        <v>378</v>
      </c>
      <c r="X160" s="143"/>
      <c r="Y160" s="143"/>
      <c r="Z160" s="143"/>
      <c r="AA160" s="862">
        <v>0.8</v>
      </c>
      <c r="AB160" s="863">
        <v>0.8</v>
      </c>
      <c r="AC160" s="864">
        <v>0.8</v>
      </c>
    </row>
    <row r="161" spans="3:30">
      <c r="C161" s="551" t="s">
        <v>385</v>
      </c>
      <c r="D161" s="541"/>
      <c r="E161" s="541"/>
      <c r="F161" s="541"/>
      <c r="G161" s="472" t="s">
        <v>290</v>
      </c>
      <c r="H161" s="491" t="s">
        <v>290</v>
      </c>
      <c r="I161" s="473" t="s">
        <v>290</v>
      </c>
      <c r="J161" s="67"/>
      <c r="M161" s="70">
        <v>1</v>
      </c>
      <c r="N161" s="78">
        <v>75</v>
      </c>
      <c r="O161" s="526" t="e">
        <f t="shared" si="191"/>
        <v>#DIV/0!</v>
      </c>
      <c r="P161" s="532">
        <f t="shared" si="191"/>
        <v>0.11718430237307702</v>
      </c>
      <c r="Q161" s="532">
        <f t="shared" si="191"/>
        <v>0.13194248575422776</v>
      </c>
      <c r="R161" s="533">
        <f t="shared" si="191"/>
        <v>0.12880227896124261</v>
      </c>
      <c r="S161" s="534">
        <f t="shared" si="191"/>
        <v>0.12545396629995836</v>
      </c>
      <c r="T161" s="534">
        <f t="shared" si="191"/>
        <v>0.11219985457194731</v>
      </c>
      <c r="U161" s="534">
        <f t="shared" si="191"/>
        <v>0.10869503083809218</v>
      </c>
      <c r="V161" s="722"/>
      <c r="W161" s="422"/>
      <c r="X161" s="143"/>
      <c r="Y161" s="143"/>
      <c r="Z161" s="143"/>
      <c r="AA161" s="862"/>
      <c r="AB161" s="863"/>
      <c r="AC161" s="864"/>
    </row>
    <row r="162" spans="3:30">
      <c r="C162" s="107"/>
      <c r="D162" s="117"/>
      <c r="E162" s="117"/>
      <c r="F162" s="117"/>
      <c r="G162" s="550"/>
      <c r="H162" s="70"/>
      <c r="I162" s="78"/>
      <c r="J162" s="67"/>
      <c r="N162" s="548"/>
      <c r="O162" s="529" t="e">
        <f>SUM(O159:O161)</f>
        <v>#DIV/0!</v>
      </c>
      <c r="P162" s="624">
        <f t="shared" ref="P162" si="192">SUM(P159:P161)</f>
        <v>0.30760173943237096</v>
      </c>
      <c r="Q162" s="624">
        <f t="shared" ref="Q162" si="193">SUM(Q159:Q161)</f>
        <v>0.35030943650099144</v>
      </c>
      <c r="R162" s="625">
        <f t="shared" ref="R162" si="194">SUM(R159:R161)</f>
        <v>0.37216501763240983</v>
      </c>
      <c r="S162" s="624">
        <f t="shared" ref="S162" si="195">SUM(S159:S161)</f>
        <v>0.41383902860734423</v>
      </c>
      <c r="T162" s="624">
        <f t="shared" ref="T162" si="196">SUM(T159:T161)</f>
        <v>0.35866638718705623</v>
      </c>
      <c r="U162" s="624">
        <f t="shared" ref="U162" si="197">SUM(U159:U161)</f>
        <v>0.29067572535098773</v>
      </c>
      <c r="W162" s="866" t="s">
        <v>385</v>
      </c>
      <c r="X162" s="12"/>
      <c r="Y162" s="12"/>
      <c r="Z162" s="12"/>
      <c r="AA162" s="867">
        <v>1.5</v>
      </c>
      <c r="AB162" s="868">
        <v>0.5</v>
      </c>
      <c r="AC162" s="766">
        <v>0.5</v>
      </c>
    </row>
    <row r="163" spans="3:30">
      <c r="D163" s="8"/>
      <c r="E163" s="8"/>
      <c r="F163" s="8"/>
      <c r="W163" s="713"/>
      <c r="X163" s="714"/>
      <c r="Y163" s="714"/>
      <c r="Z163" s="492"/>
      <c r="AA163" s="730"/>
      <c r="AB163" s="730"/>
      <c r="AC163" s="767"/>
      <c r="AD163" s="900"/>
    </row>
    <row r="164" spans="3:30">
      <c r="D164" s="8"/>
      <c r="E164" s="8"/>
      <c r="F164" s="8"/>
      <c r="L164" s="80" t="s">
        <v>522</v>
      </c>
      <c r="M164" s="70" t="s">
        <v>20</v>
      </c>
      <c r="N164" s="78" t="s">
        <v>220</v>
      </c>
      <c r="O164" s="71" t="s">
        <v>208</v>
      </c>
      <c r="P164" s="72" t="s">
        <v>209</v>
      </c>
      <c r="Q164" s="72" t="s">
        <v>212</v>
      </c>
      <c r="R164" s="73" t="s">
        <v>211</v>
      </c>
      <c r="S164" s="71" t="s">
        <v>213</v>
      </c>
      <c r="T164" s="72" t="s">
        <v>214</v>
      </c>
      <c r="U164" s="72" t="s">
        <v>210</v>
      </c>
      <c r="W164" s="434" t="s">
        <v>696</v>
      </c>
      <c r="AA164" s="865">
        <f>SUM(AA158:AA163)</f>
        <v>5.8</v>
      </c>
      <c r="AB164" s="865">
        <f>SUM(AB158:AB163)</f>
        <v>4.8</v>
      </c>
      <c r="AC164" s="865">
        <f>SUM(AC158:AC163)</f>
        <v>1.3</v>
      </c>
      <c r="AD164" s="857"/>
    </row>
    <row r="165" spans="3:30">
      <c r="C165" s="1443" t="s">
        <v>1431</v>
      </c>
      <c r="D165" s="8"/>
      <c r="E165" s="8"/>
      <c r="F165" s="8"/>
      <c r="L165" s="490"/>
      <c r="M165" s="68">
        <v>3</v>
      </c>
      <c r="N165" s="473">
        <v>300</v>
      </c>
      <c r="O165" s="496"/>
      <c r="P165" s="496">
        <v>638.54277999999988</v>
      </c>
      <c r="Q165" s="496">
        <v>894.2092725</v>
      </c>
      <c r="R165" s="497">
        <v>1224.6077449999998</v>
      </c>
      <c r="S165" s="498">
        <v>865.6400299999998</v>
      </c>
      <c r="T165" s="498">
        <v>1263.97249375</v>
      </c>
      <c r="U165" s="498">
        <v>934.88769999999977</v>
      </c>
      <c r="V165" s="722"/>
      <c r="W165" s="869" t="s">
        <v>625</v>
      </c>
      <c r="X165" s="669"/>
      <c r="Y165" s="669"/>
      <c r="Z165" s="669"/>
      <c r="AA165" s="870">
        <f>AA164*AA156</f>
        <v>690.31955632772076</v>
      </c>
      <c r="AB165" s="870">
        <f>AB164*AB156</f>
        <v>571.29894316776881</v>
      </c>
      <c r="AC165" s="870">
        <f>AC164*AC156</f>
        <v>825.20958457566633</v>
      </c>
      <c r="AD165" s="871">
        <f>SUM(AA165:AC165)</f>
        <v>2086.8280840711559</v>
      </c>
    </row>
    <row r="166" spans="3:30">
      <c r="C166" s="1442" t="s">
        <v>1432</v>
      </c>
      <c r="L166" s="490"/>
      <c r="M166" s="68">
        <v>2</v>
      </c>
      <c r="N166" s="473">
        <v>150</v>
      </c>
      <c r="O166" s="496"/>
      <c r="P166" s="496">
        <v>218.82676949999998</v>
      </c>
      <c r="Q166" s="496">
        <v>360.73334025000008</v>
      </c>
      <c r="R166" s="497">
        <v>730.03679549999981</v>
      </c>
      <c r="S166" s="498">
        <v>280.16453325000003</v>
      </c>
      <c r="T166" s="498">
        <v>425.61465224999995</v>
      </c>
      <c r="U166" s="498">
        <v>410.76152624999986</v>
      </c>
      <c r="V166" s="722"/>
      <c r="Y166" s="143"/>
      <c r="Z166" s="143"/>
      <c r="AA166" s="143"/>
      <c r="AB166" s="143"/>
      <c r="AC166" s="857"/>
      <c r="AD166" s="874">
        <f>AD165/SUM($Y$478:$AB$478)</f>
        <v>3.0413426794369531E-3</v>
      </c>
    </row>
    <row r="167" spans="3:30">
      <c r="C167" s="1442" t="s">
        <v>1433</v>
      </c>
      <c r="L167" s="490"/>
      <c r="M167" s="70">
        <v>1</v>
      </c>
      <c r="N167" s="78">
        <v>75</v>
      </c>
      <c r="O167" s="526"/>
      <c r="P167" s="526">
        <v>258.42417549999993</v>
      </c>
      <c r="Q167" s="526">
        <v>356.75731899999988</v>
      </c>
      <c r="R167" s="527">
        <v>506.50717099999997</v>
      </c>
      <c r="S167" s="528">
        <v>234.87483950000001</v>
      </c>
      <c r="T167" s="528">
        <v>345.44351550000016</v>
      </c>
      <c r="U167" s="528">
        <v>375.96767000000006</v>
      </c>
      <c r="V167" s="722"/>
      <c r="W167" s="722"/>
      <c r="X167" s="722"/>
    </row>
    <row r="168" spans="3:30">
      <c r="L168" s="490"/>
      <c r="N168" s="548"/>
      <c r="O168" s="631">
        <f t="shared" ref="O168:U168" si="198">SUM(O165:O167)</f>
        <v>0</v>
      </c>
      <c r="P168" s="631">
        <f t="shared" si="198"/>
        <v>1115.7937249999998</v>
      </c>
      <c r="Q168" s="631">
        <f t="shared" si="198"/>
        <v>1611.6999317499999</v>
      </c>
      <c r="R168" s="632">
        <f t="shared" si="198"/>
        <v>2461.1517114999997</v>
      </c>
      <c r="S168" s="631">
        <f t="shared" si="198"/>
        <v>1380.6794027499998</v>
      </c>
      <c r="T168" s="631">
        <f t="shared" si="198"/>
        <v>2035.0306615</v>
      </c>
      <c r="U168" s="631">
        <f t="shared" si="198"/>
        <v>1721.6168962499996</v>
      </c>
    </row>
    <row r="169" spans="3:30">
      <c r="L169" s="490"/>
      <c r="N169" s="635" t="s">
        <v>464</v>
      </c>
      <c r="O169" s="633">
        <f t="shared" ref="O169:U169" si="199">O168/O136</f>
        <v>0</v>
      </c>
      <c r="P169" s="633">
        <f t="shared" si="199"/>
        <v>1.6612352519318811E-2</v>
      </c>
      <c r="Q169" s="633">
        <f t="shared" si="199"/>
        <v>1.9493233617966569E-2</v>
      </c>
      <c r="R169" s="633">
        <f t="shared" si="199"/>
        <v>1.9742004681165642E-2</v>
      </c>
      <c r="S169" s="633">
        <f t="shared" si="199"/>
        <v>2.2754752021054911E-2</v>
      </c>
      <c r="T169" s="633">
        <f>T168/T136</f>
        <v>2.0439110031041558E-2</v>
      </c>
      <c r="U169" s="633">
        <f t="shared" si="199"/>
        <v>1.5751057422077296E-2</v>
      </c>
    </row>
    <row r="171" spans="3:30">
      <c r="L171" s="80" t="s">
        <v>523</v>
      </c>
      <c r="M171" s="70" t="s">
        <v>20</v>
      </c>
      <c r="N171" s="78" t="s">
        <v>220</v>
      </c>
      <c r="O171" s="71" t="s">
        <v>208</v>
      </c>
      <c r="P171" s="72" t="s">
        <v>209</v>
      </c>
      <c r="Q171" s="72" t="s">
        <v>212</v>
      </c>
      <c r="R171" s="73" t="s">
        <v>211</v>
      </c>
      <c r="S171" s="71" t="s">
        <v>213</v>
      </c>
      <c r="T171" s="72" t="s">
        <v>214</v>
      </c>
      <c r="U171" s="72" t="s">
        <v>210</v>
      </c>
    </row>
    <row r="172" spans="3:30">
      <c r="L172" s="490"/>
      <c r="M172" s="68">
        <v>3</v>
      </c>
      <c r="N172" s="473">
        <v>300</v>
      </c>
      <c r="O172" s="496"/>
      <c r="P172" s="496">
        <v>183.33336899999998</v>
      </c>
      <c r="Q172" s="496">
        <v>270.05410799999993</v>
      </c>
      <c r="R172" s="497">
        <v>470.26081599999998</v>
      </c>
      <c r="S172" s="498">
        <v>211.68144050000004</v>
      </c>
      <c r="T172" s="498">
        <v>365.86138850000003</v>
      </c>
      <c r="U172" s="498">
        <v>308.31338600000004</v>
      </c>
    </row>
    <row r="173" spans="3:30">
      <c r="M173" s="68">
        <v>2</v>
      </c>
      <c r="N173" s="473">
        <v>150</v>
      </c>
      <c r="O173" s="496"/>
      <c r="P173" s="496">
        <v>80.160531999999989</v>
      </c>
      <c r="Q173" s="496">
        <v>157.10825400000002</v>
      </c>
      <c r="R173" s="497">
        <v>366.76006700000011</v>
      </c>
      <c r="S173" s="498">
        <v>69.179779499999995</v>
      </c>
      <c r="T173" s="498">
        <v>178.3412635</v>
      </c>
      <c r="U173" s="498">
        <v>175.53768550000004</v>
      </c>
    </row>
    <row r="174" spans="3:30">
      <c r="M174" s="70">
        <v>1</v>
      </c>
      <c r="N174" s="78">
        <v>75</v>
      </c>
      <c r="O174" s="526"/>
      <c r="P174" s="526">
        <v>96.08417</v>
      </c>
      <c r="Q174" s="526">
        <v>219.708549</v>
      </c>
      <c r="R174" s="527">
        <v>331.70203900000007</v>
      </c>
      <c r="S174" s="528">
        <v>61.050106999999997</v>
      </c>
      <c r="T174" s="528">
        <v>149.7574965</v>
      </c>
      <c r="U174" s="528">
        <v>164.50538599999999</v>
      </c>
    </row>
    <row r="175" spans="3:30">
      <c r="N175" s="548"/>
      <c r="O175" s="631">
        <f t="shared" ref="O175:U175" si="200">SUM(O172:O174)</f>
        <v>0</v>
      </c>
      <c r="P175" s="631">
        <f t="shared" si="200"/>
        <v>359.57807099999991</v>
      </c>
      <c r="Q175" s="631">
        <f t="shared" si="200"/>
        <v>646.87091099999998</v>
      </c>
      <c r="R175" s="632">
        <f t="shared" si="200"/>
        <v>1168.7229220000002</v>
      </c>
      <c r="S175" s="631">
        <f t="shared" si="200"/>
        <v>341.91132700000003</v>
      </c>
      <c r="T175" s="631">
        <f t="shared" si="200"/>
        <v>693.96014850000006</v>
      </c>
      <c r="U175" s="631">
        <f t="shared" si="200"/>
        <v>648.35645750000003</v>
      </c>
    </row>
    <row r="176" spans="3:30">
      <c r="N176" s="635" t="s">
        <v>464</v>
      </c>
      <c r="O176" s="633">
        <f t="shared" ref="O176:U176" si="201">O175/O136</f>
        <v>0</v>
      </c>
      <c r="P176" s="633">
        <f t="shared" si="201"/>
        <v>5.3535322343461365E-3</v>
      </c>
      <c r="Q176" s="633">
        <f t="shared" si="201"/>
        <v>7.8237924692955863E-3</v>
      </c>
      <c r="R176" s="633">
        <f t="shared" si="201"/>
        <v>9.3748521431242099E-3</v>
      </c>
      <c r="S176" s="633">
        <f t="shared" si="201"/>
        <v>5.6349848078986403E-3</v>
      </c>
      <c r="T176" s="633">
        <f t="shared" si="201"/>
        <v>6.969884091031147E-3</v>
      </c>
      <c r="U176" s="633">
        <f t="shared" si="201"/>
        <v>5.9318073691663909E-3</v>
      </c>
    </row>
    <row r="178" spans="12:21">
      <c r="L178" s="80" t="s">
        <v>524</v>
      </c>
      <c r="M178" s="70"/>
      <c r="N178" s="78"/>
      <c r="O178" s="71" t="s">
        <v>208</v>
      </c>
      <c r="P178" s="72" t="s">
        <v>209</v>
      </c>
      <c r="Q178" s="72" t="s">
        <v>212</v>
      </c>
      <c r="R178" s="73" t="s">
        <v>211</v>
      </c>
      <c r="S178" s="71" t="s">
        <v>213</v>
      </c>
      <c r="T178" s="72" t="s">
        <v>214</v>
      </c>
      <c r="U178" s="72" t="s">
        <v>210</v>
      </c>
    </row>
    <row r="179" spans="12:21">
      <c r="N179" s="636" t="s">
        <v>525</v>
      </c>
      <c r="O179" s="637">
        <f t="shared" ref="O179:U179" si="202">O175+O168</f>
        <v>0</v>
      </c>
      <c r="P179" s="637">
        <f t="shared" si="202"/>
        <v>1475.3717959999997</v>
      </c>
      <c r="Q179" s="637">
        <f t="shared" si="202"/>
        <v>2258.5708427499999</v>
      </c>
      <c r="R179" s="638">
        <f t="shared" si="202"/>
        <v>3629.8746334999996</v>
      </c>
      <c r="S179" s="637">
        <f t="shared" si="202"/>
        <v>1722.5907297499998</v>
      </c>
      <c r="T179" s="637">
        <f t="shared" si="202"/>
        <v>2728.9908100000002</v>
      </c>
      <c r="U179" s="637">
        <f t="shared" si="202"/>
        <v>2369.9733537499997</v>
      </c>
    </row>
    <row r="180" spans="12:21">
      <c r="N180" s="635" t="s">
        <v>464</v>
      </c>
      <c r="O180" s="633">
        <f t="shared" ref="O180:U180" si="203">O179/O136</f>
        <v>0</v>
      </c>
      <c r="P180" s="633">
        <f t="shared" si="203"/>
        <v>2.1965884753664948E-2</v>
      </c>
      <c r="Q180" s="633">
        <f t="shared" si="203"/>
        <v>2.7317026087262154E-2</v>
      </c>
      <c r="R180" s="634">
        <f t="shared" si="203"/>
        <v>2.9116856824289848E-2</v>
      </c>
      <c r="S180" s="633">
        <f t="shared" si="203"/>
        <v>2.838973682895355E-2</v>
      </c>
      <c r="T180" s="633">
        <f t="shared" si="203"/>
        <v>2.7408994122072705E-2</v>
      </c>
      <c r="U180" s="633">
        <f t="shared" si="203"/>
        <v>2.1682864791243685E-2</v>
      </c>
    </row>
    <row r="197" spans="2:27" s="9" customFormat="1" ht="15.75" thickBot="1"/>
    <row r="198" spans="2:27" ht="15.75" thickTop="1"/>
    <row r="199" spans="2:27" s="41" customFormat="1" ht="18.75" customHeight="1">
      <c r="B199" s="40" t="s">
        <v>32</v>
      </c>
    </row>
    <row r="201" spans="2:27" s="45" customFormat="1">
      <c r="B201" s="44" t="s">
        <v>33</v>
      </c>
      <c r="O201" s="1136" t="s">
        <v>460</v>
      </c>
      <c r="P201" s="1136"/>
      <c r="Q201" s="1137">
        <f>AB225</f>
        <v>31834.522245987071</v>
      </c>
      <c r="R201" s="1138">
        <f>Q201/SUM($X$57:$AA$57)</f>
        <v>4.6395624021563768E-2</v>
      </c>
    </row>
    <row r="203" spans="2:27">
      <c r="B203" t="s">
        <v>711</v>
      </c>
      <c r="L203" s="544" t="s">
        <v>470</v>
      </c>
      <c r="W203" s="545" t="s">
        <v>471</v>
      </c>
    </row>
    <row r="205" spans="2:27">
      <c r="C205" s="743" t="s">
        <v>616</v>
      </c>
      <c r="D205" s="746" t="s">
        <v>271</v>
      </c>
      <c r="L205" s="80" t="s">
        <v>222</v>
      </c>
      <c r="M205" s="70" t="s">
        <v>20</v>
      </c>
      <c r="N205" s="78" t="s">
        <v>220</v>
      </c>
      <c r="O205" s="71" t="s">
        <v>208</v>
      </c>
      <c r="P205" s="72" t="s">
        <v>209</v>
      </c>
      <c r="Q205" s="72" t="s">
        <v>212</v>
      </c>
      <c r="R205" s="73" t="s">
        <v>211</v>
      </c>
      <c r="S205" s="71" t="s">
        <v>213</v>
      </c>
      <c r="T205" s="72" t="s">
        <v>214</v>
      </c>
      <c r="U205" s="72" t="s">
        <v>210</v>
      </c>
      <c r="W205" s="78"/>
      <c r="X205" s="751" t="s">
        <v>215</v>
      </c>
      <c r="Y205" s="82" t="s">
        <v>216</v>
      </c>
      <c r="Z205" s="82" t="s">
        <v>217</v>
      </c>
      <c r="AA205" s="82" t="s">
        <v>218</v>
      </c>
    </row>
    <row r="206" spans="2:27">
      <c r="C206" s="750" t="s">
        <v>16</v>
      </c>
      <c r="D206" s="747"/>
      <c r="L206" s="490"/>
      <c r="M206" s="68">
        <v>4</v>
      </c>
      <c r="N206" s="508">
        <v>300</v>
      </c>
      <c r="O206" s="474">
        <v>5.4844606946983544E-3</v>
      </c>
      <c r="P206" s="474">
        <v>1.0352941176470589E-2</v>
      </c>
      <c r="Q206" s="474">
        <v>1.4329135909683021E-2</v>
      </c>
      <c r="R206" s="718">
        <v>2.564102564102564E-2</v>
      </c>
      <c r="S206" s="474">
        <v>5.7692307692307696E-3</v>
      </c>
      <c r="T206" s="474">
        <v>1.1060507482108002E-2</v>
      </c>
      <c r="U206" s="474">
        <v>6.5341682548325621E-3</v>
      </c>
      <c r="V206" s="442"/>
      <c r="W206" s="753" t="s">
        <v>206</v>
      </c>
      <c r="X206" s="737">
        <f>X57</f>
        <v>89871.546037833032</v>
      </c>
      <c r="Y206" s="501">
        <f t="shared" ref="Y206:AA206" si="204">Y57</f>
        <v>168571.63517703561</v>
      </c>
      <c r="Z206" s="501">
        <f t="shared" si="204"/>
        <v>196784.46485242969</v>
      </c>
      <c r="AA206" s="501">
        <f t="shared" si="204"/>
        <v>230925.90650031052</v>
      </c>
    </row>
    <row r="207" spans="2:27">
      <c r="C207" s="744" t="s">
        <v>1434</v>
      </c>
      <c r="D207" s="748">
        <v>0.12</v>
      </c>
      <c r="L207" s="490"/>
      <c r="M207" s="68">
        <v>3</v>
      </c>
      <c r="N207" s="508">
        <v>150</v>
      </c>
      <c r="O207" s="474">
        <v>1.2797074954296161E-2</v>
      </c>
      <c r="P207" s="474">
        <v>2.6352941176470589E-2</v>
      </c>
      <c r="Q207" s="474">
        <v>2.7355623100303952E-2</v>
      </c>
      <c r="R207" s="718">
        <v>4.6231546231546232E-2</v>
      </c>
      <c r="S207" s="474">
        <v>1.653846153846154E-2</v>
      </c>
      <c r="T207" s="474">
        <v>2.6675341574495772E-2</v>
      </c>
      <c r="U207" s="474">
        <v>2.5592158998094201E-2</v>
      </c>
      <c r="V207" s="442"/>
      <c r="W207" s="754" t="s">
        <v>618</v>
      </c>
      <c r="X207" s="501">
        <f>'[1]AL Promotion &amp; Recruited'!$AB$23</f>
        <v>1880.1296112528416</v>
      </c>
      <c r="Y207" s="501">
        <f>'[1]AL Promotion &amp; Recruited'!$AE$23</f>
        <v>2021.8524910480076</v>
      </c>
      <c r="Z207" s="501">
        <f>'[1]AL Promotion &amp; Recruited'!$AH$23</f>
        <v>2197.0429592167034</v>
      </c>
      <c r="AA207" s="501">
        <f>'[1]AL Promotion &amp; Recruited'!$AK$23</f>
        <v>2383.2262479493688</v>
      </c>
    </row>
    <row r="208" spans="2:27">
      <c r="C208" s="744">
        <v>50</v>
      </c>
      <c r="D208" s="748">
        <v>0.15</v>
      </c>
      <c r="L208" s="490"/>
      <c r="M208" s="491">
        <v>2</v>
      </c>
      <c r="N208" s="508">
        <v>50</v>
      </c>
      <c r="O208" s="602">
        <v>9.384521633150518E-2</v>
      </c>
      <c r="P208" s="602">
        <v>0.1171764705882353</v>
      </c>
      <c r="Q208" s="602">
        <v>0.13460703430308293</v>
      </c>
      <c r="R208" s="718">
        <v>0.18764568764568765</v>
      </c>
      <c r="S208" s="602">
        <v>9.2307692307692313E-2</v>
      </c>
      <c r="T208" s="602">
        <v>0.12947299934938192</v>
      </c>
      <c r="U208" s="602">
        <v>0.13422270623468555</v>
      </c>
      <c r="V208" s="442"/>
    </row>
    <row r="209" spans="3:39">
      <c r="C209" s="744">
        <v>150</v>
      </c>
      <c r="D209" s="748">
        <v>0.17</v>
      </c>
      <c r="L209" s="490"/>
      <c r="M209" s="70">
        <v>1</v>
      </c>
      <c r="N209" s="549">
        <v>0</v>
      </c>
      <c r="O209" s="478">
        <v>0.88787324801950029</v>
      </c>
      <c r="P209" s="478">
        <v>0.84611764705882353</v>
      </c>
      <c r="Q209" s="478">
        <v>0.82370820668693012</v>
      </c>
      <c r="R209" s="719">
        <v>0.74048174048174054</v>
      </c>
      <c r="S209" s="478">
        <v>0.88538461538461544</v>
      </c>
      <c r="T209" s="478">
        <v>0.83279115159401429</v>
      </c>
      <c r="U209" s="478">
        <v>0.83365096651238768</v>
      </c>
      <c r="V209" s="442"/>
      <c r="X209" s="722"/>
      <c r="Y209" s="722"/>
      <c r="Z209" s="722"/>
      <c r="AA209" s="722"/>
    </row>
    <row r="210" spans="3:39">
      <c r="C210" s="745">
        <v>300</v>
      </c>
      <c r="D210" s="749">
        <v>0.2</v>
      </c>
      <c r="F210" s="594"/>
      <c r="L210" s="490"/>
      <c r="N210" s="548"/>
      <c r="R210" s="548"/>
      <c r="X210" s="722">
        <f>X207*X213</f>
        <v>11.28077766751705</v>
      </c>
      <c r="Y210" s="722">
        <f t="shared" ref="Y210:AA210" si="205">Y207*Y213</f>
        <v>16.983560924803264</v>
      </c>
      <c r="Z210" s="722">
        <f t="shared" si="205"/>
        <v>20.30067694316234</v>
      </c>
      <c r="AA210" s="722">
        <f t="shared" si="205"/>
        <v>24.223111584157387</v>
      </c>
      <c r="AF210" s="759" t="s">
        <v>1208</v>
      </c>
    </row>
    <row r="211" spans="3:39">
      <c r="L211" s="490"/>
      <c r="W211" s="80" t="s">
        <v>619</v>
      </c>
      <c r="AB211" s="69" t="s">
        <v>620</v>
      </c>
      <c r="AC211" s="67"/>
      <c r="AD211" s="67"/>
      <c r="AE211" s="67"/>
      <c r="AF211" s="69" t="s">
        <v>509</v>
      </c>
      <c r="AG211" s="67"/>
      <c r="AH211" s="67"/>
      <c r="AI211" s="67"/>
      <c r="AJ211" s="69" t="s">
        <v>621</v>
      </c>
      <c r="AK211" s="67"/>
      <c r="AL211" s="67"/>
      <c r="AM211" s="67"/>
    </row>
    <row r="212" spans="3:39">
      <c r="L212" s="80" t="s">
        <v>223</v>
      </c>
      <c r="M212" s="70" t="s">
        <v>20</v>
      </c>
      <c r="N212" s="78" t="s">
        <v>220</v>
      </c>
      <c r="O212" s="71" t="s">
        <v>208</v>
      </c>
      <c r="P212" s="72" t="s">
        <v>209</v>
      </c>
      <c r="Q212" s="72" t="s">
        <v>212</v>
      </c>
      <c r="R212" s="73" t="s">
        <v>211</v>
      </c>
      <c r="S212" s="71" t="s">
        <v>213</v>
      </c>
      <c r="T212" s="72" t="s">
        <v>214</v>
      </c>
      <c r="U212" s="72" t="s">
        <v>210</v>
      </c>
      <c r="W212" s="78" t="s">
        <v>220</v>
      </c>
      <c r="X212" s="751" t="s">
        <v>215</v>
      </c>
      <c r="Y212" s="82" t="s">
        <v>216</v>
      </c>
      <c r="Z212" s="82" t="s">
        <v>217</v>
      </c>
      <c r="AA212" s="711" t="s">
        <v>218</v>
      </c>
      <c r="AB212" s="82" t="s">
        <v>215</v>
      </c>
      <c r="AC212" s="82" t="s">
        <v>216</v>
      </c>
      <c r="AD212" s="82" t="s">
        <v>217</v>
      </c>
      <c r="AE212" s="711" t="s">
        <v>218</v>
      </c>
      <c r="AF212" s="82" t="s">
        <v>215</v>
      </c>
      <c r="AG212" s="82" t="s">
        <v>216</v>
      </c>
      <c r="AH212" s="82" t="s">
        <v>217</v>
      </c>
      <c r="AI212" s="711" t="s">
        <v>218</v>
      </c>
      <c r="AJ212" s="82" t="s">
        <v>215</v>
      </c>
      <c r="AK212" s="82" t="s">
        <v>216</v>
      </c>
      <c r="AL212" s="82" t="s">
        <v>217</v>
      </c>
      <c r="AM212" s="82" t="s">
        <v>218</v>
      </c>
    </row>
    <row r="213" spans="3:39">
      <c r="L213" s="490"/>
      <c r="M213" s="68">
        <v>4</v>
      </c>
      <c r="N213" s="508">
        <v>300</v>
      </c>
      <c r="O213" s="131">
        <v>0.15137872371474967</v>
      </c>
      <c r="P213" s="131">
        <v>0.21810819044223814</v>
      </c>
      <c r="Q213" s="131">
        <v>0.23187789879071102</v>
      </c>
      <c r="R213" s="555">
        <v>0.26854123603819674</v>
      </c>
      <c r="S213" s="131">
        <v>0.12647972029638505</v>
      </c>
      <c r="T213" s="131">
        <v>0.19086797248750123</v>
      </c>
      <c r="U213" s="131">
        <v>0.11057095499412521</v>
      </c>
      <c r="V213" s="704"/>
      <c r="W213" s="508">
        <v>300</v>
      </c>
      <c r="X213" s="756">
        <v>6.0000000000000001E-3</v>
      </c>
      <c r="Y213" s="474">
        <f>X213*1.4</f>
        <v>8.3999999999999995E-3</v>
      </c>
      <c r="Z213" s="474">
        <f>Y213*1.1</f>
        <v>9.2399999999999999E-3</v>
      </c>
      <c r="AA213" s="718">
        <f>Z213*1.1</f>
        <v>1.0164000000000001E-2</v>
      </c>
      <c r="AB213" s="67">
        <v>300</v>
      </c>
      <c r="AC213" s="67">
        <f>AB213*1.5</f>
        <v>450</v>
      </c>
      <c r="AD213" s="501">
        <f>AC213*1.04</f>
        <v>468</v>
      </c>
      <c r="AE213" s="506">
        <f>AD213*1.02</f>
        <v>477.36</v>
      </c>
      <c r="AF213" s="501">
        <f>X213*X$207*AB213*3</f>
        <v>10152.699900765345</v>
      </c>
      <c r="AG213" s="501">
        <f t="shared" ref="AF213:AI216" si="206">Y213*Y$207*AC213*3</f>
        <v>22927.807248484405</v>
      </c>
      <c r="AH213" s="501">
        <f t="shared" si="206"/>
        <v>28502.150428199926</v>
      </c>
      <c r="AI213" s="506">
        <f t="shared" si="206"/>
        <v>34689.433637440117</v>
      </c>
      <c r="AJ213" s="131">
        <f>AF213/AF$217</f>
        <v>0.1168679392286716</v>
      </c>
      <c r="AK213" s="131">
        <f t="shared" ref="AK213:AM216" si="207">AG213/AG$217</f>
        <v>0.14322413440334644</v>
      </c>
      <c r="AL213" s="131">
        <f t="shared" si="207"/>
        <v>0.15149180075221258</v>
      </c>
      <c r="AM213" s="131">
        <f t="shared" si="207"/>
        <v>0.15573768790126369</v>
      </c>
    </row>
    <row r="214" spans="3:39">
      <c r="L214" s="490"/>
      <c r="M214" s="68">
        <v>3</v>
      </c>
      <c r="N214" s="508">
        <v>150</v>
      </c>
      <c r="O214" s="131">
        <v>0.11966359341203767</v>
      </c>
      <c r="P214" s="131">
        <v>0.17178841428214872</v>
      </c>
      <c r="Q214" s="131">
        <v>0.16090886888987416</v>
      </c>
      <c r="R214" s="555">
        <v>0.21008735671785209</v>
      </c>
      <c r="S214" s="131">
        <v>0.16117743515541655</v>
      </c>
      <c r="T214" s="131">
        <v>0.18958631758325706</v>
      </c>
      <c r="U214" s="131">
        <v>0.19038828942952227</v>
      </c>
      <c r="V214" s="704"/>
      <c r="W214" s="508">
        <v>150</v>
      </c>
      <c r="X214" s="756">
        <v>1.7999999999999999E-2</v>
      </c>
      <c r="Y214" s="474">
        <f>X214*1.4</f>
        <v>2.5199999999999997E-2</v>
      </c>
      <c r="Z214" s="474">
        <f>Y214*1.05</f>
        <v>2.6459999999999997E-2</v>
      </c>
      <c r="AA214" s="718">
        <f>Z214*1.1</f>
        <v>2.9106E-2</v>
      </c>
      <c r="AB214" s="67">
        <v>170</v>
      </c>
      <c r="AC214" s="67">
        <f>AB214*1.4</f>
        <v>237.99999999999997</v>
      </c>
      <c r="AD214" s="501">
        <f t="shared" ref="AD214:AD216" si="208">AC214*1.04</f>
        <v>247.51999999999998</v>
      </c>
      <c r="AE214" s="506">
        <f>AD214*1.02</f>
        <v>252.47039999999998</v>
      </c>
      <c r="AF214" s="501">
        <f t="shared" si="206"/>
        <v>17259.589831301084</v>
      </c>
      <c r="AG214" s="501">
        <f t="shared" si="206"/>
        <v>36378.787500928578</v>
      </c>
      <c r="AH214" s="501">
        <f t="shared" si="206"/>
        <v>43167.802375800966</v>
      </c>
      <c r="AI214" s="506">
        <f t="shared" si="206"/>
        <v>52538.724036341104</v>
      </c>
      <c r="AJ214" s="131">
        <f t="shared" ref="AJ214:AJ215" si="209">AF214/AF$217</f>
        <v>0.19867549668874171</v>
      </c>
      <c r="AK214" s="131">
        <f t="shared" si="207"/>
        <v>0.22724895991997629</v>
      </c>
      <c r="AL214" s="131">
        <f t="shared" si="207"/>
        <v>0.22944121823016916</v>
      </c>
      <c r="AM214" s="131">
        <f t="shared" si="207"/>
        <v>0.23587180731227744</v>
      </c>
    </row>
    <row r="215" spans="3:39">
      <c r="L215" s="490"/>
      <c r="M215" s="491">
        <v>2</v>
      </c>
      <c r="N215" s="508">
        <v>50</v>
      </c>
      <c r="O215" s="554">
        <v>0.33590549742015791</v>
      </c>
      <c r="P215" s="554">
        <v>0.32501955924503761</v>
      </c>
      <c r="Q215" s="554">
        <v>0.32284187945385001</v>
      </c>
      <c r="R215" s="555">
        <v>0.34487718335252293</v>
      </c>
      <c r="S215" s="554">
        <v>0.35617040248380333</v>
      </c>
      <c r="T215" s="554">
        <v>0.36046279014534122</v>
      </c>
      <c r="U215" s="554">
        <v>0.42005673494897716</v>
      </c>
      <c r="V215" s="704"/>
      <c r="W215" s="508">
        <v>50</v>
      </c>
      <c r="X215" s="756">
        <v>7.0000000000000007E-2</v>
      </c>
      <c r="Y215" s="474">
        <f>X215*1.3</f>
        <v>9.1000000000000011E-2</v>
      </c>
      <c r="Z215" s="474">
        <f>Y215*1.05</f>
        <v>9.555000000000001E-2</v>
      </c>
      <c r="AA215" s="718">
        <f>Z215*1.05</f>
        <v>0.10032750000000001</v>
      </c>
      <c r="AB215" s="67">
        <v>60</v>
      </c>
      <c r="AC215" s="67">
        <f>AB215*1.6</f>
        <v>96</v>
      </c>
      <c r="AD215" s="501">
        <f>AC215*1.04</f>
        <v>99.84</v>
      </c>
      <c r="AE215" s="506">
        <f>AD215*1.04</f>
        <v>103.8336</v>
      </c>
      <c r="AF215" s="501">
        <f t="shared" si="206"/>
        <v>23689.633101785803</v>
      </c>
      <c r="AG215" s="501">
        <f t="shared" si="206"/>
        <v>52988.710085386192</v>
      </c>
      <c r="AH215" s="501">
        <f t="shared" si="206"/>
        <v>62877.471247665293</v>
      </c>
      <c r="AI215" s="506">
        <f t="shared" si="206"/>
        <v>74480.81671084532</v>
      </c>
      <c r="AJ215" s="131">
        <f t="shared" si="209"/>
        <v>0.27269185820023373</v>
      </c>
      <c r="AK215" s="131">
        <f t="shared" si="207"/>
        <v>0.33100688839884523</v>
      </c>
      <c r="AL215" s="131">
        <f t="shared" si="207"/>
        <v>0.33420009378063864</v>
      </c>
      <c r="AM215" s="131">
        <f t="shared" si="207"/>
        <v>0.33438050066708519</v>
      </c>
    </row>
    <row r="216" spans="3:39">
      <c r="L216" s="490"/>
      <c r="M216" s="70">
        <v>1</v>
      </c>
      <c r="N216" s="549">
        <v>0</v>
      </c>
      <c r="O216" s="716">
        <v>0.39305218545305465</v>
      </c>
      <c r="P216" s="716">
        <v>0.28508383603057552</v>
      </c>
      <c r="Q216" s="716">
        <v>0.2843713528655647</v>
      </c>
      <c r="R216" s="717">
        <v>0.17649422389142824</v>
      </c>
      <c r="S216" s="716">
        <v>0.35617244206439508</v>
      </c>
      <c r="T216" s="716">
        <v>0.25908291978390047</v>
      </c>
      <c r="U216" s="716">
        <v>0.27898402062737543</v>
      </c>
      <c r="V216" s="704"/>
      <c r="W216" s="549">
        <v>0</v>
      </c>
      <c r="X216" s="757">
        <f>1-SUM(X213:X215)</f>
        <v>0.90600000000000003</v>
      </c>
      <c r="Y216" s="478">
        <f t="shared" ref="Y216:AA216" si="210">1-SUM(Y213:Y215)</f>
        <v>0.87539999999999996</v>
      </c>
      <c r="Z216" s="478">
        <f t="shared" si="210"/>
        <v>0.86875000000000002</v>
      </c>
      <c r="AA216" s="719">
        <f t="shared" si="210"/>
        <v>0.86040249999999996</v>
      </c>
      <c r="AB216" s="117">
        <v>7</v>
      </c>
      <c r="AC216" s="622">
        <v>9</v>
      </c>
      <c r="AD216" s="622">
        <f t="shared" si="208"/>
        <v>9.36</v>
      </c>
      <c r="AE216" s="724">
        <f>AD216*1.06</f>
        <v>9.9215999999999998</v>
      </c>
      <c r="AF216" s="622">
        <f t="shared" si="206"/>
        <v>35771.34598369657</v>
      </c>
      <c r="AG216" s="622">
        <f t="shared" si="206"/>
        <v>47788.101107912487</v>
      </c>
      <c r="AH216" s="622">
        <f t="shared" si="206"/>
        <v>53595.764468611873</v>
      </c>
      <c r="AI216" s="724">
        <f t="shared" si="206"/>
        <v>61033.729099150034</v>
      </c>
      <c r="AJ216" s="716">
        <f>AF216/AF$217</f>
        <v>0.41176470588235303</v>
      </c>
      <c r="AK216" s="716">
        <f t="shared" si="207"/>
        <v>0.29852001727783206</v>
      </c>
      <c r="AL216" s="716">
        <f t="shared" si="207"/>
        <v>0.28486688723697978</v>
      </c>
      <c r="AM216" s="716">
        <f t="shared" si="207"/>
        <v>0.2740100041193736</v>
      </c>
    </row>
    <row r="217" spans="3:39">
      <c r="L217" s="490"/>
      <c r="N217" s="548"/>
      <c r="R217" s="548"/>
      <c r="W217" s="548"/>
      <c r="X217" s="475"/>
      <c r="Y217" s="475"/>
      <c r="Z217" s="475"/>
      <c r="AA217" s="780" t="s">
        <v>631</v>
      </c>
      <c r="AB217" s="776">
        <f>SUMPRODUCT(X213:X216,AB213:AB216)/'Sale Plan &amp; KPIs'!O17</f>
        <v>2.9141695971925263</v>
      </c>
      <c r="AC217" s="777">
        <f>SUMPRODUCT(Y213:Y216,AC213:AC216)/'Sale Plan &amp; KPIs'!P17</f>
        <v>4.9128175806465251</v>
      </c>
      <c r="AD217" s="777">
        <f>SUMPRODUCT(Z213:Z216,AD213:AD216)/'Sale Plan &amp; KPIs'!Q17</f>
        <v>5.1541563083709399</v>
      </c>
      <c r="AE217" s="778">
        <f>SUMPRODUCT(AA213:AA216,AE213:AE216)/'Sale Plan &amp; KPIs'!R17</f>
        <v>5.3430352785547495</v>
      </c>
      <c r="AF217" s="501">
        <f>SUM(AF213:AF216)</f>
        <v>86873.2688175488</v>
      </c>
      <c r="AG217" s="501">
        <f>SUM(AG213:AG216)</f>
        <v>160083.40594271166</v>
      </c>
      <c r="AH217" s="501">
        <f t="shared" ref="AH217:AI217" si="211">SUM(AH213:AH216)</f>
        <v>188143.18852027802</v>
      </c>
      <c r="AI217" s="506">
        <f t="shared" si="211"/>
        <v>222742.7034837766</v>
      </c>
      <c r="AJ217" s="67"/>
      <c r="AK217" s="67"/>
      <c r="AL217" s="67"/>
      <c r="AM217" s="67"/>
    </row>
    <row r="218" spans="3:39">
      <c r="L218" s="490"/>
      <c r="AB218" s="779"/>
      <c r="AC218" s="782">
        <f>AC217/AB217-1</f>
        <v>0.68583790915239473</v>
      </c>
      <c r="AD218" s="782">
        <f t="shared" ref="AD218:AE218" si="212">AD217/AC217-1</f>
        <v>4.9124300620308148E-2</v>
      </c>
      <c r="AE218" s="782">
        <f t="shared" si="212"/>
        <v>3.6645953068409787E-2</v>
      </c>
      <c r="AF218" s="762">
        <v>89961.6481637861</v>
      </c>
      <c r="AG218" s="762">
        <v>168305.54804876004</v>
      </c>
      <c r="AH218" s="762">
        <v>196868.35003694717</v>
      </c>
      <c r="AI218" s="762">
        <v>231274.28524780826</v>
      </c>
    </row>
    <row r="219" spans="3:39">
      <c r="L219" s="80" t="s">
        <v>624</v>
      </c>
      <c r="M219" s="70" t="s">
        <v>20</v>
      </c>
      <c r="N219" s="78" t="s">
        <v>220</v>
      </c>
      <c r="O219" s="71" t="s">
        <v>208</v>
      </c>
      <c r="P219" s="72" t="s">
        <v>209</v>
      </c>
      <c r="Q219" s="72" t="s">
        <v>212</v>
      </c>
      <c r="R219" s="73" t="s">
        <v>211</v>
      </c>
      <c r="S219" s="71" t="s">
        <v>213</v>
      </c>
      <c r="T219" s="72" t="s">
        <v>214</v>
      </c>
      <c r="U219" s="72" t="s">
        <v>210</v>
      </c>
      <c r="W219" s="755" t="s">
        <v>622</v>
      </c>
      <c r="AC219" s="781"/>
      <c r="AD219" s="781"/>
      <c r="AE219" s="781"/>
      <c r="AF219" s="763">
        <f>AF217/AF218</f>
        <v>0.96567004485495278</v>
      </c>
      <c r="AG219" s="763">
        <f t="shared" ref="AG219:AI219" si="213">AG217/AG218</f>
        <v>0.95114752780659173</v>
      </c>
      <c r="AH219" s="763">
        <f t="shared" si="213"/>
        <v>0.95568022226512461</v>
      </c>
      <c r="AI219" s="763">
        <f t="shared" si="213"/>
        <v>0.96311054748308855</v>
      </c>
    </row>
    <row r="220" spans="3:39">
      <c r="L220" s="490"/>
      <c r="M220" s="68">
        <v>4</v>
      </c>
      <c r="N220" s="508">
        <v>300</v>
      </c>
      <c r="O220" s="501">
        <v>355.79945999999995</v>
      </c>
      <c r="P220" s="501">
        <v>888.16023200000018</v>
      </c>
      <c r="Q220" s="501">
        <v>1250.2645619999996</v>
      </c>
      <c r="R220" s="506">
        <v>2047.7408599999997</v>
      </c>
      <c r="S220" s="501">
        <v>418.52126999999996</v>
      </c>
      <c r="T220" s="501">
        <v>1102.11339</v>
      </c>
      <c r="U220" s="501">
        <v>754.25169299999993</v>
      </c>
      <c r="W220" s="78" t="s">
        <v>220</v>
      </c>
      <c r="X220" s="751" t="s">
        <v>215</v>
      </c>
      <c r="Y220" s="82" t="s">
        <v>216</v>
      </c>
      <c r="Z220" s="82" t="s">
        <v>217</v>
      </c>
      <c r="AA220" s="711" t="s">
        <v>218</v>
      </c>
      <c r="AB220" s="751" t="s">
        <v>254</v>
      </c>
      <c r="AC220" s="764" t="s">
        <v>623</v>
      </c>
      <c r="AI220" s="464"/>
    </row>
    <row r="221" spans="3:39">
      <c r="L221" s="490"/>
      <c r="M221" s="68">
        <v>3</v>
      </c>
      <c r="N221" s="508">
        <v>150</v>
      </c>
      <c r="O221" s="501">
        <v>210.25625500000004</v>
      </c>
      <c r="P221" s="501">
        <v>572.80653740000014</v>
      </c>
      <c r="Q221" s="501">
        <v>694.26190179999981</v>
      </c>
      <c r="R221" s="506">
        <v>1327.6560277999999</v>
      </c>
      <c r="S221" s="501">
        <v>469.81658490000001</v>
      </c>
      <c r="T221" s="501">
        <v>925.02684970000007</v>
      </c>
      <c r="U221" s="501">
        <v>1004.2445368500003</v>
      </c>
      <c r="W221" s="508">
        <v>300</v>
      </c>
      <c r="X221" s="501">
        <f>AF213*$R$22*$AC221</f>
        <v>642.99697681712257</v>
      </c>
      <c r="Y221" s="501">
        <f t="shared" ref="Y221:AA221" si="214">AG213*$R$22*$AC221</f>
        <v>1452.0778600685164</v>
      </c>
      <c r="Z221" s="501">
        <f t="shared" si="214"/>
        <v>1805.1155591369218</v>
      </c>
      <c r="AA221" s="506">
        <f t="shared" si="214"/>
        <v>2196.9723496594984</v>
      </c>
      <c r="AB221" s="501">
        <f>SUM(X221:AA221)</f>
        <v>6097.1627456820588</v>
      </c>
      <c r="AC221" s="786">
        <v>0.2</v>
      </c>
    </row>
    <row r="222" spans="3:39">
      <c r="L222" s="490"/>
      <c r="M222" s="491">
        <v>2</v>
      </c>
      <c r="N222" s="508">
        <v>50</v>
      </c>
      <c r="O222" s="563">
        <v>550.21741574999987</v>
      </c>
      <c r="P222" s="563">
        <v>949.54840725000088</v>
      </c>
      <c r="Q222" s="563">
        <v>1199.7704452499997</v>
      </c>
      <c r="R222" s="506">
        <v>1866.2805449999983</v>
      </c>
      <c r="S222" s="563">
        <v>907.92030374999933</v>
      </c>
      <c r="T222" s="563">
        <v>1535.8285290000006</v>
      </c>
      <c r="U222" s="563">
        <v>1943.326846500001</v>
      </c>
      <c r="W222" s="508">
        <v>150</v>
      </c>
      <c r="X222" s="501">
        <f t="shared" ref="X222:AA222" si="215">AF214*$R$22*$AC222</f>
        <v>929.13063150074197</v>
      </c>
      <c r="Y222" s="501">
        <f t="shared" si="215"/>
        <v>1958.3690072790719</v>
      </c>
      <c r="Z222" s="501">
        <f t="shared" si="215"/>
        <v>2323.8401302670859</v>
      </c>
      <c r="AA222" s="506">
        <f t="shared" si="215"/>
        <v>2828.3023130480128</v>
      </c>
      <c r="AB222" s="501">
        <f t="shared" ref="AB222:AB224" si="216">SUM(X222:AA222)</f>
        <v>8039.6420820949115</v>
      </c>
      <c r="AC222" s="786">
        <v>0.17</v>
      </c>
    </row>
    <row r="223" spans="3:39">
      <c r="L223" s="490"/>
      <c r="M223" s="70">
        <v>1</v>
      </c>
      <c r="N223" s="549">
        <v>0</v>
      </c>
      <c r="O223" s="622">
        <v>512.87885219999941</v>
      </c>
      <c r="P223" s="622">
        <v>665.03844479999952</v>
      </c>
      <c r="Q223" s="622">
        <v>848.8525800000009</v>
      </c>
      <c r="R223" s="724">
        <v>771.31709160000003</v>
      </c>
      <c r="S223" s="622">
        <v>725.0811984000004</v>
      </c>
      <c r="T223" s="622">
        <v>893.99983380000106</v>
      </c>
      <c r="U223" s="622">
        <v>1036.3443126000009</v>
      </c>
      <c r="W223" s="508">
        <v>50</v>
      </c>
      <c r="X223" s="501">
        <f t="shared" ref="X223:AA223" si="217">AF215*$R$22*$AC223</f>
        <v>1125.2447094299644</v>
      </c>
      <c r="Y223" s="501">
        <f t="shared" si="217"/>
        <v>2516.9349574520957</v>
      </c>
      <c r="Z223" s="501">
        <f t="shared" si="217"/>
        <v>2986.6457432992706</v>
      </c>
      <c r="AA223" s="506">
        <f t="shared" si="217"/>
        <v>3537.7983524609235</v>
      </c>
      <c r="AB223" s="501">
        <f t="shared" si="216"/>
        <v>10166.623762642255</v>
      </c>
      <c r="AC223" s="786">
        <v>0.15</v>
      </c>
    </row>
    <row r="224" spans="3:39">
      <c r="L224" s="490"/>
      <c r="N224" s="548" t="s">
        <v>625</v>
      </c>
      <c r="O224" s="737">
        <f>SUM(O220:O223)</f>
        <v>1629.1519829499994</v>
      </c>
      <c r="P224" s="501">
        <f t="shared" ref="P224:U224" si="218">SUM(P220:P223)</f>
        <v>3075.5536214500007</v>
      </c>
      <c r="Q224" s="501">
        <f t="shared" si="218"/>
        <v>3993.1494890499998</v>
      </c>
      <c r="R224" s="506">
        <f t="shared" si="218"/>
        <v>6012.9945243999973</v>
      </c>
      <c r="S224" s="501">
        <f t="shared" si="218"/>
        <v>2521.3393570499993</v>
      </c>
      <c r="T224" s="501">
        <f t="shared" si="218"/>
        <v>4456.9686025000019</v>
      </c>
      <c r="U224" s="501">
        <f t="shared" si="218"/>
        <v>4738.1673889500025</v>
      </c>
      <c r="W224" s="549">
        <v>0</v>
      </c>
      <c r="X224" s="723">
        <f t="shared" ref="X224:AA224" si="219">AF216*$R$22*$AC224</f>
        <v>1359.2956089913971</v>
      </c>
      <c r="Y224" s="622">
        <f t="shared" si="219"/>
        <v>1815.9270838628272</v>
      </c>
      <c r="Z224" s="622">
        <f t="shared" si="219"/>
        <v>2036.6157688314297</v>
      </c>
      <c r="AA224" s="724">
        <f t="shared" si="219"/>
        <v>2319.2551938821903</v>
      </c>
      <c r="AB224" s="723">
        <f t="shared" si="216"/>
        <v>7531.0936555678436</v>
      </c>
      <c r="AC224" s="786">
        <v>0.12</v>
      </c>
    </row>
    <row r="225" spans="2:32">
      <c r="N225" s="758" t="s">
        <v>464</v>
      </c>
      <c r="O225" s="633">
        <f>O224/O136</f>
        <v>4.3102818781752275E-2</v>
      </c>
      <c r="P225" s="633">
        <f t="shared" ref="P225:U225" si="220">P224/P136</f>
        <v>4.5789987707266437E-2</v>
      </c>
      <c r="Q225" s="633">
        <f t="shared" si="220"/>
        <v>4.8296456634453463E-2</v>
      </c>
      <c r="R225" s="633">
        <f t="shared" si="220"/>
        <v>4.8232933180774429E-2</v>
      </c>
      <c r="S225" s="633">
        <f t="shared" si="220"/>
        <v>4.1553782664046315E-2</v>
      </c>
      <c r="T225" s="633">
        <f t="shared" si="220"/>
        <v>4.4764176478917915E-2</v>
      </c>
      <c r="U225" s="633">
        <f t="shared" si="220"/>
        <v>4.3349450613156731E-2</v>
      </c>
      <c r="W225" s="754" t="s">
        <v>254</v>
      </c>
      <c r="X225" s="501">
        <f>SUM(X221:X224)</f>
        <v>4056.6679267392255</v>
      </c>
      <c r="Y225" s="501">
        <f t="shared" ref="Y225:AA225" si="221">SUM(Y221:Y224)</f>
        <v>7743.3089086625114</v>
      </c>
      <c r="Z225" s="501">
        <f t="shared" si="221"/>
        <v>9152.2172015347096</v>
      </c>
      <c r="AA225" s="506">
        <f t="shared" si="221"/>
        <v>10882.328209050625</v>
      </c>
      <c r="AB225" s="785">
        <f>SUM(AB221:AB224)</f>
        <v>31834.522245987071</v>
      </c>
    </row>
    <row r="226" spans="2:32">
      <c r="W226" s="740" t="s">
        <v>464</v>
      </c>
      <c r="X226" s="768">
        <f>X225/X206</f>
        <v>4.5138512750537291E-2</v>
      </c>
      <c r="Y226" s="768">
        <f t="shared" ref="Y226:AA226" si="222">Y225/Y206</f>
        <v>4.5934827057532018E-2</v>
      </c>
      <c r="Z226" s="768">
        <f t="shared" si="222"/>
        <v>4.6508840057054468E-2</v>
      </c>
      <c r="AA226" s="768">
        <f t="shared" si="222"/>
        <v>4.7124761244732812E-2</v>
      </c>
      <c r="AB226" s="787">
        <f>AB225/SUM(X206:AA206)</f>
        <v>4.6395624021563768E-2</v>
      </c>
    </row>
    <row r="227" spans="2:32">
      <c r="L227" s="771" t="s">
        <v>626</v>
      </c>
      <c r="N227" s="773" t="s">
        <v>466</v>
      </c>
      <c r="O227" s="582">
        <v>1643.6858010000003</v>
      </c>
      <c r="P227" s="582">
        <v>2952.3841702500013</v>
      </c>
      <c r="Q227" s="582">
        <v>3811.1186227500016</v>
      </c>
      <c r="R227" s="582">
        <v>5537.6937555000068</v>
      </c>
      <c r="S227" s="582">
        <v>2542.7067997500008</v>
      </c>
      <c r="T227" s="582">
        <v>4296.1135252499989</v>
      </c>
      <c r="U227" s="582">
        <v>4690.5441277499967</v>
      </c>
    </row>
    <row r="228" spans="2:32">
      <c r="N228" s="773" t="s">
        <v>464</v>
      </c>
      <c r="O228" s="761">
        <f>O227/O136</f>
        <v>4.3487343081616434E-2</v>
      </c>
      <c r="P228" s="761">
        <f t="shared" ref="P228:U228" si="223">P227/P136</f>
        <v>4.395619504729658E-2</v>
      </c>
      <c r="Q228" s="761">
        <f t="shared" si="223"/>
        <v>4.609482459826305E-2</v>
      </c>
      <c r="R228" s="761">
        <f t="shared" si="223"/>
        <v>4.4420331966172205E-2</v>
      </c>
      <c r="S228" s="761">
        <f t="shared" si="223"/>
        <v>4.1905936001739488E-2</v>
      </c>
      <c r="T228" s="761">
        <f t="shared" si="223"/>
        <v>4.3148606411516008E-2</v>
      </c>
      <c r="U228" s="761">
        <f t="shared" si="223"/>
        <v>4.2913745826905055E-2</v>
      </c>
      <c r="V228" s="761"/>
    </row>
    <row r="229" spans="2:32">
      <c r="N229" s="773" t="s">
        <v>627</v>
      </c>
      <c r="O229" s="774">
        <f>O225-O228</f>
        <v>-3.8452429986415848E-4</v>
      </c>
      <c r="P229" s="774">
        <f t="shared" ref="P229:U229" si="224">P225-P228</f>
        <v>1.8337926599698573E-3</v>
      </c>
      <c r="Q229" s="774">
        <f t="shared" si="224"/>
        <v>2.2016320361904138E-3</v>
      </c>
      <c r="R229" s="774">
        <f t="shared" si="224"/>
        <v>3.8126012146022237E-3</v>
      </c>
      <c r="S229" s="774">
        <f t="shared" si="224"/>
        <v>-3.5215333769317292E-4</v>
      </c>
      <c r="T229" s="774">
        <f t="shared" si="224"/>
        <v>1.6155700674019072E-3</v>
      </c>
      <c r="U229" s="774">
        <f t="shared" si="224"/>
        <v>4.3570478625167691E-4</v>
      </c>
    </row>
    <row r="231" spans="2:32" s="714" customFormat="1">
      <c r="O231" s="1136" t="s">
        <v>460</v>
      </c>
      <c r="P231" s="1136"/>
      <c r="Q231" s="1137">
        <f>AB255</f>
        <v>10326.484923149696</v>
      </c>
      <c r="R231" s="1138">
        <f>Q231/SUM($X$57:$AA$57)</f>
        <v>1.5049816304976711E-2</v>
      </c>
    </row>
    <row r="233" spans="2:32">
      <c r="B233" t="s">
        <v>36</v>
      </c>
      <c r="L233" s="544" t="s">
        <v>470</v>
      </c>
      <c r="W233" s="545" t="s">
        <v>471</v>
      </c>
    </row>
    <row r="235" spans="2:32">
      <c r="C235" s="743" t="s">
        <v>616</v>
      </c>
      <c r="D235" s="746" t="s">
        <v>271</v>
      </c>
      <c r="L235" s="80" t="s">
        <v>222</v>
      </c>
      <c r="M235" s="70" t="s">
        <v>20</v>
      </c>
      <c r="N235" s="78" t="s">
        <v>220</v>
      </c>
      <c r="O235" s="71" t="s">
        <v>208</v>
      </c>
      <c r="P235" s="72" t="s">
        <v>209</v>
      </c>
      <c r="Q235" s="72" t="s">
        <v>212</v>
      </c>
      <c r="R235" s="73" t="s">
        <v>211</v>
      </c>
      <c r="S235" s="71" t="s">
        <v>213</v>
      </c>
      <c r="T235" s="72" t="s">
        <v>214</v>
      </c>
      <c r="U235" s="72" t="s">
        <v>210</v>
      </c>
      <c r="W235" s="78"/>
      <c r="X235" s="751" t="s">
        <v>215</v>
      </c>
      <c r="Y235" s="82" t="s">
        <v>216</v>
      </c>
      <c r="Z235" s="82" t="s">
        <v>217</v>
      </c>
      <c r="AA235" s="82" t="s">
        <v>218</v>
      </c>
      <c r="AC235" s="729"/>
      <c r="AD235" s="729"/>
      <c r="AE235" s="729"/>
      <c r="AF235" s="729"/>
    </row>
    <row r="236" spans="2:32">
      <c r="C236" s="750" t="s">
        <v>16</v>
      </c>
      <c r="D236" s="747"/>
      <c r="L236" s="490"/>
      <c r="M236" s="68">
        <v>4</v>
      </c>
      <c r="N236" s="508">
        <v>700</v>
      </c>
      <c r="O236" s="474">
        <v>1.7167381974248927E-2</v>
      </c>
      <c r="P236" s="474">
        <v>6.2068965517241378E-2</v>
      </c>
      <c r="Q236" s="474">
        <v>7.6666666666666661E-2</v>
      </c>
      <c r="R236" s="718">
        <v>0.14715719063545152</v>
      </c>
      <c r="S236" s="474">
        <v>3.5947712418300651E-2</v>
      </c>
      <c r="T236" s="474">
        <v>6.6066066066066062E-2</v>
      </c>
      <c r="U236" s="474">
        <v>5.9259259259259262E-2</v>
      </c>
      <c r="V236" s="704"/>
      <c r="W236" s="753" t="s">
        <v>206</v>
      </c>
      <c r="X236" s="737">
        <f>X206</f>
        <v>89871.546037833032</v>
      </c>
      <c r="Y236" s="501">
        <f t="shared" ref="Y236:AA236" si="225">Y206</f>
        <v>168571.63517703561</v>
      </c>
      <c r="Z236" s="501">
        <f t="shared" si="225"/>
        <v>196784.46485242969</v>
      </c>
      <c r="AA236" s="501">
        <f t="shared" si="225"/>
        <v>230925.90650031052</v>
      </c>
      <c r="AC236" s="794"/>
      <c r="AD236" s="794"/>
      <c r="AE236" s="794"/>
      <c r="AF236" s="794"/>
    </row>
    <row r="237" spans="2:32">
      <c r="C237" s="746" t="s">
        <v>1435</v>
      </c>
      <c r="D237" s="791">
        <v>0.04</v>
      </c>
      <c r="L237" s="490"/>
      <c r="M237" s="68">
        <v>3</v>
      </c>
      <c r="N237" s="508">
        <v>500</v>
      </c>
      <c r="O237" s="474">
        <v>2.575107296137339E-2</v>
      </c>
      <c r="P237" s="474">
        <v>3.793103448275862E-2</v>
      </c>
      <c r="Q237" s="474">
        <v>3.6666666666666667E-2</v>
      </c>
      <c r="R237" s="718">
        <v>8.6956521739130432E-2</v>
      </c>
      <c r="S237" s="474">
        <v>3.5947712418300651E-2</v>
      </c>
      <c r="T237" s="474">
        <v>6.9069069069069067E-2</v>
      </c>
      <c r="U237" s="474">
        <v>7.6543209876543214E-2</v>
      </c>
      <c r="V237" s="704"/>
      <c r="W237" s="754" t="s">
        <v>618</v>
      </c>
      <c r="X237" s="501">
        <f>'[1]AL Promotion &amp; Recruited'!$AB$27</f>
        <v>160.66666666666666</v>
      </c>
      <c r="Y237" s="501">
        <f>'[1]AL Promotion &amp; Recruited'!$AE$27</f>
        <v>169</v>
      </c>
      <c r="Z237" s="501">
        <f>'[1]AL Promotion &amp; Recruited'!$AH$27</f>
        <v>178</v>
      </c>
      <c r="AA237" s="501">
        <f>'[1]AL Promotion &amp; Recruited'!$AK$27</f>
        <v>187</v>
      </c>
      <c r="AC237" s="729"/>
      <c r="AD237" s="729"/>
      <c r="AE237" s="729"/>
      <c r="AF237" s="729"/>
    </row>
    <row r="238" spans="2:32">
      <c r="C238" s="789">
        <v>150</v>
      </c>
      <c r="D238" s="748">
        <v>0.05</v>
      </c>
      <c r="L238" s="490"/>
      <c r="M238" s="491">
        <v>2</v>
      </c>
      <c r="N238" s="508">
        <v>150</v>
      </c>
      <c r="O238" s="602">
        <v>0.23175965665236051</v>
      </c>
      <c r="P238" s="602">
        <v>0.29310344827586204</v>
      </c>
      <c r="Q238" s="602">
        <v>0.34</v>
      </c>
      <c r="R238" s="718">
        <v>0.35785953177257523</v>
      </c>
      <c r="S238" s="602">
        <v>0.29738562091503268</v>
      </c>
      <c r="T238" s="602">
        <v>0.37237237237237236</v>
      </c>
      <c r="U238" s="602">
        <v>0.36543209876543209</v>
      </c>
      <c r="V238" s="704"/>
      <c r="X238" s="442"/>
      <c r="Y238" s="442"/>
      <c r="Z238" s="442"/>
      <c r="AA238" s="442"/>
    </row>
    <row r="239" spans="2:32">
      <c r="C239" s="789">
        <v>500</v>
      </c>
      <c r="D239" s="748">
        <v>0.06</v>
      </c>
      <c r="L239" s="490"/>
      <c r="M239" s="70">
        <v>1</v>
      </c>
      <c r="N239" s="549">
        <v>0</v>
      </c>
      <c r="O239" s="478">
        <v>0.72532188841201717</v>
      </c>
      <c r="P239" s="478">
        <v>0.60689655172413792</v>
      </c>
      <c r="Q239" s="478">
        <v>0.54666666666666663</v>
      </c>
      <c r="R239" s="719">
        <v>0.40802675585284282</v>
      </c>
      <c r="S239" s="478">
        <v>0.63071895424836599</v>
      </c>
      <c r="T239" s="478">
        <v>0.4924924924924925</v>
      </c>
      <c r="U239" s="478">
        <v>0.498765432098765</v>
      </c>
      <c r="V239" s="704"/>
      <c r="X239" s="442"/>
      <c r="Y239" s="442"/>
      <c r="Z239" s="442"/>
      <c r="AA239" s="442"/>
    </row>
    <row r="240" spans="2:32">
      <c r="C240" s="790">
        <v>700</v>
      </c>
      <c r="D240" s="749">
        <v>7.0000000000000007E-2</v>
      </c>
      <c r="L240" s="490"/>
      <c r="N240" s="548"/>
      <c r="R240" s="548"/>
      <c r="AF240" s="759" t="s">
        <v>632</v>
      </c>
    </row>
    <row r="241" spans="12:39">
      <c r="L241" s="490"/>
      <c r="W241" s="80" t="s">
        <v>619</v>
      </c>
      <c r="AB241" s="69" t="s">
        <v>620</v>
      </c>
      <c r="AC241" s="67"/>
      <c r="AD241" s="67"/>
      <c r="AE241" s="67"/>
      <c r="AF241" s="69" t="s">
        <v>509</v>
      </c>
      <c r="AG241" s="67"/>
      <c r="AH241" s="67"/>
      <c r="AI241" s="67"/>
      <c r="AJ241" s="69" t="s">
        <v>621</v>
      </c>
      <c r="AK241" s="67"/>
      <c r="AL241" s="67"/>
      <c r="AM241" s="67"/>
    </row>
    <row r="242" spans="12:39">
      <c r="L242" s="80" t="s">
        <v>223</v>
      </c>
      <c r="M242" s="70" t="s">
        <v>20</v>
      </c>
      <c r="N242" s="78" t="s">
        <v>220</v>
      </c>
      <c r="O242" s="71" t="s">
        <v>208</v>
      </c>
      <c r="P242" s="72" t="s">
        <v>209</v>
      </c>
      <c r="Q242" s="72" t="s">
        <v>212</v>
      </c>
      <c r="R242" s="73" t="s">
        <v>211</v>
      </c>
      <c r="S242" s="71" t="s">
        <v>213</v>
      </c>
      <c r="T242" s="72" t="s">
        <v>214</v>
      </c>
      <c r="U242" s="72" t="s">
        <v>210</v>
      </c>
      <c r="W242" s="78" t="s">
        <v>220</v>
      </c>
      <c r="X242" s="751" t="s">
        <v>215</v>
      </c>
      <c r="Y242" s="82" t="s">
        <v>216</v>
      </c>
      <c r="Z242" s="82" t="s">
        <v>217</v>
      </c>
      <c r="AA242" s="711" t="s">
        <v>218</v>
      </c>
      <c r="AB242" s="82" t="s">
        <v>215</v>
      </c>
      <c r="AC242" s="82" t="s">
        <v>216</v>
      </c>
      <c r="AD242" s="82" t="s">
        <v>217</v>
      </c>
      <c r="AE242" s="711" t="s">
        <v>218</v>
      </c>
      <c r="AF242" s="82" t="s">
        <v>215</v>
      </c>
      <c r="AG242" s="82" t="s">
        <v>216</v>
      </c>
      <c r="AH242" s="82" t="s">
        <v>217</v>
      </c>
      <c r="AI242" s="711" t="s">
        <v>218</v>
      </c>
      <c r="AJ242" s="82" t="s">
        <v>215</v>
      </c>
      <c r="AK242" s="82" t="s">
        <v>216</v>
      </c>
      <c r="AL242" s="82" t="s">
        <v>217</v>
      </c>
      <c r="AM242" s="82" t="s">
        <v>218</v>
      </c>
    </row>
    <row r="243" spans="12:39">
      <c r="L243" s="490"/>
      <c r="M243" s="68">
        <v>4</v>
      </c>
      <c r="N243" s="508">
        <v>700</v>
      </c>
      <c r="O243" s="131">
        <v>0.14868330089722415</v>
      </c>
      <c r="P243" s="131">
        <v>0.34201077841133765</v>
      </c>
      <c r="Q243" s="131">
        <v>0.39268823939594799</v>
      </c>
      <c r="R243" s="555">
        <v>0.48981499192705519</v>
      </c>
      <c r="S243" s="131">
        <v>0.20845293592766009</v>
      </c>
      <c r="T243" s="131">
        <v>0.3137028952042562</v>
      </c>
      <c r="U243" s="131">
        <v>0.2731234975533533</v>
      </c>
      <c r="V243" s="704"/>
      <c r="W243" s="508">
        <v>700</v>
      </c>
      <c r="X243" s="756">
        <v>3.5999999999999997E-2</v>
      </c>
      <c r="Y243" s="474">
        <f>X243*1.9</f>
        <v>6.8399999999999989E-2</v>
      </c>
      <c r="Z243" s="474">
        <v>7.4999999999999997E-2</v>
      </c>
      <c r="AA243" s="718">
        <f>Z243*1.05</f>
        <v>7.8750000000000001E-2</v>
      </c>
      <c r="AB243" s="67">
        <v>900</v>
      </c>
      <c r="AC243" s="501">
        <v>1200</v>
      </c>
      <c r="AD243" s="501">
        <v>1250</v>
      </c>
      <c r="AE243" s="506">
        <v>1300</v>
      </c>
      <c r="AF243" s="501">
        <f>X243*X$237*AB243*3</f>
        <v>15616.8</v>
      </c>
      <c r="AG243" s="501">
        <f>Y243*Y$237*AC243*3</f>
        <v>41614.55999999999</v>
      </c>
      <c r="AH243" s="501">
        <f>Z243*Z$237*AD243*3</f>
        <v>50062.5</v>
      </c>
      <c r="AI243" s="506">
        <f>AA243*AA$237*AE243*3</f>
        <v>57432.375</v>
      </c>
      <c r="AJ243" s="131">
        <f>AF243/AF$217</f>
        <v>0.17976530885235129</v>
      </c>
      <c r="AK243" s="131">
        <f t="shared" ref="AK243:AK246" si="226">AG243/AG$217</f>
        <v>0.25995548854634193</v>
      </c>
      <c r="AL243" s="131">
        <f t="shared" ref="AL243:AL246" si="227">AH243/AH$217</f>
        <v>0.26608723065520001</v>
      </c>
      <c r="AM243" s="131">
        <f t="shared" ref="AM243:AM246" si="228">AI243/AI$217</f>
        <v>0.25784177933434788</v>
      </c>
    </row>
    <row r="244" spans="12:39">
      <c r="L244" s="490"/>
      <c r="M244" s="68">
        <v>3</v>
      </c>
      <c r="N244" s="508">
        <v>500</v>
      </c>
      <c r="O244" s="131">
        <v>0.10440430400749856</v>
      </c>
      <c r="P244" s="131">
        <v>0.10256296718106664</v>
      </c>
      <c r="Q244" s="131">
        <v>9.199866387628948E-2</v>
      </c>
      <c r="R244" s="555">
        <v>0.15184500840893381</v>
      </c>
      <c r="S244" s="131">
        <v>0.13128469467372295</v>
      </c>
      <c r="T244" s="131">
        <v>0.1550491544090658</v>
      </c>
      <c r="U244" s="131">
        <v>0.18697245190216633</v>
      </c>
      <c r="V244" s="704"/>
      <c r="W244" s="508">
        <v>500</v>
      </c>
      <c r="X244" s="756">
        <v>3.7999999999999999E-2</v>
      </c>
      <c r="Y244" s="474">
        <v>7.8E-2</v>
      </c>
      <c r="Z244" s="474">
        <v>8.5000000000000006E-2</v>
      </c>
      <c r="AA244" s="718">
        <f t="shared" ref="AA244:AA245" si="229">Z244*1.05</f>
        <v>8.925000000000001E-2</v>
      </c>
      <c r="AB244" s="67">
        <v>600</v>
      </c>
      <c r="AC244" s="67">
        <v>650</v>
      </c>
      <c r="AD244" s="501">
        <v>670</v>
      </c>
      <c r="AE244" s="506">
        <v>690</v>
      </c>
      <c r="AF244" s="501">
        <f t="shared" ref="AF244:AF246" si="230">X244*X$237*AB244*3</f>
        <v>10989.599999999999</v>
      </c>
      <c r="AG244" s="501">
        <f t="shared" ref="AG244:AG246" si="231">Y244*Y$237*AC244*3</f>
        <v>25704.9</v>
      </c>
      <c r="AH244" s="501">
        <f t="shared" ref="AH244:AH246" si="232">Z244*Z$237*AD244*3</f>
        <v>30411.300000000003</v>
      </c>
      <c r="AI244" s="506">
        <f t="shared" ref="AI244:AI245" si="233">AA244*AA$237*AE244*3</f>
        <v>34547.782500000001</v>
      </c>
      <c r="AJ244" s="131">
        <f t="shared" ref="AJ244:AJ245" si="234">AF244/AF$217</f>
        <v>0.12650151363683979</v>
      </c>
      <c r="AK244" s="131">
        <f t="shared" si="226"/>
        <v>0.16057192092226535</v>
      </c>
      <c r="AL244" s="131">
        <f t="shared" si="227"/>
        <v>0.16163912304867886</v>
      </c>
      <c r="AM244" s="131">
        <f t="shared" si="228"/>
        <v>0.15510174726112311</v>
      </c>
    </row>
    <row r="245" spans="12:39">
      <c r="L245" s="490"/>
      <c r="M245" s="491">
        <v>2</v>
      </c>
      <c r="N245" s="508">
        <v>150</v>
      </c>
      <c r="O245" s="554">
        <v>0.44231699141262382</v>
      </c>
      <c r="P245" s="554">
        <v>0.39037378056292577</v>
      </c>
      <c r="Q245" s="554">
        <v>0.38414799702206492</v>
      </c>
      <c r="R245" s="555">
        <v>0.30137288936009859</v>
      </c>
      <c r="S245" s="554">
        <v>0.46818388598079896</v>
      </c>
      <c r="T245" s="554">
        <v>0.43038748396904081</v>
      </c>
      <c r="U245" s="554">
        <v>0.43162644376931381</v>
      </c>
      <c r="V245" s="704"/>
      <c r="W245" s="508">
        <v>150</v>
      </c>
      <c r="X245" s="756">
        <v>0.3</v>
      </c>
      <c r="Y245" s="474">
        <v>0.38</v>
      </c>
      <c r="Z245" s="474">
        <v>0.4</v>
      </c>
      <c r="AA245" s="718">
        <f t="shared" si="229"/>
        <v>0.42000000000000004</v>
      </c>
      <c r="AB245" s="67">
        <v>250</v>
      </c>
      <c r="AC245" s="67">
        <v>300</v>
      </c>
      <c r="AD245" s="501">
        <v>320</v>
      </c>
      <c r="AE245" s="506">
        <v>340</v>
      </c>
      <c r="AF245" s="501">
        <f t="shared" si="230"/>
        <v>36149.999999999993</v>
      </c>
      <c r="AG245" s="501">
        <f t="shared" si="231"/>
        <v>57798</v>
      </c>
      <c r="AH245" s="501">
        <f t="shared" si="232"/>
        <v>68352</v>
      </c>
      <c r="AI245" s="506">
        <f t="shared" si="233"/>
        <v>80110.8</v>
      </c>
      <c r="AJ245" s="131">
        <f t="shared" si="234"/>
        <v>0.41612340012118348</v>
      </c>
      <c r="AK245" s="131">
        <f t="shared" si="226"/>
        <v>0.36104928964769722</v>
      </c>
      <c r="AL245" s="131">
        <f t="shared" si="227"/>
        <v>0.36329776558789978</v>
      </c>
      <c r="AM245" s="131">
        <f t="shared" si="228"/>
        <v>0.35965622553303905</v>
      </c>
    </row>
    <row r="246" spans="12:39">
      <c r="L246" s="490"/>
      <c r="M246" s="70">
        <v>1</v>
      </c>
      <c r="N246" s="549">
        <v>0</v>
      </c>
      <c r="O246" s="716">
        <v>0.30459540368265348</v>
      </c>
      <c r="P246" s="716">
        <v>0.16505247384467001</v>
      </c>
      <c r="Q246" s="716">
        <v>0.13116509970569765</v>
      </c>
      <c r="R246" s="717">
        <v>5.6967110303912431E-2</v>
      </c>
      <c r="S246" s="716">
        <v>0.19207848341781802</v>
      </c>
      <c r="T246" s="716">
        <v>0.10086046641763709</v>
      </c>
      <c r="U246" s="716">
        <v>0.10827760677516662</v>
      </c>
      <c r="V246" s="704"/>
      <c r="W246" s="549">
        <v>0</v>
      </c>
      <c r="X246" s="757">
        <f>1-SUM(X243:X245)</f>
        <v>0.626</v>
      </c>
      <c r="Y246" s="478">
        <f t="shared" ref="Y246:AA246" si="235">1-SUM(Y243:Y245)</f>
        <v>0.47360000000000002</v>
      </c>
      <c r="Z246" s="478">
        <f t="shared" si="235"/>
        <v>0.43999999999999995</v>
      </c>
      <c r="AA246" s="719">
        <f t="shared" si="235"/>
        <v>0.41199999999999992</v>
      </c>
      <c r="AB246" s="117">
        <v>50</v>
      </c>
      <c r="AC246" s="622">
        <v>70</v>
      </c>
      <c r="AD246" s="622">
        <v>80</v>
      </c>
      <c r="AE246" s="724">
        <v>90</v>
      </c>
      <c r="AF246" s="622">
        <f t="shared" si="230"/>
        <v>15086.6</v>
      </c>
      <c r="AG246" s="622">
        <f t="shared" si="231"/>
        <v>16808.064000000002</v>
      </c>
      <c r="AH246" s="622">
        <f t="shared" si="232"/>
        <v>18796.8</v>
      </c>
      <c r="AI246" s="724">
        <f>AA246*AA$237*AE246*3</f>
        <v>20801.879999999994</v>
      </c>
      <c r="AJ246" s="716">
        <f>AF246/AF$217</f>
        <v>0.17366216565057396</v>
      </c>
      <c r="AK246" s="716">
        <f t="shared" si="226"/>
        <v>0.10499566710877598</v>
      </c>
      <c r="AL246" s="716">
        <f t="shared" si="227"/>
        <v>9.990688553667243E-2</v>
      </c>
      <c r="AM246" s="716">
        <f t="shared" si="228"/>
        <v>9.338972578967146E-2</v>
      </c>
    </row>
    <row r="247" spans="12:39">
      <c r="L247" s="490"/>
      <c r="N247" s="548"/>
      <c r="R247" s="548"/>
      <c r="W247" s="548"/>
      <c r="X247" s="475"/>
      <c r="Y247" s="475"/>
      <c r="Z247" s="475"/>
      <c r="AA247" s="780" t="s">
        <v>631</v>
      </c>
      <c r="AB247" s="776">
        <f>SUMPRODUCT(X243:X246,AB243:AB246)/50</f>
        <v>3.23</v>
      </c>
      <c r="AC247" s="777">
        <f>SUMPRODUCT(Y243:Y246,AC243:AC246)/52</f>
        <v>5.3833076923076915</v>
      </c>
      <c r="AD247" s="777">
        <f>SUMPRODUCT(Z243:Z246,AD243:AD246)/57</f>
        <v>5.5070175438596491</v>
      </c>
      <c r="AE247" s="778">
        <f>SUMPRODUCT(AA243:AA246,AE243:AE246)/60</f>
        <v>5.7306250000000007</v>
      </c>
      <c r="AF247" s="501">
        <f>SUM(AF243:AF246)</f>
        <v>77843</v>
      </c>
      <c r="AG247" s="501">
        <f>SUM(AG243:AG246)</f>
        <v>141925.524</v>
      </c>
      <c r="AH247" s="501">
        <f t="shared" ref="AH247" si="236">SUM(AH243:AH246)</f>
        <v>167622.59999999998</v>
      </c>
      <c r="AI247" s="506">
        <f t="shared" ref="AI247" si="237">SUM(AI243:AI246)</f>
        <v>192892.83750000002</v>
      </c>
      <c r="AJ247" s="67"/>
      <c r="AK247" s="67"/>
      <c r="AL247" s="67"/>
      <c r="AM247" s="67"/>
    </row>
    <row r="248" spans="12:39">
      <c r="L248" s="490"/>
      <c r="AB248" s="779"/>
      <c r="AC248" s="782">
        <f>AC247/AB247-1</f>
        <v>0.66665872826863515</v>
      </c>
      <c r="AD248" s="782">
        <f t="shared" ref="AD248" si="238">AD247/AC247-1</f>
        <v>2.2980267638933016E-2</v>
      </c>
      <c r="AE248" s="782">
        <f t="shared" ref="AE248" si="239">AE247/AD247-1</f>
        <v>4.0604093660401519E-2</v>
      </c>
      <c r="AF248" s="762">
        <v>89961.6481637861</v>
      </c>
      <c r="AG248" s="762">
        <v>168305.54804876004</v>
      </c>
      <c r="AH248" s="762">
        <v>196868.35003694717</v>
      </c>
      <c r="AI248" s="762">
        <v>231274.28524780826</v>
      </c>
    </row>
    <row r="249" spans="12:39">
      <c r="L249" s="80" t="s">
        <v>624</v>
      </c>
      <c r="M249" s="70" t="s">
        <v>20</v>
      </c>
      <c r="N249" s="78" t="s">
        <v>220</v>
      </c>
      <c r="O249" s="71" t="s">
        <v>208</v>
      </c>
      <c r="P249" s="72" t="s">
        <v>209</v>
      </c>
      <c r="Q249" s="72" t="s">
        <v>212</v>
      </c>
      <c r="R249" s="73" t="s">
        <v>211</v>
      </c>
      <c r="S249" s="71" t="s">
        <v>213</v>
      </c>
      <c r="T249" s="72" t="s">
        <v>214</v>
      </c>
      <c r="U249" s="72" t="s">
        <v>210</v>
      </c>
      <c r="W249" s="755" t="s">
        <v>622</v>
      </c>
      <c r="AB249" s="793">
        <v>3.0777047518028069</v>
      </c>
      <c r="AC249" s="792">
        <v>5.274267080157399</v>
      </c>
      <c r="AD249" s="792">
        <v>5.487571900388275</v>
      </c>
      <c r="AE249" s="792">
        <v>5.6270131834306962</v>
      </c>
      <c r="AF249" s="763">
        <f>AF247/AF248</f>
        <v>0.86529094996433775</v>
      </c>
      <c r="AG249" s="763">
        <f t="shared" ref="AG249" si="240">AG247/AG248</f>
        <v>0.84326111435662565</v>
      </c>
      <c r="AH249" s="763">
        <f t="shared" ref="AH249" si="241">AH247/AH248</f>
        <v>0.85144514071734478</v>
      </c>
      <c r="AI249" s="763">
        <f t="shared" ref="AI249" si="242">AI247/AI248</f>
        <v>0.83404360019237389</v>
      </c>
    </row>
    <row r="250" spans="12:39">
      <c r="L250" s="490"/>
      <c r="M250" s="68">
        <v>4</v>
      </c>
      <c r="N250" s="508">
        <v>700</v>
      </c>
      <c r="O250" s="501">
        <v>111.91205760000001</v>
      </c>
      <c r="P250" s="501">
        <v>472.4977624500001</v>
      </c>
      <c r="Q250" s="501">
        <v>654.16910790000009</v>
      </c>
      <c r="R250" s="506">
        <v>1128.6904797000004</v>
      </c>
      <c r="S250" s="501">
        <v>221.38335659999996</v>
      </c>
      <c r="T250" s="501">
        <v>615.20318229999998</v>
      </c>
      <c r="U250" s="501">
        <v>618.54398060000005</v>
      </c>
      <c r="W250" s="78" t="s">
        <v>220</v>
      </c>
      <c r="X250" s="751" t="s">
        <v>215</v>
      </c>
      <c r="Y250" s="82" t="s">
        <v>216</v>
      </c>
      <c r="Z250" s="82" t="s">
        <v>217</v>
      </c>
      <c r="AA250" s="711" t="s">
        <v>218</v>
      </c>
      <c r="AB250" s="751" t="s">
        <v>254</v>
      </c>
      <c r="AC250" s="764" t="s">
        <v>623</v>
      </c>
      <c r="AI250" s="464"/>
    </row>
    <row r="251" spans="12:39">
      <c r="L251" s="490"/>
      <c r="M251" s="68">
        <v>3</v>
      </c>
      <c r="N251" s="508">
        <v>500</v>
      </c>
      <c r="O251" s="501">
        <v>64.017140999999995</v>
      </c>
      <c r="P251" s="501">
        <v>120.264048</v>
      </c>
      <c r="Q251" s="501">
        <v>125.55676199999998</v>
      </c>
      <c r="R251" s="506">
        <v>301.98985349999992</v>
      </c>
      <c r="S251" s="501">
        <v>123.26310599999998</v>
      </c>
      <c r="T251" s="501">
        <v>246.08054069999997</v>
      </c>
      <c r="U251" s="501">
        <v>341.04327419999993</v>
      </c>
      <c r="W251" s="508">
        <v>700</v>
      </c>
      <c r="X251" s="501">
        <f>AF243*$R$22*$AC251</f>
        <v>346.16844287697654</v>
      </c>
      <c r="Y251" s="501">
        <f t="shared" ref="Y251:AA251" si="243">AG243*$R$22*$AC251</f>
        <v>922.44553533441626</v>
      </c>
      <c r="Z251" s="501">
        <f t="shared" si="243"/>
        <v>1109.7060647205983</v>
      </c>
      <c r="AA251" s="506">
        <f t="shared" si="243"/>
        <v>1273.0697597764329</v>
      </c>
      <c r="AB251" s="501">
        <f>SUM(X251:AA251)</f>
        <v>3651.3898027084242</v>
      </c>
      <c r="AC251" s="786">
        <v>7.0000000000000007E-2</v>
      </c>
    </row>
    <row r="252" spans="12:39">
      <c r="L252" s="490"/>
      <c r="M252" s="491">
        <v>2</v>
      </c>
      <c r="N252" s="508">
        <v>150</v>
      </c>
      <c r="O252" s="563">
        <v>221.26533224999997</v>
      </c>
      <c r="P252" s="563">
        <v>370.14942475000009</v>
      </c>
      <c r="Q252" s="563">
        <v>430.51330350000012</v>
      </c>
      <c r="R252" s="506">
        <v>482.35258524999978</v>
      </c>
      <c r="S252" s="563">
        <v>363.10868799999997</v>
      </c>
      <c r="T252" s="563">
        <v>583.92506849999995</v>
      </c>
      <c r="U252" s="563">
        <v>658.39995525000006</v>
      </c>
      <c r="W252" s="508">
        <v>500</v>
      </c>
      <c r="X252" s="501">
        <f t="shared" ref="X252:AA252" si="244">AF244*$R$22*$AC252</f>
        <v>208.80001316389058</v>
      </c>
      <c r="Y252" s="501">
        <f t="shared" si="244"/>
        <v>488.38751714134202</v>
      </c>
      <c r="Z252" s="501">
        <f t="shared" si="244"/>
        <v>577.80809495623373</v>
      </c>
      <c r="AA252" s="506">
        <f t="shared" si="244"/>
        <v>656.40036405176079</v>
      </c>
      <c r="AB252" s="501">
        <f t="shared" ref="AB252:AB254" si="245">SUM(X252:AA252)</f>
        <v>1931.3959893132271</v>
      </c>
      <c r="AC252" s="786">
        <v>0.06</v>
      </c>
    </row>
    <row r="253" spans="12:39">
      <c r="L253" s="490"/>
      <c r="M253" s="70">
        <v>1</v>
      </c>
      <c r="N253" s="549">
        <v>0</v>
      </c>
      <c r="O253" s="622">
        <v>122.72153860000004</v>
      </c>
      <c r="P253" s="622">
        <v>122.26209139999999</v>
      </c>
      <c r="Q253" s="622">
        <v>116.65621659999995</v>
      </c>
      <c r="R253" s="724">
        <v>71.143390399999987</v>
      </c>
      <c r="S253" s="622">
        <v>119.79826260000004</v>
      </c>
      <c r="T253" s="622">
        <v>107.89315420000001</v>
      </c>
      <c r="U253" s="622">
        <v>130.3043844</v>
      </c>
      <c r="W253" s="508">
        <v>150</v>
      </c>
      <c r="X253" s="501">
        <f t="shared" ref="X253:AA253" si="246">AF245*$R$22*$AC253</f>
        <v>572.36845713785794</v>
      </c>
      <c r="Y253" s="501">
        <f t="shared" si="246"/>
        <v>915.12453902223842</v>
      </c>
      <c r="Z253" s="501">
        <f t="shared" si="246"/>
        <v>1082.2276288322787</v>
      </c>
      <c r="AA253" s="506">
        <f t="shared" si="246"/>
        <v>1268.4065005831126</v>
      </c>
      <c r="AB253" s="501">
        <f t="shared" si="245"/>
        <v>3838.1271255754878</v>
      </c>
      <c r="AC253" s="786">
        <v>0.05</v>
      </c>
    </row>
    <row r="254" spans="12:39">
      <c r="L254" s="490"/>
      <c r="N254" s="548" t="s">
        <v>625</v>
      </c>
      <c r="O254" s="737">
        <f>SUM(O250:O253)</f>
        <v>519.91606945000001</v>
      </c>
      <c r="P254" s="501">
        <f t="shared" ref="P254:U254" si="247">SUM(P250:P253)</f>
        <v>1085.1733266000001</v>
      </c>
      <c r="Q254" s="501">
        <f t="shared" si="247"/>
        <v>1326.8953900000001</v>
      </c>
      <c r="R254" s="506">
        <f t="shared" si="247"/>
        <v>1984.1763088500002</v>
      </c>
      <c r="S254" s="501">
        <f t="shared" si="247"/>
        <v>827.55341320000002</v>
      </c>
      <c r="T254" s="501">
        <f t="shared" si="247"/>
        <v>1553.1019457</v>
      </c>
      <c r="U254" s="501">
        <f t="shared" si="247"/>
        <v>1748.29159445</v>
      </c>
      <c r="W254" s="549">
        <v>0</v>
      </c>
      <c r="X254" s="723">
        <f t="shared" ref="X254:AA254" si="248">AF246*$R$22*$AC254</f>
        <v>191.09474888975956</v>
      </c>
      <c r="Y254" s="622">
        <f t="shared" si="248"/>
        <v>212.89971029940529</v>
      </c>
      <c r="Z254" s="622">
        <f t="shared" si="248"/>
        <v>238.09007834310131</v>
      </c>
      <c r="AA254" s="724">
        <f t="shared" si="248"/>
        <v>263.48746802029018</v>
      </c>
      <c r="AB254" s="723">
        <f t="shared" si="245"/>
        <v>905.57200555255633</v>
      </c>
      <c r="AC254" s="786">
        <v>0.04</v>
      </c>
    </row>
    <row r="255" spans="12:39">
      <c r="N255" s="758" t="s">
        <v>464</v>
      </c>
      <c r="O255" s="633">
        <f>O254/O136</f>
        <v>1.3755529476535074E-2</v>
      </c>
      <c r="P255" s="633">
        <f t="shared" ref="P255:U255" si="249">P254/P136</f>
        <v>1.6156464624356166E-2</v>
      </c>
      <c r="Q255" s="633">
        <f t="shared" si="249"/>
        <v>1.6048571644343163E-2</v>
      </c>
      <c r="R255" s="633">
        <f t="shared" si="249"/>
        <v>1.5915970476155943E-2</v>
      </c>
      <c r="S255" s="633">
        <f t="shared" si="249"/>
        <v>1.3638772812889775E-2</v>
      </c>
      <c r="T255" s="633">
        <f t="shared" si="249"/>
        <v>1.5598792764227367E-2</v>
      </c>
      <c r="U255" s="633">
        <f t="shared" si="249"/>
        <v>1.5995103994796207E-2</v>
      </c>
      <c r="W255" s="754" t="s">
        <v>254</v>
      </c>
      <c r="X255" s="501">
        <f>SUM(X251:X254)</f>
        <v>1318.4316620684845</v>
      </c>
      <c r="Y255" s="501">
        <f t="shared" ref="Y255" si="250">SUM(Y251:Y254)</f>
        <v>2538.8573017974022</v>
      </c>
      <c r="Z255" s="501">
        <f t="shared" ref="Z255" si="251">SUM(Z251:Z254)</f>
        <v>3007.831866852212</v>
      </c>
      <c r="AA255" s="506">
        <f t="shared" ref="AA255" si="252">SUM(AA251:AA254)</f>
        <v>3461.3640924315964</v>
      </c>
      <c r="AB255" s="785">
        <f>SUM(AB251:AB254)</f>
        <v>10326.484923149696</v>
      </c>
    </row>
    <row r="256" spans="12:39">
      <c r="W256" s="740" t="s">
        <v>464</v>
      </c>
      <c r="X256" s="768">
        <f>X255/X236</f>
        <v>1.467017894087932E-2</v>
      </c>
      <c r="Y256" s="768">
        <f>Y255/Y236</f>
        <v>1.506099943285873E-2</v>
      </c>
      <c r="Z256" s="768">
        <f>Z255/Z236</f>
        <v>1.5284905081850897E-2</v>
      </c>
      <c r="AA256" s="768">
        <f>AA255/AA236</f>
        <v>1.4989067900127273E-2</v>
      </c>
      <c r="AB256" s="787">
        <f>AB255/SUM(X236:AA236)</f>
        <v>1.5049816304976711E-2</v>
      </c>
    </row>
    <row r="257" spans="2:27">
      <c r="L257" s="771" t="s">
        <v>626</v>
      </c>
      <c r="N257" s="773" t="s">
        <v>466</v>
      </c>
      <c r="O257" s="582">
        <v>507.95205699999997</v>
      </c>
      <c r="P257" s="582">
        <v>960.69548075000012</v>
      </c>
      <c r="Q257" s="582">
        <v>1148.2278577499999</v>
      </c>
      <c r="R257" s="582">
        <v>1629.14752</v>
      </c>
      <c r="S257" s="582">
        <v>773.70674024999983</v>
      </c>
      <c r="T257" s="582">
        <v>1363.2894729999998</v>
      </c>
      <c r="U257" s="582">
        <v>1547.3002932499999</v>
      </c>
    </row>
    <row r="258" spans="2:27">
      <c r="N258" s="773" t="s">
        <v>464</v>
      </c>
      <c r="O258" s="761">
        <f>O257/O136</f>
        <v>1.343899506726455E-2</v>
      </c>
      <c r="P258" s="761">
        <f t="shared" ref="P258:U258" si="253">P257/P136</f>
        <v>1.4303192097567554E-2</v>
      </c>
      <c r="Q258" s="761">
        <f t="shared" si="253"/>
        <v>1.3887618555319227E-2</v>
      </c>
      <c r="R258" s="761">
        <f t="shared" si="253"/>
        <v>1.3068124900982723E-2</v>
      </c>
      <c r="S258" s="761">
        <f t="shared" si="253"/>
        <v>1.2751334579440617E-2</v>
      </c>
      <c r="T258" s="761">
        <f t="shared" si="253"/>
        <v>1.3692385117317633E-2</v>
      </c>
      <c r="U258" s="761">
        <f t="shared" si="253"/>
        <v>1.4156236396879978E-2</v>
      </c>
    </row>
    <row r="259" spans="2:27">
      <c r="N259" s="773" t="s">
        <v>627</v>
      </c>
      <c r="O259" s="774">
        <f>O255-O258</f>
        <v>3.1653440927052398E-4</v>
      </c>
      <c r="P259" s="774">
        <f t="shared" ref="P259" si="254">P255-P258</f>
        <v>1.8532725267886123E-3</v>
      </c>
      <c r="Q259" s="774">
        <f t="shared" ref="Q259" si="255">Q255-Q258</f>
        <v>2.160953089023936E-3</v>
      </c>
      <c r="R259" s="774">
        <f t="shared" ref="R259" si="256">R255-R258</f>
        <v>2.8478455751732197E-3</v>
      </c>
      <c r="S259" s="774">
        <f t="shared" ref="S259" si="257">S255-S258</f>
        <v>8.8743823344915838E-4</v>
      </c>
      <c r="T259" s="774">
        <f t="shared" ref="T259" si="258">T255-T258</f>
        <v>1.9064076469097347E-3</v>
      </c>
      <c r="U259" s="774">
        <f t="shared" ref="U259" si="259">U255-U258</f>
        <v>1.8388675979162297E-3</v>
      </c>
    </row>
    <row r="262" spans="2:27" s="45" customFormat="1">
      <c r="B262" s="44" t="s">
        <v>186</v>
      </c>
      <c r="O262" s="1136" t="s">
        <v>460</v>
      </c>
      <c r="P262" s="1136"/>
      <c r="Q262" s="1137">
        <f>Y269+Y276+Y270</f>
        <v>7754.2999999999993</v>
      </c>
      <c r="R262" s="1138">
        <f>Q262/SUM($X$57:$AA$57)</f>
        <v>1.1301114700905003E-2</v>
      </c>
    </row>
    <row r="264" spans="2:27">
      <c r="C264" s="1" t="s">
        <v>389</v>
      </c>
      <c r="D264" s="141"/>
      <c r="E264" s="141"/>
      <c r="F264" s="141"/>
      <c r="G264" s="141"/>
    </row>
    <row r="265" spans="2:27">
      <c r="C265" s="141"/>
      <c r="D265" s="141"/>
      <c r="E265" s="141"/>
      <c r="F265" s="141"/>
      <c r="G265" s="141"/>
      <c r="W265" s="545"/>
    </row>
    <row r="266" spans="2:27">
      <c r="C266" s="140" t="s">
        <v>391</v>
      </c>
      <c r="D266" s="141"/>
      <c r="E266" s="141"/>
      <c r="F266" s="891">
        <v>1</v>
      </c>
      <c r="G266" s="141" t="s">
        <v>714</v>
      </c>
      <c r="L266" s="67"/>
      <c r="M266" s="74" t="s">
        <v>479</v>
      </c>
      <c r="N266" s="74" t="s">
        <v>480</v>
      </c>
      <c r="O266" s="74" t="s">
        <v>481</v>
      </c>
      <c r="P266" s="74" t="s">
        <v>482</v>
      </c>
      <c r="Q266" s="74" t="s">
        <v>483</v>
      </c>
      <c r="R266" s="74" t="s">
        <v>484</v>
      </c>
      <c r="S266" s="74" t="s">
        <v>485</v>
      </c>
      <c r="T266" s="74" t="s">
        <v>486</v>
      </c>
      <c r="U266" s="74" t="s">
        <v>487</v>
      </c>
      <c r="V266" s="74" t="s">
        <v>488</v>
      </c>
      <c r="W266" s="74" t="s">
        <v>489</v>
      </c>
      <c r="X266" s="74" t="s">
        <v>490</v>
      </c>
      <c r="Y266" s="74" t="s">
        <v>254</v>
      </c>
    </row>
    <row r="267" spans="2:27">
      <c r="C267" s="140"/>
      <c r="D267" s="141"/>
      <c r="E267" s="141"/>
      <c r="F267" s="141"/>
      <c r="G267" s="141"/>
      <c r="L267" s="74" t="s">
        <v>712</v>
      </c>
      <c r="M267" s="67">
        <f>'[1]AL Promotion &amp; Recruited'!Z17</f>
        <v>216</v>
      </c>
      <c r="N267" s="67">
        <f>'[1]AL Promotion &amp; Recruited'!AA17</f>
        <v>248</v>
      </c>
      <c r="O267" s="67">
        <f>'[1]AL Promotion &amp; Recruited'!AB17</f>
        <v>280</v>
      </c>
      <c r="P267" s="67">
        <f>'[1]AL Promotion &amp; Recruited'!AC17</f>
        <v>212</v>
      </c>
      <c r="Q267" s="67">
        <f>'[1]AL Promotion &amp; Recruited'!AD17</f>
        <v>253</v>
      </c>
      <c r="R267" s="67">
        <f>'[1]AL Promotion &amp; Recruited'!AE17</f>
        <v>297</v>
      </c>
      <c r="S267" s="67">
        <f>'[1]AL Promotion &amp; Recruited'!AF17</f>
        <v>226</v>
      </c>
      <c r="T267" s="67">
        <f>'[1]AL Promotion &amp; Recruited'!AG17</f>
        <v>272</v>
      </c>
      <c r="U267" s="67">
        <f>'[1]AL Promotion &amp; Recruited'!AH17</f>
        <v>320</v>
      </c>
      <c r="V267" s="67">
        <f>'[1]AL Promotion &amp; Recruited'!AI17</f>
        <v>243</v>
      </c>
      <c r="W267" s="67">
        <f>'[1]AL Promotion &amp; Recruited'!AJ17</f>
        <v>293</v>
      </c>
      <c r="X267" s="67">
        <f>'[1]AL Promotion &amp; Recruited'!AK17</f>
        <v>343</v>
      </c>
      <c r="Y267" s="503"/>
      <c r="Z267" s="503"/>
      <c r="AA267" s="503"/>
    </row>
    <row r="268" spans="2:27">
      <c r="C268" s="140" t="s">
        <v>390</v>
      </c>
      <c r="D268" s="141"/>
      <c r="E268" s="141"/>
      <c r="F268" s="141"/>
      <c r="G268" s="141"/>
      <c r="L268" s="74" t="s">
        <v>713</v>
      </c>
      <c r="M268" s="67">
        <f>'[1]AL Promotion &amp; Recruited'!Z40</f>
        <v>13</v>
      </c>
      <c r="N268" s="67">
        <f>'[1]AL Promotion &amp; Recruited'!AA40</f>
        <v>20</v>
      </c>
      <c r="O268" s="67">
        <f>'[1]AL Promotion &amp; Recruited'!AB40</f>
        <v>24</v>
      </c>
      <c r="P268" s="67">
        <f>'[1]AL Promotion &amp; Recruited'!AC40</f>
        <v>43</v>
      </c>
      <c r="Q268" s="67">
        <f>'[1]AL Promotion &amp; Recruited'!AD40</f>
        <v>12</v>
      </c>
      <c r="R268" s="67">
        <f>'[1]AL Promotion &amp; Recruited'!AE40</f>
        <v>24</v>
      </c>
      <c r="S268" s="67">
        <f>'[1]AL Promotion &amp; Recruited'!AF40</f>
        <v>39</v>
      </c>
      <c r="T268" s="67">
        <f>'[1]AL Promotion &amp; Recruited'!AG40</f>
        <v>11</v>
      </c>
      <c r="U268" s="67">
        <f>'[1]AL Promotion &amp; Recruited'!AH40</f>
        <v>28</v>
      </c>
      <c r="V268" s="67">
        <f>'[1]AL Promotion &amp; Recruited'!AI40</f>
        <v>55</v>
      </c>
      <c r="W268" s="67">
        <f>'[1]AL Promotion &amp; Recruited'!AJ40</f>
        <v>17</v>
      </c>
      <c r="X268" s="67">
        <f>'[1]AL Promotion &amp; Recruited'!AK40</f>
        <v>23</v>
      </c>
      <c r="Y268" s="814"/>
      <c r="Z268" s="814"/>
      <c r="AA268" s="814"/>
    </row>
    <row r="269" spans="2:27">
      <c r="C269" s="243"/>
      <c r="D269" s="243"/>
      <c r="E269" s="884"/>
      <c r="F269" s="885"/>
      <c r="G269" s="886"/>
      <c r="L269" s="74" t="s">
        <v>554</v>
      </c>
      <c r="M269" s="501">
        <f>M267*$F$266</f>
        <v>216</v>
      </c>
      <c r="N269" s="501">
        <f t="shared" ref="N269:X269" si="260">N267*$F$266</f>
        <v>248</v>
      </c>
      <c r="O269" s="501">
        <f t="shared" si="260"/>
        <v>280</v>
      </c>
      <c r="P269" s="501">
        <f t="shared" si="260"/>
        <v>212</v>
      </c>
      <c r="Q269" s="501">
        <f t="shared" si="260"/>
        <v>253</v>
      </c>
      <c r="R269" s="501">
        <f t="shared" si="260"/>
        <v>297</v>
      </c>
      <c r="S269" s="501">
        <f t="shared" si="260"/>
        <v>226</v>
      </c>
      <c r="T269" s="501">
        <f t="shared" si="260"/>
        <v>272</v>
      </c>
      <c r="U269" s="501">
        <f t="shared" si="260"/>
        <v>320</v>
      </c>
      <c r="V269" s="501">
        <f t="shared" si="260"/>
        <v>243</v>
      </c>
      <c r="W269" s="501">
        <f t="shared" si="260"/>
        <v>293</v>
      </c>
      <c r="X269" s="501">
        <f t="shared" si="260"/>
        <v>343</v>
      </c>
      <c r="Y269" s="1139">
        <f>SUM(M269:X269)</f>
        <v>3203</v>
      </c>
      <c r="Z269" s="563"/>
      <c r="AA269" s="563"/>
    </row>
    <row r="270" spans="2:27">
      <c r="C270" s="243"/>
      <c r="D270" s="143" t="s">
        <v>709</v>
      </c>
      <c r="E270" s="887"/>
      <c r="F270" s="892">
        <v>1</v>
      </c>
      <c r="G270" s="890" t="s">
        <v>715</v>
      </c>
      <c r="L270" s="74" t="s">
        <v>716</v>
      </c>
      <c r="M270" s="501">
        <f>M267*30%*3*$F$270</f>
        <v>194.39999999999998</v>
      </c>
      <c r="N270" s="501">
        <f t="shared" ref="N270:X270" si="261">N267*30%*3*$F$270</f>
        <v>223.2</v>
      </c>
      <c r="O270" s="501">
        <f t="shared" si="261"/>
        <v>252</v>
      </c>
      <c r="P270" s="501">
        <f t="shared" si="261"/>
        <v>190.79999999999998</v>
      </c>
      <c r="Q270" s="501">
        <f t="shared" si="261"/>
        <v>227.7</v>
      </c>
      <c r="R270" s="501">
        <f t="shared" si="261"/>
        <v>267.29999999999995</v>
      </c>
      <c r="S270" s="501">
        <f t="shared" si="261"/>
        <v>203.39999999999998</v>
      </c>
      <c r="T270" s="501">
        <f t="shared" si="261"/>
        <v>244.79999999999998</v>
      </c>
      <c r="U270" s="501">
        <f t="shared" si="261"/>
        <v>288</v>
      </c>
      <c r="V270" s="501">
        <f t="shared" si="261"/>
        <v>218.7</v>
      </c>
      <c r="W270" s="501">
        <f t="shared" si="261"/>
        <v>263.7</v>
      </c>
      <c r="X270" s="501">
        <f t="shared" si="261"/>
        <v>308.7</v>
      </c>
      <c r="Y270" s="1139">
        <f>SUM(M270:X270)</f>
        <v>2882.6999999999989</v>
      </c>
      <c r="Z270" s="12"/>
      <c r="AA270" s="12"/>
    </row>
    <row r="271" spans="2:27">
      <c r="C271" s="243"/>
      <c r="D271" s="143"/>
      <c r="E271" s="887"/>
      <c r="F271" s="887"/>
      <c r="G271" s="888"/>
      <c r="L271" s="67"/>
      <c r="M271" s="131"/>
      <c r="N271" s="131"/>
      <c r="O271" s="131"/>
      <c r="P271" s="131"/>
      <c r="Q271" s="131"/>
      <c r="R271" s="131"/>
      <c r="S271" s="131"/>
      <c r="T271" s="131"/>
      <c r="U271" s="131"/>
      <c r="V271" s="131"/>
      <c r="W271" s="131"/>
      <c r="X271" s="131"/>
      <c r="Y271" s="67"/>
    </row>
    <row r="272" spans="2:27">
      <c r="C272" s="243"/>
      <c r="D272" s="143" t="s">
        <v>1436</v>
      </c>
      <c r="E272" s="887"/>
      <c r="F272" s="887"/>
      <c r="G272" s="888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</row>
    <row r="273" spans="2:25">
      <c r="C273" s="243"/>
      <c r="D273" s="143"/>
      <c r="E273" s="887"/>
      <c r="F273" s="887"/>
      <c r="G273" s="888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</row>
    <row r="274" spans="2:25">
      <c r="C274" s="243"/>
      <c r="D274" s="143"/>
      <c r="E274" s="887"/>
      <c r="F274" s="887"/>
      <c r="G274" s="888"/>
      <c r="H274" s="464"/>
      <c r="L274" s="74" t="s">
        <v>1423</v>
      </c>
      <c r="M274" s="501">
        <f>M268*20%</f>
        <v>2.6</v>
      </c>
      <c r="N274" s="501">
        <f t="shared" ref="N274:X274" si="262">N268*20%</f>
        <v>4</v>
      </c>
      <c r="O274" s="501">
        <f t="shared" si="262"/>
        <v>4.8000000000000007</v>
      </c>
      <c r="P274" s="501">
        <f t="shared" si="262"/>
        <v>8.6</v>
      </c>
      <c r="Q274" s="501">
        <f t="shared" si="262"/>
        <v>2.4000000000000004</v>
      </c>
      <c r="R274" s="501">
        <f t="shared" si="262"/>
        <v>4.8000000000000007</v>
      </c>
      <c r="S274" s="501">
        <f t="shared" si="262"/>
        <v>7.8000000000000007</v>
      </c>
      <c r="T274" s="501">
        <f t="shared" si="262"/>
        <v>2.2000000000000002</v>
      </c>
      <c r="U274" s="501">
        <f t="shared" si="262"/>
        <v>5.6000000000000005</v>
      </c>
      <c r="V274" s="501">
        <f t="shared" si="262"/>
        <v>11</v>
      </c>
      <c r="W274" s="501">
        <f t="shared" si="262"/>
        <v>3.4000000000000004</v>
      </c>
      <c r="X274" s="501">
        <f t="shared" si="262"/>
        <v>4.6000000000000005</v>
      </c>
      <c r="Y274" s="67"/>
    </row>
    <row r="275" spans="2:25">
      <c r="C275" s="140" t="s">
        <v>531</v>
      </c>
      <c r="D275" s="141"/>
      <c r="E275" s="141"/>
      <c r="F275" s="141"/>
      <c r="G275" s="1441"/>
      <c r="L275" s="74" t="s">
        <v>1424</v>
      </c>
      <c r="M275" s="501">
        <f>M268*50%</f>
        <v>6.5</v>
      </c>
      <c r="N275" s="501">
        <f t="shared" ref="N275:X275" si="263">N268*50%</f>
        <v>10</v>
      </c>
      <c r="O275" s="501">
        <f t="shared" si="263"/>
        <v>12</v>
      </c>
      <c r="P275" s="501">
        <f t="shared" si="263"/>
        <v>21.5</v>
      </c>
      <c r="Q275" s="501">
        <f t="shared" si="263"/>
        <v>6</v>
      </c>
      <c r="R275" s="501">
        <f t="shared" si="263"/>
        <v>12</v>
      </c>
      <c r="S275" s="501">
        <f t="shared" si="263"/>
        <v>19.5</v>
      </c>
      <c r="T275" s="501">
        <f t="shared" si="263"/>
        <v>5.5</v>
      </c>
      <c r="U275" s="501">
        <f t="shared" si="263"/>
        <v>14</v>
      </c>
      <c r="V275" s="501">
        <f t="shared" si="263"/>
        <v>27.5</v>
      </c>
      <c r="W275" s="501">
        <f t="shared" si="263"/>
        <v>8.5</v>
      </c>
      <c r="X275" s="501">
        <f t="shared" si="263"/>
        <v>11.5</v>
      </c>
      <c r="Y275" s="67"/>
    </row>
    <row r="276" spans="2:25">
      <c r="C276" s="141"/>
      <c r="D276" s="141"/>
      <c r="E276" s="141"/>
      <c r="F276" s="141"/>
      <c r="G276" s="889"/>
      <c r="L276" s="490" t="s">
        <v>531</v>
      </c>
      <c r="M276" s="847">
        <f>M274*$F$277+M275*$F$278</f>
        <v>70.2</v>
      </c>
      <c r="N276" s="442">
        <f t="shared" ref="N276:W276" si="264">N274*$F$277+N275*$F$278</f>
        <v>108</v>
      </c>
      <c r="O276" s="442">
        <f t="shared" si="264"/>
        <v>129.60000000000002</v>
      </c>
      <c r="P276" s="442">
        <f t="shared" si="264"/>
        <v>232.2</v>
      </c>
      <c r="Q276" s="442">
        <f t="shared" si="264"/>
        <v>64.800000000000011</v>
      </c>
      <c r="R276" s="442">
        <f t="shared" si="264"/>
        <v>129.60000000000002</v>
      </c>
      <c r="S276" s="442">
        <f t="shared" si="264"/>
        <v>210.60000000000002</v>
      </c>
      <c r="T276" s="442">
        <f t="shared" si="264"/>
        <v>59.400000000000006</v>
      </c>
      <c r="U276" s="442">
        <f t="shared" si="264"/>
        <v>151.19999999999999</v>
      </c>
      <c r="V276" s="442">
        <f t="shared" si="264"/>
        <v>297</v>
      </c>
      <c r="W276" s="442">
        <f t="shared" si="264"/>
        <v>91.800000000000011</v>
      </c>
      <c r="X276" s="442">
        <f>X274*$F$277+X275*$F$278</f>
        <v>124.2</v>
      </c>
      <c r="Y276" s="1147">
        <f>SUM(M276:X276)</f>
        <v>1668.6</v>
      </c>
    </row>
    <row r="277" spans="2:25">
      <c r="C277" s="141" t="s">
        <v>532</v>
      </c>
      <c r="D277" s="141"/>
      <c r="E277" s="141"/>
      <c r="F277" s="1438">
        <v>12</v>
      </c>
      <c r="G277" s="219" t="s">
        <v>1422</v>
      </c>
    </row>
    <row r="278" spans="2:25">
      <c r="C278" s="141" t="s">
        <v>533</v>
      </c>
      <c r="D278" s="141"/>
      <c r="E278" s="141"/>
      <c r="F278" s="1438">
        <v>6</v>
      </c>
      <c r="G278" s="141" t="s">
        <v>1422</v>
      </c>
      <c r="M278" s="464"/>
      <c r="N278" s="464"/>
    </row>
    <row r="279" spans="2:25">
      <c r="G279" s="141"/>
    </row>
    <row r="280" spans="2:25">
      <c r="G280" s="141"/>
    </row>
    <row r="281" spans="2:25">
      <c r="G281" s="141"/>
    </row>
    <row r="282" spans="2:25">
      <c r="G282" s="141"/>
    </row>
    <row r="283" spans="2:25" s="45" customFormat="1">
      <c r="B283" s="44" t="s">
        <v>1437</v>
      </c>
      <c r="O283" s="1136" t="s">
        <v>460</v>
      </c>
      <c r="P283" s="1136"/>
      <c r="Q283" s="1137">
        <f>R288</f>
        <v>1062.8333333333333</v>
      </c>
      <c r="R283" s="1138">
        <f>Q283/SUM($X$57:$AA$57)</f>
        <v>1.5489730095489215E-3</v>
      </c>
    </row>
    <row r="285" spans="2:25">
      <c r="C285" t="s">
        <v>1237</v>
      </c>
      <c r="P285" s="490" t="s">
        <v>219</v>
      </c>
      <c r="Q285" s="490" t="s">
        <v>1240</v>
      </c>
      <c r="R285" s="490" t="s">
        <v>466</v>
      </c>
    </row>
    <row r="286" spans="2:25">
      <c r="C286" t="s">
        <v>1238</v>
      </c>
      <c r="O286" t="s">
        <v>1238</v>
      </c>
      <c r="P286">
        <v>130</v>
      </c>
      <c r="Q286">
        <v>3.5</v>
      </c>
      <c r="R286" s="442">
        <f>Q286*P286</f>
        <v>455</v>
      </c>
    </row>
    <row r="287" spans="2:25">
      <c r="C287" t="s">
        <v>1239</v>
      </c>
      <c r="O287" t="s">
        <v>1239</v>
      </c>
      <c r="P287" s="442">
        <f>AVERAGE('[1]AL Promotion &amp; Recruited'!$Z$20:$AK$20)+AVERAGE('[1]AL Promotion &amp; Recruited'!$Z$21:$AK$21)</f>
        <v>173.66666666666666</v>
      </c>
      <c r="Q287">
        <v>3.5</v>
      </c>
      <c r="R287" s="442">
        <f>Q287*P287</f>
        <v>607.83333333333326</v>
      </c>
    </row>
    <row r="288" spans="2:25">
      <c r="R288" s="876">
        <f>SUM(R286:R287)</f>
        <v>1062.8333333333333</v>
      </c>
    </row>
    <row r="292" spans="2:32" s="45" customFormat="1">
      <c r="B292" s="44" t="s">
        <v>74</v>
      </c>
      <c r="O292" s="1136" t="s">
        <v>460</v>
      </c>
      <c r="P292" s="1136"/>
      <c r="Q292" s="1137">
        <f>AC355+AJ355+AQ355+AX355</f>
        <v>21120.698756170554</v>
      </c>
      <c r="R292" s="1138">
        <f>Q292/SUM($X$57:$AA$57)</f>
        <v>3.0781300595378706E-2</v>
      </c>
    </row>
    <row r="294" spans="2:32" ht="18">
      <c r="B294" s="258" t="s">
        <v>651</v>
      </c>
      <c r="L294" s="544" t="s">
        <v>470</v>
      </c>
      <c r="M294" s="2"/>
      <c r="N294" s="2"/>
      <c r="O294" s="2"/>
      <c r="P294" s="2"/>
      <c r="Q294" s="2"/>
      <c r="R294" s="2"/>
      <c r="S294" s="85"/>
      <c r="T294" s="85"/>
      <c r="U294" s="85"/>
      <c r="W294" s="545" t="s">
        <v>471</v>
      </c>
      <c r="Y294" s="442"/>
      <c r="Z294" s="442"/>
      <c r="AA294" s="442"/>
      <c r="AB294" s="442"/>
    </row>
    <row r="295" spans="2:32" ht="18">
      <c r="L295" s="2"/>
      <c r="M295" s="2"/>
      <c r="N295" s="2"/>
      <c r="O295" s="2"/>
      <c r="P295" s="2"/>
      <c r="Q295" s="2"/>
      <c r="R295" s="2"/>
      <c r="S295" s="85"/>
      <c r="T295" s="85"/>
      <c r="U295" s="85"/>
    </row>
    <row r="296" spans="2:32" ht="18">
      <c r="D296" s="141"/>
      <c r="E296" s="141"/>
      <c r="F296" s="141"/>
      <c r="G296" s="141"/>
      <c r="H296" s="141"/>
      <c r="L296" s="2"/>
      <c r="M296" s="2"/>
      <c r="N296" s="2"/>
      <c r="O296" s="2"/>
      <c r="P296" s="2"/>
      <c r="Q296" s="2"/>
      <c r="R296" s="2"/>
      <c r="S296" s="85"/>
      <c r="T296" s="85"/>
      <c r="U296" s="85"/>
    </row>
    <row r="297" spans="2:32">
      <c r="C297" s="261" t="s">
        <v>52</v>
      </c>
      <c r="D297" s="231"/>
      <c r="E297" s="231"/>
      <c r="F297" s="231"/>
      <c r="G297" s="231"/>
      <c r="H297" s="141"/>
      <c r="L297" s="2"/>
      <c r="M297" s="2"/>
      <c r="N297" s="507"/>
      <c r="O297" s="504" t="s">
        <v>208</v>
      </c>
      <c r="P297" s="504" t="s">
        <v>209</v>
      </c>
      <c r="Q297" s="504" t="s">
        <v>212</v>
      </c>
      <c r="R297" s="505" t="s">
        <v>211</v>
      </c>
      <c r="S297" s="82" t="s">
        <v>213</v>
      </c>
      <c r="T297" s="82" t="s">
        <v>214</v>
      </c>
      <c r="U297" s="82" t="s">
        <v>210</v>
      </c>
      <c r="X297" s="810"/>
      <c r="Y297" s="82" t="s">
        <v>215</v>
      </c>
      <c r="Z297" s="82" t="s">
        <v>216</v>
      </c>
      <c r="AA297" s="82" t="s">
        <v>217</v>
      </c>
      <c r="AB297" s="82" t="s">
        <v>218</v>
      </c>
      <c r="AE297" s="549" t="s">
        <v>222</v>
      </c>
      <c r="AF297" s="713"/>
    </row>
    <row r="298" spans="2:32" ht="14.25" customHeight="1">
      <c r="C298" s="231"/>
      <c r="D298" s="231"/>
      <c r="E298" s="231"/>
      <c r="F298" s="231"/>
      <c r="G298" s="231"/>
      <c r="H298" s="141"/>
      <c r="N298" s="508" t="s">
        <v>633</v>
      </c>
      <c r="O298" s="501">
        <v>585</v>
      </c>
      <c r="P298" s="501">
        <v>722</v>
      </c>
      <c r="Q298" s="501">
        <v>817</v>
      </c>
      <c r="R298" s="506">
        <v>856</v>
      </c>
      <c r="S298" s="502">
        <v>885</v>
      </c>
      <c r="T298" s="502">
        <v>1124</v>
      </c>
      <c r="U298" s="502">
        <v>1341</v>
      </c>
      <c r="X298" s="75" t="s">
        <v>633</v>
      </c>
      <c r="Y298" s="737">
        <f>X207</f>
        <v>1880.1296112528416</v>
      </c>
      <c r="Z298" s="737">
        <f>Y207</f>
        <v>2021.8524910480076</v>
      </c>
      <c r="AA298" s="737">
        <f>Z207</f>
        <v>2197.0429592167034</v>
      </c>
      <c r="AB298" s="737">
        <f>AA207</f>
        <v>2383.2262479493688</v>
      </c>
      <c r="AC298" s="67"/>
      <c r="AE298" s="1504">
        <v>600</v>
      </c>
    </row>
    <row r="299" spans="2:32">
      <c r="C299" s="261" t="s">
        <v>53</v>
      </c>
      <c r="D299" s="262"/>
      <c r="E299" s="262"/>
      <c r="F299" s="262"/>
      <c r="G299" s="262"/>
      <c r="H299" s="141"/>
      <c r="N299" s="508" t="s">
        <v>584</v>
      </c>
      <c r="O299" s="501">
        <v>37796.877999999997</v>
      </c>
      <c r="P299" s="501">
        <v>67166.509000000005</v>
      </c>
      <c r="Q299" s="501">
        <v>82679.967999999993</v>
      </c>
      <c r="R299" s="506">
        <v>124665.7445</v>
      </c>
      <c r="S299" s="502">
        <v>60676.530400000003</v>
      </c>
      <c r="T299" s="502">
        <v>99565.522100000002</v>
      </c>
      <c r="U299" s="502">
        <v>109301.67099999994</v>
      </c>
      <c r="X299" s="75" t="s">
        <v>206</v>
      </c>
      <c r="Y299" s="737">
        <f>X206</f>
        <v>89871.546037833032</v>
      </c>
      <c r="Z299" s="737">
        <f>Y206</f>
        <v>168571.63517703561</v>
      </c>
      <c r="AA299" s="737">
        <f>Z206</f>
        <v>196784.46485242969</v>
      </c>
      <c r="AB299" s="737">
        <f>AA206</f>
        <v>230925.90650031052</v>
      </c>
      <c r="AC299" s="67"/>
      <c r="AE299" s="1504">
        <v>360</v>
      </c>
    </row>
    <row r="300" spans="2:32">
      <c r="C300" s="1635" t="s">
        <v>54</v>
      </c>
      <c r="D300" s="1636"/>
      <c r="E300" s="1637" t="s">
        <v>55</v>
      </c>
      <c r="F300" s="1638"/>
      <c r="G300" s="1638"/>
      <c r="H300" s="1639"/>
      <c r="M300" s="68"/>
      <c r="AE300" s="1504">
        <v>240</v>
      </c>
    </row>
    <row r="301" spans="2:32" ht="29.25">
      <c r="C301" s="263" t="s">
        <v>56</v>
      </c>
      <c r="D301" s="264"/>
      <c r="E301" s="265">
        <v>6</v>
      </c>
      <c r="F301" s="468">
        <v>10</v>
      </c>
      <c r="G301" s="267">
        <v>18</v>
      </c>
      <c r="H301" s="267">
        <v>24</v>
      </c>
      <c r="AE301" s="1504">
        <v>120</v>
      </c>
      <c r="AF301" s="866"/>
    </row>
    <row r="302" spans="2:32">
      <c r="C302" s="268" t="s">
        <v>57</v>
      </c>
      <c r="D302" s="269">
        <v>600</v>
      </c>
      <c r="E302" s="270">
        <v>0.2</v>
      </c>
      <c r="F302" s="270">
        <v>0.23</v>
      </c>
      <c r="G302" s="270">
        <v>0.26</v>
      </c>
      <c r="H302" s="270">
        <v>0.3</v>
      </c>
      <c r="L302" s="80" t="s">
        <v>634</v>
      </c>
      <c r="M302" s="70" t="s">
        <v>20</v>
      </c>
      <c r="N302" s="78" t="s">
        <v>220</v>
      </c>
      <c r="O302" s="71" t="s">
        <v>208</v>
      </c>
      <c r="P302" s="72" t="s">
        <v>209</v>
      </c>
      <c r="Q302" s="72" t="s">
        <v>212</v>
      </c>
      <c r="R302" s="73" t="s">
        <v>211</v>
      </c>
      <c r="S302" s="71" t="s">
        <v>213</v>
      </c>
      <c r="T302" s="72" t="s">
        <v>214</v>
      </c>
      <c r="U302" s="72" t="s">
        <v>210</v>
      </c>
      <c r="W302" s="714"/>
      <c r="X302" s="711" t="s">
        <v>477</v>
      </c>
      <c r="Y302" s="82" t="s">
        <v>215</v>
      </c>
      <c r="Z302" s="82" t="s">
        <v>216</v>
      </c>
      <c r="AA302" s="82" t="s">
        <v>217</v>
      </c>
      <c r="AB302" s="82" t="s">
        <v>218</v>
      </c>
      <c r="AE302" s="1610">
        <v>0</v>
      </c>
      <c r="AF302" s="714"/>
    </row>
    <row r="303" spans="2:32">
      <c r="C303" s="271" t="s">
        <v>17</v>
      </c>
      <c r="D303" s="272">
        <v>360</v>
      </c>
      <c r="E303" s="270">
        <v>0.15</v>
      </c>
      <c r="F303" s="270">
        <v>0.18</v>
      </c>
      <c r="G303" s="270">
        <v>0.21</v>
      </c>
      <c r="H303" s="270">
        <v>0.25</v>
      </c>
      <c r="M303" s="68">
        <v>4</v>
      </c>
      <c r="N303" s="710">
        <v>600</v>
      </c>
      <c r="O303" s="74">
        <v>5</v>
      </c>
      <c r="P303" s="74">
        <v>11</v>
      </c>
      <c r="Q303" s="74">
        <v>17</v>
      </c>
      <c r="R303" s="75">
        <v>43</v>
      </c>
      <c r="S303" s="76">
        <v>8</v>
      </c>
      <c r="T303" s="76">
        <v>19</v>
      </c>
      <c r="U303" s="76">
        <v>15</v>
      </c>
      <c r="V303" s="464"/>
      <c r="W303" s="81" t="s">
        <v>652</v>
      </c>
      <c r="X303" s="636" t="s">
        <v>619</v>
      </c>
      <c r="Y303" s="554">
        <v>0.15</v>
      </c>
      <c r="Z303" s="554">
        <v>0.22</v>
      </c>
      <c r="AA303" s="554">
        <v>0.24</v>
      </c>
      <c r="AB303" s="131">
        <v>0.28000000000000003</v>
      </c>
      <c r="AE303" s="1504" t="s">
        <v>254</v>
      </c>
      <c r="AF303" s="1503">
        <f>SUM(AF298:AF301)</f>
        <v>0</v>
      </c>
    </row>
    <row r="304" spans="2:32">
      <c r="C304" s="271" t="s">
        <v>18</v>
      </c>
      <c r="D304" s="273">
        <v>240</v>
      </c>
      <c r="E304" s="270">
        <v>0.1</v>
      </c>
      <c r="F304" s="270">
        <v>0.13</v>
      </c>
      <c r="G304" s="270">
        <v>0.16</v>
      </c>
      <c r="H304" s="270">
        <v>0.2</v>
      </c>
      <c r="M304" s="68">
        <v>3</v>
      </c>
      <c r="N304" s="710">
        <v>360</v>
      </c>
      <c r="O304" s="74">
        <v>9</v>
      </c>
      <c r="P304" s="74">
        <v>22</v>
      </c>
      <c r="Q304" s="74">
        <v>25</v>
      </c>
      <c r="R304" s="75">
        <v>50</v>
      </c>
      <c r="S304" s="76">
        <v>13</v>
      </c>
      <c r="T304" s="76">
        <v>30</v>
      </c>
      <c r="U304" s="76">
        <v>32</v>
      </c>
      <c r="V304" s="464"/>
      <c r="W304" s="81"/>
      <c r="X304" s="636" t="s">
        <v>633</v>
      </c>
      <c r="Y304" s="563">
        <f>Y303*Y298</f>
        <v>282.01944168792625</v>
      </c>
      <c r="Z304" s="563">
        <f t="shared" ref="Z304:AB304" si="265">Z303*Z298</f>
        <v>444.80754803056169</v>
      </c>
      <c r="AA304" s="563">
        <f t="shared" si="265"/>
        <v>527.29031021200876</v>
      </c>
      <c r="AB304" s="563">
        <f t="shared" si="265"/>
        <v>667.30334942582328</v>
      </c>
    </row>
    <row r="305" spans="3:50">
      <c r="C305" s="274" t="s">
        <v>19</v>
      </c>
      <c r="D305" s="275">
        <v>120</v>
      </c>
      <c r="E305" s="276">
        <v>0.05</v>
      </c>
      <c r="F305" s="276">
        <v>0.05</v>
      </c>
      <c r="G305" s="276">
        <v>0.05</v>
      </c>
      <c r="H305" s="276">
        <v>0.05</v>
      </c>
      <c r="M305" s="68">
        <v>2</v>
      </c>
      <c r="N305" s="710">
        <v>240</v>
      </c>
      <c r="O305" s="74">
        <v>14</v>
      </c>
      <c r="P305" s="74">
        <v>35</v>
      </c>
      <c r="Q305" s="74">
        <v>37</v>
      </c>
      <c r="R305" s="75">
        <v>49</v>
      </c>
      <c r="S305" s="76">
        <v>27</v>
      </c>
      <c r="T305" s="76">
        <v>44</v>
      </c>
      <c r="U305" s="76">
        <v>60</v>
      </c>
      <c r="V305" s="464"/>
      <c r="W305" s="81" t="s">
        <v>655</v>
      </c>
      <c r="X305" s="811" t="s">
        <v>654</v>
      </c>
      <c r="Y305" s="813">
        <v>0.25</v>
      </c>
      <c r="Z305" s="813">
        <v>0.2</v>
      </c>
      <c r="AA305" s="813">
        <v>0.2</v>
      </c>
      <c r="AB305" s="96">
        <v>0.18</v>
      </c>
    </row>
    <row r="306" spans="3:50">
      <c r="C306" s="262"/>
      <c r="D306" s="262"/>
      <c r="E306" s="262"/>
      <c r="F306" s="262"/>
      <c r="G306" s="262"/>
      <c r="H306" s="141"/>
      <c r="M306" s="70">
        <v>1</v>
      </c>
      <c r="N306" s="78">
        <v>120</v>
      </c>
      <c r="O306" s="71">
        <v>52</v>
      </c>
      <c r="P306" s="71">
        <v>56</v>
      </c>
      <c r="Q306" s="71">
        <v>96</v>
      </c>
      <c r="R306" s="77">
        <v>129</v>
      </c>
      <c r="S306" s="72">
        <v>88</v>
      </c>
      <c r="T306" s="72">
        <v>124</v>
      </c>
      <c r="U306" s="72">
        <v>147</v>
      </c>
      <c r="V306" s="464"/>
      <c r="W306" s="81"/>
      <c r="X306" s="636" t="s">
        <v>633</v>
      </c>
      <c r="Y306" s="563">
        <f>Y304*Y305</f>
        <v>70.504860421981562</v>
      </c>
      <c r="Z306" s="563">
        <f t="shared" ref="Z306:AB306" si="266">Z304*Z305</f>
        <v>88.961509606112344</v>
      </c>
      <c r="AA306" s="563">
        <f t="shared" si="266"/>
        <v>105.45806204240176</v>
      </c>
      <c r="AB306" s="563">
        <f t="shared" si="266"/>
        <v>120.11460289664819</v>
      </c>
    </row>
    <row r="307" spans="3:50">
      <c r="C307" s="141"/>
      <c r="D307" s="141"/>
      <c r="E307" s="278"/>
      <c r="F307" s="278"/>
      <c r="G307" s="278"/>
      <c r="H307" s="141"/>
      <c r="M307" s="521" t="s">
        <v>221</v>
      </c>
      <c r="N307" s="522"/>
      <c r="O307" s="529">
        <f>SUM(O303:O306)</f>
        <v>80</v>
      </c>
      <c r="P307" s="530">
        <f t="shared" ref="P307:U307" si="267">SUM(P303:P306)</f>
        <v>124</v>
      </c>
      <c r="Q307" s="530">
        <f t="shared" si="267"/>
        <v>175</v>
      </c>
      <c r="R307" s="531">
        <f t="shared" si="267"/>
        <v>271</v>
      </c>
      <c r="S307" s="530">
        <f t="shared" si="267"/>
        <v>136</v>
      </c>
      <c r="T307" s="530">
        <f t="shared" si="267"/>
        <v>217</v>
      </c>
      <c r="U307" s="530">
        <f t="shared" si="267"/>
        <v>254</v>
      </c>
      <c r="W307" s="81" t="s">
        <v>653</v>
      </c>
      <c r="X307" s="811" t="s">
        <v>656</v>
      </c>
      <c r="Y307" s="813">
        <v>0.15</v>
      </c>
      <c r="Z307" s="813">
        <v>0.1</v>
      </c>
      <c r="AA307" s="813">
        <v>0.1</v>
      </c>
      <c r="AB307" s="96">
        <v>0.1</v>
      </c>
    </row>
    <row r="308" spans="3:50">
      <c r="C308" s="277" t="s">
        <v>650</v>
      </c>
      <c r="D308" s="262"/>
      <c r="E308" s="278"/>
      <c r="F308" s="278"/>
      <c r="G308" s="278"/>
      <c r="H308" s="141"/>
      <c r="M308" s="491"/>
      <c r="N308" s="491"/>
      <c r="O308" s="81"/>
      <c r="P308" s="81"/>
      <c r="Q308" s="81"/>
      <c r="R308" s="81"/>
      <c r="S308" s="76"/>
      <c r="T308" s="76"/>
      <c r="U308" s="76"/>
      <c r="X308" s="812" t="s">
        <v>657</v>
      </c>
      <c r="Y308" s="501">
        <f>(Y304-Y306)*Y307</f>
        <v>31.727187189891701</v>
      </c>
      <c r="Z308" s="501">
        <f t="shared" ref="Z308:AB308" si="268">(Z304-Z306)*Z307</f>
        <v>35.584603842444942</v>
      </c>
      <c r="AA308" s="501">
        <f t="shared" si="268"/>
        <v>42.183224816960703</v>
      </c>
      <c r="AB308" s="501">
        <f t="shared" si="268"/>
        <v>54.718874652917513</v>
      </c>
    </row>
    <row r="309" spans="3:50">
      <c r="C309" s="277" t="s">
        <v>59</v>
      </c>
      <c r="D309" s="262"/>
      <c r="E309" s="262"/>
      <c r="F309" s="279"/>
      <c r="G309" s="278"/>
      <c r="H309" s="141"/>
      <c r="L309" s="80" t="s">
        <v>635</v>
      </c>
      <c r="M309" s="70" t="s">
        <v>20</v>
      </c>
      <c r="N309" s="78" t="s">
        <v>220</v>
      </c>
      <c r="O309" s="71" t="s">
        <v>208</v>
      </c>
      <c r="P309" s="72" t="s">
        <v>209</v>
      </c>
      <c r="Q309" s="72" t="s">
        <v>212</v>
      </c>
      <c r="R309" s="73" t="s">
        <v>211</v>
      </c>
      <c r="S309" s="71" t="s">
        <v>213</v>
      </c>
      <c r="T309" s="72" t="s">
        <v>214</v>
      </c>
      <c r="U309" s="72" t="s">
        <v>210</v>
      </c>
      <c r="W309" s="815" t="s">
        <v>658</v>
      </c>
      <c r="X309" s="816" t="s">
        <v>657</v>
      </c>
      <c r="Y309" s="605">
        <f>Y304-Y306-Y308</f>
        <v>179.78739407605298</v>
      </c>
      <c r="Z309" s="605">
        <f t="shared" ref="Z309:AB309" si="269">Z304-Z306-Z308</f>
        <v>320.26143458200443</v>
      </c>
      <c r="AA309" s="605">
        <f t="shared" si="269"/>
        <v>379.64902335264628</v>
      </c>
      <c r="AB309" s="605">
        <f t="shared" si="269"/>
        <v>492.46987187625757</v>
      </c>
    </row>
    <row r="310" spans="3:50">
      <c r="C310" s="277" t="s">
        <v>393</v>
      </c>
      <c r="D310" s="141"/>
      <c r="E310" s="141"/>
      <c r="F310" s="141"/>
      <c r="G310" s="141"/>
      <c r="H310" s="141"/>
      <c r="M310" s="68">
        <v>4</v>
      </c>
      <c r="N310" s="710">
        <v>600</v>
      </c>
      <c r="O310" s="510">
        <f>O303/O$298</f>
        <v>8.5470085470085479E-3</v>
      </c>
      <c r="P310" s="510">
        <f t="shared" ref="P310:U310" si="270">P303/P$298</f>
        <v>1.5235457063711912E-2</v>
      </c>
      <c r="Q310" s="510">
        <f t="shared" si="270"/>
        <v>2.0807833537331701E-2</v>
      </c>
      <c r="R310" s="511">
        <f t="shared" si="270"/>
        <v>5.0233644859813083E-2</v>
      </c>
      <c r="S310" s="512">
        <f t="shared" si="270"/>
        <v>9.0395480225988704E-3</v>
      </c>
      <c r="T310" s="512">
        <f t="shared" si="270"/>
        <v>1.6903914590747332E-2</v>
      </c>
      <c r="U310" s="512">
        <f t="shared" si="270"/>
        <v>1.1185682326621925E-2</v>
      </c>
      <c r="W310" s="669"/>
      <c r="X310" s="817" t="s">
        <v>656</v>
      </c>
      <c r="Y310" s="624">
        <f>Y309/Y298</f>
        <v>9.5625000000000002E-2</v>
      </c>
      <c r="Z310" s="624">
        <v>0.15</v>
      </c>
      <c r="AA310" s="624">
        <v>0.16</v>
      </c>
      <c r="AB310" s="624">
        <v>0.18</v>
      </c>
    </row>
    <row r="311" spans="3:50">
      <c r="D311" s="141"/>
      <c r="E311" s="141"/>
      <c r="F311" s="141"/>
      <c r="G311" s="141"/>
      <c r="H311" s="141"/>
      <c r="M311" s="68">
        <v>3</v>
      </c>
      <c r="N311" s="710">
        <v>360</v>
      </c>
      <c r="O311" s="510">
        <f t="shared" ref="O311:U314" si="271">O304/O$298</f>
        <v>1.5384615384615385E-2</v>
      </c>
      <c r="P311" s="510">
        <f t="shared" si="271"/>
        <v>3.0470914127423823E-2</v>
      </c>
      <c r="Q311" s="510">
        <f t="shared" si="271"/>
        <v>3.0599755201958383E-2</v>
      </c>
      <c r="R311" s="511">
        <f t="shared" si="271"/>
        <v>5.8411214953271028E-2</v>
      </c>
      <c r="S311" s="512">
        <f t="shared" si="271"/>
        <v>1.4689265536723164E-2</v>
      </c>
      <c r="T311" s="512">
        <f t="shared" si="271"/>
        <v>2.6690391459074734E-2</v>
      </c>
      <c r="U311" s="512">
        <f t="shared" si="271"/>
        <v>2.3862788963460103E-2</v>
      </c>
    </row>
    <row r="312" spans="3:50">
      <c r="D312">
        <f>120/3</f>
        <v>40</v>
      </c>
      <c r="M312" s="68">
        <v>2</v>
      </c>
      <c r="N312" s="710">
        <v>240</v>
      </c>
      <c r="O312" s="510">
        <f t="shared" si="271"/>
        <v>2.3931623931623933E-2</v>
      </c>
      <c r="P312" s="510">
        <f t="shared" si="271"/>
        <v>4.8476454293628811E-2</v>
      </c>
      <c r="Q312" s="510">
        <f t="shared" si="271"/>
        <v>4.528763769889841E-2</v>
      </c>
      <c r="R312" s="511">
        <f t="shared" si="271"/>
        <v>5.7242990654205607E-2</v>
      </c>
      <c r="S312" s="512">
        <f t="shared" si="271"/>
        <v>3.0508474576271188E-2</v>
      </c>
      <c r="T312" s="512">
        <f t="shared" si="271"/>
        <v>3.9145907473309607E-2</v>
      </c>
      <c r="U312" s="512">
        <f t="shared" si="271"/>
        <v>4.4742729306487698E-2</v>
      </c>
    </row>
    <row r="313" spans="3:50">
      <c r="M313" s="70">
        <v>1</v>
      </c>
      <c r="N313" s="78">
        <v>120</v>
      </c>
      <c r="O313" s="798">
        <f t="shared" si="271"/>
        <v>8.8888888888888892E-2</v>
      </c>
      <c r="P313" s="532">
        <f t="shared" si="271"/>
        <v>7.7562326869806089E-2</v>
      </c>
      <c r="Q313" s="532">
        <f t="shared" si="271"/>
        <v>0.1175030599755202</v>
      </c>
      <c r="R313" s="533">
        <f t="shared" si="271"/>
        <v>0.15070093457943926</v>
      </c>
      <c r="S313" s="534">
        <f t="shared" si="271"/>
        <v>9.9435028248587576E-2</v>
      </c>
      <c r="T313" s="534">
        <f t="shared" si="271"/>
        <v>0.1103202846975089</v>
      </c>
      <c r="U313" s="534">
        <f t="shared" si="271"/>
        <v>0.10961968680089486</v>
      </c>
      <c r="W313" s="93" t="s">
        <v>215</v>
      </c>
      <c r="X313" s="549" t="s">
        <v>222</v>
      </c>
      <c r="Y313" s="71" t="s">
        <v>659</v>
      </c>
      <c r="Z313" s="71" t="s">
        <v>660</v>
      </c>
      <c r="AA313" s="71" t="s">
        <v>661</v>
      </c>
      <c r="AB313" s="71" t="s">
        <v>662</v>
      </c>
      <c r="AC313" s="819"/>
      <c r="AD313" s="93" t="s">
        <v>216</v>
      </c>
      <c r="AE313" s="549" t="s">
        <v>222</v>
      </c>
      <c r="AF313" s="71" t="s">
        <v>659</v>
      </c>
      <c r="AG313" s="71" t="s">
        <v>660</v>
      </c>
      <c r="AH313" s="71" t="s">
        <v>661</v>
      </c>
      <c r="AI313" s="71" t="s">
        <v>662</v>
      </c>
      <c r="AJ313" s="819"/>
      <c r="AK313" s="93" t="s">
        <v>217</v>
      </c>
      <c r="AL313" s="549" t="s">
        <v>222</v>
      </c>
      <c r="AM313" s="71" t="s">
        <v>659</v>
      </c>
      <c r="AN313" s="71" t="s">
        <v>660</v>
      </c>
      <c r="AO313" s="71" t="s">
        <v>661</v>
      </c>
      <c r="AP313" s="71" t="s">
        <v>662</v>
      </c>
      <c r="AQ313" s="819"/>
      <c r="AR313" s="93" t="s">
        <v>218</v>
      </c>
      <c r="AS313" s="549" t="s">
        <v>222</v>
      </c>
      <c r="AT313" s="71" t="s">
        <v>659</v>
      </c>
      <c r="AU313" s="71" t="s">
        <v>660</v>
      </c>
      <c r="AV313" s="71" t="s">
        <v>661</v>
      </c>
      <c r="AW313" s="71" t="s">
        <v>662</v>
      </c>
      <c r="AX313" s="819"/>
    </row>
    <row r="314" spans="3:50">
      <c r="M314" s="521" t="s">
        <v>221</v>
      </c>
      <c r="N314" s="752"/>
      <c r="O314" s="624">
        <f t="shared" si="271"/>
        <v>0.13675213675213677</v>
      </c>
      <c r="P314" s="624">
        <f t="shared" si="271"/>
        <v>0.17174515235457063</v>
      </c>
      <c r="Q314" s="624">
        <f t="shared" si="271"/>
        <v>0.21419828641370869</v>
      </c>
      <c r="R314" s="625">
        <f t="shared" si="271"/>
        <v>0.31658878504672899</v>
      </c>
      <c r="S314" s="624">
        <f t="shared" si="271"/>
        <v>0.1536723163841808</v>
      </c>
      <c r="T314" s="624">
        <f t="shared" si="271"/>
        <v>0.19306049822064056</v>
      </c>
      <c r="U314" s="624">
        <f t="shared" si="271"/>
        <v>0.18941088739746459</v>
      </c>
      <c r="X314" s="710">
        <v>600</v>
      </c>
      <c r="Y314" s="510">
        <v>0.05</v>
      </c>
      <c r="Z314" s="510">
        <v>0.12</v>
      </c>
      <c r="AA314" s="510">
        <v>0.35</v>
      </c>
      <c r="AB314" s="513">
        <v>0.66666666666666663</v>
      </c>
      <c r="AC314" s="499"/>
      <c r="AE314" s="710">
        <v>600</v>
      </c>
      <c r="AF314" s="510">
        <v>0.05</v>
      </c>
      <c r="AG314" s="510">
        <v>0.12</v>
      </c>
      <c r="AH314" s="510">
        <v>0.35</v>
      </c>
      <c r="AI314" s="513">
        <v>0.66666666666666663</v>
      </c>
      <c r="AJ314" s="499"/>
      <c r="AL314" s="710">
        <v>600</v>
      </c>
      <c r="AM314" s="510">
        <v>0.05</v>
      </c>
      <c r="AN314" s="510">
        <v>0.12</v>
      </c>
      <c r="AO314" s="510">
        <v>0.35</v>
      </c>
      <c r="AP314" s="513">
        <v>0.66666666666666663</v>
      </c>
      <c r="AQ314" s="499"/>
      <c r="AS314" s="710">
        <v>600</v>
      </c>
      <c r="AT314" s="510">
        <v>0.05</v>
      </c>
      <c r="AU314" s="510">
        <v>0.12</v>
      </c>
      <c r="AV314" s="510">
        <v>0.35</v>
      </c>
      <c r="AW314" s="513">
        <v>0.66666666666666663</v>
      </c>
      <c r="AX314" s="499"/>
    </row>
    <row r="315" spans="3:50">
      <c r="X315" s="710">
        <v>360</v>
      </c>
      <c r="Y315" s="510">
        <v>0.12</v>
      </c>
      <c r="Z315" s="510">
        <v>0.15</v>
      </c>
      <c r="AA315" s="510">
        <v>0.36428571428571427</v>
      </c>
      <c r="AB315" s="513">
        <v>0.33333333333333331</v>
      </c>
      <c r="AC315" s="499"/>
      <c r="AE315" s="710">
        <v>360</v>
      </c>
      <c r="AF315" s="510">
        <v>0.12</v>
      </c>
      <c r="AG315" s="510">
        <v>0.15</v>
      </c>
      <c r="AH315" s="510">
        <v>0.36428571428571427</v>
      </c>
      <c r="AI315" s="513">
        <v>0.33333333333333331</v>
      </c>
      <c r="AJ315" s="499"/>
      <c r="AL315" s="710">
        <v>360</v>
      </c>
      <c r="AM315" s="510">
        <v>0.12</v>
      </c>
      <c r="AN315" s="510">
        <v>0.15</v>
      </c>
      <c r="AO315" s="510">
        <v>0.36428571428571427</v>
      </c>
      <c r="AP315" s="513">
        <v>0.33333333333333331</v>
      </c>
      <c r="AQ315" s="499"/>
      <c r="AS315" s="710">
        <v>360</v>
      </c>
      <c r="AT315" s="510">
        <v>0.12</v>
      </c>
      <c r="AU315" s="510">
        <v>0.15</v>
      </c>
      <c r="AV315" s="510">
        <v>0.36428571428571427</v>
      </c>
      <c r="AW315" s="513">
        <v>0.33333333333333331</v>
      </c>
      <c r="AX315" s="499"/>
    </row>
    <row r="316" spans="3:50">
      <c r="L316" s="80" t="s">
        <v>637</v>
      </c>
      <c r="M316" s="70" t="s">
        <v>20</v>
      </c>
      <c r="N316" s="78" t="s">
        <v>220</v>
      </c>
      <c r="O316" s="71" t="s">
        <v>208</v>
      </c>
      <c r="P316" s="72" t="s">
        <v>209</v>
      </c>
      <c r="Q316" s="72" t="s">
        <v>212</v>
      </c>
      <c r="R316" s="73" t="s">
        <v>211</v>
      </c>
      <c r="S316" s="71" t="s">
        <v>213</v>
      </c>
      <c r="T316" s="72" t="s">
        <v>214</v>
      </c>
      <c r="U316" s="72" t="s">
        <v>210</v>
      </c>
      <c r="X316" s="710">
        <v>240</v>
      </c>
      <c r="Y316" s="510">
        <v>0.2</v>
      </c>
      <c r="Z316" s="510">
        <v>0.22</v>
      </c>
      <c r="AA316" s="510">
        <v>0.14285714285714285</v>
      </c>
      <c r="AB316" s="513">
        <v>0</v>
      </c>
      <c r="AC316" s="499"/>
      <c r="AE316" s="710">
        <v>240</v>
      </c>
      <c r="AF316" s="510">
        <v>0.2</v>
      </c>
      <c r="AG316" s="510">
        <v>0.22</v>
      </c>
      <c r="AH316" s="510">
        <v>0.14285714285714285</v>
      </c>
      <c r="AI316" s="513">
        <v>0</v>
      </c>
      <c r="AJ316" s="499"/>
      <c r="AL316" s="710">
        <v>240</v>
      </c>
      <c r="AM316" s="510">
        <v>0.2</v>
      </c>
      <c r="AN316" s="510">
        <v>0.22</v>
      </c>
      <c r="AO316" s="510">
        <v>0.14285714285714285</v>
      </c>
      <c r="AP316" s="513">
        <v>0</v>
      </c>
      <c r="AQ316" s="499"/>
      <c r="AS316" s="710">
        <v>240</v>
      </c>
      <c r="AT316" s="510">
        <v>0.2</v>
      </c>
      <c r="AU316" s="510">
        <v>0.22</v>
      </c>
      <c r="AV316" s="510">
        <v>0.14285714285714285</v>
      </c>
      <c r="AW316" s="513">
        <v>0</v>
      </c>
      <c r="AX316" s="499"/>
    </row>
    <row r="317" spans="3:50">
      <c r="M317" s="68">
        <v>4</v>
      </c>
      <c r="N317" s="710">
        <v>600</v>
      </c>
      <c r="O317" s="74">
        <v>5</v>
      </c>
      <c r="P317" s="74">
        <v>11</v>
      </c>
      <c r="Q317" s="74">
        <v>17</v>
      </c>
      <c r="R317" s="75">
        <v>41</v>
      </c>
      <c r="S317" s="76">
        <v>8</v>
      </c>
      <c r="T317" s="76">
        <v>19</v>
      </c>
      <c r="U317" s="76">
        <v>13</v>
      </c>
      <c r="X317" s="78">
        <v>120</v>
      </c>
      <c r="Y317" s="532">
        <f>1-SUM(Y314:Y316)</f>
        <v>0.63</v>
      </c>
      <c r="Z317" s="532">
        <f t="shared" ref="Z317" si="272">1-SUM(Z314:Z316)</f>
        <v>0.51</v>
      </c>
      <c r="AA317" s="532">
        <f t="shared" ref="AA317" si="273">1-SUM(AA314:AA316)</f>
        <v>0.14285714285714302</v>
      </c>
      <c r="AB317" s="532">
        <f t="shared" ref="AB317" si="274">1-SUM(AB314:AB316)</f>
        <v>0</v>
      </c>
      <c r="AC317" s="499"/>
      <c r="AE317" s="78">
        <v>120</v>
      </c>
      <c r="AF317" s="532">
        <f>1-SUM(AF314:AF316)</f>
        <v>0.63</v>
      </c>
      <c r="AG317" s="532">
        <f t="shared" ref="AG317" si="275">1-SUM(AG314:AG316)</f>
        <v>0.51</v>
      </c>
      <c r="AH317" s="532">
        <f t="shared" ref="AH317" si="276">1-SUM(AH314:AH316)</f>
        <v>0.14285714285714302</v>
      </c>
      <c r="AI317" s="532">
        <f t="shared" ref="AI317" si="277">1-SUM(AI314:AI316)</f>
        <v>0</v>
      </c>
      <c r="AJ317" s="499"/>
      <c r="AL317" s="78">
        <v>120</v>
      </c>
      <c r="AM317" s="532">
        <f>1-SUM(AM314:AM316)</f>
        <v>0.63</v>
      </c>
      <c r="AN317" s="532">
        <f t="shared" ref="AN317" si="278">1-SUM(AN314:AN316)</f>
        <v>0.51</v>
      </c>
      <c r="AO317" s="532">
        <f t="shared" ref="AO317" si="279">1-SUM(AO314:AO316)</f>
        <v>0.14285714285714302</v>
      </c>
      <c r="AP317" s="532">
        <f t="shared" ref="AP317" si="280">1-SUM(AP314:AP316)</f>
        <v>0</v>
      </c>
      <c r="AQ317" s="499"/>
      <c r="AS317" s="78">
        <v>120</v>
      </c>
      <c r="AT317" s="532">
        <f>1-SUM(AT314:AT316)</f>
        <v>0.63</v>
      </c>
      <c r="AU317" s="532">
        <f t="shared" ref="AU317" si="281">1-SUM(AU314:AU316)</f>
        <v>0.51</v>
      </c>
      <c r="AV317" s="532">
        <f t="shared" ref="AV317" si="282">1-SUM(AV314:AV316)</f>
        <v>0.14285714285714302</v>
      </c>
      <c r="AW317" s="532">
        <f t="shared" ref="AW317" si="283">1-SUM(AW314:AW316)</f>
        <v>0</v>
      </c>
      <c r="AX317" s="499"/>
    </row>
    <row r="318" spans="3:50">
      <c r="M318" s="68">
        <v>3</v>
      </c>
      <c r="N318" s="710">
        <v>360</v>
      </c>
      <c r="O318" s="74">
        <v>9</v>
      </c>
      <c r="P318" s="74">
        <v>22</v>
      </c>
      <c r="Q318" s="74">
        <v>25</v>
      </c>
      <c r="R318" s="75">
        <v>47</v>
      </c>
      <c r="S318" s="76">
        <v>13</v>
      </c>
      <c r="T318" s="76">
        <v>27</v>
      </c>
      <c r="U318" s="76">
        <v>29</v>
      </c>
      <c r="X318" s="710" t="s">
        <v>254</v>
      </c>
      <c r="Y318" s="510">
        <f>SUM(Y314:Y317)</f>
        <v>1</v>
      </c>
      <c r="Z318" s="510">
        <f t="shared" ref="Z318:AB318" si="284">SUM(Z314:Z317)</f>
        <v>1</v>
      </c>
      <c r="AA318" s="510">
        <f t="shared" si="284"/>
        <v>1</v>
      </c>
      <c r="AB318" s="510">
        <f t="shared" si="284"/>
        <v>1</v>
      </c>
      <c r="AC318" s="81"/>
      <c r="AE318" s="710" t="s">
        <v>254</v>
      </c>
      <c r="AF318" s="510">
        <f>SUM(AF314:AF317)</f>
        <v>1</v>
      </c>
      <c r="AG318" s="510">
        <f t="shared" ref="AG318" si="285">SUM(AG314:AG317)</f>
        <v>1</v>
      </c>
      <c r="AH318" s="510">
        <f t="shared" ref="AH318" si="286">SUM(AH314:AH317)</f>
        <v>1</v>
      </c>
      <c r="AI318" s="510">
        <f t="shared" ref="AI318" si="287">SUM(AI314:AI317)</f>
        <v>1</v>
      </c>
      <c r="AJ318" s="81"/>
      <c r="AL318" s="710" t="s">
        <v>254</v>
      </c>
      <c r="AM318" s="510">
        <f>SUM(AM314:AM317)</f>
        <v>1</v>
      </c>
      <c r="AN318" s="510">
        <f t="shared" ref="AN318" si="288">SUM(AN314:AN317)</f>
        <v>1</v>
      </c>
      <c r="AO318" s="510">
        <f t="shared" ref="AO318" si="289">SUM(AO314:AO317)</f>
        <v>1</v>
      </c>
      <c r="AP318" s="510">
        <f t="shared" ref="AP318" si="290">SUM(AP314:AP317)</f>
        <v>1</v>
      </c>
      <c r="AQ318" s="81"/>
      <c r="AS318" s="710" t="s">
        <v>254</v>
      </c>
      <c r="AT318" s="510">
        <f>SUM(AT314:AT317)</f>
        <v>1</v>
      </c>
      <c r="AU318" s="510">
        <f t="shared" ref="AU318" si="291">SUM(AU314:AU317)</f>
        <v>1</v>
      </c>
      <c r="AV318" s="510">
        <f t="shared" ref="AV318" si="292">SUM(AV314:AV317)</f>
        <v>1</v>
      </c>
      <c r="AW318" s="510">
        <f t="shared" ref="AW318" si="293">SUM(AW314:AW317)</f>
        <v>1</v>
      </c>
      <c r="AX318" s="81"/>
    </row>
    <row r="319" spans="3:50">
      <c r="M319" s="68">
        <v>2</v>
      </c>
      <c r="N319" s="710">
        <v>240</v>
      </c>
      <c r="O319" s="74">
        <v>14</v>
      </c>
      <c r="P319" s="74">
        <v>35</v>
      </c>
      <c r="Q319" s="74">
        <v>37</v>
      </c>
      <c r="R319" s="75">
        <v>48</v>
      </c>
      <c r="S319" s="76">
        <v>21</v>
      </c>
      <c r="T319" s="76">
        <v>39</v>
      </c>
      <c r="U319" s="76">
        <v>55</v>
      </c>
    </row>
    <row r="320" spans="3:50">
      <c r="M320" s="70">
        <v>1</v>
      </c>
      <c r="N320" s="78">
        <v>120</v>
      </c>
      <c r="O320" s="71">
        <v>52</v>
      </c>
      <c r="P320" s="71">
        <v>56</v>
      </c>
      <c r="Q320" s="71">
        <v>96</v>
      </c>
      <c r="R320" s="77">
        <v>120</v>
      </c>
      <c r="S320" s="72">
        <v>79</v>
      </c>
      <c r="T320" s="72">
        <v>112</v>
      </c>
      <c r="U320" s="72">
        <v>123</v>
      </c>
    </row>
    <row r="321" spans="12:50">
      <c r="M321" s="521" t="s">
        <v>221</v>
      </c>
      <c r="N321" s="522"/>
      <c r="O321" s="529">
        <f>SUM(O317:O320)</f>
        <v>80</v>
      </c>
      <c r="P321" s="530">
        <f t="shared" ref="P321" si="294">SUM(P317:P320)</f>
        <v>124</v>
      </c>
      <c r="Q321" s="530">
        <f t="shared" ref="Q321" si="295">SUM(Q317:Q320)</f>
        <v>175</v>
      </c>
      <c r="R321" s="531">
        <f t="shared" ref="R321" si="296">SUM(R317:R320)</f>
        <v>256</v>
      </c>
      <c r="S321" s="530">
        <f t="shared" ref="S321" si="297">SUM(S317:S320)</f>
        <v>121</v>
      </c>
      <c r="T321" s="530">
        <f t="shared" ref="T321" si="298">SUM(T317:T320)</f>
        <v>197</v>
      </c>
      <c r="U321" s="530">
        <f t="shared" ref="U321" si="299">SUM(U317:U320)</f>
        <v>220</v>
      </c>
      <c r="X321" s="820" t="s">
        <v>665</v>
      </c>
      <c r="Y321" s="818">
        <v>0.65</v>
      </c>
      <c r="Z321" s="818">
        <v>0.3</v>
      </c>
      <c r="AA321" s="818">
        <v>0.05</v>
      </c>
      <c r="AB321" s="818">
        <f>1-SUM(Y321:AA321)</f>
        <v>0</v>
      </c>
      <c r="AE321" s="820" t="s">
        <v>665</v>
      </c>
      <c r="AF321" s="818">
        <v>0.55000000000000004</v>
      </c>
      <c r="AG321" s="818">
        <v>0.35</v>
      </c>
      <c r="AH321" s="818">
        <v>7.0000000000000007E-2</v>
      </c>
      <c r="AI321" s="818">
        <f>1-SUM(AF321:AH321)</f>
        <v>3.0000000000000027E-2</v>
      </c>
      <c r="AL321" s="820" t="s">
        <v>665</v>
      </c>
      <c r="AM321" s="818">
        <v>0.52</v>
      </c>
      <c r="AN321" s="818">
        <v>0.38</v>
      </c>
      <c r="AO321" s="818">
        <v>7.0000000000000007E-2</v>
      </c>
      <c r="AP321" s="818">
        <f>1-SUM(AM321:AO321)</f>
        <v>3.0000000000000027E-2</v>
      </c>
      <c r="AS321" s="820" t="s">
        <v>665</v>
      </c>
      <c r="AT321" s="818">
        <v>0.52</v>
      </c>
      <c r="AU321" s="818">
        <v>0.38</v>
      </c>
      <c r="AV321" s="818">
        <v>7.0000000000000007E-2</v>
      </c>
      <c r="AW321" s="818">
        <v>3.0000000000000027E-2</v>
      </c>
    </row>
    <row r="322" spans="12:50">
      <c r="M322" s="491"/>
      <c r="N322" s="491"/>
      <c r="O322" s="81"/>
      <c r="P322" s="81"/>
      <c r="Q322" s="81"/>
      <c r="R322" s="81"/>
      <c r="S322" s="76"/>
      <c r="T322" s="76"/>
      <c r="U322" s="76"/>
      <c r="X322" s="549" t="s">
        <v>219</v>
      </c>
      <c r="Y322" s="71" t="s">
        <v>659</v>
      </c>
      <c r="Z322" s="71" t="s">
        <v>660</v>
      </c>
      <c r="AA322" s="71" t="s">
        <v>661</v>
      </c>
      <c r="AB322" s="71" t="s">
        <v>662</v>
      </c>
      <c r="AE322" s="549" t="s">
        <v>219</v>
      </c>
      <c r="AF322" s="71" t="s">
        <v>659</v>
      </c>
      <c r="AG322" s="71" t="s">
        <v>660</v>
      </c>
      <c r="AH322" s="71" t="s">
        <v>661</v>
      </c>
      <c r="AI322" s="71" t="s">
        <v>662</v>
      </c>
      <c r="AL322" s="549" t="s">
        <v>219</v>
      </c>
      <c r="AM322" s="71" t="s">
        <v>659</v>
      </c>
      <c r="AN322" s="71" t="s">
        <v>660</v>
      </c>
      <c r="AO322" s="71" t="s">
        <v>661</v>
      </c>
      <c r="AP322" s="71" t="s">
        <v>662</v>
      </c>
      <c r="AS322" s="549" t="s">
        <v>219</v>
      </c>
      <c r="AT322" s="71" t="s">
        <v>659</v>
      </c>
      <c r="AU322" s="71" t="s">
        <v>660</v>
      </c>
      <c r="AV322" s="71" t="s">
        <v>661</v>
      </c>
      <c r="AW322" s="71" t="s">
        <v>662</v>
      </c>
    </row>
    <row r="323" spans="12:50">
      <c r="L323" s="80" t="s">
        <v>638</v>
      </c>
      <c r="M323" s="70" t="s">
        <v>20</v>
      </c>
      <c r="N323" s="78" t="s">
        <v>220</v>
      </c>
      <c r="O323" s="71" t="s">
        <v>208</v>
      </c>
      <c r="P323" s="72" t="s">
        <v>209</v>
      </c>
      <c r="Q323" s="72" t="s">
        <v>212</v>
      </c>
      <c r="R323" s="73" t="s">
        <v>211</v>
      </c>
      <c r="S323" s="71" t="s">
        <v>213</v>
      </c>
      <c r="T323" s="72" t="s">
        <v>214</v>
      </c>
      <c r="U323" s="72" t="s">
        <v>210</v>
      </c>
      <c r="X323" s="710">
        <v>600</v>
      </c>
      <c r="Y323" s="1602">
        <f>Y$327*Y314</f>
        <v>5.8430903074717229</v>
      </c>
      <c r="Z323" s="509">
        <f t="shared" ref="Z323:AB323" si="300">Z$327*Z314</f>
        <v>6.472346186737906</v>
      </c>
      <c r="AA323" s="509">
        <f t="shared" si="300"/>
        <v>3.1462793963309275</v>
      </c>
      <c r="AB323" s="509">
        <f t="shared" si="300"/>
        <v>0</v>
      </c>
      <c r="AE323" s="710">
        <v>600</v>
      </c>
      <c r="AF323" s="509">
        <f>AF$327*AF314</f>
        <v>8.8071894510051223</v>
      </c>
      <c r="AG323" s="509">
        <f t="shared" ref="AG323:AI323" si="301">AG$327*AG314</f>
        <v>13.450980252444184</v>
      </c>
      <c r="AH323" s="509">
        <f t="shared" si="301"/>
        <v>7.8464051472591088</v>
      </c>
      <c r="AI323" s="509">
        <f t="shared" si="301"/>
        <v>6.4052286916400938</v>
      </c>
      <c r="AL323" s="710">
        <v>600</v>
      </c>
      <c r="AM323" s="509">
        <f>AM$327*AM314</f>
        <v>9.8708746071688047</v>
      </c>
      <c r="AN323" s="509">
        <f t="shared" ref="AN323:AP323" si="302">AN$327*AN314</f>
        <v>17.31199546488067</v>
      </c>
      <c r="AO323" s="509">
        <f t="shared" si="302"/>
        <v>9.3014010721398339</v>
      </c>
      <c r="AP323" s="509">
        <f t="shared" si="302"/>
        <v>7.5929804670529322</v>
      </c>
      <c r="AS323" s="710">
        <v>600</v>
      </c>
      <c r="AT323" s="509">
        <f>AT$327*AT314</f>
        <v>12.804216668782699</v>
      </c>
      <c r="AU323" s="509">
        <f t="shared" ref="AU323:AW323" si="303">AU$327*AU314</f>
        <v>22.456626157557345</v>
      </c>
      <c r="AV323" s="509">
        <f t="shared" si="303"/>
        <v>12.065511860968313</v>
      </c>
      <c r="AW323" s="509">
        <f t="shared" si="303"/>
        <v>9.8493974375251589</v>
      </c>
    </row>
    <row r="324" spans="12:50">
      <c r="M324" s="68">
        <v>4</v>
      </c>
      <c r="N324" s="710">
        <v>600</v>
      </c>
      <c r="O324" s="510">
        <f>O317/O$298</f>
        <v>8.5470085470085479E-3</v>
      </c>
      <c r="P324" s="510">
        <f t="shared" ref="P324:U324" si="304">P317/P$298</f>
        <v>1.5235457063711912E-2</v>
      </c>
      <c r="Q324" s="510">
        <f t="shared" si="304"/>
        <v>2.0807833537331701E-2</v>
      </c>
      <c r="R324" s="511">
        <f t="shared" si="304"/>
        <v>4.7897196261682241E-2</v>
      </c>
      <c r="S324" s="512">
        <f t="shared" si="304"/>
        <v>9.0395480225988704E-3</v>
      </c>
      <c r="T324" s="512">
        <f t="shared" si="304"/>
        <v>1.6903914590747332E-2</v>
      </c>
      <c r="U324" s="512">
        <f t="shared" si="304"/>
        <v>9.6942580164056675E-3</v>
      </c>
      <c r="X324" s="710">
        <v>360</v>
      </c>
      <c r="Y324" s="509">
        <f t="shared" ref="Y324:AB326" si="305">Y$327*Y315</f>
        <v>14.023416737932132</v>
      </c>
      <c r="Z324" s="509">
        <f t="shared" si="305"/>
        <v>8.0904327334223822</v>
      </c>
      <c r="AA324" s="509">
        <f t="shared" si="305"/>
        <v>3.2746989635281079</v>
      </c>
      <c r="AB324" s="509">
        <f t="shared" si="305"/>
        <v>0</v>
      </c>
      <c r="AE324" s="710">
        <v>360</v>
      </c>
      <c r="AF324" s="509">
        <f t="shared" ref="AF324:AI324" si="306">AF$327*AF315</f>
        <v>21.137254682412294</v>
      </c>
      <c r="AG324" s="509">
        <f t="shared" si="306"/>
        <v>16.813725315555232</v>
      </c>
      <c r="AH324" s="509">
        <f t="shared" si="306"/>
        <v>8.1666665818411133</v>
      </c>
      <c r="AI324" s="509">
        <f t="shared" si="306"/>
        <v>3.2026143458200469</v>
      </c>
      <c r="AL324" s="710">
        <v>360</v>
      </c>
      <c r="AM324" s="509">
        <f t="shared" ref="AM324:AP324" si="307">AM$327*AM315</f>
        <v>23.690099057205128</v>
      </c>
      <c r="AN324" s="509">
        <f t="shared" si="307"/>
        <v>21.639994331100837</v>
      </c>
      <c r="AO324" s="509">
        <f t="shared" si="307"/>
        <v>9.6810500954924805</v>
      </c>
      <c r="AP324" s="509">
        <f t="shared" si="307"/>
        <v>3.7964902335264661</v>
      </c>
      <c r="AS324" s="710">
        <v>360</v>
      </c>
      <c r="AT324" s="509">
        <f t="shared" ref="AT324:AW324" si="308">AT$327*AT315</f>
        <v>30.730120005078472</v>
      </c>
      <c r="AU324" s="509">
        <f t="shared" si="308"/>
        <v>28.070782696946683</v>
      </c>
      <c r="AV324" s="509">
        <f t="shared" si="308"/>
        <v>12.557981732844571</v>
      </c>
      <c r="AW324" s="509">
        <f t="shared" si="308"/>
        <v>4.9246987187625795</v>
      </c>
    </row>
    <row r="325" spans="12:50">
      <c r="M325" s="68">
        <v>3</v>
      </c>
      <c r="N325" s="710">
        <v>360</v>
      </c>
      <c r="O325" s="510">
        <f t="shared" ref="O325:U325" si="309">O318/O$298</f>
        <v>1.5384615384615385E-2</v>
      </c>
      <c r="P325" s="510">
        <f t="shared" si="309"/>
        <v>3.0470914127423823E-2</v>
      </c>
      <c r="Q325" s="510">
        <f t="shared" si="309"/>
        <v>3.0599755201958383E-2</v>
      </c>
      <c r="R325" s="511">
        <f t="shared" si="309"/>
        <v>5.4906542056074766E-2</v>
      </c>
      <c r="S325" s="512">
        <f t="shared" si="309"/>
        <v>1.4689265536723164E-2</v>
      </c>
      <c r="T325" s="512">
        <f t="shared" si="309"/>
        <v>2.4021352313167259E-2</v>
      </c>
      <c r="U325" s="512">
        <f t="shared" si="309"/>
        <v>2.1625652498135719E-2</v>
      </c>
      <c r="X325" s="710">
        <v>240</v>
      </c>
      <c r="Y325" s="509">
        <f t="shared" si="305"/>
        <v>23.372361229886891</v>
      </c>
      <c r="Z325" s="509">
        <f t="shared" si="305"/>
        <v>11.865968009019495</v>
      </c>
      <c r="AA325" s="509">
        <f t="shared" si="305"/>
        <v>1.2841956719718071</v>
      </c>
      <c r="AB325" s="509">
        <f t="shared" si="305"/>
        <v>0</v>
      </c>
      <c r="AE325" s="710">
        <v>240</v>
      </c>
      <c r="AF325" s="509">
        <f t="shared" ref="AF325:AI325" si="310">AF$327*AF316</f>
        <v>35.228757804020489</v>
      </c>
      <c r="AG325" s="509">
        <f t="shared" si="310"/>
        <v>24.66013046281434</v>
      </c>
      <c r="AH325" s="509">
        <f t="shared" si="310"/>
        <v>3.2026143458200442</v>
      </c>
      <c r="AI325" s="509">
        <f t="shared" si="310"/>
        <v>0</v>
      </c>
      <c r="AL325" s="710">
        <v>240</v>
      </c>
      <c r="AM325" s="509">
        <f t="shared" ref="AM325:AP325" si="311">AM$327*AM316</f>
        <v>39.483498428675219</v>
      </c>
      <c r="AN325" s="509">
        <f t="shared" si="311"/>
        <v>31.738658352281231</v>
      </c>
      <c r="AO325" s="509">
        <f t="shared" si="311"/>
        <v>3.796490233526463</v>
      </c>
      <c r="AP325" s="509">
        <f t="shared" si="311"/>
        <v>0</v>
      </c>
      <c r="AS325" s="710">
        <v>240</v>
      </c>
      <c r="AT325" s="509">
        <f t="shared" ref="AT325:AW325" si="312">AT$327*AT316</f>
        <v>51.216866675130795</v>
      </c>
      <c r="AU325" s="509">
        <f t="shared" si="312"/>
        <v>41.170481288855136</v>
      </c>
      <c r="AV325" s="509">
        <f t="shared" si="312"/>
        <v>4.9246987187625768</v>
      </c>
      <c r="AW325" s="509">
        <f t="shared" si="312"/>
        <v>0</v>
      </c>
    </row>
    <row r="326" spans="12:50">
      <c r="M326" s="68">
        <v>2</v>
      </c>
      <c r="N326" s="710">
        <v>240</v>
      </c>
      <c r="O326" s="510">
        <f t="shared" ref="O326:U326" si="313">O319/O$298</f>
        <v>2.3931623931623933E-2</v>
      </c>
      <c r="P326" s="510">
        <f t="shared" si="313"/>
        <v>4.8476454293628811E-2</v>
      </c>
      <c r="Q326" s="510">
        <f t="shared" si="313"/>
        <v>4.528763769889841E-2</v>
      </c>
      <c r="R326" s="511">
        <f t="shared" si="313"/>
        <v>5.6074766355140186E-2</v>
      </c>
      <c r="S326" s="512">
        <f t="shared" si="313"/>
        <v>2.3728813559322035E-2</v>
      </c>
      <c r="T326" s="512">
        <f t="shared" si="313"/>
        <v>3.4697508896797152E-2</v>
      </c>
      <c r="U326" s="512">
        <f t="shared" si="313"/>
        <v>4.1014168530947054E-2</v>
      </c>
      <c r="X326" s="78">
        <v>120</v>
      </c>
      <c r="Y326" s="822">
        <f t="shared" si="305"/>
        <v>73.622937874143702</v>
      </c>
      <c r="Z326" s="822">
        <f t="shared" si="305"/>
        <v>27.507471293636105</v>
      </c>
      <c r="AA326" s="822">
        <f t="shared" si="305"/>
        <v>1.2841956719718086</v>
      </c>
      <c r="AB326" s="822">
        <f t="shared" si="305"/>
        <v>0</v>
      </c>
      <c r="AE326" s="78">
        <v>120</v>
      </c>
      <c r="AF326" s="822">
        <f t="shared" ref="AF326:AI326" si="314">AF$327*AF317</f>
        <v>110.97058708266454</v>
      </c>
      <c r="AG326" s="822">
        <f t="shared" si="314"/>
        <v>57.166666072887786</v>
      </c>
      <c r="AH326" s="822">
        <f t="shared" si="314"/>
        <v>3.2026143458200482</v>
      </c>
      <c r="AI326" s="822">
        <f t="shared" si="314"/>
        <v>0</v>
      </c>
      <c r="AL326" s="78">
        <v>120</v>
      </c>
      <c r="AM326" s="822">
        <f t="shared" ref="AM326:AP326" si="315">AM$327*AM317</f>
        <v>124.37302005032693</v>
      </c>
      <c r="AN326" s="822">
        <f t="shared" si="315"/>
        <v>73.575980725742852</v>
      </c>
      <c r="AO326" s="822">
        <f t="shared" si="315"/>
        <v>3.7964902335264674</v>
      </c>
      <c r="AP326" s="822">
        <f t="shared" si="315"/>
        <v>0</v>
      </c>
      <c r="AS326" s="78">
        <v>120</v>
      </c>
      <c r="AT326" s="822">
        <f t="shared" ref="AT326:AW326" si="316">AT$327*AT317</f>
        <v>161.33313002666199</v>
      </c>
      <c r="AU326" s="822">
        <f t="shared" si="316"/>
        <v>95.440661169618721</v>
      </c>
      <c r="AV326" s="822">
        <f t="shared" si="316"/>
        <v>4.9246987187625821</v>
      </c>
      <c r="AW326" s="822">
        <f t="shared" si="316"/>
        <v>0</v>
      </c>
    </row>
    <row r="327" spans="12:50">
      <c r="M327" s="70">
        <v>1</v>
      </c>
      <c r="N327" s="78">
        <v>120</v>
      </c>
      <c r="O327" s="798">
        <f t="shared" ref="O327:U327" si="317">O320/O$298</f>
        <v>8.8888888888888892E-2</v>
      </c>
      <c r="P327" s="532">
        <f t="shared" si="317"/>
        <v>7.7562326869806089E-2</v>
      </c>
      <c r="Q327" s="532">
        <f t="shared" si="317"/>
        <v>0.1175030599755202</v>
      </c>
      <c r="R327" s="533">
        <f t="shared" si="317"/>
        <v>0.14018691588785046</v>
      </c>
      <c r="S327" s="534">
        <f t="shared" si="317"/>
        <v>8.9265536723163841E-2</v>
      </c>
      <c r="T327" s="534">
        <f t="shared" si="317"/>
        <v>9.9644128113879002E-2</v>
      </c>
      <c r="U327" s="534">
        <f t="shared" si="317"/>
        <v>9.1722595078299773E-2</v>
      </c>
      <c r="X327" s="710" t="s">
        <v>254</v>
      </c>
      <c r="Y327" s="1603">
        <f>Y321*$Y$309</f>
        <v>116.86180614943444</v>
      </c>
      <c r="Z327" s="821">
        <f t="shared" ref="Z327:AB327" si="318">Z321*$Y$309</f>
        <v>53.936218222815889</v>
      </c>
      <c r="AA327" s="821">
        <f t="shared" si="318"/>
        <v>8.9893697038026499</v>
      </c>
      <c r="AB327" s="821">
        <f t="shared" si="318"/>
        <v>0</v>
      </c>
      <c r="AE327" s="710" t="s">
        <v>254</v>
      </c>
      <c r="AF327" s="823">
        <f>AF321*$Z$309</f>
        <v>176.14378902010245</v>
      </c>
      <c r="AG327" s="823">
        <f t="shared" ref="AG327:AI327" si="319">AG321*$Z$309</f>
        <v>112.09150210370154</v>
      </c>
      <c r="AH327" s="823">
        <f t="shared" si="319"/>
        <v>22.418300420740312</v>
      </c>
      <c r="AI327" s="823">
        <f t="shared" si="319"/>
        <v>9.6078430374601407</v>
      </c>
      <c r="AL327" s="710" t="s">
        <v>254</v>
      </c>
      <c r="AM327" s="823">
        <f>AM321*$AA$309</f>
        <v>197.41749214337608</v>
      </c>
      <c r="AN327" s="823">
        <f t="shared" ref="AN327:AP327" si="320">AN321*$AA$309</f>
        <v>144.26662887400559</v>
      </c>
      <c r="AO327" s="823">
        <f>AO321*$AA$309</f>
        <v>26.575431634685241</v>
      </c>
      <c r="AP327" s="823">
        <f t="shared" si="320"/>
        <v>11.389470700579398</v>
      </c>
      <c r="AS327" s="710" t="s">
        <v>254</v>
      </c>
      <c r="AT327" s="823">
        <f>AT321*$AB$309</f>
        <v>256.08433337565396</v>
      </c>
      <c r="AU327" s="823">
        <f t="shared" ref="AU327:AW327" si="321">AU321*$AB$309</f>
        <v>187.13855131297788</v>
      </c>
      <c r="AV327" s="823">
        <f t="shared" si="321"/>
        <v>34.472891031338037</v>
      </c>
      <c r="AW327" s="823">
        <f t="shared" si="321"/>
        <v>14.77409615628774</v>
      </c>
    </row>
    <row r="328" spans="12:50">
      <c r="M328" s="521" t="s">
        <v>221</v>
      </c>
      <c r="N328" s="752"/>
      <c r="O328" s="624">
        <f t="shared" ref="O328:U328" si="322">O321/O$298</f>
        <v>0.13675213675213677</v>
      </c>
      <c r="P328" s="624">
        <f t="shared" si="322"/>
        <v>0.17174515235457063</v>
      </c>
      <c r="Q328" s="624">
        <f t="shared" si="322"/>
        <v>0.21419828641370869</v>
      </c>
      <c r="R328" s="625">
        <f t="shared" si="322"/>
        <v>0.29906542056074764</v>
      </c>
      <c r="S328" s="624">
        <f t="shared" si="322"/>
        <v>0.13672316384180791</v>
      </c>
      <c r="T328" s="624">
        <f t="shared" si="322"/>
        <v>0.17526690391459074</v>
      </c>
      <c r="U328" s="624">
        <f t="shared" si="322"/>
        <v>0.16405667412378822</v>
      </c>
    </row>
    <row r="329" spans="12:50"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X329" s="549" t="s">
        <v>663</v>
      </c>
      <c r="Y329" s="71" t="s">
        <v>659</v>
      </c>
      <c r="Z329" s="71" t="s">
        <v>660</v>
      </c>
      <c r="AA329" s="71" t="s">
        <v>661</v>
      </c>
      <c r="AB329" s="71" t="s">
        <v>662</v>
      </c>
      <c r="AE329" s="549" t="s">
        <v>663</v>
      </c>
      <c r="AF329" s="71" t="s">
        <v>659</v>
      </c>
      <c r="AG329" s="71" t="s">
        <v>660</v>
      </c>
      <c r="AH329" s="71" t="s">
        <v>661</v>
      </c>
      <c r="AI329" s="71" t="s">
        <v>662</v>
      </c>
      <c r="AL329" s="549" t="s">
        <v>663</v>
      </c>
      <c r="AM329" s="71" t="s">
        <v>659</v>
      </c>
      <c r="AN329" s="71" t="s">
        <v>660</v>
      </c>
      <c r="AO329" s="71" t="s">
        <v>661</v>
      </c>
      <c r="AP329" s="71" t="s">
        <v>662</v>
      </c>
      <c r="AS329" s="549" t="s">
        <v>663</v>
      </c>
      <c r="AT329" s="71" t="s">
        <v>659</v>
      </c>
      <c r="AU329" s="71" t="s">
        <v>660</v>
      </c>
      <c r="AV329" s="71" t="s">
        <v>661</v>
      </c>
      <c r="AW329" s="71" t="s">
        <v>662</v>
      </c>
    </row>
    <row r="330" spans="12:50">
      <c r="L330" s="80" t="s">
        <v>639</v>
      </c>
      <c r="M330" s="70" t="s">
        <v>20</v>
      </c>
      <c r="N330" s="78" t="s">
        <v>636</v>
      </c>
      <c r="O330" s="71" t="s">
        <v>208</v>
      </c>
      <c r="P330" s="72" t="s">
        <v>209</v>
      </c>
      <c r="Q330" s="72" t="s">
        <v>212</v>
      </c>
      <c r="R330" s="73" t="s">
        <v>211</v>
      </c>
      <c r="S330" s="71" t="s">
        <v>213</v>
      </c>
      <c r="T330" s="72" t="s">
        <v>214</v>
      </c>
      <c r="U330" s="72" t="s">
        <v>210</v>
      </c>
      <c r="X330" s="710">
        <v>600</v>
      </c>
      <c r="Y330" s="74">
        <v>650</v>
      </c>
      <c r="Z330" s="74">
        <v>700</v>
      </c>
      <c r="AA330" s="74">
        <v>800</v>
      </c>
      <c r="AB330" s="74">
        <v>850</v>
      </c>
      <c r="AE330" s="710">
        <v>600</v>
      </c>
      <c r="AF330" s="74">
        <f>Y330*1.2</f>
        <v>780</v>
      </c>
      <c r="AG330" s="74">
        <f t="shared" ref="AG330:AG331" si="323">Z330*1.2</f>
        <v>840</v>
      </c>
      <c r="AH330" s="74">
        <f t="shared" ref="AH330:AH331" si="324">AA330*1.2</f>
        <v>960</v>
      </c>
      <c r="AI330" s="74">
        <f t="shared" ref="AI330:AI331" si="325">AB330*1.2</f>
        <v>1020</v>
      </c>
      <c r="AL330" s="710">
        <v>600</v>
      </c>
      <c r="AM330" s="496">
        <f>AF330*1.05</f>
        <v>819</v>
      </c>
      <c r="AN330" s="496">
        <f t="shared" ref="AN330:AN331" si="326">AG330*1.05</f>
        <v>882</v>
      </c>
      <c r="AO330" s="496">
        <f t="shared" ref="AO330:AO331" si="327">AH330*1.05</f>
        <v>1008</v>
      </c>
      <c r="AP330" s="496">
        <f t="shared" ref="AP330:AP331" si="328">AI330*1.05</f>
        <v>1071</v>
      </c>
      <c r="AR330" s="581">
        <f>AVERAGE(AB330,AI330,AP330,AW330)</f>
        <v>1003</v>
      </c>
      <c r="AS330" s="710">
        <v>600</v>
      </c>
      <c r="AT330" s="496">
        <f>AM330</f>
        <v>819</v>
      </c>
      <c r="AU330" s="496">
        <f t="shared" ref="AU330:AW333" si="329">AN330</f>
        <v>882</v>
      </c>
      <c r="AV330" s="496">
        <f t="shared" si="329"/>
        <v>1008</v>
      </c>
      <c r="AW330" s="496">
        <f t="shared" si="329"/>
        <v>1071</v>
      </c>
    </row>
    <row r="331" spans="12:50">
      <c r="M331" s="68">
        <v>4</v>
      </c>
      <c r="N331" s="710">
        <v>24</v>
      </c>
      <c r="O331" s="74">
        <v>1</v>
      </c>
      <c r="P331" s="74">
        <v>2</v>
      </c>
      <c r="Q331" s="74">
        <v>1</v>
      </c>
      <c r="R331" s="75">
        <v>3</v>
      </c>
      <c r="S331" s="76"/>
      <c r="T331" s="76">
        <v>1</v>
      </c>
      <c r="U331" s="76">
        <v>5</v>
      </c>
      <c r="V331" s="464"/>
      <c r="X331" s="710">
        <v>360</v>
      </c>
      <c r="Y331" s="74">
        <v>380</v>
      </c>
      <c r="Z331" s="74">
        <v>400</v>
      </c>
      <c r="AA331" s="74">
        <v>440</v>
      </c>
      <c r="AB331" s="74">
        <v>460</v>
      </c>
      <c r="AE331" s="710">
        <v>360</v>
      </c>
      <c r="AF331" s="74">
        <f t="shared" ref="AF331" si="330">Y331*1.2</f>
        <v>456</v>
      </c>
      <c r="AG331" s="74">
        <f t="shared" si="323"/>
        <v>480</v>
      </c>
      <c r="AH331" s="74">
        <f t="shared" si="324"/>
        <v>528</v>
      </c>
      <c r="AI331" s="74">
        <f t="shared" si="325"/>
        <v>552</v>
      </c>
      <c r="AL331" s="710">
        <v>360</v>
      </c>
      <c r="AM331" s="496">
        <f t="shared" ref="AM331" si="331">AF331*1.05</f>
        <v>478.8</v>
      </c>
      <c r="AN331" s="496">
        <f t="shared" si="326"/>
        <v>504</v>
      </c>
      <c r="AO331" s="496">
        <f t="shared" si="327"/>
        <v>554.4</v>
      </c>
      <c r="AP331" s="496">
        <f t="shared" si="328"/>
        <v>579.6</v>
      </c>
      <c r="AR331" s="581">
        <f t="shared" ref="AR331:AR333" si="332">AVERAGE(AB331,AI331,AP331,AW331)</f>
        <v>542.79999999999995</v>
      </c>
      <c r="AS331" s="710">
        <v>360</v>
      </c>
      <c r="AT331" s="496">
        <f t="shared" ref="AT331:AT333" si="333">AM331</f>
        <v>478.8</v>
      </c>
      <c r="AU331" s="496">
        <f t="shared" si="329"/>
        <v>504</v>
      </c>
      <c r="AV331" s="496">
        <f t="shared" si="329"/>
        <v>554.4</v>
      </c>
      <c r="AW331" s="496">
        <f t="shared" si="329"/>
        <v>579.6</v>
      </c>
    </row>
    <row r="332" spans="12:50">
      <c r="M332" s="68">
        <v>3</v>
      </c>
      <c r="N332" s="710">
        <v>18</v>
      </c>
      <c r="O332" s="74"/>
      <c r="P332" s="74">
        <v>1</v>
      </c>
      <c r="Q332" s="74">
        <v>4</v>
      </c>
      <c r="R332" s="75">
        <v>3</v>
      </c>
      <c r="S332" s="76"/>
      <c r="T332" s="76">
        <v>1</v>
      </c>
      <c r="U332" s="76">
        <v>6</v>
      </c>
      <c r="V332" s="464"/>
      <c r="X332" s="710">
        <v>240</v>
      </c>
      <c r="Y332" s="74">
        <v>260</v>
      </c>
      <c r="Z332" s="74">
        <v>280</v>
      </c>
      <c r="AA332" s="74">
        <v>300</v>
      </c>
      <c r="AB332" s="74">
        <v>0</v>
      </c>
      <c r="AE332" s="710">
        <v>240</v>
      </c>
      <c r="AF332" s="74">
        <f>Y332*1.1</f>
        <v>286</v>
      </c>
      <c r="AG332" s="74">
        <f t="shared" ref="AG332:AI333" si="334">Z332*1.1</f>
        <v>308</v>
      </c>
      <c r="AH332" s="74">
        <f t="shared" si="334"/>
        <v>330</v>
      </c>
      <c r="AI332" s="74">
        <f t="shared" si="334"/>
        <v>0</v>
      </c>
      <c r="AL332" s="710">
        <v>240</v>
      </c>
      <c r="AM332" s="496">
        <f>AF332</f>
        <v>286</v>
      </c>
      <c r="AN332" s="496">
        <f t="shared" ref="AN332:AN333" si="335">AG332</f>
        <v>308</v>
      </c>
      <c r="AO332" s="496">
        <f t="shared" ref="AO332:AO333" si="336">AH332</f>
        <v>330</v>
      </c>
      <c r="AP332" s="496">
        <f t="shared" ref="AP332:AP333" si="337">AI332</f>
        <v>0</v>
      </c>
      <c r="AR332" s="581">
        <f t="shared" si="332"/>
        <v>0</v>
      </c>
      <c r="AS332" s="710">
        <v>240</v>
      </c>
      <c r="AT332" s="496">
        <f t="shared" si="333"/>
        <v>286</v>
      </c>
      <c r="AU332" s="496">
        <f t="shared" si="329"/>
        <v>308</v>
      </c>
      <c r="AV332" s="496">
        <f t="shared" si="329"/>
        <v>330</v>
      </c>
      <c r="AW332" s="496">
        <f t="shared" si="329"/>
        <v>0</v>
      </c>
    </row>
    <row r="333" spans="12:50">
      <c r="M333" s="68">
        <v>2</v>
      </c>
      <c r="N333" s="710">
        <v>10</v>
      </c>
      <c r="O333" s="74">
        <v>10</v>
      </c>
      <c r="P333" s="74">
        <v>30</v>
      </c>
      <c r="Q333" s="74">
        <v>54</v>
      </c>
      <c r="R333" s="75">
        <v>75</v>
      </c>
      <c r="S333" s="76">
        <v>22</v>
      </c>
      <c r="T333" s="76">
        <v>58</v>
      </c>
      <c r="U333" s="76">
        <v>62</v>
      </c>
      <c r="V333" s="464"/>
      <c r="X333" s="78">
        <v>120</v>
      </c>
      <c r="Y333" s="71">
        <v>140</v>
      </c>
      <c r="Z333" s="71">
        <v>160</v>
      </c>
      <c r="AA333" s="71">
        <v>200</v>
      </c>
      <c r="AB333" s="71">
        <v>0</v>
      </c>
      <c r="AE333" s="78">
        <v>120</v>
      </c>
      <c r="AF333" s="71">
        <f>Y333*1.1</f>
        <v>154</v>
      </c>
      <c r="AG333" s="71">
        <f t="shared" si="334"/>
        <v>176</v>
      </c>
      <c r="AH333" s="71">
        <f t="shared" si="334"/>
        <v>220.00000000000003</v>
      </c>
      <c r="AI333" s="71">
        <f t="shared" si="334"/>
        <v>0</v>
      </c>
      <c r="AL333" s="78">
        <v>120</v>
      </c>
      <c r="AM333" s="526">
        <f>AF333</f>
        <v>154</v>
      </c>
      <c r="AN333" s="526">
        <f t="shared" si="335"/>
        <v>176</v>
      </c>
      <c r="AO333" s="526">
        <f t="shared" si="336"/>
        <v>220.00000000000003</v>
      </c>
      <c r="AP333" s="526">
        <f t="shared" si="337"/>
        <v>0</v>
      </c>
      <c r="AR333" s="581">
        <f t="shared" si="332"/>
        <v>0</v>
      </c>
      <c r="AS333" s="78">
        <v>120</v>
      </c>
      <c r="AT333" s="526">
        <f t="shared" si="333"/>
        <v>154</v>
      </c>
      <c r="AU333" s="526">
        <f t="shared" si="329"/>
        <v>176</v>
      </c>
      <c r="AV333" s="526">
        <f t="shared" si="329"/>
        <v>220.00000000000003</v>
      </c>
      <c r="AW333" s="526">
        <f t="shared" si="329"/>
        <v>0</v>
      </c>
    </row>
    <row r="334" spans="12:50">
      <c r="M334" s="70">
        <v>1</v>
      </c>
      <c r="N334" s="78">
        <v>6</v>
      </c>
      <c r="O334" s="71">
        <v>37</v>
      </c>
      <c r="P334" s="71">
        <v>63</v>
      </c>
      <c r="Q334" s="71">
        <v>86</v>
      </c>
      <c r="R334" s="77">
        <v>113</v>
      </c>
      <c r="S334" s="72">
        <v>57</v>
      </c>
      <c r="T334" s="72">
        <v>91</v>
      </c>
      <c r="U334" s="72">
        <v>89</v>
      </c>
      <c r="V334" s="464"/>
      <c r="X334" s="710" t="s">
        <v>254</v>
      </c>
      <c r="Y334" s="8"/>
      <c r="Z334" s="8"/>
      <c r="AA334" s="8"/>
      <c r="AB334" s="8"/>
      <c r="AE334" s="710" t="s">
        <v>254</v>
      </c>
      <c r="AF334" s="8"/>
      <c r="AG334" s="8"/>
      <c r="AH334" s="8"/>
      <c r="AI334" s="8"/>
      <c r="AL334" s="710" t="s">
        <v>254</v>
      </c>
      <c r="AM334" s="8"/>
      <c r="AN334" s="8"/>
      <c r="AO334" s="8"/>
      <c r="AP334" s="8"/>
      <c r="AS334" s="710" t="s">
        <v>254</v>
      </c>
      <c r="AT334" s="8"/>
      <c r="AU334" s="8"/>
      <c r="AV334" s="8"/>
      <c r="AW334" s="8"/>
    </row>
    <row r="335" spans="12:50">
      <c r="M335" s="521" t="s">
        <v>221</v>
      </c>
      <c r="N335" s="522"/>
      <c r="O335" s="529">
        <f>SUM(O331:O334)</f>
        <v>48</v>
      </c>
      <c r="P335" s="530">
        <f t="shared" ref="P335" si="338">SUM(P331:P334)</f>
        <v>96</v>
      </c>
      <c r="Q335" s="530">
        <f t="shared" ref="Q335" si="339">SUM(Q331:Q334)</f>
        <v>145</v>
      </c>
      <c r="R335" s="531">
        <f t="shared" ref="R335" si="340">SUM(R331:R334)</f>
        <v>194</v>
      </c>
      <c r="S335" s="530">
        <f t="shared" ref="S335" si="341">SUM(S331:S334)</f>
        <v>79</v>
      </c>
      <c r="T335" s="530">
        <f t="shared" ref="T335" si="342">SUM(T331:T334)</f>
        <v>151</v>
      </c>
      <c r="U335" s="530">
        <f t="shared" ref="U335" si="343">SUM(U331:U334)</f>
        <v>162</v>
      </c>
    </row>
    <row r="336" spans="12:50">
      <c r="M336" s="491"/>
      <c r="N336" s="491"/>
      <c r="O336" s="81"/>
      <c r="P336" s="81"/>
      <c r="Q336" s="81"/>
      <c r="R336" s="81"/>
      <c r="S336" s="76"/>
      <c r="T336" s="76"/>
      <c r="U336" s="76"/>
      <c r="X336" s="78" t="s">
        <v>584</v>
      </c>
      <c r="Y336" s="71" t="s">
        <v>659</v>
      </c>
      <c r="Z336" s="71" t="s">
        <v>660</v>
      </c>
      <c r="AA336" s="71" t="s">
        <v>661</v>
      </c>
      <c r="AB336" s="77" t="s">
        <v>662</v>
      </c>
      <c r="AC336" s="71" t="s">
        <v>254</v>
      </c>
      <c r="AE336" s="78" t="s">
        <v>584</v>
      </c>
      <c r="AF336" s="71" t="s">
        <v>659</v>
      </c>
      <c r="AG336" s="71" t="s">
        <v>660</v>
      </c>
      <c r="AH336" s="71" t="s">
        <v>661</v>
      </c>
      <c r="AI336" s="77" t="s">
        <v>662</v>
      </c>
      <c r="AJ336" s="71" t="s">
        <v>254</v>
      </c>
      <c r="AL336" s="78" t="s">
        <v>584</v>
      </c>
      <c r="AM336" s="71" t="s">
        <v>659</v>
      </c>
      <c r="AN336" s="71" t="s">
        <v>660</v>
      </c>
      <c r="AO336" s="71" t="s">
        <v>661</v>
      </c>
      <c r="AP336" s="77" t="s">
        <v>662</v>
      </c>
      <c r="AQ336" s="71" t="s">
        <v>254</v>
      </c>
      <c r="AS336" s="78" t="s">
        <v>584</v>
      </c>
      <c r="AT336" s="71" t="s">
        <v>659</v>
      </c>
      <c r="AU336" s="71" t="s">
        <v>660</v>
      </c>
      <c r="AV336" s="71" t="s">
        <v>661</v>
      </c>
      <c r="AW336" s="77" t="s">
        <v>662</v>
      </c>
      <c r="AX336" s="71" t="s">
        <v>254</v>
      </c>
    </row>
    <row r="337" spans="12:50">
      <c r="L337" s="80" t="s">
        <v>640</v>
      </c>
      <c r="M337" s="70" t="s">
        <v>20</v>
      </c>
      <c r="N337" s="78" t="s">
        <v>636</v>
      </c>
      <c r="O337" s="71" t="s">
        <v>208</v>
      </c>
      <c r="P337" s="72" t="s">
        <v>209</v>
      </c>
      <c r="Q337" s="72" t="s">
        <v>212</v>
      </c>
      <c r="R337" s="73" t="s">
        <v>211</v>
      </c>
      <c r="S337" s="71" t="s">
        <v>213</v>
      </c>
      <c r="T337" s="72" t="s">
        <v>214</v>
      </c>
      <c r="U337" s="72" t="s">
        <v>210</v>
      </c>
      <c r="X337" s="710">
        <v>600</v>
      </c>
      <c r="Y337" s="823">
        <f>Y330*Y323</f>
        <v>3798.0086998566198</v>
      </c>
      <c r="Z337" s="823">
        <f t="shared" ref="Z337:AB337" si="344">Z330*Z323</f>
        <v>4530.6423307165342</v>
      </c>
      <c r="AA337" s="823">
        <f t="shared" si="344"/>
        <v>2517.023517064742</v>
      </c>
      <c r="AB337" s="565">
        <f t="shared" si="344"/>
        <v>0</v>
      </c>
      <c r="AC337" s="501">
        <f>SUM(Y337:AB337)</f>
        <v>10845.674547637896</v>
      </c>
      <c r="AE337" s="710">
        <v>600</v>
      </c>
      <c r="AF337" s="823">
        <f>AF330*AF323</f>
        <v>6869.6077717839953</v>
      </c>
      <c r="AG337" s="823">
        <f t="shared" ref="AG337:AI337" si="345">AG330*AG323</f>
        <v>11298.823412053114</v>
      </c>
      <c r="AH337" s="823">
        <f t="shared" si="345"/>
        <v>7532.5489413687446</v>
      </c>
      <c r="AI337" s="565">
        <f t="shared" si="345"/>
        <v>6533.3332654728956</v>
      </c>
      <c r="AJ337" s="501">
        <f>SUM(AF337:AI337)</f>
        <v>32234.313390678748</v>
      </c>
      <c r="AL337" s="710">
        <v>600</v>
      </c>
      <c r="AM337" s="823">
        <f>AM330*AM323</f>
        <v>8084.2463032712512</v>
      </c>
      <c r="AN337" s="823">
        <f t="shared" ref="AN337:AP337" si="346">AN330*AN323</f>
        <v>15269.180000024751</v>
      </c>
      <c r="AO337" s="823">
        <f t="shared" si="346"/>
        <v>9375.812280716953</v>
      </c>
      <c r="AP337" s="565">
        <f t="shared" si="346"/>
        <v>8132.0820802136905</v>
      </c>
      <c r="AQ337" s="501">
        <f>SUM(AM337:AP337)</f>
        <v>40861.320664226645</v>
      </c>
      <c r="AS337" s="710">
        <v>600</v>
      </c>
      <c r="AT337" s="823">
        <f>AT330*AT323</f>
        <v>10486.653451733031</v>
      </c>
      <c r="AU337" s="823">
        <f t="shared" ref="AU337:AW337" si="347">AU330*AU323</f>
        <v>19806.744270965577</v>
      </c>
      <c r="AV337" s="823">
        <f t="shared" si="347"/>
        <v>12162.035955856059</v>
      </c>
      <c r="AW337" s="565">
        <f t="shared" si="347"/>
        <v>10548.704655589445</v>
      </c>
      <c r="AX337" s="501">
        <f>SUM(AT337:AW337)</f>
        <v>53004.138334144111</v>
      </c>
    </row>
    <row r="338" spans="12:50">
      <c r="M338" s="68">
        <v>4</v>
      </c>
      <c r="N338" s="710">
        <v>24</v>
      </c>
      <c r="O338" s="510">
        <f t="shared" ref="O338:U342" si="348">O331/O$298</f>
        <v>1.7094017094017094E-3</v>
      </c>
      <c r="P338" s="510">
        <f t="shared" si="348"/>
        <v>2.7700831024930748E-3</v>
      </c>
      <c r="Q338" s="510">
        <f t="shared" si="348"/>
        <v>1.2239902080783353E-3</v>
      </c>
      <c r="R338" s="511">
        <f t="shared" si="348"/>
        <v>3.5046728971962616E-3</v>
      </c>
      <c r="S338" s="512">
        <f t="shared" si="348"/>
        <v>0</v>
      </c>
      <c r="T338" s="512">
        <f t="shared" si="348"/>
        <v>8.8967971530249106E-4</v>
      </c>
      <c r="U338" s="512">
        <f t="shared" si="348"/>
        <v>3.7285607755406414E-3</v>
      </c>
      <c r="X338" s="710">
        <v>360</v>
      </c>
      <c r="Y338" s="823">
        <f t="shared" ref="Y338:AB338" si="349">Y331*Y324</f>
        <v>5328.8983604142104</v>
      </c>
      <c r="Z338" s="823">
        <f t="shared" si="349"/>
        <v>3236.1730933689528</v>
      </c>
      <c r="AA338" s="823">
        <f t="shared" si="349"/>
        <v>1440.8675439523674</v>
      </c>
      <c r="AB338" s="565">
        <f t="shared" si="349"/>
        <v>0</v>
      </c>
      <c r="AC338" s="501">
        <f t="shared" ref="AC338:AC341" si="350">SUM(Y338:AB338)</f>
        <v>10005.938997735529</v>
      </c>
      <c r="AE338" s="710">
        <v>360</v>
      </c>
      <c r="AF338" s="823">
        <f t="shared" ref="AF338:AI338" si="351">AF331*AF324</f>
        <v>9638.5881351800053</v>
      </c>
      <c r="AG338" s="823">
        <f t="shared" si="351"/>
        <v>8070.5881514665107</v>
      </c>
      <c r="AH338" s="823">
        <f t="shared" si="351"/>
        <v>4311.999955212108</v>
      </c>
      <c r="AI338" s="565">
        <f t="shared" si="351"/>
        <v>1767.8431188926659</v>
      </c>
      <c r="AJ338" s="501">
        <f t="shared" ref="AJ338:AJ341" si="352">SUM(AF338:AI338)</f>
        <v>23789.019360751288</v>
      </c>
      <c r="AL338" s="710">
        <v>360</v>
      </c>
      <c r="AM338" s="823">
        <f t="shared" ref="AM338:AP338" si="353">AM331*AM324</f>
        <v>11342.819428589815</v>
      </c>
      <c r="AN338" s="823">
        <f t="shared" si="353"/>
        <v>10906.557142874823</v>
      </c>
      <c r="AO338" s="823">
        <f t="shared" si="353"/>
        <v>5367.1741729410314</v>
      </c>
      <c r="AP338" s="565">
        <f t="shared" si="353"/>
        <v>2200.4457393519397</v>
      </c>
      <c r="AQ338" s="501">
        <f t="shared" ref="AQ338:AQ341" si="354">SUM(AM338:AP338)</f>
        <v>29816.996483757608</v>
      </c>
      <c r="AS338" s="710">
        <v>360</v>
      </c>
      <c r="AT338" s="823">
        <f t="shared" ref="AT338:AW338" si="355">AT331*AT324</f>
        <v>14713.581458431572</v>
      </c>
      <c r="AU338" s="823">
        <f t="shared" si="355"/>
        <v>14147.674479261128</v>
      </c>
      <c r="AV338" s="823">
        <f t="shared" si="355"/>
        <v>6962.1450726890298</v>
      </c>
      <c r="AW338" s="565">
        <f t="shared" si="355"/>
        <v>2854.355377394791</v>
      </c>
      <c r="AX338" s="501">
        <f t="shared" ref="AX338:AX341" si="356">SUM(AT338:AW338)</f>
        <v>38677.756387776528</v>
      </c>
    </row>
    <row r="339" spans="12:50">
      <c r="M339" s="68">
        <v>3</v>
      </c>
      <c r="N339" s="710">
        <v>18</v>
      </c>
      <c r="O339" s="510">
        <f t="shared" si="348"/>
        <v>0</v>
      </c>
      <c r="P339" s="510">
        <f t="shared" si="348"/>
        <v>1.3850415512465374E-3</v>
      </c>
      <c r="Q339" s="510">
        <f t="shared" si="348"/>
        <v>4.8959608323133411E-3</v>
      </c>
      <c r="R339" s="511">
        <f t="shared" si="348"/>
        <v>3.5046728971962616E-3</v>
      </c>
      <c r="S339" s="512">
        <f t="shared" si="348"/>
        <v>0</v>
      </c>
      <c r="T339" s="512">
        <f t="shared" si="348"/>
        <v>8.8967971530249106E-4</v>
      </c>
      <c r="U339" s="512">
        <f t="shared" si="348"/>
        <v>4.4742729306487695E-3</v>
      </c>
      <c r="X339" s="710">
        <v>240</v>
      </c>
      <c r="Y339" s="823">
        <f t="shared" ref="Y339:AB339" si="357">Y332*Y325</f>
        <v>6076.8139197705914</v>
      </c>
      <c r="Z339" s="823">
        <f t="shared" si="357"/>
        <v>3322.4710425254584</v>
      </c>
      <c r="AA339" s="823">
        <f t="shared" si="357"/>
        <v>385.25870159154209</v>
      </c>
      <c r="AB339" s="565">
        <f t="shared" si="357"/>
        <v>0</v>
      </c>
      <c r="AC339" s="501">
        <f t="shared" si="350"/>
        <v>9784.5436638875908</v>
      </c>
      <c r="AE339" s="710">
        <v>240</v>
      </c>
      <c r="AF339" s="823">
        <f t="shared" ref="AF339:AI339" si="358">AF332*AF325</f>
        <v>10075.424731949859</v>
      </c>
      <c r="AG339" s="823">
        <f t="shared" si="358"/>
        <v>7595.3201825468168</v>
      </c>
      <c r="AH339" s="823">
        <f t="shared" si="358"/>
        <v>1056.8627341206145</v>
      </c>
      <c r="AI339" s="565">
        <f t="shared" si="358"/>
        <v>0</v>
      </c>
      <c r="AJ339" s="501">
        <f t="shared" si="352"/>
        <v>18727.60764861729</v>
      </c>
      <c r="AL339" s="710">
        <v>240</v>
      </c>
      <c r="AM339" s="823">
        <f t="shared" ref="AM339:AP339" si="359">AM332*AM325</f>
        <v>11292.280550601112</v>
      </c>
      <c r="AN339" s="823">
        <f t="shared" si="359"/>
        <v>9775.5067725026183</v>
      </c>
      <c r="AO339" s="823">
        <f t="shared" si="359"/>
        <v>1252.8417770637327</v>
      </c>
      <c r="AP339" s="565">
        <f t="shared" si="359"/>
        <v>0</v>
      </c>
      <c r="AQ339" s="501">
        <f t="shared" si="354"/>
        <v>22320.629100167462</v>
      </c>
      <c r="AS339" s="710">
        <v>240</v>
      </c>
      <c r="AT339" s="823">
        <f t="shared" ref="AT339:AW339" si="360">AT332*AT325</f>
        <v>14648.023869087407</v>
      </c>
      <c r="AU339" s="823">
        <f t="shared" si="360"/>
        <v>12680.508236967382</v>
      </c>
      <c r="AV339" s="823">
        <f t="shared" si="360"/>
        <v>1625.1505771916504</v>
      </c>
      <c r="AW339" s="565">
        <f t="shared" si="360"/>
        <v>0</v>
      </c>
      <c r="AX339" s="501">
        <f t="shared" si="356"/>
        <v>28953.682683246436</v>
      </c>
    </row>
    <row r="340" spans="12:50">
      <c r="M340" s="68">
        <v>2</v>
      </c>
      <c r="N340" s="710">
        <v>10</v>
      </c>
      <c r="O340" s="510">
        <f t="shared" si="348"/>
        <v>1.7094017094017096E-2</v>
      </c>
      <c r="P340" s="510">
        <f t="shared" si="348"/>
        <v>4.1551246537396121E-2</v>
      </c>
      <c r="Q340" s="510">
        <f t="shared" si="348"/>
        <v>6.6095471236230108E-2</v>
      </c>
      <c r="R340" s="511">
        <f t="shared" si="348"/>
        <v>8.7616822429906538E-2</v>
      </c>
      <c r="S340" s="512">
        <f t="shared" si="348"/>
        <v>2.4858757062146894E-2</v>
      </c>
      <c r="T340" s="512">
        <f t="shared" si="348"/>
        <v>5.1601423487544484E-2</v>
      </c>
      <c r="U340" s="512">
        <f t="shared" si="348"/>
        <v>4.6234153616703952E-2</v>
      </c>
      <c r="X340" s="78">
        <v>120</v>
      </c>
      <c r="Y340" s="824">
        <f t="shared" ref="Y340:AB340" si="361">Y333*Y326</f>
        <v>10307.211302380118</v>
      </c>
      <c r="Z340" s="824">
        <f t="shared" si="361"/>
        <v>4401.1954069817766</v>
      </c>
      <c r="AA340" s="824">
        <f t="shared" si="361"/>
        <v>256.83913439436174</v>
      </c>
      <c r="AB340" s="825">
        <f t="shared" si="361"/>
        <v>0</v>
      </c>
      <c r="AC340" s="622">
        <f t="shared" si="350"/>
        <v>14965.245843756256</v>
      </c>
      <c r="AE340" s="78">
        <v>120</v>
      </c>
      <c r="AF340" s="824">
        <f t="shared" ref="AF340:AI340" si="362">AF333*AF326</f>
        <v>17089.470410730337</v>
      </c>
      <c r="AG340" s="824">
        <f t="shared" si="362"/>
        <v>10061.333228828251</v>
      </c>
      <c r="AH340" s="824">
        <f t="shared" si="362"/>
        <v>704.57515608041069</v>
      </c>
      <c r="AI340" s="825">
        <f t="shared" si="362"/>
        <v>0</v>
      </c>
      <c r="AJ340" s="622">
        <f t="shared" si="352"/>
        <v>27855.378795638997</v>
      </c>
      <c r="AL340" s="78">
        <v>120</v>
      </c>
      <c r="AM340" s="824">
        <f t="shared" ref="AM340:AP340" si="363">AM333*AM326</f>
        <v>19153.445087750348</v>
      </c>
      <c r="AN340" s="824">
        <f t="shared" si="363"/>
        <v>12949.372607730742</v>
      </c>
      <c r="AO340" s="824">
        <f t="shared" si="363"/>
        <v>835.22785137582298</v>
      </c>
      <c r="AP340" s="825">
        <f t="shared" si="363"/>
        <v>0</v>
      </c>
      <c r="AQ340" s="622">
        <f t="shared" si="354"/>
        <v>32938.045546856913</v>
      </c>
      <c r="AS340" s="78">
        <v>120</v>
      </c>
      <c r="AT340" s="824">
        <f t="shared" ref="AT340:AW340" si="364">AT333*AT326</f>
        <v>24845.302024105946</v>
      </c>
      <c r="AU340" s="824">
        <f t="shared" si="364"/>
        <v>16797.556365852895</v>
      </c>
      <c r="AV340" s="824">
        <f t="shared" si="364"/>
        <v>1083.4337181277683</v>
      </c>
      <c r="AW340" s="825">
        <f t="shared" si="364"/>
        <v>0</v>
      </c>
      <c r="AX340" s="622">
        <f t="shared" si="356"/>
        <v>42726.292108086607</v>
      </c>
    </row>
    <row r="341" spans="12:50">
      <c r="M341" s="70">
        <v>1</v>
      </c>
      <c r="N341" s="78">
        <v>6</v>
      </c>
      <c r="O341" s="798">
        <f t="shared" si="348"/>
        <v>6.3247863247863245E-2</v>
      </c>
      <c r="P341" s="532">
        <f t="shared" si="348"/>
        <v>8.7257617728531855E-2</v>
      </c>
      <c r="Q341" s="532">
        <f t="shared" si="348"/>
        <v>0.10526315789473684</v>
      </c>
      <c r="R341" s="533">
        <f t="shared" si="348"/>
        <v>0.13200934579439252</v>
      </c>
      <c r="S341" s="534">
        <f t="shared" si="348"/>
        <v>6.4406779661016947E-2</v>
      </c>
      <c r="T341" s="534">
        <f t="shared" si="348"/>
        <v>8.0960854092526693E-2</v>
      </c>
      <c r="U341" s="534">
        <f t="shared" si="348"/>
        <v>6.6368381804623414E-2</v>
      </c>
      <c r="X341" s="522" t="s">
        <v>254</v>
      </c>
      <c r="Y341" s="829">
        <f>SUM(Y337:Y340)</f>
        <v>25510.932282421541</v>
      </c>
      <c r="Z341" s="829">
        <f t="shared" ref="Z341:AB341" si="365">SUM(Z337:Z340)</f>
        <v>15490.481873592722</v>
      </c>
      <c r="AA341" s="829">
        <f t="shared" si="365"/>
        <v>4599.9888970030133</v>
      </c>
      <c r="AB341" s="830">
        <f t="shared" si="365"/>
        <v>0</v>
      </c>
      <c r="AC341" s="577">
        <f t="shared" si="350"/>
        <v>45601.403053017275</v>
      </c>
      <c r="AE341" s="522" t="s">
        <v>254</v>
      </c>
      <c r="AF341" s="829">
        <f>SUM(AF337:AF340)</f>
        <v>43673.091049644194</v>
      </c>
      <c r="AG341" s="829">
        <f t="shared" ref="AG341" si="366">SUM(AG337:AG340)</f>
        <v>37026.064974894689</v>
      </c>
      <c r="AH341" s="829">
        <f t="shared" ref="AH341" si="367">SUM(AH337:AH340)</f>
        <v>13605.986786781878</v>
      </c>
      <c r="AI341" s="830">
        <f t="shared" ref="AI341" si="368">SUM(AI337:AI340)</f>
        <v>8301.1763843655608</v>
      </c>
      <c r="AJ341" s="577">
        <f t="shared" si="352"/>
        <v>102606.31919568633</v>
      </c>
      <c r="AL341" s="522" t="s">
        <v>254</v>
      </c>
      <c r="AM341" s="829">
        <f>SUM(AM337:AM340)</f>
        <v>49872.79137021253</v>
      </c>
      <c r="AN341" s="829">
        <f t="shared" ref="AN341" si="369">SUM(AN337:AN340)</f>
        <v>48900.616523132936</v>
      </c>
      <c r="AO341" s="829">
        <f t="shared" ref="AO341" si="370">SUM(AO337:AO340)</f>
        <v>16831.056082097541</v>
      </c>
      <c r="AP341" s="830">
        <f t="shared" ref="AP341" si="371">SUM(AP337:AP340)</f>
        <v>10332.52781956563</v>
      </c>
      <c r="AQ341" s="577">
        <f t="shared" si="354"/>
        <v>125936.99179500862</v>
      </c>
      <c r="AS341" s="522" t="s">
        <v>254</v>
      </c>
      <c r="AT341" s="829">
        <f>SUM(AT337:AT340)</f>
        <v>64693.560803357948</v>
      </c>
      <c r="AU341" s="829">
        <f t="shared" ref="AU341" si="372">SUM(AU337:AU340)</f>
        <v>63432.483353046977</v>
      </c>
      <c r="AV341" s="829">
        <f t="shared" ref="AV341" si="373">SUM(AV337:AV340)</f>
        <v>21832.765323864507</v>
      </c>
      <c r="AW341" s="830">
        <f t="shared" ref="AW341" si="374">SUM(AW337:AW340)</f>
        <v>13403.060032984236</v>
      </c>
      <c r="AX341" s="577">
        <f t="shared" si="356"/>
        <v>163361.86951325368</v>
      </c>
    </row>
    <row r="342" spans="12:50">
      <c r="M342" s="521" t="s">
        <v>221</v>
      </c>
      <c r="N342" s="752"/>
      <c r="O342" s="624">
        <f t="shared" si="348"/>
        <v>8.2051282051282051E-2</v>
      </c>
      <c r="P342" s="624">
        <f t="shared" si="348"/>
        <v>0.1329639889196676</v>
      </c>
      <c r="Q342" s="624">
        <f t="shared" si="348"/>
        <v>0.17747858017135862</v>
      </c>
      <c r="R342" s="625">
        <f t="shared" si="348"/>
        <v>0.22663551401869159</v>
      </c>
      <c r="S342" s="624">
        <f t="shared" si="348"/>
        <v>8.9265536723163841E-2</v>
      </c>
      <c r="T342" s="624">
        <f t="shared" si="348"/>
        <v>0.13434163701067617</v>
      </c>
      <c r="U342" s="624">
        <f t="shared" si="348"/>
        <v>0.12080536912751678</v>
      </c>
    </row>
    <row r="343" spans="12:50">
      <c r="L343" s="12"/>
      <c r="M343" s="491"/>
      <c r="N343" s="491"/>
      <c r="O343" s="499"/>
      <c r="P343" s="499"/>
      <c r="Q343" s="499"/>
      <c r="R343" s="499"/>
      <c r="S343" s="498"/>
      <c r="T343" s="498"/>
      <c r="U343" s="498"/>
      <c r="X343" s="78" t="s">
        <v>664</v>
      </c>
      <c r="Y343" s="71" t="s">
        <v>659</v>
      </c>
      <c r="Z343" s="71" t="s">
        <v>660</v>
      </c>
      <c r="AA343" s="71" t="s">
        <v>661</v>
      </c>
      <c r="AB343" s="77" t="s">
        <v>662</v>
      </c>
      <c r="AC343" s="71" t="s">
        <v>254</v>
      </c>
      <c r="AE343" s="78" t="s">
        <v>664</v>
      </c>
      <c r="AF343" s="71" t="s">
        <v>659</v>
      </c>
      <c r="AG343" s="71" t="s">
        <v>660</v>
      </c>
      <c r="AH343" s="71" t="s">
        <v>661</v>
      </c>
      <c r="AI343" s="77" t="s">
        <v>662</v>
      </c>
      <c r="AJ343" s="71" t="s">
        <v>254</v>
      </c>
      <c r="AL343" s="78" t="s">
        <v>664</v>
      </c>
      <c r="AM343" s="71" t="s">
        <v>659</v>
      </c>
      <c r="AN343" s="71" t="s">
        <v>660</v>
      </c>
      <c r="AO343" s="71" t="s">
        <v>661</v>
      </c>
      <c r="AP343" s="77" t="s">
        <v>662</v>
      </c>
      <c r="AQ343" s="71" t="s">
        <v>254</v>
      </c>
      <c r="AS343" s="78" t="s">
        <v>664</v>
      </c>
      <c r="AT343" s="71" t="s">
        <v>659</v>
      </c>
      <c r="AU343" s="71" t="s">
        <v>660</v>
      </c>
      <c r="AV343" s="71" t="s">
        <v>661</v>
      </c>
      <c r="AW343" s="77" t="s">
        <v>662</v>
      </c>
      <c r="AX343" s="71" t="s">
        <v>254</v>
      </c>
    </row>
    <row r="344" spans="12:50">
      <c r="L344" s="12"/>
      <c r="M344" s="491"/>
      <c r="N344" s="491"/>
      <c r="O344" s="499"/>
      <c r="P344" s="499"/>
      <c r="Q344" s="499"/>
      <c r="R344" s="499"/>
      <c r="S344" s="498"/>
      <c r="T344" s="498"/>
      <c r="U344" s="498"/>
      <c r="X344" s="710">
        <v>600</v>
      </c>
      <c r="Y344" s="514">
        <f>Y337/$Y$299</f>
        <v>4.2260413526855098E-2</v>
      </c>
      <c r="Z344" s="514">
        <f t="shared" ref="Z344:AB344" si="375">Z337/$Y$299</f>
        <v>5.041242229002358E-2</v>
      </c>
      <c r="AA344" s="514">
        <f t="shared" si="375"/>
        <v>2.8006901272235329E-2</v>
      </c>
      <c r="AB344" s="515">
        <f t="shared" si="375"/>
        <v>0</v>
      </c>
      <c r="AC344" s="474">
        <f>AC337/$Y$299</f>
        <v>0.12067973708911402</v>
      </c>
      <c r="AE344" s="710">
        <v>600</v>
      </c>
      <c r="AF344" s="514">
        <f>AF337/$Z$299</f>
        <v>4.0751860564023509E-2</v>
      </c>
      <c r="AG344" s="514">
        <f t="shared" ref="AG344:AJ344" si="376">AG337/$Z$299</f>
        <v>6.7026836396212069E-2</v>
      </c>
      <c r="AH344" s="514">
        <f t="shared" si="376"/>
        <v>4.4684557597474729E-2</v>
      </c>
      <c r="AI344" s="515">
        <f t="shared" si="376"/>
        <v>3.8757014242707701E-2</v>
      </c>
      <c r="AJ344" s="474">
        <f t="shared" si="376"/>
        <v>0.19122026880041801</v>
      </c>
      <c r="AL344" s="710">
        <v>600</v>
      </c>
      <c r="AM344" s="514">
        <f>AM337/$AA$299</f>
        <v>4.1081730254132073E-2</v>
      </c>
      <c r="AN344" s="514">
        <f t="shared" ref="AN344:AQ344" si="377">AN337/$AA$299</f>
        <v>7.7593421876443525E-2</v>
      </c>
      <c r="AO344" s="514">
        <f t="shared" si="377"/>
        <v>4.764508360834252E-2</v>
      </c>
      <c r="AP344" s="515">
        <f t="shared" si="377"/>
        <v>4.1324817415399159E-2</v>
      </c>
      <c r="AQ344" s="474">
        <f t="shared" si="377"/>
        <v>0.20764505315431728</v>
      </c>
      <c r="AS344" s="710">
        <v>600</v>
      </c>
      <c r="AT344" s="514">
        <f>AT337/$AB$299</f>
        <v>4.5411333923761947E-2</v>
      </c>
      <c r="AU344" s="514">
        <f t="shared" ref="AU344:AX344" si="378">AU337/$AB$299</f>
        <v>8.577099283115272E-2</v>
      </c>
      <c r="AV344" s="514">
        <f t="shared" si="378"/>
        <v>5.2666399106848179E-2</v>
      </c>
      <c r="AW344" s="515">
        <f t="shared" si="378"/>
        <v>4.5680040041654053E-2</v>
      </c>
      <c r="AX344" s="474">
        <f t="shared" si="378"/>
        <v>0.22952876590341689</v>
      </c>
    </row>
    <row r="345" spans="12:50">
      <c r="L345" s="80" t="s">
        <v>641</v>
      </c>
      <c r="M345" s="70" t="s">
        <v>20</v>
      </c>
      <c r="N345" s="78" t="s">
        <v>220</v>
      </c>
      <c r="O345" s="71" t="s">
        <v>208</v>
      </c>
      <c r="P345" s="72" t="s">
        <v>209</v>
      </c>
      <c r="Q345" s="72" t="s">
        <v>212</v>
      </c>
      <c r="R345" s="73" t="s">
        <v>211</v>
      </c>
      <c r="S345" s="71" t="s">
        <v>213</v>
      </c>
      <c r="T345" s="72" t="s">
        <v>214</v>
      </c>
      <c r="U345" s="72" t="s">
        <v>210</v>
      </c>
      <c r="X345" s="710">
        <v>360</v>
      </c>
      <c r="Y345" s="514">
        <f t="shared" ref="Y345:AB348" si="379">Y338/$Y$299</f>
        <v>5.9294610979218225E-2</v>
      </c>
      <c r="Z345" s="514">
        <f t="shared" si="379"/>
        <v>3.6008873064302553E-2</v>
      </c>
      <c r="AA345" s="514">
        <f t="shared" si="379"/>
        <v>1.6032522054820426E-2</v>
      </c>
      <c r="AB345" s="515">
        <f t="shared" si="379"/>
        <v>0</v>
      </c>
      <c r="AC345" s="474">
        <f t="shared" ref="AC345" si="380">AC338/$Y$299</f>
        <v>0.11133600609834118</v>
      </c>
      <c r="AE345" s="710">
        <v>360</v>
      </c>
      <c r="AF345" s="514">
        <f t="shared" ref="AF345:AJ348" si="381">AF338/$Z$299</f>
        <v>5.7177995129829906E-2</v>
      </c>
      <c r="AG345" s="514">
        <f t="shared" si="381"/>
        <v>4.7876311711580057E-2</v>
      </c>
      <c r="AH345" s="514">
        <f t="shared" si="381"/>
        <v>2.5579629400187064E-2</v>
      </c>
      <c r="AI345" s="515">
        <f t="shared" si="381"/>
        <v>1.048719208920326E-2</v>
      </c>
      <c r="AJ345" s="474">
        <f t="shared" si="381"/>
        <v>0.14112112833080026</v>
      </c>
      <c r="AL345" s="710">
        <v>360</v>
      </c>
      <c r="AM345" s="514">
        <f t="shared" ref="AM345:AQ345" si="382">AM338/$AA$299</f>
        <v>5.7640827679643764E-2</v>
      </c>
      <c r="AN345" s="514">
        <f t="shared" si="382"/>
        <v>5.5423872768888237E-2</v>
      </c>
      <c r="AO345" s="514">
        <f t="shared" si="382"/>
        <v>2.7274379494163423E-2</v>
      </c>
      <c r="AP345" s="515">
        <f t="shared" si="382"/>
        <v>1.1182009418284478E-2</v>
      </c>
      <c r="AQ345" s="474">
        <f t="shared" si="382"/>
        <v>0.15152108936097991</v>
      </c>
      <c r="AS345" s="710">
        <v>360</v>
      </c>
      <c r="AT345" s="514">
        <f t="shared" ref="AT345:AX345" si="383">AT338/$AB$299</f>
        <v>6.3715594674570594E-2</v>
      </c>
      <c r="AU345" s="514">
        <f t="shared" si="383"/>
        <v>6.126499487939481E-2</v>
      </c>
      <c r="AV345" s="514">
        <f t="shared" si="383"/>
        <v>3.014882642749166E-2</v>
      </c>
      <c r="AW345" s="515">
        <f t="shared" si="383"/>
        <v>1.2360481423035804E-2</v>
      </c>
      <c r="AX345" s="474">
        <f t="shared" si="383"/>
        <v>0.16748989740449288</v>
      </c>
    </row>
    <row r="346" spans="12:50">
      <c r="L346" s="12"/>
      <c r="M346" s="68">
        <v>4</v>
      </c>
      <c r="N346" s="710">
        <v>600</v>
      </c>
      <c r="O346" s="496">
        <v>4580.4459999999999</v>
      </c>
      <c r="P346" s="496">
        <v>13332.199000000001</v>
      </c>
      <c r="Q346" s="496">
        <v>17506.919000000002</v>
      </c>
      <c r="R346" s="497">
        <v>32332.749999999993</v>
      </c>
      <c r="S346" s="498">
        <v>6125.0990000000011</v>
      </c>
      <c r="T346" s="498">
        <v>18148.984000000004</v>
      </c>
      <c r="U346" s="498">
        <v>10683.895</v>
      </c>
      <c r="V346" s="442"/>
      <c r="X346" s="710">
        <v>240</v>
      </c>
      <c r="Y346" s="514">
        <f t="shared" si="379"/>
        <v>6.7616661642968159E-2</v>
      </c>
      <c r="Z346" s="514">
        <f t="shared" si="379"/>
        <v>3.6969109679350624E-2</v>
      </c>
      <c r="AA346" s="514">
        <f t="shared" si="379"/>
        <v>4.2867706028931621E-3</v>
      </c>
      <c r="AB346" s="515">
        <f t="shared" si="379"/>
        <v>0</v>
      </c>
      <c r="AC346" s="474">
        <f t="shared" ref="AC346" si="384">AC339/$Y$299</f>
        <v>0.10887254192521192</v>
      </c>
      <c r="AE346" s="710">
        <v>240</v>
      </c>
      <c r="AF346" s="514">
        <f t="shared" si="381"/>
        <v>5.9769395493901138E-2</v>
      </c>
      <c r="AG346" s="514">
        <f t="shared" si="381"/>
        <v>4.5056928910787011E-2</v>
      </c>
      <c r="AH346" s="514">
        <f t="shared" si="381"/>
        <v>6.2695170098497691E-3</v>
      </c>
      <c r="AI346" s="515">
        <f t="shared" si="381"/>
        <v>0</v>
      </c>
      <c r="AJ346" s="474">
        <f t="shared" si="381"/>
        <v>0.11109584141453792</v>
      </c>
      <c r="AL346" s="710">
        <v>240</v>
      </c>
      <c r="AM346" s="514">
        <f t="shared" ref="AM346:AQ346" si="385">AM339/$AA$299</f>
        <v>5.7384004164501942E-2</v>
      </c>
      <c r="AN346" s="514">
        <f t="shared" si="385"/>
        <v>4.9676211889151681E-2</v>
      </c>
      <c r="AO346" s="514">
        <f t="shared" si="385"/>
        <v>6.3665685093752152E-3</v>
      </c>
      <c r="AP346" s="515">
        <f t="shared" si="385"/>
        <v>0</v>
      </c>
      <c r="AQ346" s="474">
        <f t="shared" si="385"/>
        <v>0.11342678456302883</v>
      </c>
      <c r="AS346" s="710">
        <v>240</v>
      </c>
      <c r="AT346" s="514">
        <f t="shared" ref="AT346:AX346" si="386">AT339/$AB$299</f>
        <v>6.3431704528429375E-2</v>
      </c>
      <c r="AU346" s="514">
        <f t="shared" si="386"/>
        <v>5.4911588003013129E-2</v>
      </c>
      <c r="AV346" s="514">
        <f t="shared" si="386"/>
        <v>7.0375411828878763E-3</v>
      </c>
      <c r="AW346" s="515">
        <f t="shared" si="386"/>
        <v>0</v>
      </c>
      <c r="AX346" s="474">
        <f t="shared" si="386"/>
        <v>0.12538083371433037</v>
      </c>
    </row>
    <row r="347" spans="12:50">
      <c r="L347" s="12"/>
      <c r="M347" s="68">
        <v>3</v>
      </c>
      <c r="N347" s="710">
        <v>360</v>
      </c>
      <c r="O347" s="496">
        <v>2671.1500000000005</v>
      </c>
      <c r="P347" s="496">
        <v>8163.39</v>
      </c>
      <c r="Q347" s="496">
        <v>10946.118</v>
      </c>
      <c r="R347" s="497">
        <v>18274.391000000003</v>
      </c>
      <c r="S347" s="498">
        <v>5356.5959999999995</v>
      </c>
      <c r="T347" s="498">
        <v>11206.769000000002</v>
      </c>
      <c r="U347" s="498">
        <v>12064.555000000002</v>
      </c>
      <c r="V347" s="442"/>
      <c r="X347" s="78">
        <v>120</v>
      </c>
      <c r="Y347" s="518">
        <f t="shared" si="379"/>
        <v>0.11468826070980367</v>
      </c>
      <c r="Z347" s="518">
        <f t="shared" si="379"/>
        <v>4.897206736745148E-2</v>
      </c>
      <c r="AA347" s="518">
        <f t="shared" si="379"/>
        <v>2.8578470685954455E-3</v>
      </c>
      <c r="AB347" s="519">
        <f t="shared" si="379"/>
        <v>0</v>
      </c>
      <c r="AC347" s="478">
        <f t="shared" ref="AC347" si="387">AC340/$Y$299</f>
        <v>0.1665181751458506</v>
      </c>
      <c r="AE347" s="78">
        <v>120</v>
      </c>
      <c r="AF347" s="518">
        <f t="shared" si="381"/>
        <v>0.10137809004927077</v>
      </c>
      <c r="AG347" s="518">
        <f t="shared" si="381"/>
        <v>5.9685801933769808E-2</v>
      </c>
      <c r="AH347" s="518">
        <f t="shared" si="381"/>
        <v>4.1796780065665191E-3</v>
      </c>
      <c r="AI347" s="519">
        <f t="shared" si="381"/>
        <v>0</v>
      </c>
      <c r="AJ347" s="478">
        <f t="shared" si="381"/>
        <v>0.1652435699896071</v>
      </c>
      <c r="AL347" s="78">
        <v>120</v>
      </c>
      <c r="AM347" s="518">
        <f t="shared" ref="AM347:AQ347" si="388">AM340/$AA$299</f>
        <v>9.7332099371328293E-2</v>
      </c>
      <c r="AN347" s="518">
        <f t="shared" si="388"/>
        <v>6.5804852112902226E-2</v>
      </c>
      <c r="AO347" s="518">
        <f t="shared" si="388"/>
        <v>4.2443790062501492E-3</v>
      </c>
      <c r="AP347" s="519">
        <f t="shared" si="388"/>
        <v>0</v>
      </c>
      <c r="AQ347" s="478">
        <f t="shared" si="388"/>
        <v>0.16738133049048068</v>
      </c>
      <c r="AS347" s="78">
        <v>120</v>
      </c>
      <c r="AT347" s="518">
        <f t="shared" ref="AT347:AX347" si="389">AT340/$AB$299</f>
        <v>0.10758992960398983</v>
      </c>
      <c r="AU347" s="518">
        <f t="shared" si="389"/>
        <v>7.2740025666329075E-2</v>
      </c>
      <c r="AV347" s="518">
        <f t="shared" si="389"/>
        <v>4.6916941219252569E-3</v>
      </c>
      <c r="AW347" s="519">
        <f t="shared" si="389"/>
        <v>0</v>
      </c>
      <c r="AX347" s="478">
        <f t="shared" si="389"/>
        <v>0.18502164939224414</v>
      </c>
    </row>
    <row r="348" spans="12:50">
      <c r="L348" s="12"/>
      <c r="M348" s="68">
        <v>2</v>
      </c>
      <c r="N348" s="710">
        <v>240</v>
      </c>
      <c r="O348" s="496">
        <v>2595.04</v>
      </c>
      <c r="P348" s="496">
        <v>9001.8189999999995</v>
      </c>
      <c r="Q348" s="496">
        <v>9424.0339999999997</v>
      </c>
      <c r="R348" s="497">
        <v>12280.336499999994</v>
      </c>
      <c r="S348" s="498">
        <v>4094.3309999999997</v>
      </c>
      <c r="T348" s="498">
        <v>10558.079</v>
      </c>
      <c r="U348" s="498">
        <v>11594.182000000003</v>
      </c>
      <c r="V348" s="442"/>
      <c r="X348" s="522" t="s">
        <v>254</v>
      </c>
      <c r="Y348" s="599">
        <f t="shared" si="379"/>
        <v>0.28385994685884519</v>
      </c>
      <c r="Z348" s="599">
        <f t="shared" si="379"/>
        <v>0.17236247240112823</v>
      </c>
      <c r="AA348" s="599">
        <f t="shared" si="379"/>
        <v>5.1184040998544365E-2</v>
      </c>
      <c r="AB348" s="828">
        <f t="shared" si="379"/>
        <v>0</v>
      </c>
      <c r="AC348" s="626">
        <f>AC341/$Y$299</f>
        <v>0.50740646025851777</v>
      </c>
      <c r="AE348" s="522" t="s">
        <v>254</v>
      </c>
      <c r="AF348" s="599">
        <f t="shared" si="381"/>
        <v>0.2590773412370253</v>
      </c>
      <c r="AG348" s="599">
        <f t="shared" si="381"/>
        <v>0.21964587895234894</v>
      </c>
      <c r="AH348" s="599">
        <f t="shared" si="381"/>
        <v>8.0713382014078072E-2</v>
      </c>
      <c r="AI348" s="828">
        <f t="shared" si="381"/>
        <v>4.9244206331910956E-2</v>
      </c>
      <c r="AJ348" s="626">
        <f>AJ341/$Z$299</f>
        <v>0.60868080853536333</v>
      </c>
      <c r="AL348" s="522" t="s">
        <v>254</v>
      </c>
      <c r="AM348" s="599">
        <f t="shared" ref="AM348:AQ348" si="390">AM341/$AA$299</f>
        <v>0.25343866146960609</v>
      </c>
      <c r="AN348" s="599">
        <f t="shared" si="390"/>
        <v>0.24849835864738568</v>
      </c>
      <c r="AO348" s="599">
        <f t="shared" si="390"/>
        <v>8.5530410618131311E-2</v>
      </c>
      <c r="AP348" s="828">
        <f t="shared" si="390"/>
        <v>5.2506826833683636E-2</v>
      </c>
      <c r="AQ348" s="626">
        <f t="shared" si="390"/>
        <v>0.63997425756880666</v>
      </c>
      <c r="AS348" s="522" t="s">
        <v>254</v>
      </c>
      <c r="AT348" s="599">
        <f t="shared" ref="AT348:AX348" si="391">AT341/$AB$299</f>
        <v>0.28014856273075173</v>
      </c>
      <c r="AU348" s="599">
        <f t="shared" si="391"/>
        <v>0.27468760137988968</v>
      </c>
      <c r="AV348" s="599">
        <f t="shared" si="391"/>
        <v>9.4544460839152966E-2</v>
      </c>
      <c r="AW348" s="828">
        <f t="shared" si="391"/>
        <v>5.8040521464689861E-2</v>
      </c>
      <c r="AX348" s="626">
        <f t="shared" si="391"/>
        <v>0.70742114641448428</v>
      </c>
    </row>
    <row r="349" spans="12:50">
      <c r="L349" s="795"/>
      <c r="M349" s="70">
        <v>1</v>
      </c>
      <c r="N349" s="78">
        <v>120</v>
      </c>
      <c r="O349" s="526">
        <v>4333.4500000000007</v>
      </c>
      <c r="P349" s="526">
        <v>6135.0269999999982</v>
      </c>
      <c r="Q349" s="526">
        <v>12154.844000000001</v>
      </c>
      <c r="R349" s="527">
        <v>12975.388000000003</v>
      </c>
      <c r="S349" s="528">
        <v>7380.2280000000019</v>
      </c>
      <c r="T349" s="528">
        <v>12480.386000000002</v>
      </c>
      <c r="U349" s="528">
        <v>14003.910000000002</v>
      </c>
      <c r="V349" s="442"/>
      <c r="Y349" s="490"/>
      <c r="Z349" s="490"/>
      <c r="AA349" s="490"/>
      <c r="AB349" s="490"/>
      <c r="AF349" s="490"/>
      <c r="AG349" s="490"/>
      <c r="AH349" s="490"/>
      <c r="AI349" s="490"/>
      <c r="AM349" s="490"/>
      <c r="AN349" s="490"/>
      <c r="AO349" s="490"/>
      <c r="AP349" s="490"/>
      <c r="AT349" s="490"/>
      <c r="AU349" s="490"/>
      <c r="AV349" s="490"/>
      <c r="AW349" s="490"/>
    </row>
    <row r="350" spans="12:50">
      <c r="L350" s="795"/>
      <c r="M350" s="521" t="s">
        <v>221</v>
      </c>
      <c r="N350" s="522"/>
      <c r="O350" s="529">
        <f>SUM(O346:O349)</f>
        <v>14180.086000000001</v>
      </c>
      <c r="P350" s="530">
        <f t="shared" ref="P350" si="392">SUM(P346:P349)</f>
        <v>36632.434999999998</v>
      </c>
      <c r="Q350" s="530">
        <f t="shared" ref="Q350" si="393">SUM(Q346:Q349)</f>
        <v>50031.915000000008</v>
      </c>
      <c r="R350" s="531">
        <f t="shared" ref="R350" si="394">SUM(R346:R349)</f>
        <v>75862.8655</v>
      </c>
      <c r="S350" s="530">
        <f t="shared" ref="S350" si="395">SUM(S346:S349)</f>
        <v>22956.254000000001</v>
      </c>
      <c r="T350" s="530">
        <f t="shared" ref="T350" si="396">SUM(T346:T349)</f>
        <v>52394.218000000008</v>
      </c>
      <c r="U350" s="530">
        <f t="shared" ref="U350" si="397">SUM(U346:U349)</f>
        <v>48346.542000000009</v>
      </c>
      <c r="X350" s="78" t="s">
        <v>466</v>
      </c>
      <c r="Y350" s="71" t="s">
        <v>659</v>
      </c>
      <c r="Z350" s="71" t="s">
        <v>660</v>
      </c>
      <c r="AA350" s="71" t="s">
        <v>661</v>
      </c>
      <c r="AB350" s="77" t="s">
        <v>662</v>
      </c>
      <c r="AC350" s="71" t="s">
        <v>254</v>
      </c>
      <c r="AE350" s="78" t="s">
        <v>466</v>
      </c>
      <c r="AF350" s="71" t="s">
        <v>659</v>
      </c>
      <c r="AG350" s="71" t="s">
        <v>660</v>
      </c>
      <c r="AH350" s="71" t="s">
        <v>661</v>
      </c>
      <c r="AI350" s="77" t="s">
        <v>662</v>
      </c>
      <c r="AJ350" s="71" t="s">
        <v>254</v>
      </c>
      <c r="AL350" s="78" t="s">
        <v>466</v>
      </c>
      <c r="AM350" s="71" t="s">
        <v>659</v>
      </c>
      <c r="AN350" s="71" t="s">
        <v>660</v>
      </c>
      <c r="AO350" s="71" t="s">
        <v>661</v>
      </c>
      <c r="AP350" s="77" t="s">
        <v>662</v>
      </c>
      <c r="AQ350" s="71" t="s">
        <v>254</v>
      </c>
      <c r="AS350" s="78" t="s">
        <v>466</v>
      </c>
      <c r="AT350" s="71" t="s">
        <v>659</v>
      </c>
      <c r="AU350" s="71" t="s">
        <v>660</v>
      </c>
      <c r="AV350" s="71" t="s">
        <v>661</v>
      </c>
      <c r="AW350" s="77" t="s">
        <v>662</v>
      </c>
      <c r="AX350" s="71" t="s">
        <v>254</v>
      </c>
    </row>
    <row r="351" spans="12:50">
      <c r="L351" s="795"/>
      <c r="M351" s="541"/>
      <c r="N351" s="541"/>
      <c r="O351" s="797"/>
      <c r="P351" s="797"/>
      <c r="Q351" s="797"/>
      <c r="R351" s="797"/>
      <c r="S351" s="797"/>
      <c r="T351" s="797"/>
      <c r="U351" s="797"/>
      <c r="X351" s="710">
        <v>600</v>
      </c>
      <c r="Y351" s="823">
        <f>Y337*$R$22*E302</f>
        <v>240.5378013535929</v>
      </c>
      <c r="Z351" s="823">
        <f t="shared" ref="Z351:AB351" si="398">Z337*$R$22*F302</f>
        <v>329.97801104033698</v>
      </c>
      <c r="AA351" s="823">
        <f t="shared" si="398"/>
        <v>207.23256732001846</v>
      </c>
      <c r="AB351" s="565">
        <f t="shared" si="398"/>
        <v>0</v>
      </c>
      <c r="AC351" s="501">
        <f>SUM(Y351:AB351)</f>
        <v>777.74837971394834</v>
      </c>
      <c r="AE351" s="710">
        <v>600</v>
      </c>
      <c r="AF351" s="823">
        <f>AF337*$R$22*E302</f>
        <v>435.07018550243367</v>
      </c>
      <c r="AG351" s="823">
        <f t="shared" ref="AG351:AI351" si="399">AG337*$R$22*F302</f>
        <v>822.92156485802957</v>
      </c>
      <c r="AH351" s="823">
        <f t="shared" si="399"/>
        <v>620.17277351619634</v>
      </c>
      <c r="AI351" s="565">
        <f t="shared" si="399"/>
        <v>620.65956533214353</v>
      </c>
      <c r="AJ351" s="501">
        <f>SUM(AF351:AI351)</f>
        <v>2498.8240892088033</v>
      </c>
      <c r="AL351" s="710">
        <v>600</v>
      </c>
      <c r="AM351" s="823">
        <f>AM337*$R$22*E302</f>
        <v>511.99641313701778</v>
      </c>
      <c r="AN351" s="823">
        <f t="shared" ref="AN351:AP351" si="400">AN337*$R$22*F302</f>
        <v>1112.0925641084998</v>
      </c>
      <c r="AO351" s="823">
        <f t="shared" si="400"/>
        <v>771.93305365273443</v>
      </c>
      <c r="AP351" s="565">
        <f t="shared" si="400"/>
        <v>772.53896656769018</v>
      </c>
      <c r="AQ351" s="501">
        <f>SUM(AM351:AP351)</f>
        <v>3168.5609974659424</v>
      </c>
      <c r="AS351" s="710">
        <v>600</v>
      </c>
      <c r="AT351" s="823">
        <f>AT337*$R$22*E302</f>
        <v>664.14712660667544</v>
      </c>
      <c r="AU351" s="823">
        <f t="shared" ref="AU351:AW351" si="401">AU337*$R$22*F302</f>
        <v>1442.574717365552</v>
      </c>
      <c r="AV351" s="823">
        <f t="shared" si="401"/>
        <v>1001.3295139608337</v>
      </c>
      <c r="AW351" s="565">
        <f t="shared" si="401"/>
        <v>1002.1154868917295</v>
      </c>
      <c r="AX351" s="501">
        <f t="shared" ref="AX351" si="402">AX337*30%*I302</f>
        <v>0</v>
      </c>
    </row>
    <row r="352" spans="12:50">
      <c r="L352" s="80" t="s">
        <v>642</v>
      </c>
      <c r="M352" s="70" t="s">
        <v>20</v>
      </c>
      <c r="N352" s="78" t="s">
        <v>220</v>
      </c>
      <c r="O352" s="71" t="s">
        <v>208</v>
      </c>
      <c r="P352" s="72" t="s">
        <v>209</v>
      </c>
      <c r="Q352" s="72" t="s">
        <v>212</v>
      </c>
      <c r="R352" s="73" t="s">
        <v>211</v>
      </c>
      <c r="S352" s="71" t="s">
        <v>213</v>
      </c>
      <c r="T352" s="72" t="s">
        <v>214</v>
      </c>
      <c r="U352" s="72" t="s">
        <v>210</v>
      </c>
      <c r="X352" s="710">
        <v>360</v>
      </c>
      <c r="Y352" s="823">
        <f t="shared" ref="Y352:AB352" si="403">Y338*$R$22*E303</f>
        <v>253.11977865516539</v>
      </c>
      <c r="Z352" s="823">
        <f t="shared" si="403"/>
        <v>184.45975772441196</v>
      </c>
      <c r="AA352" s="823">
        <f t="shared" si="403"/>
        <v>95.816596373514017</v>
      </c>
      <c r="AB352" s="565">
        <f t="shared" si="403"/>
        <v>0</v>
      </c>
      <c r="AC352" s="501">
        <f t="shared" ref="AC352:AC355" si="404">SUM(Y352:AB352)</f>
        <v>533.39613275309136</v>
      </c>
      <c r="AE352" s="710">
        <v>360</v>
      </c>
      <c r="AF352" s="823">
        <f t="shared" ref="AF352:AI352" si="405">AF338*$R$22*E303</f>
        <v>457.82770289794553</v>
      </c>
      <c r="AG352" s="823">
        <f t="shared" si="405"/>
        <v>460.01826606970599</v>
      </c>
      <c r="AH352" s="823">
        <f t="shared" si="405"/>
        <v>286.74471918345012</v>
      </c>
      <c r="AI352" s="565">
        <f t="shared" si="405"/>
        <v>139.95264708469904</v>
      </c>
      <c r="AJ352" s="501">
        <f t="shared" ref="AJ352:AJ355" si="406">SUM(AF352:AI352)</f>
        <v>1344.5433352358007</v>
      </c>
      <c r="AL352" s="710">
        <v>360</v>
      </c>
      <c r="AM352" s="823">
        <f t="shared" ref="AM352:AP352" si="407">AM338*$R$22*E303</f>
        <v>538.77776397803086</v>
      </c>
      <c r="AN352" s="823">
        <f t="shared" si="407"/>
        <v>621.66665074388186</v>
      </c>
      <c r="AO352" s="823">
        <f t="shared" si="407"/>
        <v>356.91300255427251</v>
      </c>
      <c r="AP352" s="565">
        <f t="shared" si="407"/>
        <v>174.19996304957718</v>
      </c>
      <c r="AQ352" s="501">
        <f t="shared" ref="AQ352:AQ355" si="408">SUM(AM352:AP352)</f>
        <v>1691.5573803257626</v>
      </c>
      <c r="AS352" s="710">
        <v>360</v>
      </c>
      <c r="AT352" s="823">
        <f t="shared" ref="AT352:AW352" si="409">AT338*$R$22*E303</f>
        <v>698.88713015225505</v>
      </c>
      <c r="AU352" s="823">
        <f t="shared" si="409"/>
        <v>806.4082270987559</v>
      </c>
      <c r="AV352" s="823">
        <f t="shared" si="409"/>
        <v>462.97735494397881</v>
      </c>
      <c r="AW352" s="565">
        <f t="shared" si="409"/>
        <v>225.96721763244884</v>
      </c>
      <c r="AX352" s="501">
        <f t="shared" ref="AX352" si="410">AX338*30%*I303</f>
        <v>0</v>
      </c>
    </row>
    <row r="353" spans="12:50">
      <c r="L353" s="12"/>
      <c r="M353" s="68">
        <v>4</v>
      </c>
      <c r="N353" s="710">
        <v>600</v>
      </c>
      <c r="O353" s="510">
        <f>O346/O$299</f>
        <v>0.12118582915763572</v>
      </c>
      <c r="P353" s="510">
        <f t="shared" ref="P353:U353" si="411">P346/P$299</f>
        <v>0.19849474386111088</v>
      </c>
      <c r="Q353" s="510">
        <f t="shared" si="411"/>
        <v>0.21174317580771201</v>
      </c>
      <c r="R353" s="511">
        <f t="shared" si="411"/>
        <v>0.25935552809376589</v>
      </c>
      <c r="S353" s="512">
        <f t="shared" si="411"/>
        <v>0.10094675749620649</v>
      </c>
      <c r="T353" s="512">
        <f t="shared" si="411"/>
        <v>0.18228181419841119</v>
      </c>
      <c r="U353" s="512">
        <f t="shared" si="411"/>
        <v>9.7746858783156254E-2</v>
      </c>
      <c r="X353" s="710">
        <v>240</v>
      </c>
      <c r="Y353" s="823">
        <f t="shared" ref="Y353:AB353" si="412">Y339*$R$22*E304</f>
        <v>192.43024108287432</v>
      </c>
      <c r="Z353" s="823">
        <f t="shared" si="412"/>
        <v>136.77349443121213</v>
      </c>
      <c r="AA353" s="823">
        <f t="shared" si="412"/>
        <v>19.519551081948361</v>
      </c>
      <c r="AB353" s="565">
        <f t="shared" si="412"/>
        <v>0</v>
      </c>
      <c r="AC353" s="501">
        <f t="shared" si="404"/>
        <v>348.72328659603482</v>
      </c>
      <c r="AE353" s="710">
        <v>240</v>
      </c>
      <c r="AF353" s="823">
        <f t="shared" ref="AF353:AI353" si="413">AF339*$R$22*E304</f>
        <v>319.05146936845131</v>
      </c>
      <c r="AG353" s="823">
        <f t="shared" si="413"/>
        <v>312.67043998108232</v>
      </c>
      <c r="AH353" s="823">
        <f t="shared" si="413"/>
        <v>53.547099754145677</v>
      </c>
      <c r="AI353" s="565">
        <f t="shared" si="413"/>
        <v>0</v>
      </c>
      <c r="AJ353" s="501">
        <f t="shared" si="406"/>
        <v>685.26900910367931</v>
      </c>
      <c r="AL353" s="710">
        <v>240</v>
      </c>
      <c r="AM353" s="823">
        <f t="shared" ref="AM353:AP353" si="414">AM339*$R$22*E304</f>
        <v>357.58479647664734</v>
      </c>
      <c r="AN353" s="823">
        <f t="shared" si="414"/>
        <v>402.42042865025769</v>
      </c>
      <c r="AO353" s="823">
        <f t="shared" si="414"/>
        <v>63.476591090529105</v>
      </c>
      <c r="AP353" s="565">
        <f t="shared" si="414"/>
        <v>0</v>
      </c>
      <c r="AQ353" s="501">
        <f t="shared" si="408"/>
        <v>823.48181621743424</v>
      </c>
      <c r="AS353" s="710">
        <v>240</v>
      </c>
      <c r="AT353" s="823">
        <f t="shared" ref="AT353:AW353" si="415">AT339*$R$22*E304</f>
        <v>463.84878683640812</v>
      </c>
      <c r="AU353" s="823">
        <f t="shared" si="415"/>
        <v>522.00828857051158</v>
      </c>
      <c r="AV353" s="823">
        <f t="shared" si="415"/>
        <v>82.340021331906769</v>
      </c>
      <c r="AW353" s="565">
        <f t="shared" si="415"/>
        <v>0</v>
      </c>
      <c r="AX353" s="501">
        <f t="shared" ref="AX353" si="416">AX339*30%*I304</f>
        <v>0</v>
      </c>
    </row>
    <row r="354" spans="12:50">
      <c r="L354" s="12"/>
      <c r="M354" s="68">
        <v>3</v>
      </c>
      <c r="N354" s="710">
        <v>360</v>
      </c>
      <c r="O354" s="510">
        <f t="shared" ref="O354:U354" si="417">O347/O$299</f>
        <v>7.0671180831390373E-2</v>
      </c>
      <c r="P354" s="510">
        <f t="shared" si="417"/>
        <v>0.12153959051228938</v>
      </c>
      <c r="Q354" s="510">
        <f t="shared" si="417"/>
        <v>0.13239141553610664</v>
      </c>
      <c r="R354" s="511">
        <f t="shared" si="417"/>
        <v>0.14658710837763458</v>
      </c>
      <c r="S354" s="512">
        <f t="shared" si="417"/>
        <v>8.8281184910994834E-2</v>
      </c>
      <c r="T354" s="512">
        <f t="shared" si="417"/>
        <v>0.11255672409114</v>
      </c>
      <c r="U354" s="512">
        <f t="shared" si="417"/>
        <v>0.11037850464335544</v>
      </c>
      <c r="X354" s="78">
        <v>120</v>
      </c>
      <c r="Y354" s="824">
        <f t="shared" ref="Y354:AB354" si="418">Y340*$R$22*E305</f>
        <v>163.19564676451455</v>
      </c>
      <c r="Z354" s="824">
        <f t="shared" si="418"/>
        <v>69.684797362555656</v>
      </c>
      <c r="AA354" s="824">
        <f t="shared" si="418"/>
        <v>4.0665731420725804</v>
      </c>
      <c r="AB354" s="825">
        <f t="shared" si="418"/>
        <v>0</v>
      </c>
      <c r="AC354" s="622">
        <f t="shared" si="404"/>
        <v>236.94701726914278</v>
      </c>
      <c r="AE354" s="78">
        <v>120</v>
      </c>
      <c r="AF354" s="824">
        <f t="shared" ref="AF354:AI354" si="419">AF340*$R$22*E305</f>
        <v>270.58018844516738</v>
      </c>
      <c r="AG354" s="824">
        <f t="shared" si="419"/>
        <v>159.30262176858341</v>
      </c>
      <c r="AH354" s="824">
        <f t="shared" si="419"/>
        <v>11.155645782113698</v>
      </c>
      <c r="AI354" s="825">
        <f t="shared" si="419"/>
        <v>0</v>
      </c>
      <c r="AJ354" s="622">
        <f t="shared" si="406"/>
        <v>441.03845599586447</v>
      </c>
      <c r="AL354" s="78">
        <v>120</v>
      </c>
      <c r="AM354" s="824">
        <f t="shared" ref="AM354:AP354" si="420">AM340*$R$22*E305</f>
        <v>303.25941393500284</v>
      </c>
      <c r="AN354" s="824">
        <f t="shared" si="420"/>
        <v>205.02938922240901</v>
      </c>
      <c r="AO354" s="824">
        <f t="shared" si="420"/>
        <v>13.224289810526916</v>
      </c>
      <c r="AP354" s="825">
        <f t="shared" si="420"/>
        <v>0</v>
      </c>
      <c r="AQ354" s="622">
        <f t="shared" si="408"/>
        <v>521.51309296793875</v>
      </c>
      <c r="AS354" s="78">
        <v>120</v>
      </c>
      <c r="AT354" s="824">
        <f t="shared" ref="AT354:AW354" si="421">AT340*$R$22*E305</f>
        <v>393.37945191318454</v>
      </c>
      <c r="AU354" s="824">
        <f t="shared" si="421"/>
        <v>265.95826890205888</v>
      </c>
      <c r="AV354" s="824">
        <f t="shared" si="421"/>
        <v>17.154171110813934</v>
      </c>
      <c r="AW354" s="825">
        <f t="shared" si="421"/>
        <v>0</v>
      </c>
      <c r="AX354" s="622">
        <f t="shared" ref="AX354" si="422">AX340*30%*I305</f>
        <v>0</v>
      </c>
    </row>
    <row r="355" spans="12:50">
      <c r="L355" s="12"/>
      <c r="M355" s="68">
        <v>2</v>
      </c>
      <c r="N355" s="710">
        <v>240</v>
      </c>
      <c r="O355" s="510">
        <f t="shared" ref="O355:U355" si="423">O348/O$299</f>
        <v>6.8657522454632372E-2</v>
      </c>
      <c r="P355" s="510">
        <f t="shared" si="423"/>
        <v>0.13402243371022898</v>
      </c>
      <c r="Q355" s="510">
        <f t="shared" si="423"/>
        <v>0.11398207120738121</v>
      </c>
      <c r="R355" s="511">
        <f t="shared" si="423"/>
        <v>9.8506101650080738E-2</v>
      </c>
      <c r="S355" s="512">
        <f t="shared" si="423"/>
        <v>6.7478001345970165E-2</v>
      </c>
      <c r="T355" s="512">
        <f t="shared" si="423"/>
        <v>0.10604151695599856</v>
      </c>
      <c r="U355" s="512">
        <f t="shared" si="423"/>
        <v>0.10607506631806213</v>
      </c>
      <c r="X355" s="522" t="s">
        <v>254</v>
      </c>
      <c r="Y355" s="829">
        <f>SUM(Y351:Y354)</f>
        <v>849.28346785614713</v>
      </c>
      <c r="Z355" s="829">
        <f t="shared" ref="Z355:AB355" si="424">SUM(Z351:Z354)</f>
        <v>720.89606055851675</v>
      </c>
      <c r="AA355" s="829">
        <f t="shared" si="424"/>
        <v>326.6352879175534</v>
      </c>
      <c r="AB355" s="830">
        <f t="shared" si="424"/>
        <v>0</v>
      </c>
      <c r="AC355" s="826">
        <f t="shared" si="404"/>
        <v>1896.8148163322171</v>
      </c>
      <c r="AE355" s="522" t="s">
        <v>254</v>
      </c>
      <c r="AF355" s="829">
        <f>SUM(AF351:AF354)</f>
        <v>1482.5295462139977</v>
      </c>
      <c r="AG355" s="829">
        <f t="shared" ref="AG355" si="425">SUM(AG351:AG354)</f>
        <v>1754.9128926774013</v>
      </c>
      <c r="AH355" s="829">
        <f t="shared" ref="AH355" si="426">SUM(AH351:AH354)</f>
        <v>971.62023823590584</v>
      </c>
      <c r="AI355" s="830">
        <f t="shared" ref="AI355" si="427">SUM(AI351:AI354)</f>
        <v>760.61221241684257</v>
      </c>
      <c r="AJ355" s="826">
        <f t="shared" si="406"/>
        <v>4969.6748895441469</v>
      </c>
      <c r="AL355" s="522" t="s">
        <v>254</v>
      </c>
      <c r="AM355" s="829">
        <f>SUM(AM351:AM354)</f>
        <v>1711.6183875266988</v>
      </c>
      <c r="AN355" s="829">
        <f t="shared" ref="AN355" si="428">SUM(AN351:AN354)</f>
        <v>2341.2090327250485</v>
      </c>
      <c r="AO355" s="829">
        <f t="shared" ref="AO355" si="429">SUM(AO351:AO354)</f>
        <v>1205.546937108063</v>
      </c>
      <c r="AP355" s="830">
        <f t="shared" ref="AP355" si="430">SUM(AP351:AP354)</f>
        <v>946.73892961726733</v>
      </c>
      <c r="AQ355" s="826">
        <f t="shared" si="408"/>
        <v>6205.1132869770772</v>
      </c>
      <c r="AS355" s="522" t="s">
        <v>254</v>
      </c>
      <c r="AT355" s="829">
        <f>SUM(AT351:AT354)</f>
        <v>2220.262495508523</v>
      </c>
      <c r="AU355" s="829">
        <f t="shared" ref="AU355" si="431">SUM(AU351:AU354)</f>
        <v>3036.9495019368783</v>
      </c>
      <c r="AV355" s="829">
        <f t="shared" ref="AV355" si="432">SUM(AV351:AV354)</f>
        <v>1563.8010613475331</v>
      </c>
      <c r="AW355" s="830">
        <f t="shared" ref="AW355" si="433">SUM(AW351:AW354)</f>
        <v>1228.0827045241783</v>
      </c>
      <c r="AX355" s="826">
        <f t="shared" ref="AX355" si="434">SUM(AT355:AW355)</f>
        <v>8049.0957633171129</v>
      </c>
    </row>
    <row r="356" spans="12:50">
      <c r="L356" s="795"/>
      <c r="M356" s="70">
        <v>1</v>
      </c>
      <c r="N356" s="78">
        <v>120</v>
      </c>
      <c r="O356" s="532">
        <f t="shared" ref="O356:U356" si="435">O349/O$299</f>
        <v>0.1146510037151746</v>
      </c>
      <c r="P356" s="532">
        <f t="shared" si="435"/>
        <v>9.1340566769667869E-2</v>
      </c>
      <c r="Q356" s="532">
        <f t="shared" si="435"/>
        <v>0.14701074872210887</v>
      </c>
      <c r="R356" s="533">
        <f t="shared" si="435"/>
        <v>0.10408142230282035</v>
      </c>
      <c r="S356" s="534">
        <f t="shared" si="435"/>
        <v>0.12163233380925158</v>
      </c>
      <c r="T356" s="534">
        <f t="shared" si="435"/>
        <v>0.125348471406248</v>
      </c>
      <c r="U356" s="534">
        <f t="shared" si="435"/>
        <v>0.12812164600850437</v>
      </c>
      <c r="AC356" s="827">
        <f>AC355/Y299</f>
        <v>2.1105843839981556E-2</v>
      </c>
      <c r="AJ356" s="827">
        <f>AJ355/Z299</f>
        <v>2.9481086093309499E-2</v>
      </c>
      <c r="AQ356" s="827">
        <f>AQ355/AA299</f>
        <v>3.1532536329177935E-2</v>
      </c>
      <c r="AX356" s="827">
        <f>AX355/AB299</f>
        <v>3.4855750423594373E-2</v>
      </c>
    </row>
    <row r="357" spans="12:50">
      <c r="L357" s="795"/>
      <c r="M357" s="521" t="s">
        <v>221</v>
      </c>
      <c r="N357" s="522"/>
      <c r="O357" s="799">
        <f t="shared" ref="O357:U357" si="436">O350/O$299</f>
        <v>0.37516553615883308</v>
      </c>
      <c r="P357" s="800">
        <f t="shared" si="436"/>
        <v>0.54539733485329711</v>
      </c>
      <c r="Q357" s="800">
        <f t="shared" si="436"/>
        <v>0.60512741127330882</v>
      </c>
      <c r="R357" s="801">
        <f t="shared" si="436"/>
        <v>0.60853016042430164</v>
      </c>
      <c r="S357" s="800">
        <f t="shared" si="436"/>
        <v>0.37833827756242305</v>
      </c>
      <c r="T357" s="800">
        <f t="shared" si="436"/>
        <v>0.52622852665179776</v>
      </c>
      <c r="U357" s="800">
        <f t="shared" si="436"/>
        <v>0.44232207575307825</v>
      </c>
    </row>
    <row r="358" spans="12:50">
      <c r="L358" s="795"/>
      <c r="M358" s="541"/>
      <c r="N358" s="541"/>
      <c r="O358" s="797"/>
      <c r="P358" s="797"/>
      <c r="Q358" s="797"/>
      <c r="R358" s="797"/>
      <c r="S358" s="797"/>
      <c r="T358" s="797"/>
      <c r="U358" s="797"/>
    </row>
    <row r="359" spans="12:50">
      <c r="L359" s="80" t="s">
        <v>649</v>
      </c>
      <c r="M359" s="70" t="s">
        <v>20</v>
      </c>
      <c r="N359" s="78" t="s">
        <v>220</v>
      </c>
      <c r="O359" s="71" t="s">
        <v>208</v>
      </c>
      <c r="P359" s="72" t="s">
        <v>209</v>
      </c>
      <c r="Q359" s="72" t="s">
        <v>212</v>
      </c>
      <c r="R359" s="73" t="s">
        <v>211</v>
      </c>
      <c r="S359" s="71" t="s">
        <v>213</v>
      </c>
      <c r="T359" s="72" t="s">
        <v>214</v>
      </c>
      <c r="U359" s="72" t="s">
        <v>210</v>
      </c>
    </row>
    <row r="360" spans="12:50">
      <c r="L360" s="12"/>
      <c r="M360" s="68">
        <v>4</v>
      </c>
      <c r="N360" s="710">
        <v>600</v>
      </c>
      <c r="O360" s="496">
        <v>338.49974300000002</v>
      </c>
      <c r="P360" s="496">
        <v>1009.5005704000001</v>
      </c>
      <c r="Q360" s="496">
        <v>1404.5911191000002</v>
      </c>
      <c r="R360" s="497">
        <v>2358.4068674500004</v>
      </c>
      <c r="S360" s="498">
        <v>379.96930150000003</v>
      </c>
      <c r="T360" s="498">
        <v>1333.4721773000003</v>
      </c>
      <c r="U360" s="498">
        <v>853.94292580000001</v>
      </c>
    </row>
    <row r="361" spans="12:50">
      <c r="L361" s="12"/>
      <c r="M361" s="68">
        <v>3</v>
      </c>
      <c r="N361" s="710">
        <v>360</v>
      </c>
      <c r="O361" s="496">
        <v>156.04755509999998</v>
      </c>
      <c r="P361" s="496">
        <v>416.11789344999994</v>
      </c>
      <c r="Q361" s="496">
        <v>572.01872400000002</v>
      </c>
      <c r="R361" s="497">
        <v>957.88508969999975</v>
      </c>
      <c r="S361" s="498">
        <v>277.19606519999996</v>
      </c>
      <c r="T361" s="498">
        <v>559.92903450000017</v>
      </c>
      <c r="U361" s="498">
        <v>679.46495109999978</v>
      </c>
    </row>
    <row r="362" spans="12:50">
      <c r="L362" s="12"/>
      <c r="M362" s="68">
        <v>2</v>
      </c>
      <c r="N362" s="710">
        <v>240</v>
      </c>
      <c r="O362" s="496">
        <v>87.498459700000012</v>
      </c>
      <c r="P362" s="496">
        <v>324.96176485000007</v>
      </c>
      <c r="Q362" s="496">
        <v>347.00222860000002</v>
      </c>
      <c r="R362" s="497">
        <v>445.42299579999991</v>
      </c>
      <c r="S362" s="498">
        <v>136.55458149999998</v>
      </c>
      <c r="T362" s="498">
        <v>369.3752485</v>
      </c>
      <c r="U362" s="498">
        <v>414.1389630000001</v>
      </c>
    </row>
    <row r="363" spans="12:50">
      <c r="L363" s="795"/>
      <c r="M363" s="70">
        <v>1</v>
      </c>
      <c r="N363" s="78">
        <v>120</v>
      </c>
      <c r="O363" s="526">
        <v>67.471004750000006</v>
      </c>
      <c r="P363" s="526">
        <v>96.884432750000002</v>
      </c>
      <c r="Q363" s="526">
        <v>191.63405524999993</v>
      </c>
      <c r="R363" s="527">
        <v>201.44015475</v>
      </c>
      <c r="S363" s="528">
        <v>115.7385645</v>
      </c>
      <c r="T363" s="528">
        <v>194.80423550000006</v>
      </c>
      <c r="U363" s="528">
        <v>219.8121460000001</v>
      </c>
    </row>
    <row r="364" spans="12:50">
      <c r="L364" s="795"/>
      <c r="M364" s="521" t="s">
        <v>221</v>
      </c>
      <c r="N364" s="522"/>
      <c r="O364" s="529">
        <f>SUM(O360:O363)</f>
        <v>649.51676255000007</v>
      </c>
      <c r="P364" s="530">
        <f t="shared" ref="P364" si="437">SUM(P360:P363)</f>
        <v>1847.4646614500002</v>
      </c>
      <c r="Q364" s="530">
        <f t="shared" ref="Q364" si="438">SUM(Q360:Q363)</f>
        <v>2515.2461269500004</v>
      </c>
      <c r="R364" s="531">
        <f t="shared" ref="R364" si="439">SUM(R360:R363)</f>
        <v>3963.1551077000004</v>
      </c>
      <c r="S364" s="530">
        <f t="shared" ref="S364" si="440">SUM(S360:S363)</f>
        <v>909.45851270000003</v>
      </c>
      <c r="T364" s="530">
        <f t="shared" ref="T364" si="441">SUM(T360:T363)</f>
        <v>2457.5806958000007</v>
      </c>
      <c r="U364" s="530">
        <f t="shared" ref="U364" si="442">SUM(U360:U363)</f>
        <v>2167.3589858999999</v>
      </c>
    </row>
    <row r="365" spans="12:50">
      <c r="L365" s="795"/>
      <c r="N365" s="802" t="s">
        <v>464</v>
      </c>
      <c r="O365" s="796">
        <f>O364/O299</f>
        <v>1.7184402440593112E-2</v>
      </c>
      <c r="P365" s="796">
        <f t="shared" ref="P365:Q365" si="443">P364/P299</f>
        <v>2.7505741908515745E-2</v>
      </c>
      <c r="Q365" s="796">
        <f t="shared" si="443"/>
        <v>3.0421469526330739E-2</v>
      </c>
      <c r="R365" s="796">
        <f>R364/R299</f>
        <v>3.1790249387232433E-2</v>
      </c>
      <c r="S365" s="796">
        <f t="shared" ref="S365:U365" si="444">S364/S299</f>
        <v>1.4988637397434314E-2</v>
      </c>
      <c r="T365" s="796">
        <f t="shared" si="444"/>
        <v>2.4683049352482635E-2</v>
      </c>
      <c r="U365" s="796">
        <f t="shared" si="444"/>
        <v>1.9829147771217522E-2</v>
      </c>
      <c r="V365" s="1275"/>
    </row>
    <row r="366" spans="12:50">
      <c r="L366" s="795"/>
      <c r="N366" s="802" t="s">
        <v>467</v>
      </c>
      <c r="O366" s="797">
        <v>680.05447274999995</v>
      </c>
      <c r="P366" s="797">
        <v>1967.0883920000003</v>
      </c>
      <c r="Q366" s="797">
        <v>2665.7221547500008</v>
      </c>
      <c r="R366" s="797">
        <v>4189.2003082500014</v>
      </c>
      <c r="S366" s="797">
        <v>952.39223350000009</v>
      </c>
      <c r="T366" s="797">
        <v>2675.6324234999984</v>
      </c>
      <c r="U366" s="797">
        <v>2321.7431089999995</v>
      </c>
    </row>
    <row r="367" spans="12:50">
      <c r="L367" s="795"/>
      <c r="N367" s="802" t="s">
        <v>468</v>
      </c>
      <c r="O367" s="797">
        <f>O364-O366</f>
        <v>-30.537710199999879</v>
      </c>
      <c r="P367" s="797">
        <f t="shared" ref="P367:U367" si="445">P364-P366</f>
        <v>-119.62373055000012</v>
      </c>
      <c r="Q367" s="797">
        <f t="shared" si="445"/>
        <v>-150.47602780000034</v>
      </c>
      <c r="R367" s="797">
        <f t="shared" si="445"/>
        <v>-226.04520055000103</v>
      </c>
      <c r="S367" s="797">
        <f t="shared" si="445"/>
        <v>-42.93372080000006</v>
      </c>
      <c r="T367" s="797">
        <f t="shared" si="445"/>
        <v>-218.05172769999763</v>
      </c>
      <c r="U367" s="797">
        <f t="shared" si="445"/>
        <v>-154.38412309999967</v>
      </c>
    </row>
    <row r="368" spans="12:50">
      <c r="L368" s="795"/>
      <c r="N368" s="802" t="s">
        <v>469</v>
      </c>
      <c r="O368" s="796">
        <f>O367/O299</f>
        <v>-8.079426612959907E-4</v>
      </c>
      <c r="P368" s="796">
        <f t="shared" ref="P368:U368" si="446">P367/P299</f>
        <v>-1.7810026504429478E-3</v>
      </c>
      <c r="Q368" s="796">
        <f t="shared" si="446"/>
        <v>-1.8199816889140589E-3</v>
      </c>
      <c r="R368" s="796">
        <f t="shared" si="446"/>
        <v>-1.8132102082781933E-3</v>
      </c>
      <c r="S368" s="796">
        <f t="shared" si="446"/>
        <v>-7.075836491797833E-4</v>
      </c>
      <c r="T368" s="796">
        <f t="shared" si="446"/>
        <v>-2.1900324841464132E-3</v>
      </c>
      <c r="U368" s="796">
        <f t="shared" si="446"/>
        <v>-1.41245894676212E-3</v>
      </c>
    </row>
    <row r="369" spans="2:23">
      <c r="L369" s="795"/>
      <c r="M369" s="541"/>
      <c r="N369" s="541"/>
      <c r="O369" s="797"/>
      <c r="P369" s="797"/>
      <c r="Q369" s="797"/>
      <c r="R369" s="797"/>
      <c r="S369" s="797"/>
      <c r="T369" s="797"/>
      <c r="U369" s="797"/>
    </row>
    <row r="370" spans="2:23">
      <c r="L370" s="795"/>
      <c r="M370" s="541"/>
      <c r="N370" s="541"/>
      <c r="O370" s="797"/>
      <c r="P370" s="797"/>
      <c r="Q370" s="797"/>
      <c r="R370" s="797"/>
      <c r="S370" s="797"/>
      <c r="T370" s="797"/>
      <c r="U370" s="797"/>
    </row>
    <row r="371" spans="2:23">
      <c r="L371" s="795"/>
      <c r="M371" s="541"/>
      <c r="N371" s="803" t="s">
        <v>633</v>
      </c>
      <c r="O371" s="804">
        <f>O298</f>
        <v>585</v>
      </c>
      <c r="P371" s="804">
        <f t="shared" ref="P371:U371" si="447">P298</f>
        <v>722</v>
      </c>
      <c r="Q371" s="804">
        <f t="shared" si="447"/>
        <v>817</v>
      </c>
      <c r="R371" s="804">
        <f t="shared" si="447"/>
        <v>856</v>
      </c>
      <c r="S371" s="804">
        <f t="shared" si="447"/>
        <v>885</v>
      </c>
      <c r="T371" s="804">
        <f t="shared" si="447"/>
        <v>1124</v>
      </c>
      <c r="U371" s="804">
        <f t="shared" si="447"/>
        <v>1341</v>
      </c>
    </row>
    <row r="372" spans="2:23">
      <c r="L372" s="795"/>
      <c r="M372" s="541"/>
      <c r="N372" s="805" t="s">
        <v>643</v>
      </c>
      <c r="O372" s="804">
        <f>O307</f>
        <v>80</v>
      </c>
      <c r="P372" s="804">
        <f t="shared" ref="P372:U372" si="448">P307</f>
        <v>124</v>
      </c>
      <c r="Q372" s="804">
        <f t="shared" si="448"/>
        <v>175</v>
      </c>
      <c r="R372" s="804">
        <f t="shared" si="448"/>
        <v>271</v>
      </c>
      <c r="S372" s="804">
        <f t="shared" si="448"/>
        <v>136</v>
      </c>
      <c r="T372" s="804">
        <f t="shared" si="448"/>
        <v>217</v>
      </c>
      <c r="U372" s="804">
        <f t="shared" si="448"/>
        <v>254</v>
      </c>
    </row>
    <row r="373" spans="2:23">
      <c r="L373" s="795"/>
      <c r="M373" s="541"/>
      <c r="N373" s="805" t="s">
        <v>644</v>
      </c>
      <c r="O373" s="806">
        <f>O314</f>
        <v>0.13675213675213677</v>
      </c>
      <c r="P373" s="806">
        <f t="shared" ref="P373:U373" si="449">P314</f>
        <v>0.17174515235457063</v>
      </c>
      <c r="Q373" s="806">
        <f t="shared" si="449"/>
        <v>0.21419828641370869</v>
      </c>
      <c r="R373" s="806">
        <f t="shared" si="449"/>
        <v>0.31658878504672899</v>
      </c>
      <c r="S373" s="806">
        <f t="shared" si="449"/>
        <v>0.1536723163841808</v>
      </c>
      <c r="T373" s="806">
        <f t="shared" si="449"/>
        <v>0.19306049822064056</v>
      </c>
      <c r="U373" s="806">
        <f t="shared" si="449"/>
        <v>0.18941088739746459</v>
      </c>
    </row>
    <row r="374" spans="2:23">
      <c r="L374" s="795"/>
      <c r="M374" s="541"/>
      <c r="N374" s="805" t="s">
        <v>645</v>
      </c>
      <c r="O374" s="804">
        <v>32</v>
      </c>
      <c r="P374" s="804">
        <v>28</v>
      </c>
      <c r="Q374" s="804">
        <v>30</v>
      </c>
      <c r="R374" s="804">
        <v>68</v>
      </c>
      <c r="S374" s="804">
        <v>50</v>
      </c>
      <c r="T374" s="804">
        <v>51</v>
      </c>
      <c r="U374" s="804">
        <v>70</v>
      </c>
    </row>
    <row r="375" spans="2:23">
      <c r="L375" s="795"/>
      <c r="M375" s="541"/>
      <c r="N375" s="805" t="s">
        <v>646</v>
      </c>
      <c r="O375" s="807">
        <v>0</v>
      </c>
      <c r="P375" s="807">
        <v>0</v>
      </c>
      <c r="Q375" s="807">
        <v>0</v>
      </c>
      <c r="R375" s="808">
        <v>15</v>
      </c>
      <c r="S375" s="808">
        <v>15</v>
      </c>
      <c r="T375" s="808">
        <v>20</v>
      </c>
      <c r="U375" s="808">
        <v>34</v>
      </c>
    </row>
    <row r="376" spans="2:23">
      <c r="N376" s="805" t="s">
        <v>647</v>
      </c>
      <c r="O376" s="809">
        <f>O374/O372</f>
        <v>0.4</v>
      </c>
      <c r="P376" s="809">
        <f t="shared" ref="P376:U376" si="450">P374/P372</f>
        <v>0.22580645161290322</v>
      </c>
      <c r="Q376" s="809">
        <f t="shared" si="450"/>
        <v>0.17142857142857143</v>
      </c>
      <c r="R376" s="809">
        <f t="shared" si="450"/>
        <v>0.25092250922509224</v>
      </c>
      <c r="S376" s="809">
        <f t="shared" si="450"/>
        <v>0.36764705882352944</v>
      </c>
      <c r="T376" s="809">
        <f t="shared" si="450"/>
        <v>0.23502304147465439</v>
      </c>
      <c r="U376" s="809">
        <f t="shared" si="450"/>
        <v>0.27559055118110237</v>
      </c>
    </row>
    <row r="377" spans="2:23">
      <c r="N377" s="805" t="s">
        <v>648</v>
      </c>
      <c r="O377" s="809">
        <f>O375/O372</f>
        <v>0</v>
      </c>
      <c r="P377" s="809">
        <f t="shared" ref="P377:U377" si="451">P375/P372</f>
        <v>0</v>
      </c>
      <c r="Q377" s="809">
        <f t="shared" si="451"/>
        <v>0</v>
      </c>
      <c r="R377" s="809">
        <f t="shared" si="451"/>
        <v>5.5350553505535055E-2</v>
      </c>
      <c r="S377" s="809">
        <f t="shared" si="451"/>
        <v>0.11029411764705882</v>
      </c>
      <c r="T377" s="809">
        <f t="shared" si="451"/>
        <v>9.2165898617511524E-2</v>
      </c>
      <c r="U377" s="809">
        <f t="shared" si="451"/>
        <v>0.13385826771653545</v>
      </c>
    </row>
    <row r="379" spans="2:23">
      <c r="O379" s="581"/>
      <c r="P379" s="581"/>
      <c r="Q379" s="581"/>
    </row>
    <row r="380" spans="2:23">
      <c r="O380" s="581"/>
      <c r="P380" s="581"/>
      <c r="Q380" s="581"/>
    </row>
    <row r="381" spans="2:23">
      <c r="O381" s="1136" t="s">
        <v>460</v>
      </c>
      <c r="P381" s="1136"/>
      <c r="Q381" s="1137">
        <f>AC445</f>
        <v>8239.1044182733749</v>
      </c>
      <c r="R381" s="1138">
        <f>Q381/SUM($X$57:$AA$57)</f>
        <v>1.2007668527609277E-2</v>
      </c>
    </row>
    <row r="382" spans="2:23">
      <c r="O382" s="581"/>
      <c r="P382" s="581"/>
      <c r="Q382" s="581"/>
    </row>
    <row r="383" spans="2:23" ht="18">
      <c r="B383" s="258" t="s">
        <v>666</v>
      </c>
      <c r="L383" s="544" t="s">
        <v>470</v>
      </c>
      <c r="M383" s="2"/>
      <c r="N383" s="2"/>
      <c r="O383" s="2"/>
      <c r="P383" s="2"/>
      <c r="Q383" s="2"/>
      <c r="R383" s="2"/>
      <c r="S383" s="85"/>
      <c r="T383" s="85"/>
      <c r="U383" s="85"/>
      <c r="W383" s="545" t="s">
        <v>471</v>
      </c>
    </row>
    <row r="384" spans="2:23" ht="18">
      <c r="L384" s="2"/>
      <c r="M384" s="2"/>
      <c r="N384" s="2"/>
      <c r="O384" s="2"/>
      <c r="P384" s="2"/>
      <c r="Q384" s="2"/>
      <c r="R384" s="2"/>
      <c r="S384" s="85"/>
      <c r="T384" s="85"/>
      <c r="U384" s="85"/>
    </row>
    <row r="385" spans="3:28" ht="18">
      <c r="C385" s="261" t="s">
        <v>68</v>
      </c>
      <c r="D385" s="231"/>
      <c r="E385" s="231"/>
      <c r="F385" s="231"/>
      <c r="L385" s="2"/>
      <c r="M385" s="2"/>
      <c r="N385" s="2"/>
      <c r="O385" s="2"/>
      <c r="P385" s="2"/>
      <c r="Q385" s="2"/>
      <c r="R385" s="2"/>
      <c r="S385" s="85"/>
      <c r="T385" s="85"/>
      <c r="U385" s="85"/>
    </row>
    <row r="386" spans="3:28" ht="60">
      <c r="C386" s="296" t="s">
        <v>69</v>
      </c>
      <c r="D386" s="297"/>
      <c r="E386" s="836" t="s">
        <v>429</v>
      </c>
      <c r="F386" s="279"/>
      <c r="L386" s="2"/>
      <c r="M386" s="2"/>
      <c r="N386" s="507"/>
      <c r="O386" s="504" t="s">
        <v>208</v>
      </c>
      <c r="P386" s="504" t="s">
        <v>209</v>
      </c>
      <c r="Q386" s="504" t="s">
        <v>212</v>
      </c>
      <c r="R386" s="505" t="s">
        <v>211</v>
      </c>
      <c r="S386" s="82" t="s">
        <v>213</v>
      </c>
      <c r="T386" s="82" t="s">
        <v>214</v>
      </c>
      <c r="U386" s="82" t="s">
        <v>210</v>
      </c>
      <c r="X386" s="810"/>
      <c r="Y386" s="82" t="s">
        <v>215</v>
      </c>
      <c r="Z386" s="82" t="s">
        <v>216</v>
      </c>
      <c r="AA386" s="82" t="s">
        <v>217</v>
      </c>
      <c r="AB386" s="82" t="s">
        <v>218</v>
      </c>
    </row>
    <row r="387" spans="3:28" ht="29.25">
      <c r="C387" s="263" t="s">
        <v>56</v>
      </c>
      <c r="D387" s="264"/>
      <c r="E387" s="471"/>
      <c r="F387" s="834"/>
      <c r="N387" s="75" t="s">
        <v>667</v>
      </c>
      <c r="O387" s="501">
        <v>83</v>
      </c>
      <c r="P387" s="501">
        <v>98</v>
      </c>
      <c r="Q387" s="501">
        <v>102</v>
      </c>
      <c r="R387" s="506">
        <v>99</v>
      </c>
      <c r="S387" s="502">
        <v>104</v>
      </c>
      <c r="T387" s="502">
        <v>120</v>
      </c>
      <c r="U387" s="502">
        <v>150</v>
      </c>
      <c r="X387" s="75" t="s">
        <v>633</v>
      </c>
      <c r="Y387" s="737">
        <f>X237</f>
        <v>160.66666666666666</v>
      </c>
      <c r="Z387" s="737">
        <f t="shared" ref="Z387:AB387" si="452">Y237</f>
        <v>169</v>
      </c>
      <c r="AA387" s="737">
        <f t="shared" si="452"/>
        <v>178</v>
      </c>
      <c r="AB387" s="737">
        <f t="shared" si="452"/>
        <v>187</v>
      </c>
    </row>
    <row r="388" spans="3:28">
      <c r="C388" s="268" t="s">
        <v>57</v>
      </c>
      <c r="D388" s="269">
        <v>2300</v>
      </c>
      <c r="E388" s="303">
        <v>0.1</v>
      </c>
      <c r="F388" s="835"/>
      <c r="N388" s="75" t="s">
        <v>584</v>
      </c>
      <c r="O388" s="501">
        <v>37796.877999999997</v>
      </c>
      <c r="P388" s="501">
        <v>67166.509000000005</v>
      </c>
      <c r="Q388" s="501">
        <v>82679.967999999993</v>
      </c>
      <c r="R388" s="506">
        <v>124665.7445</v>
      </c>
      <c r="S388" s="502">
        <v>60676.530400000003</v>
      </c>
      <c r="T388" s="502">
        <v>99565.522100000002</v>
      </c>
      <c r="U388" s="502">
        <v>109301.67099999994</v>
      </c>
      <c r="X388" s="75" t="s">
        <v>206</v>
      </c>
      <c r="Y388" s="737">
        <f>Y299</f>
        <v>89871.546037833032</v>
      </c>
      <c r="Z388" s="737">
        <f t="shared" ref="Z388:AB388" si="453">Z299</f>
        <v>168571.63517703561</v>
      </c>
      <c r="AA388" s="737">
        <f t="shared" si="453"/>
        <v>196784.46485242969</v>
      </c>
      <c r="AB388" s="737">
        <f t="shared" si="453"/>
        <v>230925.90650031052</v>
      </c>
    </row>
    <row r="389" spans="3:28">
      <c r="C389" s="271" t="s">
        <v>17</v>
      </c>
      <c r="D389" s="272">
        <v>1500</v>
      </c>
      <c r="E389" s="306">
        <v>0.08</v>
      </c>
      <c r="F389" s="835"/>
      <c r="O389" s="581"/>
      <c r="P389" s="581"/>
      <c r="Q389" s="581"/>
    </row>
    <row r="390" spans="3:28">
      <c r="C390" s="271" t="s">
        <v>18</v>
      </c>
      <c r="D390" s="272">
        <v>960</v>
      </c>
      <c r="E390" s="306">
        <v>0.06</v>
      </c>
      <c r="F390" s="835"/>
      <c r="L390" s="80" t="s">
        <v>634</v>
      </c>
      <c r="M390" s="70" t="s">
        <v>20</v>
      </c>
      <c r="N390" s="78" t="s">
        <v>220</v>
      </c>
      <c r="O390" s="71" t="s">
        <v>208</v>
      </c>
      <c r="P390" s="72" t="s">
        <v>209</v>
      </c>
      <c r="Q390" s="72" t="s">
        <v>212</v>
      </c>
      <c r="R390" s="73" t="s">
        <v>211</v>
      </c>
      <c r="S390" s="71" t="s">
        <v>213</v>
      </c>
      <c r="T390" s="72" t="s">
        <v>214</v>
      </c>
      <c r="U390" s="72" t="s">
        <v>210</v>
      </c>
    </row>
    <row r="391" spans="3:28">
      <c r="C391" s="274" t="s">
        <v>19</v>
      </c>
      <c r="D391" s="307">
        <v>440</v>
      </c>
      <c r="E391" s="308">
        <v>0.04</v>
      </c>
      <c r="F391" s="835"/>
      <c r="M391" s="68">
        <v>4</v>
      </c>
      <c r="N391" s="832">
        <v>2300</v>
      </c>
      <c r="O391" s="74">
        <v>0</v>
      </c>
      <c r="P391" s="74">
        <v>5</v>
      </c>
      <c r="Q391" s="74">
        <v>5</v>
      </c>
      <c r="R391" s="75">
        <v>11</v>
      </c>
      <c r="S391" s="76">
        <v>1</v>
      </c>
      <c r="T391" s="76">
        <v>5</v>
      </c>
      <c r="U391" s="76">
        <v>5</v>
      </c>
      <c r="W391" s="714"/>
      <c r="X391" s="711" t="s">
        <v>477</v>
      </c>
      <c r="Y391" s="82" t="s">
        <v>215</v>
      </c>
      <c r="Z391" s="82" t="s">
        <v>216</v>
      </c>
      <c r="AA391" s="82" t="s">
        <v>217</v>
      </c>
      <c r="AB391" s="82" t="s">
        <v>218</v>
      </c>
    </row>
    <row r="392" spans="3:28">
      <c r="C392" s="294"/>
      <c r="D392" s="294"/>
      <c r="E392" s="294"/>
      <c r="F392" s="231"/>
      <c r="M392" s="68">
        <v>3</v>
      </c>
      <c r="N392" s="832">
        <v>1500</v>
      </c>
      <c r="O392" s="74">
        <v>2</v>
      </c>
      <c r="P392" s="74">
        <v>6</v>
      </c>
      <c r="Q392" s="74">
        <v>9</v>
      </c>
      <c r="R392" s="75">
        <v>14</v>
      </c>
      <c r="S392" s="76">
        <v>1</v>
      </c>
      <c r="T392" s="76">
        <v>7</v>
      </c>
      <c r="U392" s="76">
        <v>10</v>
      </c>
      <c r="W392" s="81" t="s">
        <v>652</v>
      </c>
      <c r="X392" s="636" t="s">
        <v>619</v>
      </c>
      <c r="Y392" s="554">
        <v>0.42</v>
      </c>
      <c r="Z392" s="554">
        <v>0.52</v>
      </c>
      <c r="AA392" s="554">
        <v>0.55000000000000004</v>
      </c>
      <c r="AB392" s="131">
        <v>0.6</v>
      </c>
    </row>
    <row r="393" spans="3:28">
      <c r="C393" s="224" t="s">
        <v>395</v>
      </c>
      <c r="D393" s="231"/>
      <c r="E393" s="310"/>
      <c r="F393" s="310"/>
      <c r="M393" s="68">
        <v>2</v>
      </c>
      <c r="N393" s="832">
        <v>960</v>
      </c>
      <c r="O393" s="74">
        <v>7</v>
      </c>
      <c r="P393" s="74">
        <v>7</v>
      </c>
      <c r="Q393" s="74">
        <v>7</v>
      </c>
      <c r="R393" s="75">
        <v>13</v>
      </c>
      <c r="S393" s="76">
        <v>11</v>
      </c>
      <c r="T393" s="76">
        <v>20</v>
      </c>
      <c r="U393" s="76">
        <v>21</v>
      </c>
      <c r="W393" s="81"/>
      <c r="X393" s="636" t="s">
        <v>633</v>
      </c>
      <c r="Y393" s="563">
        <f>Y392*Y387</f>
        <v>67.47999999999999</v>
      </c>
      <c r="Z393" s="563">
        <f t="shared" ref="Z393:AB393" si="454">Z392*Z387</f>
        <v>87.88000000000001</v>
      </c>
      <c r="AA393" s="563">
        <f t="shared" si="454"/>
        <v>97.9</v>
      </c>
      <c r="AB393" s="563">
        <f t="shared" si="454"/>
        <v>112.2</v>
      </c>
    </row>
    <row r="394" spans="3:28">
      <c r="C394" s="141" t="s">
        <v>394</v>
      </c>
      <c r="D394" s="231"/>
      <c r="E394" s="239"/>
      <c r="F394" s="239"/>
      <c r="M394" s="70">
        <v>1</v>
      </c>
      <c r="N394" s="833">
        <v>440</v>
      </c>
      <c r="O394" s="71">
        <v>16</v>
      </c>
      <c r="P394" s="71">
        <v>22</v>
      </c>
      <c r="Q394" s="71">
        <v>28</v>
      </c>
      <c r="R394" s="77">
        <v>21</v>
      </c>
      <c r="S394" s="72">
        <v>30</v>
      </c>
      <c r="T394" s="72">
        <v>30</v>
      </c>
      <c r="U394" s="72">
        <v>38</v>
      </c>
      <c r="W394" s="81" t="s">
        <v>655</v>
      </c>
      <c r="X394" s="811" t="s">
        <v>654</v>
      </c>
      <c r="Y394" s="813">
        <v>0.4</v>
      </c>
      <c r="Z394" s="813">
        <v>0.3</v>
      </c>
      <c r="AA394" s="813">
        <v>0.3</v>
      </c>
      <c r="AB394" s="96">
        <v>0.3</v>
      </c>
    </row>
    <row r="395" spans="3:28">
      <c r="C395" s="277" t="s">
        <v>392</v>
      </c>
      <c r="D395" s="141"/>
      <c r="E395" s="141"/>
      <c r="F395" s="141"/>
      <c r="M395" s="521" t="s">
        <v>221</v>
      </c>
      <c r="N395" s="522"/>
      <c r="O395" s="529">
        <f>SUM(O391:O394)</f>
        <v>25</v>
      </c>
      <c r="P395" s="530">
        <f t="shared" ref="P395" si="455">SUM(P391:P394)</f>
        <v>40</v>
      </c>
      <c r="Q395" s="530">
        <f t="shared" ref="Q395" si="456">SUM(Q391:Q394)</f>
        <v>49</v>
      </c>
      <c r="R395" s="531">
        <f t="shared" ref="R395" si="457">SUM(R391:R394)</f>
        <v>59</v>
      </c>
      <c r="S395" s="530">
        <f t="shared" ref="S395" si="458">SUM(S391:S394)</f>
        <v>43</v>
      </c>
      <c r="T395" s="530">
        <f t="shared" ref="T395" si="459">SUM(T391:T394)</f>
        <v>62</v>
      </c>
      <c r="U395" s="530">
        <f t="shared" ref="U395" si="460">SUM(U391:U394)</f>
        <v>74</v>
      </c>
      <c r="W395" s="81"/>
      <c r="X395" s="636" t="s">
        <v>633</v>
      </c>
      <c r="Y395" s="563">
        <f>Y394*Y393</f>
        <v>26.991999999999997</v>
      </c>
      <c r="Z395" s="563">
        <f t="shared" ref="Z395:AB395" si="461">Z394*Z393</f>
        <v>26.364000000000001</v>
      </c>
      <c r="AA395" s="563">
        <f t="shared" si="461"/>
        <v>29.37</v>
      </c>
      <c r="AB395" s="563">
        <f t="shared" si="461"/>
        <v>33.659999999999997</v>
      </c>
    </row>
    <row r="396" spans="3:28">
      <c r="C396" s="277" t="s">
        <v>59</v>
      </c>
      <c r="D396" s="141"/>
      <c r="E396" s="141"/>
      <c r="F396" s="141"/>
      <c r="M396" s="491"/>
      <c r="N396" s="491"/>
      <c r="O396" s="81"/>
      <c r="P396" s="81"/>
      <c r="Q396" s="81"/>
      <c r="R396" s="81"/>
      <c r="S396" s="76"/>
      <c r="T396" s="76"/>
      <c r="U396" s="76"/>
      <c r="W396" s="81" t="s">
        <v>672</v>
      </c>
      <c r="X396" s="811" t="s">
        <v>654</v>
      </c>
      <c r="Y396" s="96">
        <v>0.4</v>
      </c>
      <c r="Z396" s="131">
        <v>0.25</v>
      </c>
      <c r="AA396" s="131">
        <v>0.25</v>
      </c>
      <c r="AB396" s="131">
        <v>0.25</v>
      </c>
    </row>
    <row r="397" spans="3:28">
      <c r="C397" s="277" t="s">
        <v>60</v>
      </c>
      <c r="D397" s="141"/>
      <c r="E397" s="141"/>
      <c r="F397" s="141"/>
      <c r="L397" s="80" t="s">
        <v>635</v>
      </c>
      <c r="M397" s="70" t="s">
        <v>20</v>
      </c>
      <c r="N397" s="78" t="s">
        <v>220</v>
      </c>
      <c r="O397" s="71" t="s">
        <v>208</v>
      </c>
      <c r="P397" s="72" t="s">
        <v>209</v>
      </c>
      <c r="Q397" s="72" t="s">
        <v>212</v>
      </c>
      <c r="R397" s="73" t="s">
        <v>211</v>
      </c>
      <c r="S397" s="71" t="s">
        <v>213</v>
      </c>
      <c r="T397" s="72" t="s">
        <v>214</v>
      </c>
      <c r="U397" s="72" t="s">
        <v>210</v>
      </c>
      <c r="X397" s="636" t="s">
        <v>633</v>
      </c>
      <c r="Y397" s="501">
        <f>Y396*Y395</f>
        <v>10.796799999999999</v>
      </c>
      <c r="Z397" s="501">
        <f t="shared" ref="Z397:AB397" si="462">Z396*Z395</f>
        <v>6.5910000000000002</v>
      </c>
      <c r="AA397" s="501">
        <f t="shared" si="462"/>
        <v>7.3425000000000002</v>
      </c>
      <c r="AB397" s="501">
        <f t="shared" si="462"/>
        <v>8.4149999999999991</v>
      </c>
    </row>
    <row r="398" spans="3:28">
      <c r="M398" s="68">
        <v>4</v>
      </c>
      <c r="N398" s="832">
        <v>2300</v>
      </c>
      <c r="O398" s="510">
        <f>O391/O$387</f>
        <v>0</v>
      </c>
      <c r="P398" s="510">
        <f t="shared" ref="P398:U398" si="463">P391/P$387</f>
        <v>5.1020408163265307E-2</v>
      </c>
      <c r="Q398" s="510">
        <f t="shared" si="463"/>
        <v>4.9019607843137254E-2</v>
      </c>
      <c r="R398" s="511">
        <f t="shared" si="463"/>
        <v>0.1111111111111111</v>
      </c>
      <c r="S398" s="512">
        <f t="shared" si="463"/>
        <v>9.6153846153846159E-3</v>
      </c>
      <c r="T398" s="512">
        <f t="shared" si="463"/>
        <v>4.1666666666666664E-2</v>
      </c>
      <c r="U398" s="512">
        <f t="shared" si="463"/>
        <v>3.3333333333333333E-2</v>
      </c>
      <c r="V398" s="732"/>
      <c r="W398" s="81" t="s">
        <v>653</v>
      </c>
      <c r="X398" s="811" t="s">
        <v>656</v>
      </c>
      <c r="Y398" s="813">
        <v>0.15</v>
      </c>
      <c r="Z398" s="813">
        <v>0.15</v>
      </c>
      <c r="AA398" s="813">
        <v>0.15</v>
      </c>
      <c r="AB398" s="813">
        <v>0.15</v>
      </c>
    </row>
    <row r="399" spans="3:28">
      <c r="M399" s="68">
        <v>3</v>
      </c>
      <c r="N399" s="832">
        <v>1500</v>
      </c>
      <c r="O399" s="510">
        <f t="shared" ref="O399:U402" si="464">O392/O$387</f>
        <v>2.4096385542168676E-2</v>
      </c>
      <c r="P399" s="510">
        <f t="shared" si="464"/>
        <v>6.1224489795918366E-2</v>
      </c>
      <c r="Q399" s="510">
        <f t="shared" si="464"/>
        <v>8.8235294117647065E-2</v>
      </c>
      <c r="R399" s="511">
        <f t="shared" si="464"/>
        <v>0.14141414141414141</v>
      </c>
      <c r="S399" s="512">
        <f t="shared" si="464"/>
        <v>9.6153846153846159E-3</v>
      </c>
      <c r="T399" s="512">
        <f t="shared" si="464"/>
        <v>5.8333333333333334E-2</v>
      </c>
      <c r="U399" s="512">
        <f t="shared" si="464"/>
        <v>6.6666666666666666E-2</v>
      </c>
      <c r="V399" s="732"/>
      <c r="X399" s="812" t="s">
        <v>657</v>
      </c>
      <c r="Y399" s="501">
        <f>Y397*Y398</f>
        <v>1.6195199999999998</v>
      </c>
      <c r="Z399" s="501">
        <f t="shared" ref="Z399:AB399" si="465">Z397*Z398</f>
        <v>0.98865000000000003</v>
      </c>
      <c r="AA399" s="736">
        <f>AA397*AA398</f>
        <v>1.101375</v>
      </c>
      <c r="AB399" s="501">
        <f t="shared" si="465"/>
        <v>1.2622499999999999</v>
      </c>
    </row>
    <row r="400" spans="3:28">
      <c r="M400" s="68">
        <v>2</v>
      </c>
      <c r="N400" s="832">
        <v>960</v>
      </c>
      <c r="O400" s="510">
        <f t="shared" si="464"/>
        <v>8.4337349397590355E-2</v>
      </c>
      <c r="P400" s="510">
        <f t="shared" si="464"/>
        <v>7.1428571428571425E-2</v>
      </c>
      <c r="Q400" s="510">
        <f t="shared" si="464"/>
        <v>6.8627450980392163E-2</v>
      </c>
      <c r="R400" s="511">
        <f t="shared" si="464"/>
        <v>0.13131313131313133</v>
      </c>
      <c r="S400" s="512">
        <f t="shared" si="464"/>
        <v>0.10576923076923077</v>
      </c>
      <c r="T400" s="512">
        <f t="shared" si="464"/>
        <v>0.16666666666666666</v>
      </c>
      <c r="U400" s="512">
        <f t="shared" si="464"/>
        <v>0.14000000000000001</v>
      </c>
      <c r="V400" s="732"/>
      <c r="W400" s="815" t="s">
        <v>658</v>
      </c>
      <c r="X400" s="816" t="s">
        <v>657</v>
      </c>
      <c r="Y400" s="837">
        <f>Y393-Y395-Y397-Y399</f>
        <v>28.071679999999994</v>
      </c>
      <c r="Z400" s="837">
        <f t="shared" ref="Z400:AB400" si="466">Z393-Z395-Z397-Z399</f>
        <v>53.936350000000004</v>
      </c>
      <c r="AA400" s="837">
        <f t="shared" si="466"/>
        <v>60.086125000000003</v>
      </c>
      <c r="AB400" s="837">
        <f t="shared" si="466"/>
        <v>68.862750000000005</v>
      </c>
    </row>
    <row r="401" spans="12:29">
      <c r="M401" s="70">
        <v>1</v>
      </c>
      <c r="N401" s="833">
        <v>440</v>
      </c>
      <c r="O401" s="798">
        <f t="shared" si="464"/>
        <v>0.19277108433734941</v>
      </c>
      <c r="P401" s="532">
        <f t="shared" si="464"/>
        <v>0.22448979591836735</v>
      </c>
      <c r="Q401" s="532">
        <f t="shared" si="464"/>
        <v>0.27450980392156865</v>
      </c>
      <c r="R401" s="533">
        <f t="shared" si="464"/>
        <v>0.21212121212121213</v>
      </c>
      <c r="S401" s="534">
        <f t="shared" si="464"/>
        <v>0.28846153846153844</v>
      </c>
      <c r="T401" s="534">
        <f t="shared" si="464"/>
        <v>0.25</v>
      </c>
      <c r="U401" s="534">
        <f t="shared" si="464"/>
        <v>0.25333333333333335</v>
      </c>
      <c r="V401" s="732"/>
      <c r="W401" s="669"/>
      <c r="X401" s="817" t="s">
        <v>656</v>
      </c>
      <c r="Y401" s="838">
        <f>Y400/Y387</f>
        <v>0.17471999999999996</v>
      </c>
      <c r="Z401" s="838">
        <f t="shared" ref="Z401:AB401" si="467">Z400/Z387</f>
        <v>0.31915000000000004</v>
      </c>
      <c r="AA401" s="838">
        <f t="shared" si="467"/>
        <v>0.33756249999999999</v>
      </c>
      <c r="AB401" s="838">
        <f t="shared" si="467"/>
        <v>0.36825000000000002</v>
      </c>
    </row>
    <row r="402" spans="12:29">
      <c r="M402" s="521" t="s">
        <v>221</v>
      </c>
      <c r="N402" s="752"/>
      <c r="O402" s="624">
        <f t="shared" si="464"/>
        <v>0.30120481927710846</v>
      </c>
      <c r="P402" s="624">
        <f t="shared" si="464"/>
        <v>0.40816326530612246</v>
      </c>
      <c r="Q402" s="624">
        <f t="shared" si="464"/>
        <v>0.48039215686274511</v>
      </c>
      <c r="R402" s="625">
        <f t="shared" si="464"/>
        <v>0.59595959595959591</v>
      </c>
      <c r="S402" s="624">
        <f t="shared" si="464"/>
        <v>0.41346153846153844</v>
      </c>
      <c r="T402" s="624">
        <f t="shared" si="464"/>
        <v>0.51666666666666672</v>
      </c>
      <c r="U402" s="624">
        <f t="shared" si="464"/>
        <v>0.49333333333333335</v>
      </c>
    </row>
    <row r="404" spans="12:29">
      <c r="L404" s="80" t="s">
        <v>637</v>
      </c>
      <c r="M404" s="70" t="s">
        <v>20</v>
      </c>
      <c r="N404" s="78" t="s">
        <v>220</v>
      </c>
      <c r="O404" s="71" t="s">
        <v>208</v>
      </c>
      <c r="P404" s="72" t="s">
        <v>209</v>
      </c>
      <c r="Q404" s="72" t="s">
        <v>212</v>
      </c>
      <c r="R404" s="73" t="s">
        <v>211</v>
      </c>
      <c r="S404" s="71" t="s">
        <v>213</v>
      </c>
      <c r="T404" s="72" t="s">
        <v>214</v>
      </c>
      <c r="U404" s="72" t="s">
        <v>210</v>
      </c>
      <c r="W404" s="80" t="s">
        <v>673</v>
      </c>
      <c r="X404" s="78" t="s">
        <v>220</v>
      </c>
      <c r="Y404" s="71" t="s">
        <v>208</v>
      </c>
      <c r="Z404" s="72" t="s">
        <v>209</v>
      </c>
      <c r="AA404" s="72" t="s">
        <v>212</v>
      </c>
      <c r="AB404" s="72" t="s">
        <v>211</v>
      </c>
      <c r="AC404" s="12"/>
    </row>
    <row r="405" spans="12:29">
      <c r="M405" s="68">
        <v>4</v>
      </c>
      <c r="N405" s="832">
        <v>2300</v>
      </c>
      <c r="O405" s="74">
        <v>0</v>
      </c>
      <c r="P405" s="74">
        <v>5</v>
      </c>
      <c r="Q405" s="74">
        <v>5</v>
      </c>
      <c r="R405" s="75">
        <v>11</v>
      </c>
      <c r="S405" s="76">
        <v>1</v>
      </c>
      <c r="T405" s="76">
        <v>5</v>
      </c>
      <c r="U405" s="76">
        <v>5</v>
      </c>
      <c r="X405" s="832">
        <v>2300</v>
      </c>
      <c r="Y405" s="510">
        <v>0.1</v>
      </c>
      <c r="Z405" s="510">
        <v>0.15</v>
      </c>
      <c r="AA405" s="510">
        <v>0.18</v>
      </c>
      <c r="AB405" s="510">
        <v>0.2</v>
      </c>
      <c r="AC405" s="12"/>
    </row>
    <row r="406" spans="12:29">
      <c r="M406" s="68">
        <v>3</v>
      </c>
      <c r="N406" s="832">
        <v>1500</v>
      </c>
      <c r="O406" s="74">
        <v>2</v>
      </c>
      <c r="P406" s="74">
        <v>6</v>
      </c>
      <c r="Q406" s="74">
        <v>9</v>
      </c>
      <c r="R406" s="75">
        <v>9</v>
      </c>
      <c r="S406" s="76">
        <v>0</v>
      </c>
      <c r="T406" s="76">
        <v>7</v>
      </c>
      <c r="U406" s="76">
        <v>7</v>
      </c>
      <c r="X406" s="832">
        <v>1500</v>
      </c>
      <c r="Y406" s="510">
        <v>0.15</v>
      </c>
      <c r="Z406" s="510">
        <v>0.18</v>
      </c>
      <c r="AA406" s="510">
        <v>0.2</v>
      </c>
      <c r="AB406" s="513">
        <v>0.22</v>
      </c>
      <c r="AC406" s="12"/>
    </row>
    <row r="407" spans="12:29">
      <c r="M407" s="68">
        <v>2</v>
      </c>
      <c r="N407" s="832">
        <v>960</v>
      </c>
      <c r="O407" s="74">
        <v>7</v>
      </c>
      <c r="P407" s="74">
        <v>7</v>
      </c>
      <c r="Q407" s="74">
        <v>7</v>
      </c>
      <c r="R407" s="75">
        <v>12</v>
      </c>
      <c r="S407" s="76">
        <v>9</v>
      </c>
      <c r="T407" s="76">
        <v>15</v>
      </c>
      <c r="U407" s="76">
        <v>18</v>
      </c>
      <c r="X407" s="832">
        <v>960</v>
      </c>
      <c r="Y407" s="510">
        <v>0.3</v>
      </c>
      <c r="Z407" s="510">
        <v>0.35</v>
      </c>
      <c r="AA407" s="510">
        <v>0.4</v>
      </c>
      <c r="AB407" s="513">
        <v>0.45</v>
      </c>
      <c r="AC407" s="12"/>
    </row>
    <row r="408" spans="12:29">
      <c r="M408" s="70">
        <v>1</v>
      </c>
      <c r="N408" s="833">
        <v>440</v>
      </c>
      <c r="O408" s="71">
        <v>16</v>
      </c>
      <c r="P408" s="71">
        <v>22</v>
      </c>
      <c r="Q408" s="71">
        <v>28</v>
      </c>
      <c r="R408" s="77">
        <v>18</v>
      </c>
      <c r="S408" s="72">
        <v>23</v>
      </c>
      <c r="T408" s="72">
        <v>18</v>
      </c>
      <c r="U408" s="72">
        <v>22</v>
      </c>
      <c r="X408" s="833">
        <v>440</v>
      </c>
      <c r="Y408" s="798">
        <f>1-SUM(Y405:Y407)</f>
        <v>0.44999999999999996</v>
      </c>
      <c r="Z408" s="532">
        <f t="shared" ref="Z408:AB408" si="468">1-SUM(Z405:Z407)</f>
        <v>0.32000000000000006</v>
      </c>
      <c r="AA408" s="532">
        <f t="shared" si="468"/>
        <v>0.21999999999999997</v>
      </c>
      <c r="AB408" s="532">
        <f t="shared" si="468"/>
        <v>0.12999999999999989</v>
      </c>
      <c r="AC408" s="12"/>
    </row>
    <row r="409" spans="12:29">
      <c r="M409" s="521" t="s">
        <v>221</v>
      </c>
      <c r="N409" s="522"/>
      <c r="O409" s="529">
        <f>SUM(O405:O408)</f>
        <v>25</v>
      </c>
      <c r="P409" s="530">
        <f t="shared" ref="P409" si="469">SUM(P405:P408)</f>
        <v>40</v>
      </c>
      <c r="Q409" s="530">
        <f t="shared" ref="Q409" si="470">SUM(Q405:Q408)</f>
        <v>49</v>
      </c>
      <c r="R409" s="531">
        <f t="shared" ref="R409" si="471">SUM(R405:R408)</f>
        <v>50</v>
      </c>
      <c r="S409" s="530">
        <f t="shared" ref="S409" si="472">SUM(S405:S408)</f>
        <v>33</v>
      </c>
      <c r="T409" s="530">
        <f t="shared" ref="T409" si="473">SUM(T405:T408)</f>
        <v>45</v>
      </c>
      <c r="U409" s="530">
        <f t="shared" ref="U409" si="474">SUM(U405:U408)</f>
        <v>52</v>
      </c>
      <c r="X409" s="752"/>
      <c r="Y409" s="624"/>
      <c r="Z409" s="624"/>
      <c r="AA409" s="624"/>
      <c r="AB409" s="839"/>
      <c r="AC409" s="12"/>
    </row>
    <row r="410" spans="12:29">
      <c r="M410" s="491"/>
      <c r="N410" s="491"/>
      <c r="O410" s="81"/>
      <c r="P410" s="81"/>
      <c r="Q410" s="81"/>
      <c r="R410" s="81"/>
      <c r="S410" s="76"/>
      <c r="T410" s="76"/>
      <c r="U410" s="76"/>
    </row>
    <row r="411" spans="12:29">
      <c r="L411" s="80" t="s">
        <v>638</v>
      </c>
      <c r="M411" s="70" t="s">
        <v>20</v>
      </c>
      <c r="N411" s="78" t="s">
        <v>220</v>
      </c>
      <c r="O411" s="71" t="s">
        <v>208</v>
      </c>
      <c r="P411" s="72" t="s">
        <v>209</v>
      </c>
      <c r="Q411" s="72" t="s">
        <v>212</v>
      </c>
      <c r="R411" s="73" t="s">
        <v>211</v>
      </c>
      <c r="S411" s="71" t="s">
        <v>213</v>
      </c>
      <c r="T411" s="72" t="s">
        <v>214</v>
      </c>
      <c r="U411" s="72" t="s">
        <v>210</v>
      </c>
      <c r="W411" s="80" t="s">
        <v>219</v>
      </c>
      <c r="X411" s="78" t="s">
        <v>220</v>
      </c>
      <c r="Y411" s="71" t="s">
        <v>208</v>
      </c>
      <c r="Z411" s="72" t="s">
        <v>209</v>
      </c>
      <c r="AA411" s="72" t="s">
        <v>212</v>
      </c>
      <c r="AB411" s="72" t="s">
        <v>211</v>
      </c>
    </row>
    <row r="412" spans="12:29">
      <c r="M412" s="68">
        <v>4</v>
      </c>
      <c r="N412" s="832">
        <v>2300</v>
      </c>
      <c r="O412" s="510">
        <f>O405/O$387</f>
        <v>0</v>
      </c>
      <c r="P412" s="510">
        <f t="shared" ref="P412:U412" si="475">P405/P$387</f>
        <v>5.1020408163265307E-2</v>
      </c>
      <c r="Q412" s="510">
        <f t="shared" si="475"/>
        <v>4.9019607843137254E-2</v>
      </c>
      <c r="R412" s="511">
        <f t="shared" si="475"/>
        <v>0.1111111111111111</v>
      </c>
      <c r="S412" s="512">
        <f t="shared" si="475"/>
        <v>9.6153846153846159E-3</v>
      </c>
      <c r="T412" s="512">
        <f t="shared" si="475"/>
        <v>4.1666666666666664E-2</v>
      </c>
      <c r="U412" s="512">
        <f t="shared" si="475"/>
        <v>3.3333333333333333E-2</v>
      </c>
      <c r="X412" s="832">
        <v>2300</v>
      </c>
      <c r="Y412" s="496">
        <f>Y405*Y$400</f>
        <v>2.8071679999999994</v>
      </c>
      <c r="Z412" s="496">
        <f t="shared" ref="Z412:AB412" si="476">Z405*Z$400</f>
        <v>8.0904524999999996</v>
      </c>
      <c r="AA412" s="496">
        <f t="shared" si="476"/>
        <v>10.815502500000001</v>
      </c>
      <c r="AB412" s="499">
        <f t="shared" si="476"/>
        <v>13.772550000000003</v>
      </c>
    </row>
    <row r="413" spans="12:29">
      <c r="M413" s="68">
        <v>3</v>
      </c>
      <c r="N413" s="832">
        <v>1500</v>
      </c>
      <c r="O413" s="510">
        <f t="shared" ref="O413:U416" si="477">O406/O$387</f>
        <v>2.4096385542168676E-2</v>
      </c>
      <c r="P413" s="510">
        <f t="shared" si="477"/>
        <v>6.1224489795918366E-2</v>
      </c>
      <c r="Q413" s="510">
        <f t="shared" si="477"/>
        <v>8.8235294117647065E-2</v>
      </c>
      <c r="R413" s="511">
        <f t="shared" si="477"/>
        <v>9.0909090909090912E-2</v>
      </c>
      <c r="S413" s="512">
        <f t="shared" si="477"/>
        <v>0</v>
      </c>
      <c r="T413" s="512">
        <f t="shared" si="477"/>
        <v>5.8333333333333334E-2</v>
      </c>
      <c r="U413" s="512">
        <f t="shared" si="477"/>
        <v>4.6666666666666669E-2</v>
      </c>
      <c r="X413" s="832">
        <v>1500</v>
      </c>
      <c r="Y413" s="496">
        <f t="shared" ref="Y413:AB413" si="478">Y406*Y$400</f>
        <v>4.2107519999999985</v>
      </c>
      <c r="Z413" s="496">
        <f t="shared" si="478"/>
        <v>9.7085430000000006</v>
      </c>
      <c r="AA413" s="496">
        <f t="shared" si="478"/>
        <v>12.017225000000002</v>
      </c>
      <c r="AB413" s="499">
        <f t="shared" si="478"/>
        <v>15.149805000000001</v>
      </c>
    </row>
    <row r="414" spans="12:29">
      <c r="M414" s="68">
        <v>2</v>
      </c>
      <c r="N414" s="832">
        <v>960</v>
      </c>
      <c r="O414" s="510">
        <f t="shared" si="477"/>
        <v>8.4337349397590355E-2</v>
      </c>
      <c r="P414" s="510">
        <f t="shared" si="477"/>
        <v>7.1428571428571425E-2</v>
      </c>
      <c r="Q414" s="510">
        <f t="shared" si="477"/>
        <v>6.8627450980392163E-2</v>
      </c>
      <c r="R414" s="511">
        <f t="shared" si="477"/>
        <v>0.12121212121212122</v>
      </c>
      <c r="S414" s="512">
        <f t="shared" si="477"/>
        <v>8.6538461538461536E-2</v>
      </c>
      <c r="T414" s="512">
        <f t="shared" si="477"/>
        <v>0.125</v>
      </c>
      <c r="U414" s="512">
        <f t="shared" si="477"/>
        <v>0.12</v>
      </c>
      <c r="X414" s="832">
        <v>960</v>
      </c>
      <c r="Y414" s="496">
        <f t="shared" ref="Y414:AB414" si="479">Y407*Y$400</f>
        <v>8.421503999999997</v>
      </c>
      <c r="Z414" s="496">
        <f t="shared" si="479"/>
        <v>18.877722500000001</v>
      </c>
      <c r="AA414" s="496">
        <f t="shared" si="479"/>
        <v>24.034450000000003</v>
      </c>
      <c r="AB414" s="499">
        <f t="shared" si="479"/>
        <v>30.988237500000004</v>
      </c>
    </row>
    <row r="415" spans="12:29">
      <c r="M415" s="70">
        <v>1</v>
      </c>
      <c r="N415" s="833">
        <v>440</v>
      </c>
      <c r="O415" s="798">
        <f t="shared" si="477"/>
        <v>0.19277108433734941</v>
      </c>
      <c r="P415" s="532">
        <f t="shared" si="477"/>
        <v>0.22448979591836735</v>
      </c>
      <c r="Q415" s="532">
        <f t="shared" si="477"/>
        <v>0.27450980392156865</v>
      </c>
      <c r="R415" s="533">
        <f t="shared" si="477"/>
        <v>0.18181818181818182</v>
      </c>
      <c r="S415" s="534">
        <f t="shared" si="477"/>
        <v>0.22115384615384615</v>
      </c>
      <c r="T415" s="534">
        <f t="shared" si="477"/>
        <v>0.15</v>
      </c>
      <c r="U415" s="534">
        <f t="shared" si="477"/>
        <v>0.14666666666666667</v>
      </c>
      <c r="X415" s="833">
        <v>440</v>
      </c>
      <c r="Y415" s="840">
        <f t="shared" ref="Y415:AB415" si="480">Y408*Y$400</f>
        <v>12.632255999999996</v>
      </c>
      <c r="Z415" s="526">
        <f t="shared" si="480"/>
        <v>17.259632000000003</v>
      </c>
      <c r="AA415" s="526">
        <f t="shared" si="480"/>
        <v>13.218947499999999</v>
      </c>
      <c r="AB415" s="526">
        <f t="shared" si="480"/>
        <v>8.9521574999999931</v>
      </c>
    </row>
    <row r="416" spans="12:29">
      <c r="M416" s="521" t="s">
        <v>221</v>
      </c>
      <c r="N416" s="752"/>
      <c r="O416" s="624">
        <f t="shared" si="477"/>
        <v>0.30120481927710846</v>
      </c>
      <c r="P416" s="624">
        <f t="shared" si="477"/>
        <v>0.40816326530612246</v>
      </c>
      <c r="Q416" s="624">
        <f t="shared" si="477"/>
        <v>0.48039215686274511</v>
      </c>
      <c r="R416" s="625">
        <f t="shared" si="477"/>
        <v>0.50505050505050508</v>
      </c>
      <c r="S416" s="624">
        <f t="shared" si="477"/>
        <v>0.31730769230769229</v>
      </c>
      <c r="T416" s="624">
        <f t="shared" si="477"/>
        <v>0.375</v>
      </c>
      <c r="U416" s="624">
        <f t="shared" si="477"/>
        <v>0.34666666666666668</v>
      </c>
      <c r="X416" s="752"/>
      <c r="Y416" s="577">
        <f>SUM(Y412:Y415)</f>
        <v>28.071679999999994</v>
      </c>
      <c r="Z416" s="577">
        <f t="shared" ref="Z416:AB416" si="481">SUM(Z412:Z415)</f>
        <v>53.936350000000004</v>
      </c>
      <c r="AA416" s="577">
        <f t="shared" si="481"/>
        <v>60.08612500000001</v>
      </c>
      <c r="AB416" s="841">
        <f t="shared" si="481"/>
        <v>68.862750000000005</v>
      </c>
    </row>
    <row r="417" spans="12:31">
      <c r="L417" s="12"/>
      <c r="M417" s="12"/>
      <c r="N417" s="12"/>
      <c r="O417" s="12"/>
      <c r="P417" s="12"/>
      <c r="Q417" s="12"/>
      <c r="R417" s="12"/>
      <c r="S417" s="12"/>
      <c r="T417" s="12"/>
      <c r="U417" s="12"/>
    </row>
    <row r="418" spans="12:31">
      <c r="L418" s="80" t="s">
        <v>668</v>
      </c>
      <c r="M418" s="70" t="s">
        <v>20</v>
      </c>
      <c r="N418" s="78" t="s">
        <v>220</v>
      </c>
      <c r="O418" s="71" t="s">
        <v>208</v>
      </c>
      <c r="P418" s="72" t="s">
        <v>209</v>
      </c>
      <c r="Q418" s="72" t="s">
        <v>212</v>
      </c>
      <c r="R418" s="73" t="s">
        <v>211</v>
      </c>
      <c r="S418" s="71" t="s">
        <v>213</v>
      </c>
      <c r="T418" s="72" t="s">
        <v>214</v>
      </c>
      <c r="U418" s="72" t="s">
        <v>210</v>
      </c>
      <c r="W418" s="80" t="s">
        <v>478</v>
      </c>
      <c r="X418" s="78" t="s">
        <v>220</v>
      </c>
      <c r="Y418" s="71" t="s">
        <v>208</v>
      </c>
      <c r="Z418" s="72" t="s">
        <v>209</v>
      </c>
      <c r="AA418" s="72" t="s">
        <v>212</v>
      </c>
      <c r="AB418" s="72" t="s">
        <v>211</v>
      </c>
    </row>
    <row r="419" spans="12:31">
      <c r="M419" s="68">
        <v>4</v>
      </c>
      <c r="N419" s="832">
        <v>2300</v>
      </c>
      <c r="O419" s="74">
        <v>0</v>
      </c>
      <c r="P419" s="74">
        <v>4</v>
      </c>
      <c r="Q419" s="74">
        <v>4</v>
      </c>
      <c r="R419" s="75">
        <v>10</v>
      </c>
      <c r="S419" s="76">
        <v>1</v>
      </c>
      <c r="T419" s="76">
        <v>5</v>
      </c>
      <c r="U419" s="76">
        <v>4</v>
      </c>
      <c r="V419" s="464"/>
      <c r="X419" s="832">
        <v>2300</v>
      </c>
      <c r="Y419" s="496">
        <v>3000</v>
      </c>
      <c r="Z419" s="496">
        <f>Y419*1.1</f>
        <v>3300.0000000000005</v>
      </c>
      <c r="AA419" s="496">
        <f>Z419*1.04</f>
        <v>3432.0000000000005</v>
      </c>
      <c r="AB419" s="499">
        <f>AA419</f>
        <v>3432.0000000000005</v>
      </c>
      <c r="AC419" s="442"/>
      <c r="AD419" s="442"/>
      <c r="AE419" s="442"/>
    </row>
    <row r="420" spans="12:31">
      <c r="M420" s="68">
        <v>3</v>
      </c>
      <c r="N420" s="832">
        <v>1500</v>
      </c>
      <c r="O420" s="74">
        <v>1</v>
      </c>
      <c r="P420" s="74">
        <v>6</v>
      </c>
      <c r="Q420" s="74">
        <v>8</v>
      </c>
      <c r="R420" s="75">
        <v>9</v>
      </c>
      <c r="S420" s="76">
        <v>0</v>
      </c>
      <c r="T420" s="76">
        <v>6</v>
      </c>
      <c r="U420" s="76">
        <v>5</v>
      </c>
      <c r="V420" s="464"/>
      <c r="X420" s="832">
        <v>1500</v>
      </c>
      <c r="Y420" s="496">
        <v>1800</v>
      </c>
      <c r="Z420" s="496">
        <f>Y420*1.1</f>
        <v>1980.0000000000002</v>
      </c>
      <c r="AA420" s="496">
        <f t="shared" ref="AA420:AA422" si="482">Z420*1.04</f>
        <v>2059.2000000000003</v>
      </c>
      <c r="AB420" s="499">
        <f t="shared" ref="AB420:AB422" si="483">AA420</f>
        <v>2059.2000000000003</v>
      </c>
      <c r="AC420" s="442"/>
      <c r="AD420" s="442"/>
      <c r="AE420" s="442"/>
    </row>
    <row r="421" spans="12:31">
      <c r="M421" s="68">
        <v>2</v>
      </c>
      <c r="N421" s="832">
        <v>960</v>
      </c>
      <c r="O421" s="74">
        <v>4</v>
      </c>
      <c r="P421" s="74">
        <v>4</v>
      </c>
      <c r="Q421" s="74">
        <v>5</v>
      </c>
      <c r="R421" s="75">
        <v>8</v>
      </c>
      <c r="S421" s="76">
        <v>2</v>
      </c>
      <c r="T421" s="76">
        <v>10</v>
      </c>
      <c r="U421" s="76">
        <v>8</v>
      </c>
      <c r="V421" s="464"/>
      <c r="X421" s="832">
        <v>960</v>
      </c>
      <c r="Y421" s="496">
        <v>1100</v>
      </c>
      <c r="Z421" s="496">
        <f>Y421*1.1</f>
        <v>1210</v>
      </c>
      <c r="AA421" s="496">
        <f t="shared" si="482"/>
        <v>1258.4000000000001</v>
      </c>
      <c r="AB421" s="499">
        <f t="shared" si="483"/>
        <v>1258.4000000000001</v>
      </c>
      <c r="AC421" s="442"/>
      <c r="AD421" s="442"/>
      <c r="AE421" s="442"/>
    </row>
    <row r="422" spans="12:31">
      <c r="M422" s="70">
        <v>1</v>
      </c>
      <c r="N422" s="833">
        <v>440</v>
      </c>
      <c r="O422" s="71">
        <v>3</v>
      </c>
      <c r="P422" s="71">
        <v>11</v>
      </c>
      <c r="Q422" s="71">
        <v>18</v>
      </c>
      <c r="R422" s="77">
        <v>7</v>
      </c>
      <c r="S422" s="72">
        <v>6</v>
      </c>
      <c r="T422" s="72">
        <v>8</v>
      </c>
      <c r="U422" s="72">
        <v>9</v>
      </c>
      <c r="V422" s="464"/>
      <c r="X422" s="833">
        <v>440</v>
      </c>
      <c r="Y422" s="840">
        <v>600</v>
      </c>
      <c r="Z422" s="526">
        <f>Y422*1.1</f>
        <v>660</v>
      </c>
      <c r="AA422" s="526">
        <f t="shared" si="482"/>
        <v>686.4</v>
      </c>
      <c r="AB422" s="526">
        <f t="shared" si="483"/>
        <v>686.4</v>
      </c>
      <c r="AC422" s="442"/>
      <c r="AD422" s="442"/>
      <c r="AE422" s="442"/>
    </row>
    <row r="423" spans="12:31">
      <c r="M423" s="521" t="s">
        <v>221</v>
      </c>
      <c r="N423" s="522"/>
      <c r="O423" s="529">
        <f>SUM(O419:O422)</f>
        <v>8</v>
      </c>
      <c r="P423" s="530">
        <f t="shared" ref="P423" si="484">SUM(P419:P422)</f>
        <v>25</v>
      </c>
      <c r="Q423" s="530">
        <f t="shared" ref="Q423" si="485">SUM(Q419:Q422)</f>
        <v>35</v>
      </c>
      <c r="R423" s="531">
        <f t="shared" ref="R423" si="486">SUM(R419:R422)</f>
        <v>34</v>
      </c>
      <c r="S423" s="530">
        <f t="shared" ref="S423" si="487">SUM(S419:S422)</f>
        <v>9</v>
      </c>
      <c r="T423" s="530">
        <f t="shared" ref="T423" si="488">SUM(T419:T422)</f>
        <v>29</v>
      </c>
      <c r="U423" s="530">
        <f t="shared" ref="U423" si="489">SUM(U419:U422)</f>
        <v>26</v>
      </c>
      <c r="X423" s="752"/>
      <c r="Y423" s="577"/>
      <c r="Z423" s="577"/>
      <c r="AA423" s="577"/>
      <c r="AB423" s="841"/>
    </row>
    <row r="424" spans="12:31">
      <c r="M424" s="491"/>
      <c r="N424" s="491"/>
      <c r="O424" s="81"/>
      <c r="P424" s="81"/>
      <c r="Q424" s="81"/>
      <c r="R424" s="81"/>
      <c r="S424" s="76"/>
      <c r="T424" s="76"/>
      <c r="U424" s="76"/>
    </row>
    <row r="425" spans="12:31">
      <c r="L425" s="80" t="s">
        <v>669</v>
      </c>
      <c r="M425" s="70" t="s">
        <v>20</v>
      </c>
      <c r="N425" s="78" t="s">
        <v>220</v>
      </c>
      <c r="O425" s="71" t="s">
        <v>208</v>
      </c>
      <c r="P425" s="72" t="s">
        <v>209</v>
      </c>
      <c r="Q425" s="72" t="s">
        <v>212</v>
      </c>
      <c r="R425" s="73" t="s">
        <v>211</v>
      </c>
      <c r="S425" s="71" t="s">
        <v>213</v>
      </c>
      <c r="T425" s="72" t="s">
        <v>214</v>
      </c>
      <c r="U425" s="72" t="s">
        <v>210</v>
      </c>
      <c r="W425" s="80" t="s">
        <v>206</v>
      </c>
      <c r="X425" s="78" t="s">
        <v>220</v>
      </c>
      <c r="Y425" s="71" t="s">
        <v>208</v>
      </c>
      <c r="Z425" s="72" t="s">
        <v>209</v>
      </c>
      <c r="AA425" s="72" t="s">
        <v>212</v>
      </c>
      <c r="AB425" s="72" t="s">
        <v>211</v>
      </c>
    </row>
    <row r="426" spans="12:31">
      <c r="M426" s="68">
        <v>4</v>
      </c>
      <c r="N426" s="832">
        <v>2300</v>
      </c>
      <c r="O426" s="510">
        <f>O419/O$387</f>
        <v>0</v>
      </c>
      <c r="P426" s="510">
        <f t="shared" ref="P426:U426" si="490">P419/P$387</f>
        <v>4.0816326530612242E-2</v>
      </c>
      <c r="Q426" s="510">
        <f t="shared" si="490"/>
        <v>3.9215686274509803E-2</v>
      </c>
      <c r="R426" s="511">
        <f t="shared" si="490"/>
        <v>0.10101010101010101</v>
      </c>
      <c r="S426" s="512">
        <f t="shared" si="490"/>
        <v>9.6153846153846159E-3</v>
      </c>
      <c r="T426" s="512">
        <f t="shared" si="490"/>
        <v>4.1666666666666664E-2</v>
      </c>
      <c r="U426" s="512">
        <f t="shared" si="490"/>
        <v>2.6666666666666668E-2</v>
      </c>
      <c r="X426" s="832">
        <v>2300</v>
      </c>
      <c r="Y426" s="496">
        <f>Y419*Y412</f>
        <v>8421.503999999999</v>
      </c>
      <c r="Z426" s="496">
        <f t="shared" ref="Z426:AB426" si="491">Z419*Z412</f>
        <v>26698.493250000003</v>
      </c>
      <c r="AA426" s="496">
        <f t="shared" si="491"/>
        <v>37118.804580000011</v>
      </c>
      <c r="AB426" s="499">
        <f t="shared" si="491"/>
        <v>47267.391600000017</v>
      </c>
    </row>
    <row r="427" spans="12:31">
      <c r="M427" s="68">
        <v>3</v>
      </c>
      <c r="N427" s="832">
        <v>1500</v>
      </c>
      <c r="O427" s="510">
        <f t="shared" ref="O427:U430" si="492">O420/O$387</f>
        <v>1.2048192771084338E-2</v>
      </c>
      <c r="P427" s="510">
        <f t="shared" si="492"/>
        <v>6.1224489795918366E-2</v>
      </c>
      <c r="Q427" s="510">
        <f t="shared" si="492"/>
        <v>7.8431372549019607E-2</v>
      </c>
      <c r="R427" s="511">
        <f t="shared" si="492"/>
        <v>9.0909090909090912E-2</v>
      </c>
      <c r="S427" s="512">
        <f t="shared" si="492"/>
        <v>0</v>
      </c>
      <c r="T427" s="512">
        <f t="shared" si="492"/>
        <v>0.05</v>
      </c>
      <c r="U427" s="512">
        <f t="shared" si="492"/>
        <v>3.3333333333333333E-2</v>
      </c>
      <c r="X427" s="832">
        <v>1500</v>
      </c>
      <c r="Y427" s="496">
        <f t="shared" ref="Y427:AB427" si="493">Y420*Y413</f>
        <v>7579.3535999999976</v>
      </c>
      <c r="Z427" s="496">
        <f t="shared" si="493"/>
        <v>19222.915140000005</v>
      </c>
      <c r="AA427" s="496">
        <f t="shared" si="493"/>
        <v>24745.869720000006</v>
      </c>
      <c r="AB427" s="499">
        <f t="shared" si="493"/>
        <v>31196.478456000004</v>
      </c>
    </row>
    <row r="428" spans="12:31">
      <c r="M428" s="68">
        <v>2</v>
      </c>
      <c r="N428" s="832">
        <v>960</v>
      </c>
      <c r="O428" s="510">
        <f t="shared" si="492"/>
        <v>4.8192771084337352E-2</v>
      </c>
      <c r="P428" s="510">
        <f t="shared" si="492"/>
        <v>4.0816326530612242E-2</v>
      </c>
      <c r="Q428" s="510">
        <f t="shared" si="492"/>
        <v>4.9019607843137254E-2</v>
      </c>
      <c r="R428" s="511">
        <f t="shared" si="492"/>
        <v>8.0808080808080815E-2</v>
      </c>
      <c r="S428" s="512">
        <f t="shared" si="492"/>
        <v>1.9230769230769232E-2</v>
      </c>
      <c r="T428" s="512">
        <f t="shared" si="492"/>
        <v>8.3333333333333329E-2</v>
      </c>
      <c r="U428" s="512">
        <f t="shared" si="492"/>
        <v>5.3333333333333337E-2</v>
      </c>
      <c r="X428" s="832">
        <v>960</v>
      </c>
      <c r="Y428" s="496">
        <f t="shared" ref="Y428:AB428" si="494">Y421*Y414</f>
        <v>9263.6543999999958</v>
      </c>
      <c r="Z428" s="496">
        <f t="shared" si="494"/>
        <v>22842.044225000001</v>
      </c>
      <c r="AA428" s="496">
        <f t="shared" si="494"/>
        <v>30244.951880000008</v>
      </c>
      <c r="AB428" s="499">
        <f t="shared" si="494"/>
        <v>38995.598070000007</v>
      </c>
    </row>
    <row r="429" spans="12:31">
      <c r="M429" s="70">
        <v>1</v>
      </c>
      <c r="N429" s="833">
        <v>440</v>
      </c>
      <c r="O429" s="798">
        <f t="shared" si="492"/>
        <v>3.614457831325301E-2</v>
      </c>
      <c r="P429" s="532">
        <f t="shared" si="492"/>
        <v>0.11224489795918367</v>
      </c>
      <c r="Q429" s="532">
        <f t="shared" si="492"/>
        <v>0.17647058823529413</v>
      </c>
      <c r="R429" s="533">
        <f t="shared" si="492"/>
        <v>7.0707070707070704E-2</v>
      </c>
      <c r="S429" s="534">
        <f t="shared" si="492"/>
        <v>5.7692307692307696E-2</v>
      </c>
      <c r="T429" s="534">
        <f t="shared" si="492"/>
        <v>6.6666666666666666E-2</v>
      </c>
      <c r="U429" s="534">
        <f t="shared" si="492"/>
        <v>0.06</v>
      </c>
      <c r="X429" s="833">
        <v>440</v>
      </c>
      <c r="Y429" s="840">
        <f t="shared" ref="Y429:AB429" si="495">Y422*Y415</f>
        <v>7579.3535999999976</v>
      </c>
      <c r="Z429" s="526">
        <f t="shared" si="495"/>
        <v>11391.357120000002</v>
      </c>
      <c r="AA429" s="526">
        <f t="shared" si="495"/>
        <v>9073.4855639999987</v>
      </c>
      <c r="AB429" s="526">
        <f t="shared" si="495"/>
        <v>6144.7609079999947</v>
      </c>
    </row>
    <row r="430" spans="12:31">
      <c r="M430" s="521" t="s">
        <v>221</v>
      </c>
      <c r="N430" s="752"/>
      <c r="O430" s="624">
        <f t="shared" si="492"/>
        <v>9.6385542168674704E-2</v>
      </c>
      <c r="P430" s="624">
        <f t="shared" si="492"/>
        <v>0.25510204081632654</v>
      </c>
      <c r="Q430" s="624">
        <f t="shared" si="492"/>
        <v>0.34313725490196079</v>
      </c>
      <c r="R430" s="625">
        <f t="shared" si="492"/>
        <v>0.34343434343434343</v>
      </c>
      <c r="S430" s="624">
        <f t="shared" si="492"/>
        <v>8.6538461538461536E-2</v>
      </c>
      <c r="T430" s="624">
        <f t="shared" si="492"/>
        <v>0.24166666666666667</v>
      </c>
      <c r="U430" s="624">
        <f t="shared" si="492"/>
        <v>0.17333333333333334</v>
      </c>
      <c r="X430" s="752"/>
      <c r="Y430" s="577">
        <f>SUM(Y426:Y429)</f>
        <v>32843.86559999999</v>
      </c>
      <c r="Z430" s="577">
        <f t="shared" ref="Z430:AB430" si="496">SUM(Z426:Z429)</f>
        <v>80154.809735000017</v>
      </c>
      <c r="AA430" s="577">
        <f t="shared" si="496"/>
        <v>101183.11174400002</v>
      </c>
      <c r="AB430" s="577">
        <f t="shared" si="496"/>
        <v>123604.22903400002</v>
      </c>
    </row>
    <row r="431" spans="12:31">
      <c r="L431" s="12"/>
      <c r="M431" s="491"/>
      <c r="N431" s="491"/>
      <c r="O431" s="499"/>
      <c r="P431" s="499"/>
      <c r="Q431" s="499"/>
      <c r="R431" s="499"/>
      <c r="S431" s="498"/>
      <c r="T431" s="498"/>
      <c r="U431" s="498"/>
    </row>
    <row r="432" spans="12:31">
      <c r="L432" s="12"/>
      <c r="M432" s="491"/>
      <c r="N432" s="491"/>
      <c r="O432" s="499"/>
      <c r="P432" s="499"/>
      <c r="Q432" s="499"/>
      <c r="R432" s="499"/>
      <c r="S432" s="498"/>
      <c r="T432" s="498"/>
      <c r="U432" s="498"/>
    </row>
    <row r="433" spans="12:29">
      <c r="L433" s="80" t="s">
        <v>641</v>
      </c>
      <c r="M433" s="70" t="s">
        <v>20</v>
      </c>
      <c r="N433" s="78" t="s">
        <v>220</v>
      </c>
      <c r="O433" s="71" t="s">
        <v>208</v>
      </c>
      <c r="P433" s="72" t="s">
        <v>209</v>
      </c>
      <c r="Q433" s="72" t="s">
        <v>212</v>
      </c>
      <c r="R433" s="73" t="s">
        <v>211</v>
      </c>
      <c r="S433" s="71" t="s">
        <v>213</v>
      </c>
      <c r="T433" s="72" t="s">
        <v>214</v>
      </c>
      <c r="U433" s="72" t="s">
        <v>210</v>
      </c>
      <c r="W433" s="80" t="s">
        <v>674</v>
      </c>
      <c r="X433" s="78" t="s">
        <v>220</v>
      </c>
      <c r="Y433" s="71" t="s">
        <v>208</v>
      </c>
      <c r="Z433" s="72" t="s">
        <v>209</v>
      </c>
      <c r="AA433" s="72" t="s">
        <v>212</v>
      </c>
      <c r="AB433" s="72" t="s">
        <v>211</v>
      </c>
    </row>
    <row r="434" spans="12:29">
      <c r="L434" s="12"/>
      <c r="M434" s="68">
        <v>4</v>
      </c>
      <c r="N434" s="832">
        <v>2300</v>
      </c>
      <c r="O434" s="496">
        <v>0</v>
      </c>
      <c r="P434" s="496">
        <v>13092.74</v>
      </c>
      <c r="Q434" s="496">
        <v>14892.106</v>
      </c>
      <c r="R434" s="497">
        <v>31097.4</v>
      </c>
      <c r="S434" s="498">
        <v>4138.9539999999697</v>
      </c>
      <c r="T434" s="498">
        <v>18462.946000000011</v>
      </c>
      <c r="U434" s="498">
        <v>14983.649000000009</v>
      </c>
      <c r="X434" s="832">
        <v>2300</v>
      </c>
      <c r="Y434" s="510">
        <f>Y426/Y$388</f>
        <v>9.3706010091946304E-2</v>
      </c>
      <c r="Z434" s="510">
        <f t="shared" ref="Z434:AB434" si="497">Z426/Z$388</f>
        <v>0.15838069804543914</v>
      </c>
      <c r="AA434" s="510">
        <f t="shared" si="497"/>
        <v>0.18862670184780952</v>
      </c>
      <c r="AB434" s="513">
        <f t="shared" si="497"/>
        <v>0.20468639623998383</v>
      </c>
    </row>
    <row r="435" spans="12:29">
      <c r="L435" s="12"/>
      <c r="M435" s="68">
        <v>3</v>
      </c>
      <c r="N435" s="832">
        <v>1500</v>
      </c>
      <c r="O435" s="496">
        <v>1657.787</v>
      </c>
      <c r="P435" s="496">
        <v>10449.561000000002</v>
      </c>
      <c r="Q435" s="496">
        <v>13810.438</v>
      </c>
      <c r="R435" s="497">
        <v>16209.860000000002</v>
      </c>
      <c r="S435" s="498">
        <v>0</v>
      </c>
      <c r="T435" s="498">
        <v>10913.446000000002</v>
      </c>
      <c r="U435" s="498">
        <v>9677.8940000000002</v>
      </c>
      <c r="X435" s="832">
        <v>1500</v>
      </c>
      <c r="Y435" s="510">
        <f t="shared" ref="Y435:AB435" si="498">Y427/Y$388</f>
        <v>8.4335409082751653E-2</v>
      </c>
      <c r="Z435" s="510">
        <f t="shared" si="498"/>
        <v>0.11403410259271619</v>
      </c>
      <c r="AA435" s="510">
        <f t="shared" si="498"/>
        <v>0.12575113456520634</v>
      </c>
      <c r="AB435" s="513">
        <f t="shared" si="498"/>
        <v>0.13509302151838931</v>
      </c>
    </row>
    <row r="436" spans="12:29">
      <c r="L436" s="12"/>
      <c r="M436" s="68">
        <v>2</v>
      </c>
      <c r="N436" s="832">
        <v>960</v>
      </c>
      <c r="O436" s="496">
        <v>4915.0540000000001</v>
      </c>
      <c r="P436" s="496">
        <v>4824.4505000000008</v>
      </c>
      <c r="Q436" s="496">
        <v>6088.9850000000006</v>
      </c>
      <c r="R436" s="497">
        <v>10440.07</v>
      </c>
      <c r="S436" s="498">
        <v>2794.5169999999998</v>
      </c>
      <c r="T436" s="498">
        <v>11647.550000000001</v>
      </c>
      <c r="U436" s="498">
        <v>9075.2240000000002</v>
      </c>
      <c r="X436" s="832">
        <v>960</v>
      </c>
      <c r="Y436" s="510">
        <f t="shared" ref="Y436:AB436" si="499">Y428/Y$388</f>
        <v>0.1030766111011409</v>
      </c>
      <c r="Z436" s="510">
        <f t="shared" si="499"/>
        <v>0.13550348610554236</v>
      </c>
      <c r="AA436" s="510">
        <f t="shared" si="499"/>
        <v>0.1536958311352522</v>
      </c>
      <c r="AB436" s="513">
        <f t="shared" si="499"/>
        <v>0.16886627689798664</v>
      </c>
    </row>
    <row r="437" spans="12:29">
      <c r="L437" s="795"/>
      <c r="M437" s="70">
        <v>1</v>
      </c>
      <c r="N437" s="833">
        <v>440</v>
      </c>
      <c r="O437" s="526">
        <v>1850.5749999999998</v>
      </c>
      <c r="P437" s="526">
        <v>7159.8390000000018</v>
      </c>
      <c r="Q437" s="526">
        <v>12243.683999999999</v>
      </c>
      <c r="R437" s="527">
        <v>5463.5880000000016</v>
      </c>
      <c r="S437" s="528">
        <v>4152.3389999999999</v>
      </c>
      <c r="T437" s="528">
        <v>6246.3069999999989</v>
      </c>
      <c r="U437" s="528">
        <v>5808.8910000000005</v>
      </c>
      <c r="X437" s="833">
        <v>440</v>
      </c>
      <c r="Y437" s="798">
        <f t="shared" ref="Y437:AB437" si="500">Y429/Y$388</f>
        <v>8.4335409082751653E-2</v>
      </c>
      <c r="Z437" s="532">
        <f t="shared" si="500"/>
        <v>6.7575764499387375E-2</v>
      </c>
      <c r="AA437" s="532">
        <f t="shared" si="500"/>
        <v>4.6108749340575642E-2</v>
      </c>
      <c r="AB437" s="532">
        <f t="shared" si="500"/>
        <v>2.6609231511197866E-2</v>
      </c>
    </row>
    <row r="438" spans="12:29">
      <c r="L438" s="795"/>
      <c r="M438" s="521" t="s">
        <v>221</v>
      </c>
      <c r="N438" s="522"/>
      <c r="O438" s="529">
        <f>SUM(O434:O437)</f>
        <v>8423.4160000000011</v>
      </c>
      <c r="P438" s="530">
        <f t="shared" ref="P438" si="501">SUM(P434:P437)</f>
        <v>35526.590499999998</v>
      </c>
      <c r="Q438" s="530">
        <f t="shared" ref="Q438" si="502">SUM(Q434:Q437)</f>
        <v>47035.213000000003</v>
      </c>
      <c r="R438" s="531">
        <f t="shared" ref="R438" si="503">SUM(R434:R437)</f>
        <v>63210.918000000005</v>
      </c>
      <c r="S438" s="530">
        <f t="shared" ref="S438" si="504">SUM(S434:S437)</f>
        <v>11085.809999999969</v>
      </c>
      <c r="T438" s="530">
        <f t="shared" ref="T438" si="505">SUM(T434:T437)</f>
        <v>47270.249000000018</v>
      </c>
      <c r="U438" s="530">
        <f t="shared" ref="U438" si="506">SUM(U434:U437)</f>
        <v>39545.65800000001</v>
      </c>
      <c r="X438" s="752"/>
      <c r="Y438" s="624">
        <f t="shared" ref="Y438:AB438" si="507">Y430/Y$388</f>
        <v>0.36545343935859054</v>
      </c>
      <c r="Z438" s="624">
        <f t="shared" si="507"/>
        <v>0.47549405124308508</v>
      </c>
      <c r="AA438" s="624">
        <f t="shared" si="507"/>
        <v>0.5141824168888437</v>
      </c>
      <c r="AB438" s="839">
        <f t="shared" si="507"/>
        <v>0.53525492616755765</v>
      </c>
    </row>
    <row r="439" spans="12:29">
      <c r="L439" s="795"/>
      <c r="M439" s="541"/>
      <c r="N439" s="541"/>
      <c r="O439" s="797"/>
      <c r="P439" s="797"/>
      <c r="Q439" s="797"/>
      <c r="R439" s="797"/>
      <c r="S439" s="797"/>
      <c r="T439" s="797"/>
      <c r="U439" s="797"/>
    </row>
    <row r="440" spans="12:29">
      <c r="L440" s="80" t="s">
        <v>642</v>
      </c>
      <c r="M440" s="70" t="s">
        <v>20</v>
      </c>
      <c r="N440" s="78" t="s">
        <v>220</v>
      </c>
      <c r="O440" s="71" t="s">
        <v>208</v>
      </c>
      <c r="P440" s="72" t="s">
        <v>209</v>
      </c>
      <c r="Q440" s="72" t="s">
        <v>212</v>
      </c>
      <c r="R440" s="73" t="s">
        <v>211</v>
      </c>
      <c r="S440" s="71" t="s">
        <v>213</v>
      </c>
      <c r="T440" s="72" t="s">
        <v>214</v>
      </c>
      <c r="U440" s="72" t="s">
        <v>210</v>
      </c>
      <c r="W440" s="80" t="s">
        <v>466</v>
      </c>
      <c r="X440" s="78" t="s">
        <v>220</v>
      </c>
      <c r="Y440" s="71" t="s">
        <v>208</v>
      </c>
      <c r="Z440" s="72" t="s">
        <v>209</v>
      </c>
      <c r="AA440" s="72" t="s">
        <v>212</v>
      </c>
      <c r="AB440" s="72" t="s">
        <v>211</v>
      </c>
    </row>
    <row r="441" spans="12:29">
      <c r="L441" s="12"/>
      <c r="M441" s="68">
        <v>4</v>
      </c>
      <c r="N441" s="832">
        <v>2300</v>
      </c>
      <c r="O441" s="510">
        <f>O434/O$388</f>
        <v>0</v>
      </c>
      <c r="P441" s="510">
        <f t="shared" ref="P441:U441" si="508">P434/P$388</f>
        <v>0.19492958909030092</v>
      </c>
      <c r="Q441" s="510">
        <f t="shared" si="508"/>
        <v>0.18011746206771634</v>
      </c>
      <c r="R441" s="511">
        <f t="shared" si="508"/>
        <v>0.24944623019517603</v>
      </c>
      <c r="S441" s="512">
        <f t="shared" si="508"/>
        <v>6.8213425730090357E-2</v>
      </c>
      <c r="T441" s="512">
        <f t="shared" si="508"/>
        <v>0.18543513467901565</v>
      </c>
      <c r="U441" s="512">
        <f t="shared" si="508"/>
        <v>0.1370852692636329</v>
      </c>
      <c r="X441" s="832">
        <v>2300</v>
      </c>
      <c r="Y441" s="496">
        <f>Y426*$E388*$R$22</f>
        <v>266.6779115496708</v>
      </c>
      <c r="Z441" s="496">
        <f t="shared" ref="Z441:AB441" si="509">Z426*$E388*$R$22</f>
        <v>845.44262182063733</v>
      </c>
      <c r="AA441" s="496">
        <f t="shared" si="509"/>
        <v>1175.4153752838874</v>
      </c>
      <c r="AB441" s="499">
        <f t="shared" si="509"/>
        <v>1496.7836239570104</v>
      </c>
    </row>
    <row r="442" spans="12:29">
      <c r="L442" s="12"/>
      <c r="M442" s="68">
        <v>3</v>
      </c>
      <c r="N442" s="832">
        <v>1500</v>
      </c>
      <c r="O442" s="510">
        <f t="shared" ref="O442:U445" si="510">O435/O$388</f>
        <v>4.3860421487721818E-2</v>
      </c>
      <c r="P442" s="510">
        <f t="shared" si="510"/>
        <v>0.15557695577121627</v>
      </c>
      <c r="Q442" s="510">
        <f t="shared" si="510"/>
        <v>0.16703487355002364</v>
      </c>
      <c r="R442" s="511">
        <f t="shared" si="510"/>
        <v>0.13002657678749918</v>
      </c>
      <c r="S442" s="512">
        <f t="shared" si="510"/>
        <v>0</v>
      </c>
      <c r="T442" s="512">
        <f t="shared" si="510"/>
        <v>0.10961069424252033</v>
      </c>
      <c r="U442" s="512">
        <f t="shared" si="510"/>
        <v>8.85429647274103E-2</v>
      </c>
      <c r="X442" s="832">
        <v>1500</v>
      </c>
      <c r="Y442" s="496">
        <f t="shared" ref="Y442:AB442" si="511">Y427*$E389*$R$22</f>
        <v>192.00809631576291</v>
      </c>
      <c r="Z442" s="496">
        <f t="shared" si="511"/>
        <v>486.9749501686872</v>
      </c>
      <c r="AA442" s="496">
        <f t="shared" si="511"/>
        <v>626.88820015140664</v>
      </c>
      <c r="AB442" s="499">
        <f t="shared" si="511"/>
        <v>790.30175344930126</v>
      </c>
    </row>
    <row r="443" spans="12:29">
      <c r="L443" s="12"/>
      <c r="M443" s="68">
        <v>2</v>
      </c>
      <c r="N443" s="832">
        <v>960</v>
      </c>
      <c r="O443" s="510">
        <f t="shared" si="510"/>
        <v>0.13003862382496248</v>
      </c>
      <c r="P443" s="510">
        <f t="shared" si="510"/>
        <v>7.1828215755563543E-2</v>
      </c>
      <c r="Q443" s="510">
        <f t="shared" si="510"/>
        <v>7.3645226858336479E-2</v>
      </c>
      <c r="R443" s="511">
        <f t="shared" si="510"/>
        <v>8.3744496468314111E-2</v>
      </c>
      <c r="S443" s="512">
        <f t="shared" si="510"/>
        <v>4.6055978836917803E-2</v>
      </c>
      <c r="T443" s="512">
        <f t="shared" si="510"/>
        <v>0.11698376862124646</v>
      </c>
      <c r="U443" s="512">
        <f t="shared" si="510"/>
        <v>8.3029142344951012E-2</v>
      </c>
      <c r="X443" s="832">
        <v>960</v>
      </c>
      <c r="Y443" s="496">
        <f t="shared" ref="Y443:AB443" si="512">Y428*$E390*$R$22</f>
        <v>176.00742162278266</v>
      </c>
      <c r="Z443" s="496">
        <f t="shared" si="512"/>
        <v>433.99387920126037</v>
      </c>
      <c r="AA443" s="496">
        <f t="shared" si="512"/>
        <v>574.64751680545601</v>
      </c>
      <c r="AB443" s="499">
        <f t="shared" si="512"/>
        <v>740.90789385871994</v>
      </c>
    </row>
    <row r="444" spans="12:29">
      <c r="L444" s="795"/>
      <c r="M444" s="70">
        <v>1</v>
      </c>
      <c r="N444" s="833">
        <v>440</v>
      </c>
      <c r="O444" s="532">
        <f t="shared" si="510"/>
        <v>4.8961054402429746E-2</v>
      </c>
      <c r="P444" s="532">
        <f t="shared" si="510"/>
        <v>0.10659834948396679</v>
      </c>
      <c r="Q444" s="532">
        <f t="shared" si="510"/>
        <v>0.14808525325021896</v>
      </c>
      <c r="R444" s="533">
        <f t="shared" si="510"/>
        <v>4.3825896375246864E-2</v>
      </c>
      <c r="S444" s="534">
        <f t="shared" si="510"/>
        <v>6.8434021731736988E-2</v>
      </c>
      <c r="T444" s="534">
        <f t="shared" si="510"/>
        <v>6.2735642502094596E-2</v>
      </c>
      <c r="U444" s="534">
        <f t="shared" si="510"/>
        <v>5.3145491252370732E-2</v>
      </c>
      <c r="X444" s="833">
        <v>440</v>
      </c>
      <c r="Y444" s="840">
        <f t="shared" ref="Y444:AB444" si="513">Y429*$E391*$R$22</f>
        <v>96.004048157881456</v>
      </c>
      <c r="Z444" s="526">
        <f t="shared" si="513"/>
        <v>144.28887412405544</v>
      </c>
      <c r="AA444" s="526">
        <f t="shared" si="513"/>
        <v>114.92950336109116</v>
      </c>
      <c r="AB444" s="526">
        <f t="shared" si="513"/>
        <v>77.832748445764437</v>
      </c>
    </row>
    <row r="445" spans="12:29">
      <c r="L445" s="795"/>
      <c r="M445" s="521" t="s">
        <v>221</v>
      </c>
      <c r="N445" s="522"/>
      <c r="O445" s="799">
        <f t="shared" si="510"/>
        <v>0.22286009971511409</v>
      </c>
      <c r="P445" s="800">
        <f t="shared" si="510"/>
        <v>0.52893311010104749</v>
      </c>
      <c r="Q445" s="800">
        <f t="shared" si="510"/>
        <v>0.56888281572629551</v>
      </c>
      <c r="R445" s="801">
        <f t="shared" si="510"/>
        <v>0.50704319982623614</v>
      </c>
      <c r="S445" s="800">
        <f t="shared" si="510"/>
        <v>0.18270342629874511</v>
      </c>
      <c r="T445" s="800">
        <f t="shared" si="510"/>
        <v>0.47476524004487713</v>
      </c>
      <c r="U445" s="800">
        <f t="shared" si="510"/>
        <v>0.36180286758836494</v>
      </c>
      <c r="X445" s="752"/>
      <c r="Y445" s="842">
        <f>SUM(Y441:Y444)</f>
        <v>730.69747764609781</v>
      </c>
      <c r="Z445" s="842">
        <f t="shared" ref="Z445:AB445" si="514">SUM(Z441:Z444)</f>
        <v>1910.7003253146404</v>
      </c>
      <c r="AA445" s="842">
        <f t="shared" si="514"/>
        <v>2491.8805956018409</v>
      </c>
      <c r="AB445" s="842">
        <f t="shared" si="514"/>
        <v>3105.8260197107961</v>
      </c>
      <c r="AC445" s="843">
        <f>SUM(Y445:AB445)</f>
        <v>8239.1044182733749</v>
      </c>
    </row>
    <row r="446" spans="12:29">
      <c r="L446" s="795"/>
      <c r="M446" s="541"/>
      <c r="N446" s="541"/>
      <c r="O446" s="797"/>
      <c r="P446" s="797"/>
      <c r="Q446" s="797"/>
      <c r="R446" s="797"/>
      <c r="S446" s="797"/>
      <c r="T446" s="797"/>
      <c r="U446" s="797"/>
      <c r="Y446" s="844">
        <f>Y445/Y388</f>
        <v>8.1304652012829243E-3</v>
      </c>
      <c r="Z446" s="845">
        <f t="shared" ref="Z446:AB446" si="515">Z445/Z388</f>
        <v>1.1334649054735715E-2</v>
      </c>
      <c r="AA446" s="845">
        <f t="shared" si="515"/>
        <v>1.2662994497408741E-2</v>
      </c>
      <c r="AB446" s="845">
        <f t="shared" si="515"/>
        <v>1.3449448209513123E-2</v>
      </c>
      <c r="AC446" s="846">
        <f>AC445/SUM(Y388:AB388)</f>
        <v>1.2007668527609277E-2</v>
      </c>
    </row>
    <row r="447" spans="12:29">
      <c r="L447" s="80" t="s">
        <v>649</v>
      </c>
      <c r="M447" s="70" t="s">
        <v>20</v>
      </c>
      <c r="N447" s="78" t="s">
        <v>220</v>
      </c>
      <c r="O447" s="71" t="s">
        <v>208</v>
      </c>
      <c r="P447" s="72" t="s">
        <v>209</v>
      </c>
      <c r="Q447" s="72" t="s">
        <v>212</v>
      </c>
      <c r="R447" s="73" t="s">
        <v>211</v>
      </c>
      <c r="S447" s="71" t="s">
        <v>213</v>
      </c>
      <c r="T447" s="72" t="s">
        <v>214</v>
      </c>
      <c r="U447" s="72" t="s">
        <v>210</v>
      </c>
    </row>
    <row r="448" spans="12:29">
      <c r="L448" s="12"/>
      <c r="M448" s="68">
        <v>4</v>
      </c>
      <c r="N448" s="832">
        <v>2300</v>
      </c>
      <c r="O448" s="496"/>
      <c r="P448" s="496">
        <v>437.60041600000005</v>
      </c>
      <c r="Q448" s="496">
        <v>509.77263300000004</v>
      </c>
      <c r="R448" s="497">
        <v>1011.7340229999998</v>
      </c>
      <c r="S448" s="498">
        <v>121.99102200000101</v>
      </c>
      <c r="T448" s="498">
        <v>619.42369399999984</v>
      </c>
      <c r="U448" s="498">
        <v>506.84065900000007</v>
      </c>
    </row>
    <row r="449" spans="12:21">
      <c r="L449" s="12"/>
      <c r="M449" s="68">
        <v>3</v>
      </c>
      <c r="N449" s="832">
        <v>1500</v>
      </c>
      <c r="O449" s="496">
        <v>43.463032800000001</v>
      </c>
      <c r="P449" s="496">
        <v>266.80010400000003</v>
      </c>
      <c r="Q449" s="496">
        <v>356.90522399999986</v>
      </c>
      <c r="R449" s="497">
        <v>413.15544679999965</v>
      </c>
      <c r="S449" s="498"/>
      <c r="T449" s="498">
        <v>271.53241839999993</v>
      </c>
      <c r="U449" s="498">
        <v>245.35517279999985</v>
      </c>
    </row>
    <row r="450" spans="12:21">
      <c r="L450" s="12"/>
      <c r="M450" s="68">
        <v>2</v>
      </c>
      <c r="N450" s="832">
        <v>960</v>
      </c>
      <c r="O450" s="496">
        <v>99.663900599999991</v>
      </c>
      <c r="P450" s="496">
        <v>89.68970250000001</v>
      </c>
      <c r="Q450" s="496">
        <v>115.862382</v>
      </c>
      <c r="R450" s="497">
        <v>195.01631459999993</v>
      </c>
      <c r="S450" s="498">
        <v>53.424909599999999</v>
      </c>
      <c r="T450" s="498">
        <v>214.11054119999983</v>
      </c>
      <c r="U450" s="498">
        <v>170.26322489999993</v>
      </c>
    </row>
    <row r="451" spans="12:21">
      <c r="L451" s="795"/>
      <c r="M451" s="70">
        <v>1</v>
      </c>
      <c r="N451" s="833">
        <v>440</v>
      </c>
      <c r="O451" s="526">
        <v>23.088306399999997</v>
      </c>
      <c r="P451" s="526">
        <v>88.604343999999998</v>
      </c>
      <c r="Q451" s="526">
        <v>153.30115519999998</v>
      </c>
      <c r="R451" s="527">
        <v>67.751248399999952</v>
      </c>
      <c r="S451" s="528">
        <v>50.602307799999998</v>
      </c>
      <c r="T451" s="528">
        <v>78.841914000000017</v>
      </c>
      <c r="U451" s="528">
        <v>72.443567999999999</v>
      </c>
    </row>
    <row r="452" spans="12:21">
      <c r="L452" s="795"/>
      <c r="M452" s="521" t="s">
        <v>221</v>
      </c>
      <c r="N452" s="522"/>
      <c r="O452" s="529">
        <f>SUM(O448:O451)</f>
        <v>166.21523979999998</v>
      </c>
      <c r="P452" s="530">
        <f t="shared" ref="P452" si="516">SUM(P448:P451)</f>
        <v>882.69456650000018</v>
      </c>
      <c r="Q452" s="530">
        <f t="shared" ref="Q452" si="517">SUM(Q448:Q451)</f>
        <v>1135.8413942</v>
      </c>
      <c r="R452" s="531">
        <f t="shared" ref="R452" si="518">SUM(R448:R451)</f>
        <v>1687.6570327999993</v>
      </c>
      <c r="S452" s="530">
        <f t="shared" ref="S452" si="519">SUM(S448:S451)</f>
        <v>226.01823940000102</v>
      </c>
      <c r="T452" s="530">
        <f t="shared" ref="T452" si="520">SUM(T448:T451)</f>
        <v>1183.9085675999995</v>
      </c>
      <c r="U452" s="530">
        <f t="shared" ref="U452" si="521">SUM(U448:U451)</f>
        <v>994.90262469999993</v>
      </c>
    </row>
    <row r="453" spans="12:21">
      <c r="L453" s="795"/>
      <c r="N453" s="802" t="s">
        <v>464</v>
      </c>
      <c r="O453" s="796">
        <f>O452/O388</f>
        <v>4.3975917746433973E-3</v>
      </c>
      <c r="P453" s="796">
        <f t="shared" ref="P453:U453" si="522">P452/P388</f>
        <v>1.3141885437279465E-2</v>
      </c>
      <c r="Q453" s="796">
        <f t="shared" si="522"/>
        <v>1.3737806407956037E-2</v>
      </c>
      <c r="R453" s="796">
        <f t="shared" si="522"/>
        <v>1.3537456015433328E-2</v>
      </c>
      <c r="S453" s="796">
        <f t="shared" si="522"/>
        <v>3.7249697355800195E-3</v>
      </c>
      <c r="T453" s="796">
        <f t="shared" si="522"/>
        <v>1.1890748349724161E-2</v>
      </c>
      <c r="U453" s="796">
        <f t="shared" si="522"/>
        <v>9.1023551204445947E-3</v>
      </c>
    </row>
    <row r="454" spans="12:21">
      <c r="L454" s="795"/>
      <c r="N454" s="802" t="s">
        <v>467</v>
      </c>
      <c r="O454" s="797">
        <v>199.73705799999999</v>
      </c>
      <c r="P454" s="797">
        <v>943.27814000000001</v>
      </c>
      <c r="Q454" s="797">
        <v>977.287643</v>
      </c>
      <c r="R454" s="797">
        <v>2138.3748700000001</v>
      </c>
      <c r="S454" s="797">
        <v>160.67566600000001</v>
      </c>
      <c r="T454" s="797">
        <v>1126.027922</v>
      </c>
      <c r="U454" s="797">
        <v>968.29669200000001</v>
      </c>
    </row>
    <row r="455" spans="12:21">
      <c r="L455" s="795"/>
      <c r="N455" s="802" t="s">
        <v>468</v>
      </c>
      <c r="O455" s="797">
        <f>O452-O454</f>
        <v>-33.521818200000013</v>
      </c>
      <c r="P455" s="797">
        <f t="shared" ref="P455" si="523">P452-P454</f>
        <v>-60.583573499999829</v>
      </c>
      <c r="Q455" s="797">
        <f t="shared" ref="Q455" si="524">Q452-Q454</f>
        <v>158.55375119999997</v>
      </c>
      <c r="R455" s="797">
        <f t="shared" ref="R455" si="525">R452-R454</f>
        <v>-450.71783720000076</v>
      </c>
      <c r="S455" s="797">
        <f t="shared" ref="S455" si="526">S452-S454</f>
        <v>65.342573400001015</v>
      </c>
      <c r="T455" s="797">
        <f t="shared" ref="T455" si="527">T452-T454</f>
        <v>57.880645599999525</v>
      </c>
      <c r="U455" s="797">
        <f t="shared" ref="U455" si="528">U452-U454</f>
        <v>26.605932699999926</v>
      </c>
    </row>
    <row r="456" spans="12:21">
      <c r="L456" s="795"/>
      <c r="N456" s="802" t="s">
        <v>469</v>
      </c>
      <c r="O456" s="796">
        <f>O455/O388</f>
        <v>-8.8689383816303597E-4</v>
      </c>
      <c r="P456" s="796">
        <f t="shared" ref="P456:U456" si="529">P455/P388</f>
        <v>-9.0199080467320142E-4</v>
      </c>
      <c r="Q456" s="796">
        <f t="shared" si="529"/>
        <v>1.9176803648496812E-3</v>
      </c>
      <c r="R456" s="796">
        <f t="shared" si="529"/>
        <v>-3.6154104642594962E-3</v>
      </c>
      <c r="S456" s="796">
        <f t="shared" si="529"/>
        <v>1.0769002935606387E-3</v>
      </c>
      <c r="T456" s="796">
        <f t="shared" si="529"/>
        <v>5.8133221600411341E-4</v>
      </c>
      <c r="U456" s="796">
        <f t="shared" si="529"/>
        <v>2.4341743778098269E-4</v>
      </c>
    </row>
    <row r="457" spans="12:21">
      <c r="L457" s="795"/>
      <c r="N457" s="802"/>
      <c r="O457" s="796"/>
      <c r="P457" s="796"/>
      <c r="Q457" s="796"/>
      <c r="R457" s="796"/>
      <c r="S457" s="796"/>
      <c r="T457" s="796"/>
      <c r="U457" s="796"/>
    </row>
    <row r="458" spans="12:21">
      <c r="L458" s="795"/>
      <c r="M458" s="541"/>
      <c r="N458" s="803" t="s">
        <v>633</v>
      </c>
      <c r="O458" s="831" t="str">
        <f t="shared" ref="O458:U458" si="530">O386</f>
        <v>Q1'15</v>
      </c>
      <c r="P458" s="831" t="str">
        <f t="shared" si="530"/>
        <v>Q2'15</v>
      </c>
      <c r="Q458" s="831" t="str">
        <f t="shared" si="530"/>
        <v>Q3'15</v>
      </c>
      <c r="R458" s="831" t="str">
        <f t="shared" si="530"/>
        <v>Q4'15</v>
      </c>
      <c r="S458" s="831" t="str">
        <f t="shared" si="530"/>
        <v>Q1'16</v>
      </c>
      <c r="T458" s="831" t="str">
        <f t="shared" si="530"/>
        <v>Q2'16</v>
      </c>
      <c r="U458" s="831" t="str">
        <f t="shared" si="530"/>
        <v>Q3'16</v>
      </c>
    </row>
    <row r="459" spans="12:21">
      <c r="L459" s="795"/>
      <c r="M459" s="541"/>
      <c r="N459" s="805" t="s">
        <v>643</v>
      </c>
      <c r="O459" s="804">
        <f t="shared" ref="O459:U459" si="531">O395</f>
        <v>25</v>
      </c>
      <c r="P459" s="804">
        <f t="shared" si="531"/>
        <v>40</v>
      </c>
      <c r="Q459" s="804">
        <f t="shared" si="531"/>
        <v>49</v>
      </c>
      <c r="R459" s="804">
        <f t="shared" si="531"/>
        <v>59</v>
      </c>
      <c r="S459" s="804">
        <f t="shared" si="531"/>
        <v>43</v>
      </c>
      <c r="T459" s="804">
        <f t="shared" si="531"/>
        <v>62</v>
      </c>
      <c r="U459" s="804">
        <f t="shared" si="531"/>
        <v>74</v>
      </c>
    </row>
    <row r="460" spans="12:21">
      <c r="L460" s="795"/>
      <c r="M460" s="541"/>
      <c r="N460" s="805" t="s">
        <v>644</v>
      </c>
      <c r="O460" s="806">
        <f t="shared" ref="O460:U460" si="532">O402</f>
        <v>0.30120481927710846</v>
      </c>
      <c r="P460" s="806">
        <f t="shared" si="532"/>
        <v>0.40816326530612246</v>
      </c>
      <c r="Q460" s="806">
        <f t="shared" si="532"/>
        <v>0.48039215686274511</v>
      </c>
      <c r="R460" s="806">
        <f t="shared" si="532"/>
        <v>0.59595959595959591</v>
      </c>
      <c r="S460" s="806">
        <f t="shared" si="532"/>
        <v>0.41346153846153844</v>
      </c>
      <c r="T460" s="806">
        <f t="shared" si="532"/>
        <v>0.51666666666666672</v>
      </c>
      <c r="U460" s="806">
        <f t="shared" si="532"/>
        <v>0.49333333333333335</v>
      </c>
    </row>
    <row r="461" spans="12:21">
      <c r="L461" s="795"/>
      <c r="M461" s="541"/>
      <c r="N461" s="805" t="s">
        <v>645</v>
      </c>
      <c r="O461" s="804">
        <v>12</v>
      </c>
      <c r="P461" s="804">
        <v>13</v>
      </c>
      <c r="Q461" s="804">
        <v>11</v>
      </c>
      <c r="R461" s="804">
        <v>15</v>
      </c>
      <c r="S461" s="804">
        <v>14</v>
      </c>
      <c r="T461" s="804">
        <v>17</v>
      </c>
      <c r="U461" s="804">
        <v>20</v>
      </c>
    </row>
    <row r="462" spans="12:21">
      <c r="L462" s="795"/>
      <c r="M462" s="541"/>
      <c r="N462" s="805" t="s">
        <v>670</v>
      </c>
      <c r="O462" s="808">
        <v>10</v>
      </c>
      <c r="P462" s="808">
        <v>4</v>
      </c>
      <c r="Q462" s="808">
        <v>4</v>
      </c>
      <c r="R462" s="808">
        <v>6</v>
      </c>
      <c r="S462" s="808">
        <v>29</v>
      </c>
      <c r="T462" s="808">
        <v>20</v>
      </c>
      <c r="U462" s="808">
        <v>38</v>
      </c>
    </row>
    <row r="463" spans="12:21">
      <c r="L463" s="795"/>
      <c r="M463" s="541"/>
      <c r="N463" s="805" t="s">
        <v>646</v>
      </c>
      <c r="O463" s="807">
        <v>0</v>
      </c>
      <c r="P463" s="807">
        <v>0</v>
      </c>
      <c r="Q463" s="807">
        <v>0</v>
      </c>
      <c r="R463" s="808">
        <v>9</v>
      </c>
      <c r="S463" s="808">
        <v>10</v>
      </c>
      <c r="T463" s="808">
        <v>17</v>
      </c>
      <c r="U463" s="808">
        <v>22</v>
      </c>
    </row>
    <row r="464" spans="12:21">
      <c r="L464" s="795"/>
      <c r="N464" s="805" t="s">
        <v>647</v>
      </c>
      <c r="O464" s="809">
        <f>O461/O459</f>
        <v>0.48</v>
      </c>
      <c r="P464" s="809">
        <f t="shared" ref="P464:U464" si="533">P461/P459</f>
        <v>0.32500000000000001</v>
      </c>
      <c r="Q464" s="809">
        <f t="shared" si="533"/>
        <v>0.22448979591836735</v>
      </c>
      <c r="R464" s="809">
        <f t="shared" si="533"/>
        <v>0.25423728813559321</v>
      </c>
      <c r="S464" s="809">
        <f t="shared" si="533"/>
        <v>0.32558139534883723</v>
      </c>
      <c r="T464" s="809">
        <f t="shared" si="533"/>
        <v>0.27419354838709675</v>
      </c>
      <c r="U464" s="809">
        <f t="shared" si="533"/>
        <v>0.27027027027027029</v>
      </c>
    </row>
    <row r="465" spans="2:28">
      <c r="L465" s="795"/>
      <c r="N465" s="805" t="s">
        <v>648</v>
      </c>
      <c r="O465" s="809">
        <f>O463/O459</f>
        <v>0</v>
      </c>
      <c r="P465" s="809">
        <f t="shared" ref="P465:U465" si="534">P463/P459</f>
        <v>0</v>
      </c>
      <c r="Q465" s="809">
        <f t="shared" si="534"/>
        <v>0</v>
      </c>
      <c r="R465" s="809">
        <f t="shared" si="534"/>
        <v>0.15254237288135594</v>
      </c>
      <c r="S465" s="809">
        <f t="shared" si="534"/>
        <v>0.23255813953488372</v>
      </c>
      <c r="T465" s="809">
        <f t="shared" si="534"/>
        <v>0.27419354838709675</v>
      </c>
      <c r="U465" s="809">
        <f t="shared" si="534"/>
        <v>0.29729729729729731</v>
      </c>
    </row>
    <row r="466" spans="2:28">
      <c r="L466" s="795"/>
      <c r="N466" s="805" t="s">
        <v>671</v>
      </c>
      <c r="O466" s="796">
        <f>O462/O459</f>
        <v>0.4</v>
      </c>
      <c r="P466" s="796">
        <f t="shared" ref="P466:U466" si="535">P462/P459</f>
        <v>0.1</v>
      </c>
      <c r="Q466" s="796">
        <f t="shared" si="535"/>
        <v>8.1632653061224483E-2</v>
      </c>
      <c r="R466" s="796">
        <f t="shared" si="535"/>
        <v>0.10169491525423729</v>
      </c>
      <c r="S466" s="796">
        <f t="shared" si="535"/>
        <v>0.67441860465116277</v>
      </c>
      <c r="T466" s="796">
        <f t="shared" si="535"/>
        <v>0.32258064516129031</v>
      </c>
      <c r="U466" s="796">
        <f t="shared" si="535"/>
        <v>0.51351351351351349</v>
      </c>
    </row>
    <row r="467" spans="2:28">
      <c r="L467" s="795"/>
      <c r="N467" s="802"/>
      <c r="O467" s="796"/>
      <c r="P467" s="796"/>
      <c r="Q467" s="796"/>
      <c r="R467" s="796"/>
      <c r="S467" s="796"/>
      <c r="T467" s="796"/>
      <c r="U467" s="796"/>
    </row>
    <row r="471" spans="2:28" s="45" customFormat="1">
      <c r="B471" s="44" t="s">
        <v>675</v>
      </c>
      <c r="O471" s="1136" t="s">
        <v>460</v>
      </c>
      <c r="P471" s="1136"/>
      <c r="Q471" s="1137">
        <f>AC516+AC524+AC537+AC543</f>
        <v>17047.450708700875</v>
      </c>
      <c r="R471" s="1138">
        <f>Q471/SUM($X$57:$AA$57)</f>
        <v>2.4844950004133566E-2</v>
      </c>
    </row>
    <row r="473" spans="2:28">
      <c r="B473" s="544" t="s">
        <v>676</v>
      </c>
      <c r="L473" s="544" t="s">
        <v>470</v>
      </c>
      <c r="W473" s="545" t="s">
        <v>471</v>
      </c>
    </row>
    <row r="475" spans="2:28">
      <c r="C475" s="7" t="s">
        <v>405</v>
      </c>
      <c r="D475" s="141"/>
      <c r="E475" s="141"/>
      <c r="F475" s="141"/>
      <c r="G475" s="141"/>
      <c r="H475" s="141"/>
    </row>
    <row r="476" spans="2:28" ht="75">
      <c r="C476" s="445" t="s">
        <v>202</v>
      </c>
      <c r="D476" s="446" t="s">
        <v>398</v>
      </c>
      <c r="E476" s="446" t="s">
        <v>399</v>
      </c>
      <c r="F476" s="141"/>
      <c r="G476" s="141"/>
      <c r="H476" s="141"/>
      <c r="N476" s="507"/>
      <c r="O476" s="504" t="s">
        <v>208</v>
      </c>
      <c r="P476" s="504" t="s">
        <v>209</v>
      </c>
      <c r="Q476" s="504" t="s">
        <v>212</v>
      </c>
      <c r="R476" s="505" t="s">
        <v>211</v>
      </c>
      <c r="S476" s="82" t="s">
        <v>213</v>
      </c>
      <c r="T476" s="82" t="s">
        <v>214</v>
      </c>
      <c r="U476" s="82" t="s">
        <v>210</v>
      </c>
      <c r="X476" s="810"/>
      <c r="Y476" s="82" t="s">
        <v>692</v>
      </c>
      <c r="Z476" s="82" t="s">
        <v>689</v>
      </c>
      <c r="AA476" s="82" t="s">
        <v>690</v>
      </c>
      <c r="AB476" s="82" t="s">
        <v>691</v>
      </c>
    </row>
    <row r="477" spans="2:28">
      <c r="C477" s="447" t="s">
        <v>203</v>
      </c>
      <c r="D477" s="448">
        <v>1000</v>
      </c>
      <c r="E477" s="449">
        <v>6</v>
      </c>
      <c r="F477" s="442">
        <f>D477/6</f>
        <v>166.66666666666666</v>
      </c>
      <c r="G477" s="141"/>
      <c r="H477" s="141"/>
      <c r="N477" s="508" t="s">
        <v>633</v>
      </c>
      <c r="O477" s="501">
        <v>585</v>
      </c>
      <c r="P477" s="501">
        <v>722</v>
      </c>
      <c r="Q477" s="501">
        <v>817</v>
      </c>
      <c r="R477" s="506">
        <v>856</v>
      </c>
      <c r="S477" s="502">
        <v>885</v>
      </c>
      <c r="T477" s="502">
        <v>1124</v>
      </c>
      <c r="U477" s="502">
        <v>1341</v>
      </c>
      <c r="X477" s="75" t="s">
        <v>693</v>
      </c>
      <c r="Y477" s="737"/>
      <c r="Z477" s="737">
        <f>'Sale Plan &amp; KPIs'!D4</f>
        <v>1973.9888797338535</v>
      </c>
      <c r="AA477" s="737">
        <f>'Sale Plan &amp; KPIs'!G4</f>
        <v>2148.3476767016191</v>
      </c>
      <c r="AB477" s="737">
        <f>'Sale Plan &amp; KPIs'!J4</f>
        <v>2331.1422846074338</v>
      </c>
    </row>
    <row r="478" spans="2:28">
      <c r="C478" s="450" t="s">
        <v>204</v>
      </c>
      <c r="D478" s="451">
        <f>100*6</f>
        <v>600</v>
      </c>
      <c r="E478" s="452">
        <v>3</v>
      </c>
      <c r="F478" s="442">
        <f t="shared" ref="F478:F479" si="536">D478/6</f>
        <v>100</v>
      </c>
      <c r="G478" s="141"/>
      <c r="H478" s="141"/>
      <c r="N478" s="508" t="s">
        <v>584</v>
      </c>
      <c r="O478" s="501">
        <v>37796.877999999997</v>
      </c>
      <c r="P478" s="501">
        <v>67166.509000000005</v>
      </c>
      <c r="Q478" s="501">
        <v>82679.967999999993</v>
      </c>
      <c r="R478" s="506">
        <v>124665.7445</v>
      </c>
      <c r="S478" s="502">
        <v>60676.530400000003</v>
      </c>
      <c r="T478" s="502">
        <v>99565.522100000002</v>
      </c>
      <c r="U478" s="502">
        <v>109301.67099999994</v>
      </c>
      <c r="X478" s="75" t="s">
        <v>13</v>
      </c>
      <c r="Y478" s="737">
        <f t="shared" ref="Y478:AB478" si="537">Y299</f>
        <v>89871.546037833032</v>
      </c>
      <c r="Z478" s="737">
        <f t="shared" si="537"/>
        <v>168571.63517703561</v>
      </c>
      <c r="AA478" s="737">
        <f t="shared" si="537"/>
        <v>196784.46485242969</v>
      </c>
      <c r="AB478" s="737">
        <f t="shared" si="537"/>
        <v>230925.90650031052</v>
      </c>
    </row>
    <row r="479" spans="2:28">
      <c r="C479" s="453" t="s">
        <v>205</v>
      </c>
      <c r="D479" s="454">
        <f>50*6</f>
        <v>300</v>
      </c>
      <c r="E479" s="455">
        <v>2</v>
      </c>
      <c r="F479" s="442">
        <f t="shared" si="536"/>
        <v>50</v>
      </c>
      <c r="G479" s="1369"/>
      <c r="H479" s="141"/>
      <c r="Y479" s="847"/>
      <c r="Z479" s="847"/>
      <c r="AA479" s="847"/>
      <c r="AB479" s="847"/>
    </row>
    <row r="480" spans="2:28">
      <c r="C480" s="141"/>
      <c r="D480" s="141"/>
      <c r="E480" s="141"/>
      <c r="F480" s="141"/>
      <c r="G480" s="141"/>
      <c r="H480" s="141"/>
      <c r="Y480" s="442"/>
      <c r="Z480" s="442"/>
      <c r="AA480" s="442"/>
      <c r="AB480" s="442"/>
    </row>
    <row r="481" spans="3:31">
      <c r="C481" s="459" t="s">
        <v>403</v>
      </c>
      <c r="D481" s="141"/>
      <c r="E481" s="141"/>
      <c r="F481" s="141"/>
      <c r="G481" s="141"/>
      <c r="H481" s="141"/>
      <c r="M481" s="80" t="s">
        <v>686</v>
      </c>
      <c r="N481" s="505" t="s">
        <v>202</v>
      </c>
      <c r="O481" s="504" t="s">
        <v>208</v>
      </c>
      <c r="P481" s="504" t="s">
        <v>209</v>
      </c>
      <c r="Q481" s="504" t="s">
        <v>212</v>
      </c>
      <c r="R481" s="505" t="s">
        <v>211</v>
      </c>
      <c r="S481" s="82" t="s">
        <v>213</v>
      </c>
      <c r="T481" s="82" t="s">
        <v>214</v>
      </c>
      <c r="U481" s="82" t="s">
        <v>210</v>
      </c>
      <c r="W481" s="80" t="s">
        <v>685</v>
      </c>
      <c r="X481" s="505" t="s">
        <v>202</v>
      </c>
      <c r="Y481" s="504" t="s">
        <v>208</v>
      </c>
      <c r="Z481" s="504" t="s">
        <v>209</v>
      </c>
      <c r="AA481" s="504" t="s">
        <v>212</v>
      </c>
      <c r="AB481" s="504" t="s">
        <v>211</v>
      </c>
      <c r="AC481" s="503"/>
      <c r="AD481" s="503"/>
      <c r="AE481" s="503"/>
    </row>
    <row r="482" spans="3:31">
      <c r="C482" s="456" t="s">
        <v>400</v>
      </c>
      <c r="D482" s="141"/>
      <c r="E482" s="141"/>
      <c r="F482" s="141"/>
      <c r="G482" s="141"/>
      <c r="H482" s="141"/>
      <c r="N482" s="547" t="s">
        <v>203</v>
      </c>
      <c r="O482" s="67">
        <v>25</v>
      </c>
      <c r="P482" s="67">
        <v>6</v>
      </c>
      <c r="Q482" s="67">
        <v>5</v>
      </c>
      <c r="R482" s="508">
        <v>5</v>
      </c>
      <c r="S482" s="67">
        <v>8</v>
      </c>
      <c r="T482" s="67">
        <v>8</v>
      </c>
      <c r="U482" s="67">
        <v>9</v>
      </c>
      <c r="X482" s="547" t="s">
        <v>203</v>
      </c>
      <c r="Y482" s="474"/>
      <c r="Z482" s="474">
        <f>AA482*1.2</f>
        <v>1.2E-2</v>
      </c>
      <c r="AA482" s="474">
        <v>0.01</v>
      </c>
      <c r="AB482" s="474">
        <f>AA482*1.25</f>
        <v>1.2500000000000001E-2</v>
      </c>
      <c r="AC482" s="541"/>
      <c r="AD482" s="541"/>
      <c r="AE482" s="541"/>
    </row>
    <row r="483" spans="3:31">
      <c r="C483" s="457" t="s">
        <v>677</v>
      </c>
      <c r="D483" s="141"/>
      <c r="E483" s="141"/>
      <c r="F483" s="141"/>
      <c r="G483" s="141"/>
      <c r="H483" s="141"/>
      <c r="N483" s="547" t="s">
        <v>204</v>
      </c>
      <c r="O483" s="67">
        <v>19</v>
      </c>
      <c r="P483" s="67">
        <v>9</v>
      </c>
      <c r="Q483" s="67">
        <v>10</v>
      </c>
      <c r="R483" s="508">
        <v>14</v>
      </c>
      <c r="S483" s="67">
        <v>32</v>
      </c>
      <c r="T483" s="67">
        <v>24</v>
      </c>
      <c r="U483" s="67">
        <v>17</v>
      </c>
      <c r="X483" s="547" t="s">
        <v>204</v>
      </c>
      <c r="Y483" s="474"/>
      <c r="Z483" s="474">
        <f t="shared" ref="Z483:Z484" si="538">AA483*1.2</f>
        <v>2.4E-2</v>
      </c>
      <c r="AA483" s="474">
        <v>0.02</v>
      </c>
      <c r="AB483" s="602">
        <f t="shared" ref="AB483" si="539">AA483*1.2</f>
        <v>2.4E-2</v>
      </c>
      <c r="AC483" s="541"/>
      <c r="AD483" s="541"/>
      <c r="AE483" s="541"/>
    </row>
    <row r="484" spans="3:31">
      <c r="C484" s="457" t="s">
        <v>59</v>
      </c>
      <c r="D484" s="141"/>
      <c r="E484" s="141"/>
      <c r="F484" s="141"/>
      <c r="G484" s="141"/>
      <c r="H484" s="141"/>
      <c r="N484" s="505" t="s">
        <v>205</v>
      </c>
      <c r="O484" s="117">
        <v>40</v>
      </c>
      <c r="P484" s="117">
        <v>22</v>
      </c>
      <c r="Q484" s="117">
        <v>37</v>
      </c>
      <c r="R484" s="549">
        <v>50</v>
      </c>
      <c r="S484" s="117">
        <v>63</v>
      </c>
      <c r="T484" s="117">
        <v>62</v>
      </c>
      <c r="U484" s="117">
        <v>55</v>
      </c>
      <c r="X484" s="505" t="s">
        <v>205</v>
      </c>
      <c r="Y484" s="478"/>
      <c r="Z484" s="478">
        <f t="shared" si="538"/>
        <v>7.8E-2</v>
      </c>
      <c r="AA484" s="478">
        <v>6.5000000000000002E-2</v>
      </c>
      <c r="AB484" s="478">
        <f t="shared" ref="AB484" si="540">AA484*1.2</f>
        <v>7.8E-2</v>
      </c>
      <c r="AC484" s="541"/>
      <c r="AD484" s="541"/>
      <c r="AE484" s="541"/>
    </row>
    <row r="485" spans="3:31">
      <c r="C485" s="457" t="s">
        <v>393</v>
      </c>
      <c r="D485" s="141"/>
      <c r="E485" s="141"/>
      <c r="F485" s="141"/>
      <c r="G485" s="141"/>
      <c r="H485" s="141"/>
      <c r="N485" s="851" t="s">
        <v>254</v>
      </c>
      <c r="O485" s="93">
        <f>SUM(O482:O484)</f>
        <v>84</v>
      </c>
      <c r="P485" s="93">
        <f t="shared" ref="P485:U485" si="541">SUM(P482:P484)</f>
        <v>37</v>
      </c>
      <c r="Q485" s="93">
        <f t="shared" si="541"/>
        <v>52</v>
      </c>
      <c r="R485" s="720">
        <f t="shared" si="541"/>
        <v>69</v>
      </c>
      <c r="S485" s="93">
        <f t="shared" si="541"/>
        <v>103</v>
      </c>
      <c r="T485" s="93">
        <f t="shared" si="541"/>
        <v>94</v>
      </c>
      <c r="U485" s="93">
        <f t="shared" si="541"/>
        <v>81</v>
      </c>
      <c r="X485" s="851" t="s">
        <v>254</v>
      </c>
      <c r="Y485" s="626"/>
      <c r="Z485" s="626">
        <f t="shared" ref="Z485" si="542">SUM(Z482:Z484)</f>
        <v>0.114</v>
      </c>
      <c r="AA485" s="626">
        <f t="shared" ref="AA485" si="543">SUM(AA482:AA484)</f>
        <v>9.5000000000000001E-2</v>
      </c>
      <c r="AB485" s="855">
        <f t="shared" ref="AB485" si="544">SUM(AB482:AB484)</f>
        <v>0.1145</v>
      </c>
      <c r="AC485" s="603"/>
      <c r="AD485" s="603"/>
      <c r="AE485" s="603"/>
    </row>
    <row r="486" spans="3:31">
      <c r="C486" s="141"/>
      <c r="D486" s="141"/>
      <c r="E486" s="141"/>
      <c r="F486" s="141"/>
      <c r="G486" s="141"/>
      <c r="H486" s="141"/>
      <c r="N486" s="67"/>
      <c r="O486" s="67"/>
      <c r="P486" s="67"/>
      <c r="Q486" s="67"/>
      <c r="R486" s="67"/>
      <c r="S486" s="67"/>
      <c r="T486" s="67"/>
      <c r="U486" s="67"/>
      <c r="AC486" s="12"/>
      <c r="AD486" s="12"/>
      <c r="AE486" s="12"/>
    </row>
    <row r="487" spans="3:31">
      <c r="C487" s="458" t="s">
        <v>287</v>
      </c>
      <c r="D487" s="141"/>
      <c r="E487" s="141"/>
      <c r="F487" s="141"/>
      <c r="G487" s="141"/>
      <c r="H487" s="141"/>
      <c r="M487" s="80" t="s">
        <v>685</v>
      </c>
      <c r="N487" s="505" t="s">
        <v>202</v>
      </c>
      <c r="O487" s="504" t="s">
        <v>208</v>
      </c>
      <c r="P487" s="504" t="s">
        <v>209</v>
      </c>
      <c r="Q487" s="504" t="s">
        <v>212</v>
      </c>
      <c r="R487" s="505" t="s">
        <v>211</v>
      </c>
      <c r="S487" s="82" t="s">
        <v>213</v>
      </c>
      <c r="T487" s="82" t="s">
        <v>214</v>
      </c>
      <c r="U487" s="82" t="s">
        <v>210</v>
      </c>
      <c r="W487" s="80" t="s">
        <v>219</v>
      </c>
      <c r="X487" s="505" t="s">
        <v>202</v>
      </c>
      <c r="Y487" s="504" t="s">
        <v>208</v>
      </c>
      <c r="Z487" s="504" t="s">
        <v>209</v>
      </c>
      <c r="AA487" s="504" t="s">
        <v>212</v>
      </c>
      <c r="AB487" s="504" t="s">
        <v>211</v>
      </c>
      <c r="AC487" s="503"/>
      <c r="AD487" s="503"/>
      <c r="AE487" s="503"/>
    </row>
    <row r="488" spans="3:31">
      <c r="C488" s="141"/>
      <c r="D488" s="141"/>
      <c r="E488" s="141"/>
      <c r="F488" s="141"/>
      <c r="G488" s="141"/>
      <c r="H488" s="141"/>
      <c r="N488" s="547" t="s">
        <v>203</v>
      </c>
      <c r="O488" s="131">
        <f>O482/O$477</f>
        <v>4.2735042735042736E-2</v>
      </c>
      <c r="P488" s="131">
        <f t="shared" ref="P488:U488" si="545">P482/P$477</f>
        <v>8.3102493074792248E-3</v>
      </c>
      <c r="Q488" s="131">
        <f t="shared" si="545"/>
        <v>6.1199510403916772E-3</v>
      </c>
      <c r="R488" s="555">
        <f t="shared" si="545"/>
        <v>5.8411214953271026E-3</v>
      </c>
      <c r="S488" s="131">
        <f t="shared" si="545"/>
        <v>9.0395480225988704E-3</v>
      </c>
      <c r="T488" s="131">
        <f t="shared" si="545"/>
        <v>7.1174377224199285E-3</v>
      </c>
      <c r="U488" s="131">
        <f t="shared" si="545"/>
        <v>6.7114093959731542E-3</v>
      </c>
      <c r="X488" s="547" t="s">
        <v>203</v>
      </c>
      <c r="Y488" s="501"/>
      <c r="Z488" s="501">
        <f t="shared" ref="Z488:AB488" si="546">Z$477*Z482</f>
        <v>23.687866556806242</v>
      </c>
      <c r="AA488" s="501">
        <f t="shared" si="546"/>
        <v>21.483476767016192</v>
      </c>
      <c r="AB488" s="563">
        <f t="shared" si="546"/>
        <v>29.139278557592924</v>
      </c>
      <c r="AC488" s="541"/>
      <c r="AD488" s="541"/>
      <c r="AE488" s="541"/>
    </row>
    <row r="489" spans="3:31" ht="45">
      <c r="C489" s="445" t="s">
        <v>202</v>
      </c>
      <c r="D489" s="446" t="s">
        <v>707</v>
      </c>
      <c r="E489" s="446" t="s">
        <v>289</v>
      </c>
      <c r="F489" s="141"/>
      <c r="G489" s="141"/>
      <c r="H489" s="141"/>
      <c r="N489" s="547" t="s">
        <v>204</v>
      </c>
      <c r="O489" s="131">
        <f t="shared" ref="O489:U489" si="547">O483/O$477</f>
        <v>3.2478632478632481E-2</v>
      </c>
      <c r="P489" s="131">
        <f t="shared" si="547"/>
        <v>1.2465373961218837E-2</v>
      </c>
      <c r="Q489" s="131">
        <f t="shared" si="547"/>
        <v>1.2239902080783354E-2</v>
      </c>
      <c r="R489" s="555">
        <f t="shared" si="547"/>
        <v>1.6355140186915886E-2</v>
      </c>
      <c r="S489" s="131">
        <f t="shared" si="547"/>
        <v>3.6158192090395481E-2</v>
      </c>
      <c r="T489" s="131">
        <f t="shared" si="547"/>
        <v>2.1352313167259787E-2</v>
      </c>
      <c r="U489" s="131">
        <f t="shared" si="547"/>
        <v>1.267710663683818E-2</v>
      </c>
      <c r="X489" s="547" t="s">
        <v>204</v>
      </c>
      <c r="Y489" s="501"/>
      <c r="Z489" s="501">
        <f t="shared" ref="Z489:AB489" si="548">Z$477*Z483</f>
        <v>47.375733113612483</v>
      </c>
      <c r="AA489" s="501">
        <f t="shared" si="548"/>
        <v>42.966953534032385</v>
      </c>
      <c r="AB489" s="563">
        <f t="shared" si="548"/>
        <v>55.94741483057841</v>
      </c>
      <c r="AC489" s="541"/>
      <c r="AD489" s="541"/>
      <c r="AE489" s="541"/>
    </row>
    <row r="490" spans="3:31">
      <c r="C490" s="447" t="s">
        <v>203</v>
      </c>
      <c r="D490" s="848">
        <v>0.2</v>
      </c>
      <c r="E490" s="449">
        <v>4</v>
      </c>
      <c r="F490" s="141"/>
      <c r="G490" s="141"/>
      <c r="H490" s="141"/>
      <c r="N490" s="505" t="s">
        <v>205</v>
      </c>
      <c r="O490" s="716">
        <f t="shared" ref="O490:U490" si="549">O484/O$477</f>
        <v>6.8376068376068383E-2</v>
      </c>
      <c r="P490" s="716">
        <f t="shared" si="549"/>
        <v>3.0470914127423823E-2</v>
      </c>
      <c r="Q490" s="716">
        <f t="shared" si="549"/>
        <v>4.528763769889841E-2</v>
      </c>
      <c r="R490" s="717">
        <f t="shared" si="549"/>
        <v>5.8411214953271028E-2</v>
      </c>
      <c r="S490" s="716">
        <f t="shared" si="549"/>
        <v>7.1186440677966104E-2</v>
      </c>
      <c r="T490" s="716">
        <f t="shared" si="549"/>
        <v>5.5160142348754451E-2</v>
      </c>
      <c r="U490" s="716">
        <f t="shared" si="549"/>
        <v>4.1014168530947054E-2</v>
      </c>
      <c r="X490" s="505" t="s">
        <v>205</v>
      </c>
      <c r="Y490" s="622"/>
      <c r="Z490" s="622">
        <f t="shared" ref="Z490:AB490" si="550">Z$477*Z484</f>
        <v>153.97113261924056</v>
      </c>
      <c r="AA490" s="622">
        <f t="shared" si="550"/>
        <v>139.64259898560525</v>
      </c>
      <c r="AB490" s="622">
        <f t="shared" si="550"/>
        <v>181.82909819937984</v>
      </c>
      <c r="AC490" s="541"/>
      <c r="AD490" s="541"/>
      <c r="AE490" s="541"/>
    </row>
    <row r="491" spans="3:31">
      <c r="C491" s="450" t="s">
        <v>204</v>
      </c>
      <c r="D491" s="849">
        <v>0.15</v>
      </c>
      <c r="E491" s="452">
        <v>2</v>
      </c>
      <c r="F491" s="141"/>
      <c r="G491" s="141"/>
      <c r="H491" s="141"/>
      <c r="N491" s="851" t="s">
        <v>254</v>
      </c>
      <c r="O491" s="624">
        <f>SUM(O488:O490)</f>
        <v>0.14358974358974361</v>
      </c>
      <c r="P491" s="624">
        <f t="shared" ref="P491" si="551">SUM(P488:P490)</f>
        <v>5.1246537396121887E-2</v>
      </c>
      <c r="Q491" s="624">
        <f t="shared" ref="Q491" si="552">SUM(Q488:Q490)</f>
        <v>6.3647490820073441E-2</v>
      </c>
      <c r="R491" s="727">
        <f t="shared" ref="R491" si="553">SUM(R488:R490)</f>
        <v>8.0607476635514014E-2</v>
      </c>
      <c r="S491" s="624">
        <f t="shared" ref="S491" si="554">SUM(S488:S490)</f>
        <v>0.11638418079096045</v>
      </c>
      <c r="T491" s="624">
        <f t="shared" ref="T491" si="555">SUM(T488:T490)</f>
        <v>8.3629893238434172E-2</v>
      </c>
      <c r="U491" s="624">
        <f t="shared" ref="U491" si="556">SUM(U488:U490)</f>
        <v>6.0402684563758385E-2</v>
      </c>
      <c r="X491" s="851" t="s">
        <v>254</v>
      </c>
      <c r="Y491" s="577"/>
      <c r="Z491" s="577">
        <f t="shared" ref="Z491" si="557">SUM(Z488:Z490)</f>
        <v>225.0347322896593</v>
      </c>
      <c r="AA491" s="577">
        <f t="shared" ref="AA491" si="558">SUM(AA488:AA490)</f>
        <v>204.09302928665383</v>
      </c>
      <c r="AB491" s="853">
        <f t="shared" ref="AB491" si="559">SUM(AB488:AB490)</f>
        <v>266.91579158755121</v>
      </c>
      <c r="AC491" s="603"/>
      <c r="AD491" s="603"/>
      <c r="AE491" s="603"/>
    </row>
    <row r="492" spans="3:31">
      <c r="C492" s="453" t="s">
        <v>205</v>
      </c>
      <c r="D492" s="850">
        <v>0.12</v>
      </c>
      <c r="E492" s="455">
        <v>1</v>
      </c>
      <c r="F492" s="141"/>
      <c r="G492" s="141"/>
      <c r="H492" s="141"/>
      <c r="N492" s="67"/>
      <c r="O492" s="67"/>
      <c r="P492" s="67"/>
      <c r="Q492" s="67"/>
      <c r="R492" s="67"/>
      <c r="S492" s="67"/>
      <c r="T492" s="67"/>
      <c r="U492" s="67"/>
    </row>
    <row r="493" spans="3:31">
      <c r="C493" s="141"/>
      <c r="D493" s="141"/>
      <c r="E493" s="141"/>
      <c r="F493" s="141"/>
      <c r="G493" s="141"/>
      <c r="H493" s="141"/>
      <c r="M493" s="80" t="s">
        <v>206</v>
      </c>
      <c r="N493" s="505" t="s">
        <v>202</v>
      </c>
      <c r="O493" s="504" t="s">
        <v>208</v>
      </c>
      <c r="P493" s="504" t="s">
        <v>209</v>
      </c>
      <c r="Q493" s="504" t="s">
        <v>212</v>
      </c>
      <c r="R493" s="505" t="s">
        <v>211</v>
      </c>
      <c r="S493" s="82" t="s">
        <v>213</v>
      </c>
      <c r="T493" s="82" t="s">
        <v>214</v>
      </c>
      <c r="U493" s="82" t="s">
        <v>210</v>
      </c>
      <c r="W493" s="80" t="s">
        <v>688</v>
      </c>
      <c r="X493" s="505" t="s">
        <v>202</v>
      </c>
      <c r="Y493" s="504" t="s">
        <v>208</v>
      </c>
      <c r="Z493" s="504" t="s">
        <v>209</v>
      </c>
      <c r="AA493" s="504" t="s">
        <v>212</v>
      </c>
      <c r="AB493" s="504" t="s">
        <v>211</v>
      </c>
    </row>
    <row r="494" spans="3:31">
      <c r="C494" s="435" t="s">
        <v>377</v>
      </c>
      <c r="D494" s="253"/>
      <c r="E494" s="253"/>
      <c r="F494" s="253"/>
      <c r="G494" s="427" t="s">
        <v>203</v>
      </c>
      <c r="H494" s="428" t="s">
        <v>204</v>
      </c>
      <c r="I494" s="429" t="s">
        <v>205</v>
      </c>
      <c r="N494" s="547" t="s">
        <v>203</v>
      </c>
      <c r="O494" s="501">
        <v>43584.188499999997</v>
      </c>
      <c r="P494" s="501">
        <v>11290.416000000001</v>
      </c>
      <c r="Q494" s="501">
        <v>11008.891</v>
      </c>
      <c r="R494" s="506">
        <v>10348.363000000001</v>
      </c>
      <c r="S494" s="501">
        <v>11161.276</v>
      </c>
      <c r="T494" s="501">
        <v>12856.662999999999</v>
      </c>
      <c r="U494" s="501">
        <v>11791.582</v>
      </c>
      <c r="X494" s="547" t="s">
        <v>203</v>
      </c>
      <c r="Y494" s="474"/>
      <c r="Z494" s="501">
        <v>600</v>
      </c>
      <c r="AA494" s="501">
        <f>Z494*1.05</f>
        <v>630</v>
      </c>
      <c r="AB494" s="501">
        <f>AA494*1.05</f>
        <v>661.5</v>
      </c>
    </row>
    <row r="495" spans="3:31">
      <c r="C495" s="422"/>
      <c r="D495" s="143"/>
      <c r="E495" s="143"/>
      <c r="F495" s="143"/>
      <c r="G495" s="440"/>
      <c r="H495" s="420"/>
      <c r="I495" s="421"/>
      <c r="N495" s="547" t="s">
        <v>204</v>
      </c>
      <c r="O495" s="501">
        <v>14308.247000000001</v>
      </c>
      <c r="P495" s="501">
        <v>6992.4909999999991</v>
      </c>
      <c r="Q495" s="501">
        <v>7942.0965000000006</v>
      </c>
      <c r="R495" s="506">
        <v>9939.7934999999998</v>
      </c>
      <c r="S495" s="501">
        <v>23796.187500000004</v>
      </c>
      <c r="T495" s="501">
        <v>18606.355499999998</v>
      </c>
      <c r="U495" s="501">
        <v>13029.659</v>
      </c>
      <c r="X495" s="547" t="s">
        <v>204</v>
      </c>
      <c r="Y495" s="474"/>
      <c r="Z495" s="501">
        <v>400</v>
      </c>
      <c r="AA495" s="501">
        <f t="shared" ref="AA495:AB495" si="560">Z495*1.05</f>
        <v>420</v>
      </c>
      <c r="AB495" s="563">
        <f t="shared" si="560"/>
        <v>441</v>
      </c>
    </row>
    <row r="496" spans="3:31">
      <c r="C496" s="422" t="s">
        <v>382</v>
      </c>
      <c r="D496" s="143"/>
      <c r="E496" s="143"/>
      <c r="F496" s="143"/>
      <c r="G496" s="706" t="s">
        <v>290</v>
      </c>
      <c r="H496" s="708"/>
      <c r="I496" s="707"/>
      <c r="N496" s="505" t="s">
        <v>205</v>
      </c>
      <c r="O496" s="622">
        <v>16164.52</v>
      </c>
      <c r="P496" s="622">
        <v>9072.0469999999987</v>
      </c>
      <c r="Q496" s="622">
        <v>15102.413999999999</v>
      </c>
      <c r="R496" s="724">
        <v>21311.544000000002</v>
      </c>
      <c r="S496" s="622">
        <v>25721.772500000003</v>
      </c>
      <c r="T496" s="622">
        <v>27478.478499999997</v>
      </c>
      <c r="U496" s="622">
        <v>22907.669000000002</v>
      </c>
      <c r="X496" s="505" t="s">
        <v>205</v>
      </c>
      <c r="Y496" s="478"/>
      <c r="Z496" s="622">
        <v>250</v>
      </c>
      <c r="AA496" s="622">
        <f t="shared" ref="AA496:AB496" si="561">Z496*1.05</f>
        <v>262.5</v>
      </c>
      <c r="AB496" s="622">
        <f t="shared" si="561"/>
        <v>275.625</v>
      </c>
    </row>
    <row r="497" spans="3:28">
      <c r="C497" s="422" t="s">
        <v>378</v>
      </c>
      <c r="D497" s="143"/>
      <c r="E497" s="143"/>
      <c r="F497" s="143"/>
      <c r="G497" s="706" t="s">
        <v>682</v>
      </c>
      <c r="H497" s="708" t="s">
        <v>404</v>
      </c>
      <c r="I497" s="707" t="s">
        <v>404</v>
      </c>
      <c r="N497" s="851" t="s">
        <v>254</v>
      </c>
      <c r="O497" s="577">
        <f>SUM(O494:O496)</f>
        <v>74056.955499999996</v>
      </c>
      <c r="P497" s="577">
        <f t="shared" ref="P497" si="562">SUM(P494:P496)</f>
        <v>27354.953999999998</v>
      </c>
      <c r="Q497" s="577">
        <f t="shared" ref="Q497" si="563">SUM(Q494:Q496)</f>
        <v>34053.4015</v>
      </c>
      <c r="R497" s="852">
        <f t="shared" ref="R497" si="564">SUM(R494:R496)</f>
        <v>41599.700500000006</v>
      </c>
      <c r="S497" s="577">
        <f t="shared" ref="S497" si="565">SUM(S494:S496)</f>
        <v>60679.236000000004</v>
      </c>
      <c r="T497" s="577">
        <f t="shared" ref="T497" si="566">SUM(T494:T496)</f>
        <v>58941.496999999996</v>
      </c>
      <c r="U497" s="577">
        <f t="shared" ref="U497" si="567">SUM(U494:U496)</f>
        <v>47728.91</v>
      </c>
      <c r="X497" s="851" t="s">
        <v>254</v>
      </c>
      <c r="Y497" s="626"/>
      <c r="Z497" s="577"/>
      <c r="AA497" s="577"/>
      <c r="AB497" s="853"/>
    </row>
    <row r="498" spans="3:28">
      <c r="C498" s="422"/>
      <c r="D498" s="143"/>
      <c r="E498" s="143"/>
      <c r="F498" s="143"/>
      <c r="G498" s="706"/>
      <c r="H498" s="708"/>
      <c r="I498" s="707"/>
      <c r="N498" s="67"/>
      <c r="O498" s="67"/>
      <c r="P498" s="67"/>
      <c r="Q498" s="67"/>
      <c r="R498" s="67"/>
      <c r="S498" s="67"/>
      <c r="T498" s="67"/>
      <c r="U498" s="67"/>
    </row>
    <row r="499" spans="3:28">
      <c r="C499" s="422" t="s">
        <v>380</v>
      </c>
      <c r="D499" s="143"/>
      <c r="E499" s="143"/>
      <c r="F499" s="143"/>
      <c r="G499" s="706" t="s">
        <v>290</v>
      </c>
      <c r="H499" s="708" t="s">
        <v>290</v>
      </c>
      <c r="I499" s="707"/>
      <c r="M499" s="80" t="s">
        <v>674</v>
      </c>
      <c r="N499" s="505" t="s">
        <v>202</v>
      </c>
      <c r="O499" s="504" t="s">
        <v>208</v>
      </c>
      <c r="P499" s="504" t="s">
        <v>209</v>
      </c>
      <c r="Q499" s="504" t="s">
        <v>212</v>
      </c>
      <c r="R499" s="505" t="s">
        <v>211</v>
      </c>
      <c r="S499" s="82" t="s">
        <v>213</v>
      </c>
      <c r="T499" s="82" t="s">
        <v>214</v>
      </c>
      <c r="U499" s="82" t="s">
        <v>210</v>
      </c>
      <c r="W499" s="80" t="s">
        <v>206</v>
      </c>
      <c r="X499" s="505" t="s">
        <v>202</v>
      </c>
      <c r="Y499" s="504" t="s">
        <v>208</v>
      </c>
      <c r="Z499" s="504" t="s">
        <v>209</v>
      </c>
      <c r="AA499" s="504" t="s">
        <v>212</v>
      </c>
      <c r="AB499" s="504" t="s">
        <v>211</v>
      </c>
    </row>
    <row r="500" spans="3:28">
      <c r="C500" s="422" t="s">
        <v>385</v>
      </c>
      <c r="D500" s="143"/>
      <c r="E500" s="143"/>
      <c r="F500" s="143"/>
      <c r="G500" s="706" t="s">
        <v>290</v>
      </c>
      <c r="H500" s="708" t="s">
        <v>290</v>
      </c>
      <c r="I500" s="707" t="s">
        <v>290</v>
      </c>
      <c r="N500" s="547" t="s">
        <v>203</v>
      </c>
      <c r="O500" s="131">
        <v>0.4463265097988286</v>
      </c>
      <c r="P500" s="131">
        <v>0.18439844144144291</v>
      </c>
      <c r="Q500" s="131">
        <v>0.16026784284153558</v>
      </c>
      <c r="R500" s="555">
        <v>0.12022140385803891</v>
      </c>
      <c r="S500" s="131">
        <v>0.10126768380966122</v>
      </c>
      <c r="T500" s="131">
        <v>0.11671197631435522</v>
      </c>
      <c r="U500" s="131">
        <v>0.11183856653613145</v>
      </c>
      <c r="X500" s="547" t="s">
        <v>203</v>
      </c>
      <c r="Y500" s="474"/>
      <c r="Z500" s="501">
        <f>Z494*Z488</f>
        <v>14212.719934083745</v>
      </c>
      <c r="AA500" s="501">
        <f t="shared" ref="AA500:AB500" si="568">AA494*AA488</f>
        <v>13534.590363220201</v>
      </c>
      <c r="AB500" s="501">
        <f t="shared" si="568"/>
        <v>19275.63276584772</v>
      </c>
    </row>
    <row r="501" spans="3:28">
      <c r="C501" s="423"/>
      <c r="D501" s="424"/>
      <c r="E501" s="424"/>
      <c r="F501" s="424"/>
      <c r="G501" s="441"/>
      <c r="H501" s="709"/>
      <c r="I501" s="439"/>
      <c r="N501" s="547" t="s">
        <v>204</v>
      </c>
      <c r="O501" s="131">
        <v>0.14652446597347019</v>
      </c>
      <c r="P501" s="131">
        <v>0.11420344849944557</v>
      </c>
      <c r="Q501" s="131">
        <v>0.11562133494593688</v>
      </c>
      <c r="R501" s="555">
        <v>0.11547487545895037</v>
      </c>
      <c r="S501" s="131">
        <v>0.21590585087452485</v>
      </c>
      <c r="T501" s="131">
        <v>0.16890732240648082</v>
      </c>
      <c r="U501" s="131">
        <v>0.12358124507929502</v>
      </c>
      <c r="X501" s="547" t="s">
        <v>204</v>
      </c>
      <c r="Y501" s="474"/>
      <c r="Z501" s="501">
        <f t="shared" ref="Z501:AB501" si="569">Z495*Z489</f>
        <v>18950.293245444995</v>
      </c>
      <c r="AA501" s="501">
        <f t="shared" si="569"/>
        <v>18046.120484293602</v>
      </c>
      <c r="AB501" s="563">
        <f t="shared" si="569"/>
        <v>24672.809940285078</v>
      </c>
    </row>
    <row r="502" spans="3:28">
      <c r="C502" s="141"/>
      <c r="D502" s="141"/>
      <c r="E502" s="141"/>
      <c r="F502" s="141"/>
      <c r="G502" s="141"/>
      <c r="H502" s="141"/>
      <c r="N502" s="505" t="s">
        <v>205</v>
      </c>
      <c r="O502" s="716">
        <v>0.16553374153503769</v>
      </c>
      <c r="P502" s="716">
        <v>0.14816737731218382</v>
      </c>
      <c r="Q502" s="716">
        <v>0.21986150226029186</v>
      </c>
      <c r="R502" s="717">
        <v>0.24758541404687542</v>
      </c>
      <c r="S502" s="716">
        <v>0.2333769297125203</v>
      </c>
      <c r="T502" s="716">
        <v>0.24944789576008325</v>
      </c>
      <c r="U502" s="716">
        <v>0.21727032586841832</v>
      </c>
      <c r="X502" s="505" t="s">
        <v>205</v>
      </c>
      <c r="Y502" s="478"/>
      <c r="Z502" s="622">
        <f t="shared" ref="Z502:AB502" si="570">Z496*Z490</f>
        <v>38492.783154810139</v>
      </c>
      <c r="AA502" s="622">
        <f t="shared" si="570"/>
        <v>36656.182233721374</v>
      </c>
      <c r="AB502" s="622">
        <f t="shared" si="570"/>
        <v>50116.645191204072</v>
      </c>
    </row>
    <row r="503" spans="3:28">
      <c r="C503" s="460" t="s">
        <v>406</v>
      </c>
      <c r="D503" s="141"/>
      <c r="E503" s="141"/>
      <c r="F503" s="141"/>
      <c r="G503" s="141"/>
      <c r="H503" s="141"/>
      <c r="N503" s="851" t="s">
        <v>254</v>
      </c>
      <c r="O503" s="624">
        <f>SUM(O500:O502)</f>
        <v>0.75838471730733659</v>
      </c>
      <c r="P503" s="624">
        <f t="shared" ref="P503" si="571">SUM(P500:P502)</f>
        <v>0.44676926725307231</v>
      </c>
      <c r="Q503" s="624">
        <f t="shared" ref="Q503" si="572">SUM(Q500:Q502)</f>
        <v>0.49575068004776435</v>
      </c>
      <c r="R503" s="727">
        <f t="shared" ref="R503" si="573">SUM(R500:R502)</f>
        <v>0.48328169336386473</v>
      </c>
      <c r="S503" s="624">
        <f t="shared" ref="S503" si="574">SUM(S500:S502)</f>
        <v>0.55055046439670641</v>
      </c>
      <c r="T503" s="624">
        <f t="shared" ref="T503" si="575">SUM(T500:T502)</f>
        <v>0.53506719448091933</v>
      </c>
      <c r="U503" s="624">
        <f t="shared" ref="U503" si="576">SUM(U500:U502)</f>
        <v>0.45269013748384479</v>
      </c>
      <c r="X503" s="851" t="s">
        <v>254</v>
      </c>
      <c r="Y503" s="626"/>
      <c r="Z503" s="577">
        <f t="shared" ref="Z503" si="577">SUM(Z500:Z502)</f>
        <v>71655.796334338869</v>
      </c>
      <c r="AA503" s="577">
        <f t="shared" ref="AA503" si="578">SUM(AA500:AA502)</f>
        <v>68236.893081235175</v>
      </c>
      <c r="AB503" s="853">
        <f t="shared" ref="AB503" si="579">SUM(AB500:AB502)</f>
        <v>94065.087897336867</v>
      </c>
    </row>
    <row r="504" spans="3:28">
      <c r="C504" s="141"/>
      <c r="D504" s="141"/>
      <c r="E504" s="141"/>
      <c r="F504" s="141"/>
      <c r="G504" s="141"/>
      <c r="H504" s="141"/>
    </row>
    <row r="505" spans="3:28">
      <c r="C505" s="434" t="s">
        <v>407</v>
      </c>
      <c r="D505" s="141"/>
      <c r="E505" s="141"/>
      <c r="F505" s="141"/>
      <c r="G505" s="141"/>
      <c r="H505" s="141"/>
      <c r="M505" s="80" t="s">
        <v>687</v>
      </c>
      <c r="N505" s="505" t="s">
        <v>202</v>
      </c>
      <c r="O505" s="504" t="s">
        <v>208</v>
      </c>
      <c r="P505" s="504" t="s">
        <v>209</v>
      </c>
      <c r="Q505" s="504" t="s">
        <v>212</v>
      </c>
      <c r="R505" s="505" t="s">
        <v>211</v>
      </c>
      <c r="S505" s="82" t="s">
        <v>213</v>
      </c>
      <c r="T505" s="82" t="s">
        <v>214</v>
      </c>
      <c r="U505" s="82" t="s">
        <v>210</v>
      </c>
      <c r="W505" s="80" t="s">
        <v>674</v>
      </c>
      <c r="X505" s="505" t="s">
        <v>202</v>
      </c>
      <c r="Y505" s="504" t="s">
        <v>208</v>
      </c>
      <c r="Z505" s="504" t="s">
        <v>209</v>
      </c>
      <c r="AA505" s="504" t="s">
        <v>212</v>
      </c>
      <c r="AB505" s="504" t="s">
        <v>211</v>
      </c>
    </row>
    <row r="506" spans="3:28">
      <c r="C506" s="434" t="s">
        <v>683</v>
      </c>
      <c r="D506" s="141"/>
      <c r="E506" s="141"/>
      <c r="F506" s="141"/>
      <c r="G506" s="141"/>
      <c r="H506" s="141"/>
      <c r="N506" s="547" t="s">
        <v>203</v>
      </c>
      <c r="O506" s="67">
        <v>16</v>
      </c>
      <c r="P506" s="67">
        <v>4</v>
      </c>
      <c r="Q506" s="67">
        <v>1</v>
      </c>
      <c r="R506" s="508">
        <v>1</v>
      </c>
      <c r="S506" s="67">
        <v>1</v>
      </c>
      <c r="T506" s="67">
        <v>0</v>
      </c>
      <c r="U506" s="67">
        <v>1</v>
      </c>
      <c r="X506" s="547" t="s">
        <v>203</v>
      </c>
      <c r="Y506" s="474"/>
      <c r="Z506" s="131">
        <f>Z500/Z$478</f>
        <v>8.4312642035876351E-2</v>
      </c>
      <c r="AA506" s="131">
        <f t="shared" ref="AA506:AB506" si="580">AA500/AA$478</f>
        <v>6.8778754325804645E-2</v>
      </c>
      <c r="AB506" s="131">
        <f t="shared" si="580"/>
        <v>8.3471071123939922E-2</v>
      </c>
    </row>
    <row r="507" spans="3:28">
      <c r="C507" s="434" t="s">
        <v>409</v>
      </c>
      <c r="D507" s="141"/>
      <c r="E507" s="141"/>
      <c r="F507" s="141"/>
      <c r="G507" s="141"/>
      <c r="H507" s="141"/>
      <c r="N507" s="547" t="s">
        <v>204</v>
      </c>
      <c r="O507" s="67">
        <v>16</v>
      </c>
      <c r="P507" s="67">
        <v>3</v>
      </c>
      <c r="Q507" s="67">
        <v>2</v>
      </c>
      <c r="R507" s="508">
        <v>3</v>
      </c>
      <c r="S507" s="67">
        <v>6</v>
      </c>
      <c r="T507" s="67">
        <v>8</v>
      </c>
      <c r="U507" s="67">
        <v>8</v>
      </c>
      <c r="X507" s="547" t="s">
        <v>204</v>
      </c>
      <c r="Y507" s="474"/>
      <c r="Z507" s="131">
        <f t="shared" ref="Z507:AB507" si="581">Z501/Z$478</f>
        <v>0.11241685604783513</v>
      </c>
      <c r="AA507" s="131">
        <f t="shared" si="581"/>
        <v>9.1705005767739531E-2</v>
      </c>
      <c r="AB507" s="554">
        <f t="shared" si="581"/>
        <v>0.10684297103864308</v>
      </c>
    </row>
    <row r="508" spans="3:28">
      <c r="C508" s="434"/>
      <c r="D508" s="141"/>
      <c r="E508" s="141"/>
      <c r="F508" s="141"/>
      <c r="G508" s="141"/>
      <c r="H508" s="141"/>
      <c r="N508" s="505" t="s">
        <v>205</v>
      </c>
      <c r="O508" s="117">
        <v>26</v>
      </c>
      <c r="P508" s="117">
        <v>13</v>
      </c>
      <c r="Q508" s="117">
        <v>26</v>
      </c>
      <c r="R508" s="549">
        <v>33</v>
      </c>
      <c r="S508" s="117">
        <v>45</v>
      </c>
      <c r="T508" s="117">
        <v>29</v>
      </c>
      <c r="U508" s="117">
        <v>35</v>
      </c>
      <c r="X508" s="505" t="s">
        <v>205</v>
      </c>
      <c r="Y508" s="478"/>
      <c r="Z508" s="716">
        <f t="shared" ref="Z508:AB508" si="582">Z502/Z$478</f>
        <v>0.22834673884716508</v>
      </c>
      <c r="AA508" s="716">
        <f t="shared" si="582"/>
        <v>0.18627579296572089</v>
      </c>
      <c r="AB508" s="716">
        <f t="shared" si="582"/>
        <v>0.21702478492224381</v>
      </c>
    </row>
    <row r="509" spans="3:28">
      <c r="C509" s="434" t="s">
        <v>410</v>
      </c>
      <c r="D509" s="141" t="s">
        <v>411</v>
      </c>
      <c r="E509" s="141" t="s">
        <v>412</v>
      </c>
      <c r="F509" s="141" t="s">
        <v>413</v>
      </c>
      <c r="G509" s="141" t="s">
        <v>414</v>
      </c>
      <c r="H509" s="141" t="s">
        <v>418</v>
      </c>
      <c r="N509" s="851" t="s">
        <v>254</v>
      </c>
      <c r="O509" s="93">
        <f>SUM(O506:O508)</f>
        <v>58</v>
      </c>
      <c r="P509" s="93">
        <f t="shared" ref="P509" si="583">SUM(P506:P508)</f>
        <v>20</v>
      </c>
      <c r="Q509" s="93">
        <f t="shared" ref="Q509" si="584">SUM(Q506:Q508)</f>
        <v>29</v>
      </c>
      <c r="R509" s="720">
        <f t="shared" ref="R509" si="585">SUM(R506:R508)</f>
        <v>37</v>
      </c>
      <c r="S509" s="93">
        <f t="shared" ref="S509" si="586">SUM(S506:S508)</f>
        <v>52</v>
      </c>
      <c r="T509" s="93">
        <f t="shared" ref="T509" si="587">SUM(T506:T508)</f>
        <v>37</v>
      </c>
      <c r="U509" s="93">
        <f t="shared" ref="U509" si="588">SUM(U506:U508)</f>
        <v>44</v>
      </c>
      <c r="X509" s="851" t="s">
        <v>254</v>
      </c>
      <c r="Y509" s="626"/>
      <c r="Z509" s="624">
        <f t="shared" ref="Z509:AB509" si="589">Z503/Z$478</f>
        <v>0.42507623693087654</v>
      </c>
      <c r="AA509" s="624">
        <f t="shared" si="589"/>
        <v>0.34675955305926509</v>
      </c>
      <c r="AB509" s="854">
        <f t="shared" si="589"/>
        <v>0.40733882708482677</v>
      </c>
    </row>
    <row r="510" spans="3:28">
      <c r="C510" s="461"/>
      <c r="D510" s="461"/>
      <c r="E510" s="461"/>
      <c r="F510" s="461"/>
      <c r="G510" s="462"/>
      <c r="H510" s="462"/>
      <c r="N510" s="67"/>
      <c r="O510" s="67"/>
      <c r="P510" s="67"/>
      <c r="Q510" s="67"/>
      <c r="R510" s="67"/>
      <c r="S510" s="67"/>
      <c r="T510" s="67"/>
      <c r="U510" s="67"/>
    </row>
    <row r="511" spans="3:28">
      <c r="C511" s="434" t="s">
        <v>415</v>
      </c>
      <c r="D511" s="141"/>
      <c r="E511" s="141" t="s">
        <v>416</v>
      </c>
      <c r="F511" s="141" t="s">
        <v>417</v>
      </c>
      <c r="G511" s="141" t="s">
        <v>417</v>
      </c>
      <c r="H511" s="141" t="s">
        <v>417</v>
      </c>
      <c r="M511" s="80" t="s">
        <v>685</v>
      </c>
      <c r="N511" s="505" t="s">
        <v>202</v>
      </c>
      <c r="O511" s="504" t="s">
        <v>208</v>
      </c>
      <c r="P511" s="504" t="s">
        <v>209</v>
      </c>
      <c r="Q511" s="504" t="s">
        <v>212</v>
      </c>
      <c r="R511" s="505" t="s">
        <v>211</v>
      </c>
      <c r="S511" s="82" t="s">
        <v>213</v>
      </c>
      <c r="T511" s="82" t="s">
        <v>214</v>
      </c>
      <c r="U511" s="82" t="s">
        <v>210</v>
      </c>
    </row>
    <row r="512" spans="3:28">
      <c r="N512" s="547" t="s">
        <v>203</v>
      </c>
      <c r="O512" s="131">
        <f>O506/O$477</f>
        <v>2.735042735042735E-2</v>
      </c>
      <c r="P512" s="131">
        <f t="shared" ref="P512:U512" si="590">P506/P$477</f>
        <v>5.5401662049861496E-3</v>
      </c>
      <c r="Q512" s="131">
        <f>Q506/Q$477</f>
        <v>1.2239902080783353E-3</v>
      </c>
      <c r="R512" s="555">
        <f t="shared" si="590"/>
        <v>1.1682242990654205E-3</v>
      </c>
      <c r="S512" s="131">
        <f t="shared" si="590"/>
        <v>1.1299435028248588E-3</v>
      </c>
      <c r="T512" s="131">
        <f t="shared" si="590"/>
        <v>0</v>
      </c>
      <c r="U512" s="131">
        <f t="shared" si="590"/>
        <v>7.4571215510812821E-4</v>
      </c>
      <c r="W512" s="80" t="s">
        <v>678</v>
      </c>
      <c r="X512" s="505" t="s">
        <v>202</v>
      </c>
      <c r="Y512" s="504" t="s">
        <v>208</v>
      </c>
      <c r="Z512" s="504" t="s">
        <v>209</v>
      </c>
      <c r="AA512" s="504" t="s">
        <v>212</v>
      </c>
      <c r="AB512" s="504" t="s">
        <v>211</v>
      </c>
    </row>
    <row r="513" spans="13:29">
      <c r="N513" s="547" t="s">
        <v>204</v>
      </c>
      <c r="O513" s="131">
        <f t="shared" ref="O513:U513" si="591">O507/O$477</f>
        <v>2.735042735042735E-2</v>
      </c>
      <c r="P513" s="131">
        <f t="shared" si="591"/>
        <v>4.1551246537396124E-3</v>
      </c>
      <c r="Q513" s="131">
        <f t="shared" si="591"/>
        <v>2.4479804161566705E-3</v>
      </c>
      <c r="R513" s="555">
        <f t="shared" si="591"/>
        <v>3.5046728971962616E-3</v>
      </c>
      <c r="S513" s="131">
        <f t="shared" si="591"/>
        <v>6.7796610169491523E-3</v>
      </c>
      <c r="T513" s="131">
        <f t="shared" si="591"/>
        <v>7.1174377224199285E-3</v>
      </c>
      <c r="U513" s="131">
        <f t="shared" si="591"/>
        <v>5.9656972408650257E-3</v>
      </c>
      <c r="X513" s="547" t="s">
        <v>203</v>
      </c>
      <c r="Y513" s="474"/>
      <c r="Z513" s="501">
        <f>Z500*$R$22*$D490</f>
        <v>900.12863960210143</v>
      </c>
      <c r="AA513" s="501">
        <f t="shared" ref="AA513:AB513" si="592">AA500*$R$22*$D490</f>
        <v>857.18092439162035</v>
      </c>
      <c r="AB513" s="501">
        <f t="shared" si="592"/>
        <v>1220.7761202261913</v>
      </c>
    </row>
    <row r="514" spans="13:29">
      <c r="N514" s="505" t="s">
        <v>205</v>
      </c>
      <c r="O514" s="716">
        <f t="shared" ref="O514:U514" si="593">O508/O$477</f>
        <v>4.4444444444444446E-2</v>
      </c>
      <c r="P514" s="716">
        <f t="shared" si="593"/>
        <v>1.8005540166204988E-2</v>
      </c>
      <c r="Q514" s="716">
        <f t="shared" si="593"/>
        <v>3.182374541003672E-2</v>
      </c>
      <c r="R514" s="717">
        <f t="shared" si="593"/>
        <v>3.8551401869158876E-2</v>
      </c>
      <c r="S514" s="716">
        <f t="shared" si="593"/>
        <v>5.0847457627118647E-2</v>
      </c>
      <c r="T514" s="716">
        <f t="shared" si="593"/>
        <v>2.5800711743772242E-2</v>
      </c>
      <c r="U514" s="716">
        <f t="shared" si="593"/>
        <v>2.609992542878449E-2</v>
      </c>
      <c r="X514" s="547" t="s">
        <v>204</v>
      </c>
      <c r="Y514" s="474"/>
      <c r="Z514" s="501">
        <f t="shared" ref="Z514:AB514" si="594">Z501*$R$22*$D491</f>
        <v>900.12863960210154</v>
      </c>
      <c r="AA514" s="501">
        <f t="shared" si="594"/>
        <v>857.18092439162035</v>
      </c>
      <c r="AB514" s="563">
        <f t="shared" si="594"/>
        <v>1171.9450754171435</v>
      </c>
    </row>
    <row r="515" spans="13:29">
      <c r="N515" s="851" t="s">
        <v>254</v>
      </c>
      <c r="O515" s="624">
        <f>SUM(O512:O514)</f>
        <v>9.9145299145299154E-2</v>
      </c>
      <c r="P515" s="624">
        <f t="shared" ref="P515" si="595">SUM(P512:P514)</f>
        <v>2.7700831024930751E-2</v>
      </c>
      <c r="Q515" s="624">
        <f t="shared" ref="Q515" si="596">SUM(Q512:Q514)</f>
        <v>3.5495716034271728E-2</v>
      </c>
      <c r="R515" s="727">
        <f t="shared" ref="R515" si="597">SUM(R512:R514)</f>
        <v>4.3224299065420559E-2</v>
      </c>
      <c r="S515" s="624">
        <f t="shared" ref="S515" si="598">SUM(S512:S514)</f>
        <v>5.8757062146892657E-2</v>
      </c>
      <c r="T515" s="624">
        <f t="shared" ref="T515" si="599">SUM(T512:T514)</f>
        <v>3.2918149466192169E-2</v>
      </c>
      <c r="U515" s="624">
        <f t="shared" ref="U515" si="600">SUM(U512:U514)</f>
        <v>3.2811334824757642E-2</v>
      </c>
      <c r="X515" s="505" t="s">
        <v>205</v>
      </c>
      <c r="Y515" s="478"/>
      <c r="Z515" s="622">
        <f t="shared" ref="Z515:AB515" si="601">Z502*$R$22*$D492</f>
        <v>1462.7090393534147</v>
      </c>
      <c r="AA515" s="622">
        <f t="shared" si="601"/>
        <v>1392.9190021363827</v>
      </c>
      <c r="AB515" s="622">
        <f t="shared" si="601"/>
        <v>1904.4107475528583</v>
      </c>
    </row>
    <row r="516" spans="13:29">
      <c r="N516" s="67"/>
      <c r="O516" s="67"/>
      <c r="P516" s="67"/>
      <c r="Q516" s="67"/>
      <c r="R516" s="67"/>
      <c r="S516" s="67"/>
      <c r="T516" s="67"/>
      <c r="U516" s="67"/>
      <c r="X516" s="851" t="s">
        <v>254</v>
      </c>
      <c r="Y516" s="626"/>
      <c r="Z516" s="577">
        <f t="shared" ref="Z516" si="602">SUM(Z513:Z515)</f>
        <v>3262.9663185576173</v>
      </c>
      <c r="AA516" s="577">
        <f t="shared" ref="AA516" si="603">SUM(AA513:AA515)</f>
        <v>3107.2808509196234</v>
      </c>
      <c r="AB516" s="853">
        <f t="shared" ref="AB516" si="604">SUM(AB513:AB515)</f>
        <v>4297.1319431961929</v>
      </c>
      <c r="AC516" s="872">
        <f>SUM(Z516:AB516)</f>
        <v>10667.379112673434</v>
      </c>
    </row>
    <row r="517" spans="13:29">
      <c r="M517" s="80" t="s">
        <v>206</v>
      </c>
      <c r="N517" s="505" t="s">
        <v>202</v>
      </c>
      <c r="O517" s="504" t="s">
        <v>208</v>
      </c>
      <c r="P517" s="504" t="s">
        <v>209</v>
      </c>
      <c r="Q517" s="504" t="s">
        <v>212</v>
      </c>
      <c r="R517" s="505" t="s">
        <v>211</v>
      </c>
      <c r="S517" s="82" t="s">
        <v>213</v>
      </c>
      <c r="T517" s="82" t="s">
        <v>214</v>
      </c>
      <c r="U517" s="82" t="s">
        <v>210</v>
      </c>
      <c r="AC517" s="873">
        <f>AC516/SUM($Y$478:$AB$478)</f>
        <v>1.5546635403629048E-2</v>
      </c>
    </row>
    <row r="518" spans="13:29">
      <c r="N518" s="547" t="s">
        <v>203</v>
      </c>
      <c r="O518" s="501">
        <v>27808.495500000005</v>
      </c>
      <c r="P518" s="501">
        <v>8153.8859999999995</v>
      </c>
      <c r="Q518" s="501">
        <v>4204.8050000000003</v>
      </c>
      <c r="R518" s="506">
        <v>3126.7</v>
      </c>
      <c r="S518" s="501">
        <v>1332.5650000000001</v>
      </c>
      <c r="T518" s="501"/>
      <c r="U518" s="501">
        <v>1062.403</v>
      </c>
      <c r="V518" s="442"/>
      <c r="W518" s="442"/>
      <c r="X518" s="442"/>
    </row>
    <row r="519" spans="13:29">
      <c r="N519" s="547" t="s">
        <v>204</v>
      </c>
      <c r="O519" s="501">
        <v>15438.157499999998</v>
      </c>
      <c r="P519" s="501">
        <v>2295.2249999999999</v>
      </c>
      <c r="Q519" s="501">
        <v>1591.258</v>
      </c>
      <c r="R519" s="506">
        <v>1903.6299999999999</v>
      </c>
      <c r="S519" s="501">
        <v>4909.1670000000004</v>
      </c>
      <c r="T519" s="501">
        <v>8495.0450000000001</v>
      </c>
      <c r="U519" s="501">
        <v>6633.2869999999994</v>
      </c>
      <c r="V519" s="442"/>
      <c r="W519" s="442"/>
      <c r="X519" s="442"/>
    </row>
    <row r="520" spans="13:29">
      <c r="N520" s="505" t="s">
        <v>205</v>
      </c>
      <c r="O520" s="622">
        <v>14455.816499999999</v>
      </c>
      <c r="P520" s="622">
        <v>6292.9520000000002</v>
      </c>
      <c r="Q520" s="622">
        <v>11297.861499999999</v>
      </c>
      <c r="R520" s="724">
        <v>17139.0965</v>
      </c>
      <c r="S520" s="622">
        <v>23534.357000000004</v>
      </c>
      <c r="T520" s="622">
        <v>15790.998000000001</v>
      </c>
      <c r="U520" s="622">
        <v>17422.419000000002</v>
      </c>
      <c r="V520" s="442"/>
      <c r="W520" s="80" t="s">
        <v>694</v>
      </c>
      <c r="X520" s="505" t="s">
        <v>202</v>
      </c>
      <c r="Y520" s="504" t="s">
        <v>208</v>
      </c>
      <c r="Z520" s="504" t="s">
        <v>209</v>
      </c>
      <c r="AA520" s="504" t="s">
        <v>212</v>
      </c>
      <c r="AB520" s="504" t="s">
        <v>211</v>
      </c>
    </row>
    <row r="521" spans="13:29">
      <c r="N521" s="851" t="s">
        <v>254</v>
      </c>
      <c r="O521" s="577">
        <f>SUM(O518:O520)</f>
        <v>57702.469500000007</v>
      </c>
      <c r="P521" s="577">
        <f t="shared" ref="P521" si="605">SUM(P518:P520)</f>
        <v>16742.062999999998</v>
      </c>
      <c r="Q521" s="577">
        <f t="shared" ref="Q521" si="606">SUM(Q518:Q520)</f>
        <v>17093.924500000001</v>
      </c>
      <c r="R521" s="852">
        <f t="shared" ref="R521" si="607">SUM(R518:R520)</f>
        <v>22169.426500000001</v>
      </c>
      <c r="S521" s="577">
        <f t="shared" ref="S521" si="608">SUM(S518:S520)</f>
        <v>29776.089000000004</v>
      </c>
      <c r="T521" s="577">
        <f t="shared" ref="T521" si="609">SUM(T518:T520)</f>
        <v>24286.043000000001</v>
      </c>
      <c r="U521" s="577">
        <f t="shared" ref="U521" si="610">SUM(U518:U520)</f>
        <v>25118.109</v>
      </c>
      <c r="X521" s="547" t="s">
        <v>203</v>
      </c>
      <c r="Y521" s="474"/>
      <c r="Z521" s="1294">
        <f>Z488*$E490*3</f>
        <v>284.2543986816749</v>
      </c>
      <c r="AA521" s="1294">
        <f>AA488*$E490*3</f>
        <v>257.80172120419434</v>
      </c>
      <c r="AB521" s="1294">
        <f>AB488*$E490*3</f>
        <v>349.67134269111511</v>
      </c>
    </row>
    <row r="522" spans="13:29">
      <c r="N522" s="67"/>
      <c r="O522" s="67"/>
      <c r="P522" s="67"/>
      <c r="Q522" s="67"/>
      <c r="R522" s="67"/>
      <c r="S522" s="67"/>
      <c r="T522" s="67"/>
      <c r="U522" s="67"/>
      <c r="X522" s="547" t="s">
        <v>204</v>
      </c>
      <c r="Y522" s="474"/>
      <c r="Z522" s="563">
        <f t="shared" ref="Z522:AB522" si="611">Z489*$E491*3</f>
        <v>284.2543986816749</v>
      </c>
      <c r="AA522" s="563">
        <f t="shared" si="611"/>
        <v>257.80172120419434</v>
      </c>
      <c r="AB522" s="563">
        <f t="shared" si="611"/>
        <v>335.68448898347049</v>
      </c>
    </row>
    <row r="523" spans="13:29">
      <c r="M523" s="80" t="s">
        <v>674</v>
      </c>
      <c r="N523" s="505" t="s">
        <v>202</v>
      </c>
      <c r="O523" s="504" t="s">
        <v>208</v>
      </c>
      <c r="P523" s="504" t="s">
        <v>209</v>
      </c>
      <c r="Q523" s="504" t="s">
        <v>212</v>
      </c>
      <c r="R523" s="505" t="s">
        <v>211</v>
      </c>
      <c r="S523" s="82" t="s">
        <v>213</v>
      </c>
      <c r="T523" s="82" t="s">
        <v>214</v>
      </c>
      <c r="U523" s="82" t="s">
        <v>210</v>
      </c>
      <c r="X523" s="505" t="s">
        <v>205</v>
      </c>
      <c r="Y523" s="478"/>
      <c r="Z523" s="622">
        <f t="shared" ref="Z523:AB523" si="612">Z490*$E492*3</f>
        <v>461.91339785772169</v>
      </c>
      <c r="AA523" s="622">
        <f t="shared" si="612"/>
        <v>418.92779695681577</v>
      </c>
      <c r="AB523" s="622">
        <f t="shared" si="612"/>
        <v>545.48729459813956</v>
      </c>
    </row>
    <row r="524" spans="13:29">
      <c r="N524" s="547" t="s">
        <v>203</v>
      </c>
      <c r="O524" s="131">
        <v>0.28477457459765332</v>
      </c>
      <c r="P524" s="131">
        <v>0.13317169802168505</v>
      </c>
      <c r="Q524" s="131">
        <v>6.1213706895572192E-2</v>
      </c>
      <c r="R524" s="555">
        <v>3.632422475351222E-2</v>
      </c>
      <c r="S524" s="131">
        <v>1.2090532576725203E-2</v>
      </c>
      <c r="T524" s="131">
        <v>0</v>
      </c>
      <c r="U524" s="131">
        <v>1.0076479017292642E-2</v>
      </c>
      <c r="X524" s="851" t="s">
        <v>254</v>
      </c>
      <c r="Y524" s="626"/>
      <c r="Z524" s="577">
        <f t="shared" ref="Z524" si="613">SUM(Z521:Z523)</f>
        <v>1030.4221952210714</v>
      </c>
      <c r="AA524" s="577">
        <f t="shared" ref="AA524" si="614">SUM(AA521:AA523)</f>
        <v>934.53123936520444</v>
      </c>
      <c r="AB524" s="853">
        <f t="shared" ref="AB524" si="615">SUM(AB521:AB523)</f>
        <v>1230.8431262727252</v>
      </c>
      <c r="AC524" s="872">
        <f>SUM(Z524:AB524)</f>
        <v>3195.7965608590011</v>
      </c>
    </row>
    <row r="525" spans="13:29">
      <c r="N525" s="547" t="s">
        <v>204</v>
      </c>
      <c r="O525" s="131">
        <v>0.15809538256516142</v>
      </c>
      <c r="P525" s="131">
        <v>3.7486299243308291E-2</v>
      </c>
      <c r="Q525" s="131">
        <v>2.3165592888905528E-2</v>
      </c>
      <c r="R525" s="555">
        <v>2.2115292150679138E-2</v>
      </c>
      <c r="S525" s="131">
        <v>4.4541499692761208E-2</v>
      </c>
      <c r="T525" s="131">
        <v>7.711748303812449E-2</v>
      </c>
      <c r="U525" s="131">
        <v>6.2914145829012197E-2</v>
      </c>
      <c r="AC525" s="873">
        <f>AC524/SUM($Y$478:$AB$478)</f>
        <v>4.6575530344486688E-3</v>
      </c>
    </row>
    <row r="526" spans="13:29">
      <c r="N526" s="505" t="s">
        <v>205</v>
      </c>
      <c r="O526" s="716">
        <v>0.14803566033441962</v>
      </c>
      <c r="P526" s="716">
        <v>0.10277836891623933</v>
      </c>
      <c r="Q526" s="716">
        <v>0.16447468608122601</v>
      </c>
      <c r="R526" s="717">
        <v>0.19911228878310508</v>
      </c>
      <c r="S526" s="716">
        <v>0.21353022928020837</v>
      </c>
      <c r="T526" s="716">
        <v>0.14334968448313787</v>
      </c>
      <c r="U526" s="716">
        <v>0.16524486422193901</v>
      </c>
      <c r="W526" s="80" t="s">
        <v>695</v>
      </c>
    </row>
    <row r="527" spans="13:29">
      <c r="N527" s="851" t="s">
        <v>254</v>
      </c>
      <c r="O527" s="624">
        <f>SUM(O524:O526)</f>
        <v>0.59090561749723436</v>
      </c>
      <c r="P527" s="624">
        <f t="shared" ref="P527" si="616">SUM(P524:P526)</f>
        <v>0.27343636618123268</v>
      </c>
      <c r="Q527" s="624">
        <f t="shared" ref="Q527" si="617">SUM(Q524:Q526)</f>
        <v>0.24885398586570373</v>
      </c>
      <c r="R527" s="727">
        <f t="shared" ref="R527" si="618">SUM(R524:R526)</f>
        <v>0.25755180568729641</v>
      </c>
      <c r="S527" s="624">
        <f t="shared" ref="S527" si="619">SUM(S524:S526)</f>
        <v>0.2701622615496948</v>
      </c>
      <c r="T527" s="624">
        <f t="shared" ref="T527" si="620">SUM(T524:T526)</f>
        <v>0.22046716752126236</v>
      </c>
      <c r="U527" s="624">
        <f t="shared" ref="U527" si="621">SUM(U524:U526)</f>
        <v>0.23823548906824385</v>
      </c>
    </row>
    <row r="528" spans="13:29">
      <c r="V528" s="140" t="s">
        <v>684</v>
      </c>
      <c r="Z528" s="858">
        <f>AVERAGE(Z488:AB488)</f>
        <v>24.770207293805118</v>
      </c>
      <c r="AA528" s="858">
        <f>AVERAGE(Z489:AB489)</f>
        <v>48.763367159407757</v>
      </c>
      <c r="AB528" s="858">
        <f>AVERAGE(Z490:AB490)</f>
        <v>158.48094326807521</v>
      </c>
    </row>
    <row r="529" spans="22:30">
      <c r="V529" s="435" t="s">
        <v>377</v>
      </c>
      <c r="W529" s="253"/>
      <c r="X529" s="253"/>
      <c r="Y529" s="253"/>
      <c r="Z529" s="427" t="s">
        <v>203</v>
      </c>
      <c r="AA529" s="1291" t="s">
        <v>204</v>
      </c>
      <c r="AB529" s="1292" t="s">
        <v>205</v>
      </c>
    </row>
    <row r="530" spans="22:30">
      <c r="V530" s="422" t="s">
        <v>381</v>
      </c>
      <c r="W530" s="143"/>
      <c r="X530" s="143"/>
      <c r="Y530" s="143"/>
      <c r="Z530" s="859">
        <v>3.5</v>
      </c>
      <c r="AA530" s="860">
        <v>3.5</v>
      </c>
      <c r="AB530" s="861"/>
    </row>
    <row r="531" spans="22:30">
      <c r="V531" s="422" t="s">
        <v>382</v>
      </c>
      <c r="W531" s="143"/>
      <c r="X531" s="143"/>
      <c r="Y531" s="143"/>
      <c r="Z531" s="862">
        <v>3.5</v>
      </c>
      <c r="AA531" s="863"/>
      <c r="AB531" s="864"/>
    </row>
    <row r="532" spans="22:30">
      <c r="V532" s="422" t="s">
        <v>378</v>
      </c>
      <c r="W532" s="143"/>
      <c r="X532" s="143"/>
      <c r="Y532" s="143"/>
      <c r="Z532" s="862">
        <v>1</v>
      </c>
      <c r="AA532" s="863">
        <v>0.8</v>
      </c>
      <c r="AB532" s="864">
        <v>0.8</v>
      </c>
    </row>
    <row r="533" spans="22:30">
      <c r="V533" s="422"/>
      <c r="W533" s="143"/>
      <c r="X533" s="143"/>
      <c r="Y533" s="143"/>
      <c r="Z533" s="862"/>
      <c r="AA533" s="863"/>
      <c r="AB533" s="864"/>
    </row>
    <row r="534" spans="22:30">
      <c r="V534" s="866" t="s">
        <v>385</v>
      </c>
      <c r="W534" s="12"/>
      <c r="X534" s="12"/>
      <c r="Y534" s="12"/>
      <c r="Z534" s="867">
        <v>1.5</v>
      </c>
      <c r="AA534" s="868">
        <v>0.5</v>
      </c>
      <c r="AB534" s="766">
        <v>0.5</v>
      </c>
    </row>
    <row r="535" spans="22:30">
      <c r="V535" s="713"/>
      <c r="W535" s="714"/>
      <c r="X535" s="714"/>
      <c r="Y535" s="714"/>
      <c r="Z535" s="1440"/>
      <c r="AA535" s="730"/>
      <c r="AB535" s="767"/>
      <c r="AC535" s="708"/>
      <c r="AD535" s="708"/>
    </row>
    <row r="536" spans="22:30">
      <c r="V536" s="434" t="s">
        <v>696</v>
      </c>
      <c r="Z536" s="865">
        <f>SUM(Z530:Z535)</f>
        <v>9.5</v>
      </c>
      <c r="AA536" s="865">
        <f>SUM(AA530:AA535)</f>
        <v>4.8</v>
      </c>
      <c r="AB536" s="865">
        <f>SUM(AB530:AB535)</f>
        <v>1.3</v>
      </c>
      <c r="AC536" s="857"/>
      <c r="AD536" s="857"/>
    </row>
    <row r="537" spans="22:30">
      <c r="V537" s="869" t="s">
        <v>625</v>
      </c>
      <c r="W537" s="669"/>
      <c r="X537" s="669"/>
      <c r="Y537" s="669"/>
      <c r="Z537" s="870">
        <f>Z536*Z528</f>
        <v>235.31696929114861</v>
      </c>
      <c r="AA537" s="870">
        <f>AA536*AA528</f>
        <v>234.06416236515722</v>
      </c>
      <c r="AB537" s="870">
        <f>AB536*AB528</f>
        <v>206.02522624849777</v>
      </c>
      <c r="AC537" s="871">
        <f>SUM(Z537:AB537)</f>
        <v>675.4063579048036</v>
      </c>
      <c r="AD537" s="857"/>
    </row>
    <row r="538" spans="22:30">
      <c r="X538" s="143"/>
      <c r="Y538" s="143"/>
      <c r="Z538" s="143"/>
      <c r="AA538" s="143"/>
      <c r="AB538" s="857"/>
      <c r="AC538" s="874">
        <f>AC537/SUM($Y$478:$AB$478)</f>
        <v>9.8433704143542069E-4</v>
      </c>
      <c r="AD538" s="857"/>
    </row>
    <row r="539" spans="22:30">
      <c r="X539" s="143"/>
      <c r="Y539" s="143"/>
      <c r="Z539" s="143"/>
      <c r="AA539" s="143"/>
      <c r="AB539" s="857"/>
      <c r="AC539" s="857"/>
      <c r="AD539" s="857"/>
    </row>
    <row r="540" spans="22:30">
      <c r="W540" s="80" t="s">
        <v>697</v>
      </c>
      <c r="AB540" s="74" t="s">
        <v>219</v>
      </c>
      <c r="AC540" s="737">
        <f>Z528</f>
        <v>24.770207293805118</v>
      </c>
    </row>
    <row r="541" spans="22:30">
      <c r="AB541" s="74" t="s">
        <v>698</v>
      </c>
      <c r="AC541" s="501">
        <f>AC540*2500</f>
        <v>61925.518234512798</v>
      </c>
    </row>
    <row r="542" spans="22:30">
      <c r="AB542" s="74" t="s">
        <v>561</v>
      </c>
      <c r="AC542" s="501">
        <f>AC541*$R$22*15%</f>
        <v>2941.4284920622722</v>
      </c>
    </row>
    <row r="543" spans="22:30">
      <c r="AB543" s="74" t="s">
        <v>701</v>
      </c>
      <c r="AC543" s="876">
        <f>AA548/((1+6%)^1.5)+AB548/((1+6%)^2.5)+AC548/((1+6%)^3.5)</f>
        <v>2508.8686772636393</v>
      </c>
    </row>
    <row r="544" spans="22:30">
      <c r="AC544" s="856">
        <f>AC543/SUM($Y$478:$AB$478)</f>
        <v>3.656424524620431E-3</v>
      </c>
    </row>
    <row r="545" spans="2:30">
      <c r="AD545" s="732"/>
    </row>
    <row r="546" spans="2:30">
      <c r="X546" s="772" t="s">
        <v>699</v>
      </c>
      <c r="Y546" s="875">
        <v>2017</v>
      </c>
      <c r="Z546" s="875">
        <v>2018</v>
      </c>
      <c r="AA546" s="875">
        <v>2019</v>
      </c>
      <c r="AB546" s="875">
        <v>2020</v>
      </c>
      <c r="AC546" s="875">
        <v>2022</v>
      </c>
    </row>
    <row r="547" spans="2:30">
      <c r="X547" s="470"/>
      <c r="Y547" s="875"/>
      <c r="Z547" s="875"/>
      <c r="AA547" s="765">
        <v>0.25</v>
      </c>
      <c r="AB547" s="765">
        <v>0.25</v>
      </c>
      <c r="AC547" s="765">
        <v>0.5</v>
      </c>
    </row>
    <row r="548" spans="2:30">
      <c r="X548" s="772" t="s">
        <v>700</v>
      </c>
      <c r="Y548" s="875"/>
      <c r="Z548" s="875"/>
      <c r="AA548" s="760">
        <f>AA547*$AC$542</f>
        <v>735.35712301556805</v>
      </c>
      <c r="AB548" s="760">
        <f>AB547*$AC$542</f>
        <v>735.35712301556805</v>
      </c>
      <c r="AC548" s="760">
        <f>AC547*$AC$542</f>
        <v>1470.7142460311361</v>
      </c>
    </row>
    <row r="550" spans="2:30" s="714" customFormat="1">
      <c r="O550" s="1136" t="s">
        <v>460</v>
      </c>
      <c r="P550" s="1136"/>
      <c r="Q550" s="1137">
        <f>Z557</f>
        <v>2851.2000000000007</v>
      </c>
      <c r="R550" s="1138">
        <f>Q550/SUM($X$57:$AA$57)</f>
        <v>4.1553381008241049E-3</v>
      </c>
    </row>
    <row r="552" spans="2:30">
      <c r="B552" s="544" t="s">
        <v>702</v>
      </c>
      <c r="L552" s="544" t="s">
        <v>470</v>
      </c>
      <c r="W552" s="545" t="s">
        <v>471</v>
      </c>
    </row>
    <row r="553" spans="2:30">
      <c r="N553" s="507"/>
      <c r="O553" s="504" t="s">
        <v>208</v>
      </c>
      <c r="P553" s="504" t="s">
        <v>209</v>
      </c>
      <c r="Q553" s="504" t="s">
        <v>212</v>
      </c>
      <c r="R553" s="505" t="s">
        <v>211</v>
      </c>
      <c r="S553" s="82" t="s">
        <v>213</v>
      </c>
      <c r="T553" s="82" t="s">
        <v>214</v>
      </c>
      <c r="U553" s="82" t="s">
        <v>210</v>
      </c>
    </row>
    <row r="554" spans="2:30">
      <c r="C554" s="141" t="s">
        <v>708</v>
      </c>
      <c r="D554" s="141"/>
      <c r="N554" s="75" t="s">
        <v>667</v>
      </c>
      <c r="O554" s="501">
        <v>83</v>
      </c>
      <c r="P554" s="501">
        <v>98</v>
      </c>
      <c r="Q554" s="501">
        <v>102</v>
      </c>
      <c r="R554" s="506">
        <v>99</v>
      </c>
      <c r="S554" s="502">
        <v>104</v>
      </c>
      <c r="T554" s="502">
        <v>120</v>
      </c>
      <c r="U554" s="502">
        <v>150</v>
      </c>
      <c r="W554" s="67"/>
      <c r="X554" s="74" t="s">
        <v>1425</v>
      </c>
      <c r="Y554" s="74" t="s">
        <v>1426</v>
      </c>
    </row>
    <row r="555" spans="2:30">
      <c r="C555" s="140" t="s">
        <v>421</v>
      </c>
      <c r="D555" s="141"/>
      <c r="N555" s="75" t="s">
        <v>584</v>
      </c>
      <c r="O555" s="501">
        <v>37796.877999999997</v>
      </c>
      <c r="P555" s="501">
        <v>67166.509000000005</v>
      </c>
      <c r="Q555" s="501">
        <v>82679.967999999993</v>
      </c>
      <c r="R555" s="506">
        <v>124665.7445</v>
      </c>
      <c r="S555" s="502">
        <v>60676.530400000003</v>
      </c>
      <c r="T555" s="502">
        <v>99565.522100000002</v>
      </c>
      <c r="U555" s="502">
        <v>109301.67099999994</v>
      </c>
      <c r="W555" s="67" t="s">
        <v>1427</v>
      </c>
      <c r="X555" s="74">
        <f>'[1]AL Promotion &amp; Recruited'!$AC$20+'[1]AL Promotion &amp; Recruited'!$AC$21</f>
        <v>166</v>
      </c>
      <c r="Y555" s="74">
        <f>'[1]AL Promotion &amp; Recruited'!$AI$20+'[1]AL Promotion &amp; Recruited'!$AI$21</f>
        <v>184</v>
      </c>
    </row>
    <row r="556" spans="2:30">
      <c r="C556" s="141" t="s">
        <v>422</v>
      </c>
      <c r="D556" s="141"/>
      <c r="W556" s="67" t="s">
        <v>219</v>
      </c>
      <c r="X556" s="496">
        <f>X555*8%</f>
        <v>13.280000000000001</v>
      </c>
      <c r="Y556" s="496">
        <f>Y555*10%</f>
        <v>18.400000000000002</v>
      </c>
    </row>
    <row r="557" spans="2:30">
      <c r="C557" s="141" t="s">
        <v>303</v>
      </c>
      <c r="D557" s="141"/>
      <c r="N557" s="67" t="s">
        <v>705</v>
      </c>
      <c r="O557" s="67">
        <v>2</v>
      </c>
      <c r="P557" s="67">
        <v>5</v>
      </c>
      <c r="Q557" s="67">
        <v>6</v>
      </c>
      <c r="R557" s="67">
        <v>7</v>
      </c>
      <c r="S557" s="67">
        <v>11</v>
      </c>
      <c r="T557" s="67">
        <v>9</v>
      </c>
      <c r="U557" s="67">
        <v>10</v>
      </c>
      <c r="W557" s="67" t="s">
        <v>466</v>
      </c>
      <c r="X557" s="501">
        <f>X556*$E$564*6</f>
        <v>1195.2</v>
      </c>
      <c r="Y557" s="501">
        <f>Y556*$E$564*6</f>
        <v>1656.0000000000005</v>
      </c>
      <c r="Z557" s="1134">
        <f>SUM(X557:Y557)</f>
        <v>2851.2000000000007</v>
      </c>
    </row>
    <row r="558" spans="2:30">
      <c r="C558" s="463" t="s">
        <v>703</v>
      </c>
      <c r="D558" s="141"/>
      <c r="N558" s="67" t="s">
        <v>706</v>
      </c>
      <c r="O558" s="474">
        <f>O557/O554</f>
        <v>2.4096385542168676E-2</v>
      </c>
      <c r="P558" s="474">
        <f t="shared" ref="P558:U558" si="622">P557/P554</f>
        <v>5.1020408163265307E-2</v>
      </c>
      <c r="Q558" s="474">
        <f t="shared" si="622"/>
        <v>5.8823529411764705E-2</v>
      </c>
      <c r="R558" s="474">
        <f t="shared" si="622"/>
        <v>7.0707070707070704E-2</v>
      </c>
      <c r="S558" s="474">
        <f t="shared" si="622"/>
        <v>0.10576923076923077</v>
      </c>
      <c r="T558" s="474">
        <f t="shared" si="622"/>
        <v>7.4999999999999997E-2</v>
      </c>
      <c r="U558" s="474">
        <f t="shared" si="622"/>
        <v>6.6666666666666666E-2</v>
      </c>
      <c r="W558" s="67"/>
      <c r="X558" s="67"/>
      <c r="Y558" s="67"/>
    </row>
    <row r="559" spans="2:30">
      <c r="C559" s="463" t="s">
        <v>704</v>
      </c>
      <c r="D559" s="141"/>
      <c r="W559" s="67"/>
      <c r="X559" s="67"/>
      <c r="Y559" s="67"/>
    </row>
    <row r="560" spans="2:30">
      <c r="C560" s="463" t="s">
        <v>424</v>
      </c>
      <c r="D560" s="141"/>
    </row>
    <row r="561" spans="2:30">
      <c r="C561" s="141"/>
      <c r="D561" s="141"/>
    </row>
    <row r="562" spans="2:30">
      <c r="C562" s="140" t="s">
        <v>287</v>
      </c>
      <c r="D562" s="141"/>
    </row>
    <row r="563" spans="2:30">
      <c r="C563" s="141"/>
      <c r="D563" s="141"/>
    </row>
    <row r="564" spans="2:30">
      <c r="C564" t="s">
        <v>1428</v>
      </c>
      <c r="E564" s="788">
        <v>15</v>
      </c>
      <c r="F564" t="s">
        <v>1422</v>
      </c>
    </row>
    <row r="565" spans="2:30">
      <c r="C565" t="s">
        <v>1429</v>
      </c>
    </row>
    <row r="569" spans="2:30" s="45" customFormat="1">
      <c r="B569" s="44" t="s">
        <v>187</v>
      </c>
      <c r="O569" s="1136" t="s">
        <v>460</v>
      </c>
      <c r="P569" s="1136"/>
      <c r="Q569" s="1137">
        <f>AD578+AD596+AD618+AD640+AD672</f>
        <v>12318.332679374769</v>
      </c>
      <c r="R569" s="1138">
        <f>Q569/SUM($X$57:$AA$57)</f>
        <v>1.7952734680567007E-2</v>
      </c>
    </row>
    <row r="571" spans="2:30">
      <c r="C571" s="258" t="s">
        <v>75</v>
      </c>
      <c r="D571" s="224"/>
      <c r="E571" s="224"/>
      <c r="F571" s="224"/>
      <c r="G571" s="231"/>
      <c r="H571" s="231"/>
      <c r="I571" s="231"/>
      <c r="J571" s="239"/>
      <c r="K571" s="223"/>
      <c r="Q571" s="1" t="s">
        <v>549</v>
      </c>
    </row>
    <row r="572" spans="2:30">
      <c r="C572" s="1127">
        <v>5</v>
      </c>
      <c r="D572" s="231" t="s">
        <v>76</v>
      </c>
      <c r="E572" s="231"/>
      <c r="F572" s="231"/>
      <c r="G572" s="231"/>
      <c r="H572" s="231"/>
      <c r="I572" s="231"/>
      <c r="J572" s="239"/>
      <c r="K572" s="223"/>
      <c r="O572" s="544" t="s">
        <v>1219</v>
      </c>
    </row>
    <row r="573" spans="2:30">
      <c r="C573" s="1127">
        <v>8</v>
      </c>
      <c r="D573" s="231" t="s">
        <v>77</v>
      </c>
      <c r="E573" s="231"/>
      <c r="F573" s="231"/>
      <c r="G573" s="231"/>
      <c r="H573" s="324"/>
      <c r="I573" s="231"/>
      <c r="J573" s="239"/>
      <c r="K573" s="223"/>
      <c r="P573" s="258" t="s">
        <v>1216</v>
      </c>
    </row>
    <row r="574" spans="2:30">
      <c r="C574" s="258"/>
      <c r="D574" s="231"/>
      <c r="E574" s="231"/>
      <c r="F574" s="231"/>
      <c r="G574" s="231"/>
      <c r="H574" s="231"/>
      <c r="I574" s="231"/>
      <c r="J574" s="239"/>
      <c r="K574" s="223"/>
      <c r="Q574" s="1130" t="s">
        <v>1121</v>
      </c>
      <c r="R574" s="775" t="s">
        <v>479</v>
      </c>
      <c r="S574" s="775" t="s">
        <v>480</v>
      </c>
      <c r="T574" s="775" t="s">
        <v>481</v>
      </c>
      <c r="U574" s="775" t="s">
        <v>482</v>
      </c>
      <c r="V574" s="775" t="s">
        <v>483</v>
      </c>
      <c r="W574" s="775" t="s">
        <v>484</v>
      </c>
      <c r="X574" s="775" t="s">
        <v>485</v>
      </c>
      <c r="Y574" s="775" t="s">
        <v>486</v>
      </c>
      <c r="Z574" s="775" t="s">
        <v>487</v>
      </c>
      <c r="AA574" s="775" t="s">
        <v>488</v>
      </c>
      <c r="AB574" s="775" t="s">
        <v>489</v>
      </c>
      <c r="AC574" s="775" t="s">
        <v>490</v>
      </c>
      <c r="AD574" s="1130" t="s">
        <v>254</v>
      </c>
    </row>
    <row r="575" spans="2:30">
      <c r="C575" s="239"/>
      <c r="D575" s="239"/>
      <c r="E575" s="239"/>
      <c r="F575" s="239"/>
      <c r="G575" s="231"/>
      <c r="H575" s="231"/>
      <c r="I575" s="231"/>
      <c r="J575" s="239"/>
      <c r="K575" s="223"/>
      <c r="Q575" s="490" t="s">
        <v>1120</v>
      </c>
      <c r="R575" s="490">
        <f>'[1]AL Promotion &amp; Recruited'!Z40</f>
        <v>13</v>
      </c>
      <c r="S575" s="490">
        <f>'[1]AL Promotion &amp; Recruited'!AA40</f>
        <v>20</v>
      </c>
      <c r="T575" s="490">
        <f>'[1]AL Promotion &amp; Recruited'!AB40</f>
        <v>24</v>
      </c>
      <c r="U575" s="490">
        <f>'[1]AL Promotion &amp; Recruited'!AC40</f>
        <v>43</v>
      </c>
      <c r="V575" s="490">
        <f>'[1]AL Promotion &amp; Recruited'!AD40</f>
        <v>12</v>
      </c>
      <c r="W575" s="490">
        <f>'[1]AL Promotion &amp; Recruited'!AE40</f>
        <v>24</v>
      </c>
      <c r="X575" s="490">
        <f>'[1]AL Promotion &amp; Recruited'!AF40</f>
        <v>39</v>
      </c>
      <c r="Y575" s="490">
        <f>'[1]AL Promotion &amp; Recruited'!AG40</f>
        <v>11</v>
      </c>
      <c r="Z575" s="490">
        <f>'[1]AL Promotion &amp; Recruited'!AH40</f>
        <v>28</v>
      </c>
      <c r="AA575" s="490">
        <f>'[1]AL Promotion &amp; Recruited'!AI40</f>
        <v>55</v>
      </c>
      <c r="AB575" s="490">
        <f>'[1]AL Promotion &amp; Recruited'!AJ40</f>
        <v>17</v>
      </c>
      <c r="AC575" s="490">
        <f>'[1]AL Promotion &amp; Recruited'!AK40</f>
        <v>23</v>
      </c>
      <c r="AD575" s="669"/>
    </row>
    <row r="576" spans="2:30">
      <c r="C576" s="258" t="s">
        <v>78</v>
      </c>
      <c r="D576" s="231"/>
      <c r="E576" s="231"/>
      <c r="F576" s="231"/>
      <c r="G576" s="231"/>
      <c r="H576" s="231"/>
      <c r="I576" s="231"/>
      <c r="J576" s="239"/>
      <c r="K576" s="223"/>
      <c r="Q576" s="490" t="s">
        <v>1118</v>
      </c>
      <c r="R576" s="1129">
        <v>0.6</v>
      </c>
      <c r="S576" s="1129">
        <v>0.6</v>
      </c>
      <c r="T576" s="1129">
        <v>0.6</v>
      </c>
      <c r="U576" s="1129">
        <v>0.6</v>
      </c>
      <c r="V576" s="1129">
        <v>0.6</v>
      </c>
      <c r="W576" s="1129">
        <v>0.6</v>
      </c>
      <c r="X576" s="1129">
        <v>0.6</v>
      </c>
      <c r="Y576" s="1129">
        <v>0.6</v>
      </c>
      <c r="Z576" s="1129">
        <v>0.6</v>
      </c>
      <c r="AA576" s="1129">
        <v>0.6</v>
      </c>
      <c r="AB576" s="1129">
        <v>0.6</v>
      </c>
      <c r="AC576" s="1129">
        <v>0.6</v>
      </c>
      <c r="AD576" s="669"/>
    </row>
    <row r="577" spans="3:30">
      <c r="C577" s="325" t="s">
        <v>369</v>
      </c>
      <c r="D577" s="231"/>
      <c r="E577" s="231"/>
      <c r="F577" s="231"/>
      <c r="G577" s="231"/>
      <c r="H577" s="231"/>
      <c r="I577" s="231"/>
      <c r="J577" s="239"/>
      <c r="K577" s="1128">
        <v>0.15</v>
      </c>
      <c r="Q577" s="490" t="s">
        <v>1119</v>
      </c>
      <c r="R577" s="1129">
        <f>1-R576</f>
        <v>0.4</v>
      </c>
      <c r="S577" s="1129">
        <f t="shared" ref="S577:AC577" si="623">1-S576</f>
        <v>0.4</v>
      </c>
      <c r="T577" s="1129">
        <f t="shared" si="623"/>
        <v>0.4</v>
      </c>
      <c r="U577" s="1129">
        <f t="shared" si="623"/>
        <v>0.4</v>
      </c>
      <c r="V577" s="1129">
        <f t="shared" si="623"/>
        <v>0.4</v>
      </c>
      <c r="W577" s="1129">
        <f t="shared" si="623"/>
        <v>0.4</v>
      </c>
      <c r="X577" s="1129">
        <f t="shared" si="623"/>
        <v>0.4</v>
      </c>
      <c r="Y577" s="1129">
        <f t="shared" si="623"/>
        <v>0.4</v>
      </c>
      <c r="Z577" s="1129">
        <f t="shared" si="623"/>
        <v>0.4</v>
      </c>
      <c r="AA577" s="1129">
        <f t="shared" si="623"/>
        <v>0.4</v>
      </c>
      <c r="AB577" s="1129">
        <f t="shared" si="623"/>
        <v>0.4</v>
      </c>
      <c r="AC577" s="1129">
        <f t="shared" si="623"/>
        <v>0.4</v>
      </c>
      <c r="AD577" s="669"/>
    </row>
    <row r="578" spans="3:30">
      <c r="C578" s="325" t="s">
        <v>370</v>
      </c>
      <c r="D578" s="231"/>
      <c r="E578" s="231"/>
      <c r="F578" s="231"/>
      <c r="G578" s="231"/>
      <c r="H578" s="231"/>
      <c r="I578" s="231"/>
      <c r="J578" s="239"/>
      <c r="K578" s="1128">
        <v>7.0000000000000007E-2</v>
      </c>
      <c r="Q578" s="1285" t="s">
        <v>466</v>
      </c>
      <c r="R578" s="1285">
        <f>R575*R576*$C$572+R575*R577*$C$573</f>
        <v>80.599999999999994</v>
      </c>
      <c r="S578" s="1285">
        <f>S575*S576*$C$572+S575*S577*$C$573</f>
        <v>124</v>
      </c>
      <c r="T578" s="1285">
        <f t="shared" ref="T578:AC578" si="624">T575*T576*$C$572+T575*T577*$C$573</f>
        <v>148.80000000000001</v>
      </c>
      <c r="U578" s="1285">
        <f t="shared" si="624"/>
        <v>266.60000000000002</v>
      </c>
      <c r="V578" s="1285">
        <f t="shared" si="624"/>
        <v>74.400000000000006</v>
      </c>
      <c r="W578" s="1285">
        <f t="shared" si="624"/>
        <v>148.80000000000001</v>
      </c>
      <c r="X578" s="1285">
        <f t="shared" si="624"/>
        <v>241.8</v>
      </c>
      <c r="Y578" s="1285">
        <f t="shared" si="624"/>
        <v>68.2</v>
      </c>
      <c r="Z578" s="1285">
        <f t="shared" si="624"/>
        <v>173.60000000000002</v>
      </c>
      <c r="AA578" s="1285">
        <f t="shared" si="624"/>
        <v>341</v>
      </c>
      <c r="AB578" s="1285">
        <f t="shared" si="624"/>
        <v>105.4</v>
      </c>
      <c r="AC578" s="1285">
        <f t="shared" si="624"/>
        <v>142.60000000000002</v>
      </c>
      <c r="AD578" s="1131">
        <f>SUM(R578:AC578)</f>
        <v>1915.8000000000002</v>
      </c>
    </row>
    <row r="579" spans="3:30">
      <c r="C579" s="239"/>
      <c r="D579" s="239"/>
      <c r="E579" s="239"/>
      <c r="F579" s="239"/>
      <c r="G579" s="239"/>
      <c r="H579" s="239"/>
      <c r="I579" s="231"/>
      <c r="J579" s="239"/>
      <c r="K579" s="223"/>
      <c r="R579" s="490"/>
      <c r="S579" s="490"/>
      <c r="T579" s="490"/>
      <c r="U579" s="490"/>
      <c r="V579" s="490"/>
      <c r="W579" s="490"/>
      <c r="X579" s="490"/>
      <c r="Y579" s="490"/>
      <c r="Z579" s="490"/>
      <c r="AA579" s="490"/>
      <c r="AB579" s="490"/>
      <c r="AC579" s="490"/>
    </row>
    <row r="580" spans="3:30">
      <c r="C580" s="212" t="s">
        <v>79</v>
      </c>
      <c r="D580" s="239"/>
      <c r="E580" s="239"/>
      <c r="F580" s="239"/>
      <c r="G580" s="239"/>
      <c r="H580" s="239"/>
      <c r="I580" s="231"/>
      <c r="J580" s="239"/>
      <c r="K580" s="223"/>
      <c r="Q580" s="1125"/>
      <c r="R580" s="490"/>
      <c r="S580" s="490"/>
      <c r="T580" s="490"/>
      <c r="U580" s="490"/>
      <c r="V580" s="490"/>
      <c r="W580" s="490"/>
      <c r="X580" s="490"/>
      <c r="Y580" s="490"/>
      <c r="Z580" s="490"/>
      <c r="AA580" s="490"/>
      <c r="AB580" s="490"/>
      <c r="AC580" s="490"/>
    </row>
    <row r="581" spans="3:30">
      <c r="C581" s="280" t="s">
        <v>80</v>
      </c>
      <c r="D581" s="231"/>
      <c r="E581" s="231"/>
      <c r="F581" s="231"/>
      <c r="G581" s="231"/>
      <c r="H581" s="231"/>
      <c r="I581" s="231"/>
      <c r="J581" s="239"/>
      <c r="K581" s="223"/>
      <c r="Q581" s="771" t="s">
        <v>477</v>
      </c>
      <c r="R581" s="1281"/>
      <c r="S581" s="1281"/>
      <c r="T581" s="1281"/>
      <c r="U581" s="1281"/>
    </row>
    <row r="582" spans="3:30">
      <c r="C582" s="31" t="s">
        <v>81</v>
      </c>
      <c r="D582" s="262"/>
      <c r="E582" s="231"/>
      <c r="F582" s="231"/>
      <c r="G582" s="231"/>
      <c r="H582" s="231"/>
      <c r="I582" s="231"/>
      <c r="J582" s="239"/>
      <c r="K582" s="223"/>
      <c r="Q582" s="771" t="s">
        <v>1122</v>
      </c>
      <c r="R582" s="1281"/>
      <c r="S582" s="771" t="s">
        <v>202</v>
      </c>
      <c r="T582" s="1281"/>
      <c r="U582" s="1281"/>
    </row>
    <row r="583" spans="3:30">
      <c r="C583" s="31" t="s">
        <v>82</v>
      </c>
      <c r="D583" s="262"/>
      <c r="E583" s="231"/>
      <c r="F583" s="231"/>
      <c r="G583" s="231"/>
      <c r="H583" s="231"/>
      <c r="I583" s="231"/>
      <c r="J583" s="239"/>
      <c r="K583" s="223"/>
      <c r="Q583" s="1281"/>
      <c r="R583" s="1281"/>
      <c r="S583" s="771" t="s">
        <v>1123</v>
      </c>
      <c r="T583" s="1281" t="s">
        <v>663</v>
      </c>
      <c r="U583" s="1281" t="s">
        <v>1124</v>
      </c>
    </row>
    <row r="584" spans="3:30">
      <c r="C584" s="31" t="s">
        <v>83</v>
      </c>
      <c r="D584" s="262"/>
      <c r="E584" s="231"/>
      <c r="F584" s="231"/>
      <c r="G584" s="231"/>
      <c r="H584" s="231"/>
      <c r="I584" s="231"/>
      <c r="J584" s="239"/>
      <c r="K584" s="223"/>
      <c r="Q584" s="1281"/>
      <c r="R584" s="1281"/>
      <c r="S584" s="1281">
        <v>0</v>
      </c>
      <c r="T584" s="1282">
        <v>8.8889757067137829</v>
      </c>
      <c r="U584" s="1283">
        <f>1-SUM(U585:U587)</f>
        <v>0.80899860917941591</v>
      </c>
    </row>
    <row r="585" spans="3:30">
      <c r="C585" s="326"/>
      <c r="D585" s="262"/>
      <c r="E585" s="231"/>
      <c r="F585" s="231"/>
      <c r="G585" s="231"/>
      <c r="H585" s="231"/>
      <c r="I585" s="231"/>
      <c r="J585" s="239"/>
      <c r="K585" s="223"/>
      <c r="Q585" s="1281"/>
      <c r="R585" s="1281"/>
      <c r="S585" s="1281">
        <v>50</v>
      </c>
      <c r="T585" s="1282">
        <v>82.683396993810803</v>
      </c>
      <c r="U585" s="1283">
        <v>0.12100139082058414</v>
      </c>
    </row>
    <row r="586" spans="3:30">
      <c r="C586" s="258" t="s">
        <v>84</v>
      </c>
      <c r="D586" s="231"/>
      <c r="E586" s="231"/>
      <c r="F586" s="231"/>
      <c r="G586" s="231"/>
      <c r="H586" s="231"/>
      <c r="I586" s="231"/>
      <c r="J586" s="239"/>
      <c r="K586" s="223"/>
      <c r="Q586" s="1281"/>
      <c r="R586" s="1281"/>
      <c r="S586" s="1281">
        <v>150</v>
      </c>
      <c r="T586" s="1282">
        <v>204.38628310502281</v>
      </c>
      <c r="U586" s="1283">
        <v>0.05</v>
      </c>
    </row>
    <row r="587" spans="3:30">
      <c r="C587" s="239"/>
      <c r="D587" s="239"/>
      <c r="E587" s="239"/>
      <c r="F587" s="231"/>
      <c r="G587" s="231"/>
      <c r="H587" s="231"/>
      <c r="I587" s="231"/>
      <c r="J587" s="239"/>
      <c r="K587" s="223"/>
      <c r="Q587" s="1281"/>
      <c r="R587" s="1281"/>
      <c r="S587" s="1281">
        <v>300</v>
      </c>
      <c r="T587" s="1282">
        <v>481.56131506849329</v>
      </c>
      <c r="U587" s="1283">
        <v>0.02</v>
      </c>
    </row>
    <row r="588" spans="3:30">
      <c r="C588" s="327" t="s">
        <v>85</v>
      </c>
      <c r="D588" s="328" t="s">
        <v>86</v>
      </c>
      <c r="E588" s="239"/>
      <c r="F588" s="231"/>
      <c r="G588" s="329"/>
      <c r="H588" s="231"/>
      <c r="I588" s="231"/>
      <c r="J588" s="239"/>
      <c r="K588" s="223"/>
      <c r="P588" s="1284" t="s">
        <v>1217</v>
      </c>
    </row>
    <row r="589" spans="3:30">
      <c r="C589" s="330" t="s">
        <v>87</v>
      </c>
      <c r="D589" s="331">
        <v>3.5000000000000003E-2</v>
      </c>
      <c r="E589" s="239"/>
      <c r="F589" s="231"/>
      <c r="G589" s="231"/>
      <c r="H589" s="231"/>
      <c r="I589" s="231"/>
      <c r="J589" s="239"/>
      <c r="K589" s="223"/>
      <c r="Q589" s="775" t="s">
        <v>1125</v>
      </c>
      <c r="R589" s="775" t="s">
        <v>479</v>
      </c>
      <c r="S589" s="775" t="s">
        <v>480</v>
      </c>
      <c r="T589" s="775" t="s">
        <v>481</v>
      </c>
      <c r="U589" s="775" t="s">
        <v>482</v>
      </c>
      <c r="V589" s="775" t="s">
        <v>483</v>
      </c>
      <c r="W589" s="775" t="s">
        <v>484</v>
      </c>
      <c r="X589" s="775" t="s">
        <v>485</v>
      </c>
      <c r="Y589" s="775" t="s">
        <v>486</v>
      </c>
      <c r="Z589" s="775" t="s">
        <v>487</v>
      </c>
      <c r="AA589" s="775" t="s">
        <v>488</v>
      </c>
      <c r="AB589" s="775" t="s">
        <v>489</v>
      </c>
      <c r="AC589" s="775" t="s">
        <v>490</v>
      </c>
    </row>
    <row r="590" spans="3:30">
      <c r="C590" s="330" t="s">
        <v>88</v>
      </c>
      <c r="D590" s="332">
        <v>2.5000000000000001E-2</v>
      </c>
      <c r="E590" s="239"/>
      <c r="F590" s="231"/>
      <c r="G590" s="231"/>
      <c r="H590" s="231"/>
      <c r="I590" s="231"/>
      <c r="J590" s="239"/>
      <c r="K590" s="223"/>
      <c r="Q590">
        <v>0</v>
      </c>
      <c r="R590" s="442">
        <f>R$575*$U584*$T584</f>
        <v>93.485196788893859</v>
      </c>
      <c r="S590" s="442">
        <f>S$575*$U584*$T584</f>
        <v>143.82337967522133</v>
      </c>
      <c r="T590" s="442">
        <f t="shared" ref="T590:AC590" si="625">T$575*$U584*$T584</f>
        <v>172.58805561026557</v>
      </c>
      <c r="U590" s="442">
        <f t="shared" si="625"/>
        <v>309.22026630172587</v>
      </c>
      <c r="V590" s="442">
        <f t="shared" si="625"/>
        <v>86.294027805132785</v>
      </c>
      <c r="W590" s="442">
        <f t="shared" si="625"/>
        <v>172.58805561026557</v>
      </c>
      <c r="X590" s="442">
        <f t="shared" si="625"/>
        <v>280.45559036668158</v>
      </c>
      <c r="Y590" s="442">
        <f t="shared" si="625"/>
        <v>79.102858821371726</v>
      </c>
      <c r="Z590" s="442">
        <f t="shared" si="625"/>
        <v>201.35273154530984</v>
      </c>
      <c r="AA590" s="442">
        <f t="shared" si="625"/>
        <v>395.51429410685864</v>
      </c>
      <c r="AB590" s="442">
        <f t="shared" si="625"/>
        <v>122.24987272393811</v>
      </c>
      <c r="AC590" s="442">
        <f t="shared" si="625"/>
        <v>165.39688662650451</v>
      </c>
    </row>
    <row r="591" spans="3:30">
      <c r="C591" s="330" t="s">
        <v>89</v>
      </c>
      <c r="D591" s="331">
        <v>0.01</v>
      </c>
      <c r="E591" s="239"/>
      <c r="F591" s="231"/>
      <c r="G591" s="231"/>
      <c r="H591" s="231"/>
      <c r="I591" s="231"/>
      <c r="J591" s="239"/>
      <c r="K591" s="223"/>
      <c r="Q591">
        <v>50</v>
      </c>
      <c r="R591" s="442">
        <f t="shared" ref="R591:AC592" si="626">R$575*$U585*$T585</f>
        <v>130.06247844228096</v>
      </c>
      <c r="S591" s="442">
        <f t="shared" si="626"/>
        <v>200.09612068043225</v>
      </c>
      <c r="T591" s="442">
        <f t="shared" si="626"/>
        <v>240.1153448165187</v>
      </c>
      <c r="U591" s="442">
        <f t="shared" si="626"/>
        <v>430.20665946292934</v>
      </c>
      <c r="V591" s="442">
        <f t="shared" si="626"/>
        <v>120.05767240825935</v>
      </c>
      <c r="W591" s="442">
        <f t="shared" si="626"/>
        <v>240.1153448165187</v>
      </c>
      <c r="X591" s="442">
        <f t="shared" si="626"/>
        <v>390.18743532684289</v>
      </c>
      <c r="Y591" s="442">
        <f t="shared" si="626"/>
        <v>110.05286637423775</v>
      </c>
      <c r="Z591" s="442">
        <f t="shared" si="626"/>
        <v>280.13456895260515</v>
      </c>
      <c r="AA591" s="442">
        <f t="shared" si="626"/>
        <v>550.26433187118869</v>
      </c>
      <c r="AB591" s="442">
        <f t="shared" si="626"/>
        <v>170.08170257836741</v>
      </c>
      <c r="AC591" s="442">
        <f t="shared" si="626"/>
        <v>230.11053878249712</v>
      </c>
    </row>
    <row r="592" spans="3:30">
      <c r="C592" s="326"/>
      <c r="D592" s="262"/>
      <c r="E592" s="231"/>
      <c r="F592" s="231"/>
      <c r="G592" s="231"/>
      <c r="H592" s="231"/>
      <c r="I592" s="231"/>
      <c r="J592" s="239"/>
      <c r="K592" s="223"/>
      <c r="Q592">
        <v>150</v>
      </c>
      <c r="R592" s="442">
        <f t="shared" si="626"/>
        <v>132.85108401826483</v>
      </c>
      <c r="S592" s="442">
        <f t="shared" si="626"/>
        <v>204.38628310502281</v>
      </c>
      <c r="T592" s="442">
        <f t="shared" si="626"/>
        <v>245.2635397260274</v>
      </c>
      <c r="U592" s="442">
        <f t="shared" si="626"/>
        <v>439.43050867579905</v>
      </c>
      <c r="V592" s="442">
        <f t="shared" si="626"/>
        <v>122.6317698630137</v>
      </c>
      <c r="W592" s="442">
        <f t="shared" si="626"/>
        <v>245.2635397260274</v>
      </c>
      <c r="X592" s="442">
        <f t="shared" si="626"/>
        <v>398.55325205479454</v>
      </c>
      <c r="Y592" s="442">
        <f t="shared" si="626"/>
        <v>112.41245570776256</v>
      </c>
      <c r="Z592" s="442">
        <f t="shared" si="626"/>
        <v>286.14079634703194</v>
      </c>
      <c r="AA592" s="442">
        <f t="shared" si="626"/>
        <v>562.06227853881273</v>
      </c>
      <c r="AB592" s="442">
        <f t="shared" si="626"/>
        <v>173.72834063926942</v>
      </c>
      <c r="AC592" s="442">
        <f t="shared" si="626"/>
        <v>235.04422557077626</v>
      </c>
    </row>
    <row r="593" spans="3:30">
      <c r="C593" s="31" t="s">
        <v>90</v>
      </c>
      <c r="D593" s="262"/>
      <c r="E593" s="231"/>
      <c r="F593" s="231"/>
      <c r="G593" s="231"/>
      <c r="H593" s="231"/>
      <c r="I593" s="231"/>
      <c r="J593" s="239"/>
      <c r="K593" s="223"/>
      <c r="Q593">
        <v>300</v>
      </c>
      <c r="R593" s="442">
        <f>R$575*$U587*$T587</f>
        <v>125.20594191780826</v>
      </c>
      <c r="S593" s="442">
        <f t="shared" ref="S593:AC593" si="627">S$575*$U587*$T587</f>
        <v>192.62452602739734</v>
      </c>
      <c r="T593" s="442">
        <f t="shared" si="627"/>
        <v>231.14943123287676</v>
      </c>
      <c r="U593" s="442">
        <f t="shared" si="627"/>
        <v>414.14273095890422</v>
      </c>
      <c r="V593" s="442">
        <f t="shared" si="627"/>
        <v>115.57471561643838</v>
      </c>
      <c r="W593" s="442">
        <f t="shared" si="627"/>
        <v>231.14943123287676</v>
      </c>
      <c r="X593" s="442">
        <f t="shared" si="627"/>
        <v>375.61782575342477</v>
      </c>
      <c r="Y593" s="442">
        <f t="shared" si="627"/>
        <v>105.94348931506852</v>
      </c>
      <c r="Z593" s="442">
        <f t="shared" si="627"/>
        <v>269.67433643835625</v>
      </c>
      <c r="AA593" s="442">
        <f t="shared" si="627"/>
        <v>529.71744657534271</v>
      </c>
      <c r="AB593" s="442">
        <f t="shared" si="627"/>
        <v>163.73084712328773</v>
      </c>
      <c r="AC593" s="442">
        <f t="shared" si="627"/>
        <v>221.51820493150692</v>
      </c>
    </row>
    <row r="594" spans="3:30">
      <c r="C594" s="280" t="s">
        <v>91</v>
      </c>
      <c r="D594" s="239"/>
      <c r="E594" s="239"/>
      <c r="F594" s="231"/>
      <c r="G594" s="231"/>
      <c r="H594" s="231"/>
      <c r="I594" s="231"/>
      <c r="J594" s="239"/>
      <c r="K594" s="223"/>
      <c r="Q594" s="1125" t="s">
        <v>254</v>
      </c>
      <c r="R594" s="770">
        <f>SUM(R590:R593)</f>
        <v>481.60470116724792</v>
      </c>
      <c r="S594" s="770">
        <f t="shared" ref="S594:AC594" si="628">SUM(S590:S593)</f>
        <v>740.9303094880737</v>
      </c>
      <c r="T594" s="770">
        <f t="shared" si="628"/>
        <v>889.11637138568835</v>
      </c>
      <c r="U594" s="770">
        <f t="shared" si="628"/>
        <v>1593.0001653993584</v>
      </c>
      <c r="V594" s="770">
        <f t="shared" si="628"/>
        <v>444.55818569284418</v>
      </c>
      <c r="W594" s="770">
        <f t="shared" si="628"/>
        <v>889.11637138568835</v>
      </c>
      <c r="X594" s="770">
        <f t="shared" si="628"/>
        <v>1444.8141035017438</v>
      </c>
      <c r="Y594" s="770">
        <f t="shared" si="628"/>
        <v>407.51167021844054</v>
      </c>
      <c r="Z594" s="770">
        <f t="shared" si="628"/>
        <v>1037.3024332833031</v>
      </c>
      <c r="AA594" s="770">
        <f t="shared" si="628"/>
        <v>2037.5583510922029</v>
      </c>
      <c r="AB594" s="770">
        <f t="shared" si="628"/>
        <v>629.79076306486263</v>
      </c>
      <c r="AC594" s="770">
        <f t="shared" si="628"/>
        <v>852.06985591128478</v>
      </c>
    </row>
    <row r="595" spans="3:30">
      <c r="C595" s="333" t="s">
        <v>92</v>
      </c>
      <c r="D595" s="239"/>
      <c r="E595" s="239"/>
      <c r="F595" s="231"/>
      <c r="G595" s="231"/>
      <c r="H595" s="231"/>
      <c r="I595" s="231"/>
      <c r="J595" s="239"/>
      <c r="K595" s="223"/>
      <c r="R595" s="722"/>
      <c r="S595" s="722"/>
      <c r="T595" s="722"/>
      <c r="U595" s="722"/>
      <c r="V595" s="722"/>
      <c r="W595" s="722"/>
      <c r="X595" s="722"/>
      <c r="Y595" s="722"/>
      <c r="Z595" s="722"/>
      <c r="AA595" s="722"/>
      <c r="AB595" s="722"/>
      <c r="AC595" s="722"/>
    </row>
    <row r="596" spans="3:30">
      <c r="Q596" s="1285" t="s">
        <v>1126</v>
      </c>
      <c r="R596" s="1287">
        <f t="shared" ref="R596:AC596" si="629">R594*$R$22*$K$577</f>
        <v>22.875961805596422</v>
      </c>
      <c r="S596" s="1287">
        <f t="shared" si="629"/>
        <v>35.193787393225264</v>
      </c>
      <c r="T596" s="1287">
        <f t="shared" si="629"/>
        <v>42.23254487187031</v>
      </c>
      <c r="U596" s="1287">
        <f t="shared" si="629"/>
        <v>75.666642895434308</v>
      </c>
      <c r="V596" s="1287">
        <f t="shared" si="629"/>
        <v>21.116272435935155</v>
      </c>
      <c r="W596" s="1287">
        <f t="shared" si="629"/>
        <v>42.23254487187031</v>
      </c>
      <c r="X596" s="1287">
        <f t="shared" si="629"/>
        <v>68.627885416789255</v>
      </c>
      <c r="Y596" s="1287">
        <f t="shared" si="629"/>
        <v>19.356583066273895</v>
      </c>
      <c r="Z596" s="1287">
        <f t="shared" si="629"/>
        <v>49.271302350515356</v>
      </c>
      <c r="AA596" s="1287">
        <f t="shared" si="629"/>
        <v>96.78291533136948</v>
      </c>
      <c r="AB596" s="1287">
        <f t="shared" si="629"/>
        <v>29.914719284241471</v>
      </c>
      <c r="AC596" s="1287">
        <f t="shared" si="629"/>
        <v>40.47285550220905</v>
      </c>
      <c r="AD596" s="872">
        <f>SUM(R596:AC596)</f>
        <v>543.74401522533026</v>
      </c>
    </row>
    <row r="597" spans="3:30">
      <c r="P597" s="1284" t="s">
        <v>1218</v>
      </c>
    </row>
    <row r="598" spans="3:30">
      <c r="Q598" s="1150" t="s">
        <v>1127</v>
      </c>
    </row>
    <row r="599" spans="3:30">
      <c r="Q599" s="490" t="s">
        <v>1212</v>
      </c>
      <c r="R599" s="1280">
        <v>495</v>
      </c>
      <c r="S599">
        <v>495</v>
      </c>
      <c r="T599">
        <v>485</v>
      </c>
      <c r="U599">
        <v>447</v>
      </c>
      <c r="V599">
        <v>390</v>
      </c>
      <c r="W599">
        <v>302</v>
      </c>
      <c r="X599">
        <v>257</v>
      </c>
      <c r="Y599">
        <v>200</v>
      </c>
      <c r="Z599">
        <v>99</v>
      </c>
    </row>
    <row r="600" spans="3:30">
      <c r="Q600" s="490" t="s">
        <v>1213</v>
      </c>
      <c r="R600">
        <v>630</v>
      </c>
      <c r="S600">
        <v>629</v>
      </c>
      <c r="T600">
        <v>623</v>
      </c>
      <c r="U600">
        <v>515</v>
      </c>
      <c r="V600">
        <v>403</v>
      </c>
      <c r="W600">
        <v>340</v>
      </c>
      <c r="X600">
        <v>283</v>
      </c>
      <c r="Y600">
        <v>185</v>
      </c>
      <c r="Z600">
        <v>101</v>
      </c>
      <c r="AA600">
        <v>53</v>
      </c>
      <c r="AB600">
        <v>26</v>
      </c>
      <c r="AC600">
        <v>8</v>
      </c>
    </row>
    <row r="602" spans="3:30">
      <c r="Q602" s="1149" t="s">
        <v>1214</v>
      </c>
    </row>
    <row r="603" spans="3:30">
      <c r="Q603" s="775" t="s">
        <v>1125</v>
      </c>
      <c r="R603" s="775" t="s">
        <v>479</v>
      </c>
      <c r="S603" s="775" t="s">
        <v>480</v>
      </c>
      <c r="T603" s="775" t="s">
        <v>481</v>
      </c>
      <c r="U603" s="775" t="s">
        <v>482</v>
      </c>
      <c r="V603" s="775" t="s">
        <v>483</v>
      </c>
      <c r="W603" s="775" t="s">
        <v>484</v>
      </c>
      <c r="X603" s="775" t="s">
        <v>485</v>
      </c>
      <c r="Y603" s="775" t="s">
        <v>486</v>
      </c>
      <c r="Z603" s="775" t="s">
        <v>487</v>
      </c>
      <c r="AA603" s="775" t="s">
        <v>488</v>
      </c>
      <c r="AB603" s="775" t="s">
        <v>489</v>
      </c>
      <c r="AC603" s="775" t="s">
        <v>490</v>
      </c>
    </row>
    <row r="604" spans="3:30">
      <c r="Q604">
        <v>0</v>
      </c>
      <c r="R604" s="442">
        <f>R$599*$U584*$T584</f>
        <v>3559.6286469617276</v>
      </c>
      <c r="S604" s="442">
        <f t="shared" ref="S604:AC604" si="630">S$599*$U584*$T584</f>
        <v>3559.6286469617276</v>
      </c>
      <c r="T604" s="442">
        <f t="shared" si="630"/>
        <v>3487.716957124117</v>
      </c>
      <c r="U604" s="442">
        <f t="shared" si="630"/>
        <v>3214.4525357411962</v>
      </c>
      <c r="V604" s="442">
        <f t="shared" si="630"/>
        <v>2804.5559036668155</v>
      </c>
      <c r="W604" s="442">
        <f t="shared" si="630"/>
        <v>2171.7330330958421</v>
      </c>
      <c r="X604" s="442">
        <f t="shared" si="630"/>
        <v>1848.130428826594</v>
      </c>
      <c r="Y604" s="442">
        <f t="shared" si="630"/>
        <v>1438.2337967522133</v>
      </c>
      <c r="Z604" s="442">
        <f t="shared" si="630"/>
        <v>711.92572939234549</v>
      </c>
      <c r="AA604" s="442">
        <f t="shared" si="630"/>
        <v>0</v>
      </c>
      <c r="AB604" s="442">
        <f t="shared" si="630"/>
        <v>0</v>
      </c>
      <c r="AC604" s="442">
        <f t="shared" si="630"/>
        <v>0</v>
      </c>
    </row>
    <row r="605" spans="3:30">
      <c r="Q605">
        <v>50</v>
      </c>
      <c r="R605" s="442">
        <f>R$599*$U585*$T585</f>
        <v>4952.3789868406984</v>
      </c>
      <c r="S605" s="442">
        <f t="shared" ref="S605:AC605" si="631">S$599*$U585*$T585</f>
        <v>4952.3789868406984</v>
      </c>
      <c r="T605" s="442">
        <f t="shared" si="631"/>
        <v>4852.3309265004827</v>
      </c>
      <c r="U605" s="442">
        <f t="shared" si="631"/>
        <v>4472.148297207661</v>
      </c>
      <c r="V605" s="442">
        <f t="shared" si="631"/>
        <v>3901.8743532684293</v>
      </c>
      <c r="W605" s="442">
        <f t="shared" si="631"/>
        <v>3021.451422274527</v>
      </c>
      <c r="X605" s="442">
        <f t="shared" si="631"/>
        <v>2571.2351507435546</v>
      </c>
      <c r="Y605" s="442">
        <f t="shared" si="631"/>
        <v>2000.9612068043225</v>
      </c>
      <c r="Z605" s="442">
        <f t="shared" si="631"/>
        <v>990.47579736813964</v>
      </c>
      <c r="AA605" s="442">
        <f t="shared" si="631"/>
        <v>0</v>
      </c>
      <c r="AB605" s="442">
        <f t="shared" si="631"/>
        <v>0</v>
      </c>
      <c r="AC605" s="442">
        <f t="shared" si="631"/>
        <v>0</v>
      </c>
    </row>
    <row r="606" spans="3:30">
      <c r="Q606">
        <v>150</v>
      </c>
      <c r="R606" s="442">
        <f>R$599*$U586*$T586</f>
        <v>5058.5605068493151</v>
      </c>
      <c r="S606" s="442">
        <f t="shared" ref="S606:AC606" si="632">S$599*$U586*$T586</f>
        <v>5058.5605068493151</v>
      </c>
      <c r="T606" s="442">
        <f t="shared" si="632"/>
        <v>4956.3673652968027</v>
      </c>
      <c r="U606" s="442">
        <f t="shared" si="632"/>
        <v>4568.0334273972603</v>
      </c>
      <c r="V606" s="442">
        <f t="shared" si="632"/>
        <v>3985.5325205479448</v>
      </c>
      <c r="W606" s="442">
        <f t="shared" si="632"/>
        <v>3086.2328748858449</v>
      </c>
      <c r="X606" s="442">
        <f t="shared" si="632"/>
        <v>2626.3637378995436</v>
      </c>
      <c r="Y606" s="442">
        <f t="shared" si="632"/>
        <v>2043.8628310502281</v>
      </c>
      <c r="Z606" s="442">
        <f t="shared" si="632"/>
        <v>1011.7121013698629</v>
      </c>
      <c r="AA606" s="442">
        <f t="shared" si="632"/>
        <v>0</v>
      </c>
      <c r="AB606" s="442">
        <f t="shared" si="632"/>
        <v>0</v>
      </c>
      <c r="AC606" s="442">
        <f t="shared" si="632"/>
        <v>0</v>
      </c>
    </row>
    <row r="607" spans="3:30">
      <c r="Q607">
        <v>300</v>
      </c>
      <c r="R607" s="442">
        <f>R$599*$U587*$T587</f>
        <v>4767.457019178084</v>
      </c>
      <c r="S607" s="442">
        <f t="shared" ref="S607:AC607" si="633">S$599*$U587*$T587</f>
        <v>4767.457019178084</v>
      </c>
      <c r="T607" s="442">
        <f t="shared" si="633"/>
        <v>4671.1447561643854</v>
      </c>
      <c r="U607" s="442">
        <f t="shared" si="633"/>
        <v>4305.1581567123294</v>
      </c>
      <c r="V607" s="442">
        <f t="shared" si="633"/>
        <v>3756.1782575342477</v>
      </c>
      <c r="W607" s="442">
        <f t="shared" si="633"/>
        <v>2908.6303430136995</v>
      </c>
      <c r="X607" s="442">
        <f t="shared" si="633"/>
        <v>2475.2251594520553</v>
      </c>
      <c r="Y607" s="442">
        <f t="shared" si="633"/>
        <v>1926.2452602739731</v>
      </c>
      <c r="Z607" s="442">
        <f t="shared" si="633"/>
        <v>953.49140383561667</v>
      </c>
      <c r="AA607" s="442">
        <f t="shared" si="633"/>
        <v>0</v>
      </c>
      <c r="AB607" s="442">
        <f t="shared" si="633"/>
        <v>0</v>
      </c>
      <c r="AC607" s="442">
        <f t="shared" si="633"/>
        <v>0</v>
      </c>
    </row>
    <row r="608" spans="3:30">
      <c r="Q608" s="1125" t="s">
        <v>254</v>
      </c>
      <c r="R608" s="770">
        <f>SUM(R604:R607)</f>
        <v>18338.025159829827</v>
      </c>
      <c r="S608" s="770">
        <f t="shared" ref="S608" si="634">SUM(S604:S607)</f>
        <v>18338.025159829827</v>
      </c>
      <c r="T608" s="770">
        <f t="shared" ref="T608" si="635">SUM(T604:T607)</f>
        <v>17967.56000508579</v>
      </c>
      <c r="U608" s="770">
        <f t="shared" ref="U608" si="636">SUM(U604:U607)</f>
        <v>16559.792417058448</v>
      </c>
      <c r="V608" s="770">
        <f t="shared" ref="V608" si="637">SUM(V604:V607)</f>
        <v>14448.141035017437</v>
      </c>
      <c r="W608" s="770">
        <f t="shared" ref="W608" si="638">SUM(W604:W607)</f>
        <v>11188.047673269914</v>
      </c>
      <c r="X608" s="770">
        <f t="shared" ref="X608" si="639">SUM(X604:X607)</f>
        <v>9520.9544769217482</v>
      </c>
      <c r="Y608" s="770">
        <f t="shared" ref="Y608" si="640">SUM(Y604:Y607)</f>
        <v>7409.3030948807373</v>
      </c>
      <c r="Z608" s="770">
        <f t="shared" ref="Z608" si="641">SUM(Z604:Z607)</f>
        <v>3667.6050319659644</v>
      </c>
      <c r="AA608" s="770">
        <f t="shared" ref="AA608" si="642">SUM(AA604:AA607)</f>
        <v>0</v>
      </c>
      <c r="AB608" s="770">
        <f t="shared" ref="AB608" si="643">SUM(AB604:AB607)</f>
        <v>0</v>
      </c>
      <c r="AC608" s="770">
        <f t="shared" ref="AC608" si="644">SUM(AC604:AC607)</f>
        <v>0</v>
      </c>
    </row>
    <row r="609" spans="15:30">
      <c r="R609" s="722"/>
      <c r="S609" s="722"/>
      <c r="T609" s="722"/>
      <c r="U609" s="722"/>
      <c r="V609" s="722"/>
      <c r="W609" s="722"/>
      <c r="X609" s="722"/>
      <c r="Y609" s="722"/>
      <c r="Z609" s="722"/>
    </row>
    <row r="610" spans="15:30">
      <c r="Q610" s="1149" t="s">
        <v>1215</v>
      </c>
      <c r="R610" s="722"/>
      <c r="S610" s="722"/>
      <c r="T610" s="722"/>
      <c r="U610" s="722"/>
      <c r="V610" s="722"/>
      <c r="W610" s="722"/>
      <c r="X610" s="722"/>
      <c r="Y610" s="722"/>
      <c r="Z610" s="722"/>
    </row>
    <row r="611" spans="15:30">
      <c r="Q611" s="775" t="s">
        <v>1125</v>
      </c>
      <c r="R611" s="775" t="s">
        <v>479</v>
      </c>
      <c r="S611" s="775" t="s">
        <v>480</v>
      </c>
      <c r="T611" s="775" t="s">
        <v>481</v>
      </c>
      <c r="U611" s="775" t="s">
        <v>482</v>
      </c>
      <c r="V611" s="775" t="s">
        <v>483</v>
      </c>
      <c r="W611" s="775" t="s">
        <v>484</v>
      </c>
      <c r="X611" s="775" t="s">
        <v>485</v>
      </c>
      <c r="Y611" s="775" t="s">
        <v>486</v>
      </c>
      <c r="Z611" s="775" t="s">
        <v>487</v>
      </c>
      <c r="AA611" s="775" t="s">
        <v>488</v>
      </c>
      <c r="AB611" s="775" t="s">
        <v>489</v>
      </c>
      <c r="AC611" s="775" t="s">
        <v>490</v>
      </c>
    </row>
    <row r="612" spans="15:30">
      <c r="Q612">
        <v>0</v>
      </c>
      <c r="R612" s="442">
        <f>R$600*$T584*$U584</f>
        <v>4530.4364597694721</v>
      </c>
      <c r="S612" s="442">
        <f t="shared" ref="S612:AC612" si="645">S$600*$T584*$U584</f>
        <v>4523.2452907857105</v>
      </c>
      <c r="T612" s="442">
        <f t="shared" si="645"/>
        <v>4480.0982768831436</v>
      </c>
      <c r="U612" s="442">
        <f t="shared" si="645"/>
        <v>3703.4520266369491</v>
      </c>
      <c r="V612" s="442">
        <f t="shared" si="645"/>
        <v>2898.0411004557095</v>
      </c>
      <c r="W612" s="442">
        <f t="shared" si="645"/>
        <v>2444.9974544787624</v>
      </c>
      <c r="X612" s="442">
        <f t="shared" si="645"/>
        <v>2035.1008224043815</v>
      </c>
      <c r="Y612" s="442">
        <f t="shared" si="645"/>
        <v>1330.3662619957972</v>
      </c>
      <c r="Z612" s="442">
        <f t="shared" si="645"/>
        <v>726.30806735986766</v>
      </c>
      <c r="AA612" s="442">
        <f t="shared" si="645"/>
        <v>381.13195613933647</v>
      </c>
      <c r="AB612" s="442">
        <f t="shared" si="645"/>
        <v>186.97039357778772</v>
      </c>
      <c r="AC612" s="442">
        <f t="shared" si="645"/>
        <v>57.529351870088526</v>
      </c>
    </row>
    <row r="613" spans="15:30">
      <c r="Q613">
        <v>50</v>
      </c>
      <c r="R613" s="442">
        <f t="shared" ref="R613:AC615" si="646">R$600*$T585*$U585</f>
        <v>6303.0278014336163</v>
      </c>
      <c r="S613" s="442">
        <f t="shared" si="646"/>
        <v>6293.022995399594</v>
      </c>
      <c r="T613" s="442">
        <f t="shared" si="646"/>
        <v>6232.9941591954648</v>
      </c>
      <c r="U613" s="442">
        <f t="shared" si="646"/>
        <v>5152.4751075211307</v>
      </c>
      <c r="V613" s="442">
        <f t="shared" si="646"/>
        <v>4031.9368317107101</v>
      </c>
      <c r="W613" s="442">
        <f t="shared" si="646"/>
        <v>3401.6340515673483</v>
      </c>
      <c r="X613" s="442">
        <f t="shared" si="646"/>
        <v>2831.3601076281161</v>
      </c>
      <c r="Y613" s="442">
        <f t="shared" si="646"/>
        <v>1850.8891162939983</v>
      </c>
      <c r="Z613" s="442">
        <f t="shared" si="646"/>
        <v>1010.4854094361829</v>
      </c>
      <c r="AA613" s="442">
        <f t="shared" si="646"/>
        <v>530.25471980314546</v>
      </c>
      <c r="AB613" s="442">
        <f t="shared" si="646"/>
        <v>260.12495688456193</v>
      </c>
      <c r="AC613" s="442">
        <f t="shared" si="646"/>
        <v>80.0384482721729</v>
      </c>
    </row>
    <row r="614" spans="15:30">
      <c r="Q614">
        <v>150</v>
      </c>
      <c r="R614" s="442">
        <f t="shared" si="646"/>
        <v>6438.1679178082195</v>
      </c>
      <c r="S614" s="442">
        <f t="shared" si="646"/>
        <v>6427.9486036529679</v>
      </c>
      <c r="T614" s="442">
        <f t="shared" si="646"/>
        <v>6366.6327187214611</v>
      </c>
      <c r="U614" s="442">
        <f t="shared" si="646"/>
        <v>5262.9467899543379</v>
      </c>
      <c r="V614" s="442">
        <f t="shared" si="646"/>
        <v>4118.3836045662092</v>
      </c>
      <c r="W614" s="442">
        <f t="shared" si="646"/>
        <v>3474.5668127853878</v>
      </c>
      <c r="X614" s="442">
        <f t="shared" si="646"/>
        <v>2892.0659059360732</v>
      </c>
      <c r="Y614" s="442">
        <f t="shared" si="646"/>
        <v>1890.573118721461</v>
      </c>
      <c r="Z614" s="442">
        <f t="shared" si="646"/>
        <v>1032.1507296803652</v>
      </c>
      <c r="AA614" s="442">
        <f t="shared" si="646"/>
        <v>541.62365022831045</v>
      </c>
      <c r="AB614" s="442">
        <f t="shared" si="646"/>
        <v>265.70216803652966</v>
      </c>
      <c r="AC614" s="442">
        <f t="shared" si="646"/>
        <v>81.754513242009125</v>
      </c>
    </row>
    <row r="615" spans="15:30">
      <c r="Q615">
        <v>300</v>
      </c>
      <c r="R615" s="442">
        <f t="shared" si="646"/>
        <v>6067.6725698630153</v>
      </c>
      <c r="S615" s="442">
        <f t="shared" si="646"/>
        <v>6058.0413435616465</v>
      </c>
      <c r="T615" s="442">
        <f t="shared" si="646"/>
        <v>6000.2539857534266</v>
      </c>
      <c r="U615" s="442">
        <f t="shared" si="646"/>
        <v>4960.0815452054803</v>
      </c>
      <c r="V615" s="442">
        <f t="shared" si="646"/>
        <v>3881.3841994520558</v>
      </c>
      <c r="W615" s="442">
        <f t="shared" si="646"/>
        <v>3274.6169424657542</v>
      </c>
      <c r="X615" s="442">
        <f t="shared" si="646"/>
        <v>2725.637043287672</v>
      </c>
      <c r="Y615" s="442">
        <f t="shared" si="646"/>
        <v>1781.7768657534252</v>
      </c>
      <c r="Z615" s="442">
        <f t="shared" si="646"/>
        <v>972.75385643835648</v>
      </c>
      <c r="AA615" s="442">
        <f t="shared" si="646"/>
        <v>510.45499397260289</v>
      </c>
      <c r="AB615" s="442">
        <f t="shared" si="646"/>
        <v>250.41188383561649</v>
      </c>
      <c r="AC615" s="442">
        <f t="shared" si="646"/>
        <v>77.049810410958926</v>
      </c>
    </row>
    <row r="616" spans="15:30">
      <c r="Q616" s="1125" t="s">
        <v>254</v>
      </c>
      <c r="R616" s="770">
        <f>SUM(R612:R615)</f>
        <v>23339.304748874321</v>
      </c>
      <c r="S616" s="770">
        <f t="shared" ref="S616" si="647">SUM(S612:S615)</f>
        <v>23302.25823339992</v>
      </c>
      <c r="T616" s="770">
        <f t="shared" ref="T616" si="648">SUM(T612:T615)</f>
        <v>23079.9791405535</v>
      </c>
      <c r="U616" s="770">
        <f t="shared" ref="U616" si="649">SUM(U612:U615)</f>
        <v>19078.955469317898</v>
      </c>
      <c r="V616" s="770">
        <f t="shared" ref="V616" si="650">SUM(V612:V615)</f>
        <v>14929.745736184683</v>
      </c>
      <c r="W616" s="770">
        <f t="shared" ref="W616" si="651">SUM(W612:W615)</f>
        <v>12595.815261297254</v>
      </c>
      <c r="X616" s="770">
        <f t="shared" ref="X616" si="652">SUM(X612:X615)</f>
        <v>10484.163879256243</v>
      </c>
      <c r="Y616" s="770">
        <f t="shared" ref="Y616" si="653">SUM(Y612:Y615)</f>
        <v>6853.6053627646816</v>
      </c>
      <c r="Z616" s="770">
        <f t="shared" ref="Z616" si="654">SUM(Z612:Z615)</f>
        <v>3741.698062914772</v>
      </c>
      <c r="AA616" s="770">
        <f t="shared" ref="AA616" si="655">SUM(AA612:AA615)</f>
        <v>1963.4653201433953</v>
      </c>
      <c r="AB616" s="770">
        <f t="shared" ref="AB616" si="656">SUM(AB612:AB615)</f>
        <v>963.20940233449573</v>
      </c>
      <c r="AC616" s="770">
        <f t="shared" ref="AC616" si="657">SUM(AC612:AC615)</f>
        <v>296.37212379522947</v>
      </c>
    </row>
    <row r="618" spans="15:30">
      <c r="Q618" s="1285" t="s">
        <v>466</v>
      </c>
      <c r="R618" s="1286">
        <f t="shared" ref="R618:AC618" si="658">R608*$R$22*$K$577+R616*$R$22*$K$578</f>
        <v>1388.3949126627367</v>
      </c>
      <c r="S618" s="1286">
        <f t="shared" si="658"/>
        <v>1387.5737242902283</v>
      </c>
      <c r="T618" s="1286">
        <f t="shared" si="658"/>
        <v>1365.0497003585642</v>
      </c>
      <c r="U618" s="1286">
        <f t="shared" si="658"/>
        <v>1209.4931600805082</v>
      </c>
      <c r="V618" s="1286">
        <f t="shared" si="658"/>
        <v>1017.2177682888541</v>
      </c>
      <c r="W618" s="1286">
        <f t="shared" si="658"/>
        <v>810.63023629062195</v>
      </c>
      <c r="X618" s="1286">
        <f t="shared" si="658"/>
        <v>684.63647742287549</v>
      </c>
      <c r="Y618" s="1286">
        <f t="shared" si="658"/>
        <v>503.85772284634169</v>
      </c>
      <c r="Z618" s="1286">
        <f t="shared" si="658"/>
        <v>257.14927321983254</v>
      </c>
      <c r="AA618" s="1286">
        <f t="shared" si="658"/>
        <v>43.52298374295524</v>
      </c>
      <c r="AB618" s="1286">
        <f t="shared" si="658"/>
        <v>21.350897685223323</v>
      </c>
      <c r="AC618" s="1286">
        <f t="shared" si="658"/>
        <v>6.5695069800687156</v>
      </c>
      <c r="AD618" s="872">
        <f>SUM(R618:AC618)</f>
        <v>8695.4463638688121</v>
      </c>
    </row>
    <row r="620" spans="15:30">
      <c r="O620" s="544" t="s">
        <v>1220</v>
      </c>
    </row>
    <row r="622" spans="15:30">
      <c r="Q622" s="771" t="s">
        <v>477</v>
      </c>
      <c r="R622" s="1281"/>
      <c r="S622" s="1281"/>
      <c r="T622" s="1281"/>
      <c r="U622" s="1281"/>
    </row>
    <row r="623" spans="15:30">
      <c r="Q623" s="771" t="s">
        <v>1122</v>
      </c>
      <c r="R623" s="1281"/>
      <c r="S623" s="771" t="s">
        <v>202</v>
      </c>
      <c r="T623" s="1281"/>
      <c r="U623" s="1281"/>
    </row>
    <row r="624" spans="15:30">
      <c r="Q624" s="1281"/>
      <c r="R624" s="1281"/>
      <c r="S624" s="771" t="s">
        <v>1123</v>
      </c>
      <c r="T624" s="1281" t="s">
        <v>663</v>
      </c>
      <c r="U624" s="1281" t="s">
        <v>1124</v>
      </c>
    </row>
    <row r="625" spans="16:30">
      <c r="Q625" s="1281"/>
      <c r="R625" s="1281"/>
      <c r="S625" s="1281">
        <v>0</v>
      </c>
      <c r="T625" s="1282">
        <v>50</v>
      </c>
      <c r="U625" s="1283">
        <v>0.54065895961320776</v>
      </c>
    </row>
    <row r="626" spans="16:30">
      <c r="Q626" s="1281"/>
      <c r="R626" s="1281"/>
      <c r="S626" s="1281">
        <v>150</v>
      </c>
      <c r="T626" s="1282">
        <v>250</v>
      </c>
      <c r="U626" s="1283">
        <v>0.3450633640176124</v>
      </c>
    </row>
    <row r="627" spans="16:30">
      <c r="Q627" s="1281"/>
      <c r="R627" s="1281"/>
      <c r="S627" s="1281">
        <v>500</v>
      </c>
      <c r="T627" s="1282">
        <v>600</v>
      </c>
      <c r="U627" s="1283">
        <v>6.0519997121304313E-2</v>
      </c>
    </row>
    <row r="628" spans="16:30">
      <c r="Q628" s="1281"/>
      <c r="R628" s="1281"/>
      <c r="S628" s="1281">
        <v>700</v>
      </c>
      <c r="T628" s="1282">
        <v>900</v>
      </c>
      <c r="U628" s="1283">
        <v>5.3757679247875327E-2</v>
      </c>
    </row>
    <row r="629" spans="16:30">
      <c r="P629" s="1284" t="s">
        <v>1221</v>
      </c>
    </row>
    <row r="630" spans="16:30">
      <c r="P630" s="1284"/>
      <c r="R630" s="775" t="s">
        <v>479</v>
      </c>
      <c r="S630" s="775" t="s">
        <v>480</v>
      </c>
      <c r="T630" s="775" t="s">
        <v>481</v>
      </c>
      <c r="U630" s="775" t="s">
        <v>482</v>
      </c>
      <c r="V630" s="775" t="s">
        <v>483</v>
      </c>
      <c r="W630" s="775" t="s">
        <v>484</v>
      </c>
      <c r="X630" s="775" t="s">
        <v>485</v>
      </c>
      <c r="Y630" s="775" t="s">
        <v>486</v>
      </c>
      <c r="Z630" s="775" t="s">
        <v>487</v>
      </c>
      <c r="AA630" s="775" t="s">
        <v>488</v>
      </c>
      <c r="AB630" s="775" t="s">
        <v>489</v>
      </c>
      <c r="AC630" s="775" t="s">
        <v>490</v>
      </c>
    </row>
    <row r="631" spans="16:30">
      <c r="P631" s="1284"/>
      <c r="Q631" s="490" t="s">
        <v>1223</v>
      </c>
      <c r="R631">
        <f>'[1]AL Promotion &amp; Recruited'!Z42</f>
        <v>6</v>
      </c>
      <c r="S631">
        <f>'[1]AL Promotion &amp; Recruited'!AA42</f>
        <v>0</v>
      </c>
      <c r="T631">
        <f>'[1]AL Promotion &amp; Recruited'!AB42</f>
        <v>0</v>
      </c>
      <c r="U631">
        <f>'[1]AL Promotion &amp; Recruited'!AC42</f>
        <v>0</v>
      </c>
      <c r="V631">
        <f>'[1]AL Promotion &amp; Recruited'!AD42</f>
        <v>0</v>
      </c>
      <c r="W631">
        <f>'[1]AL Promotion &amp; Recruited'!AE42</f>
        <v>0</v>
      </c>
      <c r="X631">
        <f>'[1]AL Promotion &amp; Recruited'!AF42</f>
        <v>0</v>
      </c>
      <c r="Y631">
        <f>'[1]AL Promotion &amp; Recruited'!AG42</f>
        <v>0</v>
      </c>
      <c r="Z631">
        <f>'[1]AL Promotion &amp; Recruited'!AH42</f>
        <v>0</v>
      </c>
      <c r="AA631">
        <f>'[1]AL Promotion &amp; Recruited'!AI42</f>
        <v>0</v>
      </c>
      <c r="AB631">
        <f>'[1]AL Promotion &amp; Recruited'!AJ42</f>
        <v>0</v>
      </c>
      <c r="AC631">
        <f>'[1]AL Promotion &amp; Recruited'!AK42</f>
        <v>0</v>
      </c>
    </row>
    <row r="632" spans="16:30">
      <c r="P632" s="1284"/>
    </row>
    <row r="633" spans="16:30">
      <c r="Q633" s="775" t="s">
        <v>1125</v>
      </c>
      <c r="R633" s="775" t="s">
        <v>479</v>
      </c>
      <c r="S633" s="775" t="s">
        <v>480</v>
      </c>
      <c r="T633" s="775" t="s">
        <v>481</v>
      </c>
      <c r="U633" s="775" t="s">
        <v>482</v>
      </c>
      <c r="V633" s="775" t="s">
        <v>483</v>
      </c>
      <c r="W633" s="775" t="s">
        <v>484</v>
      </c>
      <c r="X633" s="775" t="s">
        <v>485</v>
      </c>
      <c r="Y633" s="775" t="s">
        <v>486</v>
      </c>
      <c r="Z633" s="775" t="s">
        <v>487</v>
      </c>
      <c r="AA633" s="775" t="s">
        <v>488</v>
      </c>
      <c r="AB633" s="775" t="s">
        <v>489</v>
      </c>
      <c r="AC633" s="775" t="s">
        <v>490</v>
      </c>
    </row>
    <row r="634" spans="16:30">
      <c r="Q634">
        <v>0</v>
      </c>
      <c r="R634" s="442">
        <f>R$631*$U625*$T625</f>
        <v>162.19768788396235</v>
      </c>
      <c r="S634" s="442">
        <f t="shared" ref="S634:AC634" si="659">S$631*$U625*$T625</f>
        <v>0</v>
      </c>
      <c r="T634" s="442">
        <f t="shared" si="659"/>
        <v>0</v>
      </c>
      <c r="U634" s="442">
        <f t="shared" si="659"/>
        <v>0</v>
      </c>
      <c r="V634" s="442">
        <f t="shared" si="659"/>
        <v>0</v>
      </c>
      <c r="W634" s="442">
        <f t="shared" si="659"/>
        <v>0</v>
      </c>
      <c r="X634" s="442">
        <f t="shared" si="659"/>
        <v>0</v>
      </c>
      <c r="Y634" s="442">
        <f t="shared" si="659"/>
        <v>0</v>
      </c>
      <c r="Z634" s="442">
        <f t="shared" si="659"/>
        <v>0</v>
      </c>
      <c r="AA634" s="442">
        <f t="shared" si="659"/>
        <v>0</v>
      </c>
      <c r="AB634" s="442">
        <f t="shared" si="659"/>
        <v>0</v>
      </c>
      <c r="AC634" s="442">
        <f t="shared" si="659"/>
        <v>0</v>
      </c>
    </row>
    <row r="635" spans="16:30">
      <c r="Q635">
        <v>50</v>
      </c>
      <c r="R635" s="442">
        <f>R$631*$U626*$T626</f>
        <v>517.59504602641857</v>
      </c>
      <c r="S635" s="442">
        <f t="shared" ref="S635:AC635" si="660">S$631*$U626*$T626</f>
        <v>0</v>
      </c>
      <c r="T635" s="442">
        <f t="shared" si="660"/>
        <v>0</v>
      </c>
      <c r="U635" s="442">
        <f t="shared" si="660"/>
        <v>0</v>
      </c>
      <c r="V635" s="442">
        <f t="shared" si="660"/>
        <v>0</v>
      </c>
      <c r="W635" s="442">
        <f t="shared" si="660"/>
        <v>0</v>
      </c>
      <c r="X635" s="442">
        <f t="shared" si="660"/>
        <v>0</v>
      </c>
      <c r="Y635" s="442">
        <f t="shared" si="660"/>
        <v>0</v>
      </c>
      <c r="Z635" s="442">
        <f t="shared" si="660"/>
        <v>0</v>
      </c>
      <c r="AA635" s="442">
        <f t="shared" si="660"/>
        <v>0</v>
      </c>
      <c r="AB635" s="442">
        <f t="shared" si="660"/>
        <v>0</v>
      </c>
      <c r="AC635" s="442">
        <f t="shared" si="660"/>
        <v>0</v>
      </c>
    </row>
    <row r="636" spans="16:30">
      <c r="Q636">
        <v>150</v>
      </c>
      <c r="R636" s="442">
        <f t="shared" ref="R636:AC637" si="661">R$631*$U627*$T627</f>
        <v>217.87198963669553</v>
      </c>
      <c r="S636" s="442">
        <f t="shared" si="661"/>
        <v>0</v>
      </c>
      <c r="T636" s="442">
        <f t="shared" si="661"/>
        <v>0</v>
      </c>
      <c r="U636" s="442">
        <f t="shared" si="661"/>
        <v>0</v>
      </c>
      <c r="V636" s="442">
        <f t="shared" si="661"/>
        <v>0</v>
      </c>
      <c r="W636" s="442">
        <f t="shared" si="661"/>
        <v>0</v>
      </c>
      <c r="X636" s="442">
        <f t="shared" si="661"/>
        <v>0</v>
      </c>
      <c r="Y636" s="442">
        <f t="shared" si="661"/>
        <v>0</v>
      </c>
      <c r="Z636" s="442">
        <f t="shared" si="661"/>
        <v>0</v>
      </c>
      <c r="AA636" s="442">
        <f t="shared" si="661"/>
        <v>0</v>
      </c>
      <c r="AB636" s="442">
        <f t="shared" si="661"/>
        <v>0</v>
      </c>
      <c r="AC636" s="442">
        <f t="shared" si="661"/>
        <v>0</v>
      </c>
    </row>
    <row r="637" spans="16:30">
      <c r="Q637">
        <v>300</v>
      </c>
      <c r="R637" s="442">
        <f t="shared" si="661"/>
        <v>290.29146793852675</v>
      </c>
      <c r="S637" s="442">
        <f t="shared" si="661"/>
        <v>0</v>
      </c>
      <c r="T637" s="442">
        <f t="shared" si="661"/>
        <v>0</v>
      </c>
      <c r="U637" s="442">
        <f t="shared" si="661"/>
        <v>0</v>
      </c>
      <c r="V637" s="442">
        <f t="shared" si="661"/>
        <v>0</v>
      </c>
      <c r="W637" s="442">
        <f t="shared" si="661"/>
        <v>0</v>
      </c>
      <c r="X637" s="442">
        <f t="shared" si="661"/>
        <v>0</v>
      </c>
      <c r="Y637" s="442">
        <f t="shared" si="661"/>
        <v>0</v>
      </c>
      <c r="Z637" s="442">
        <f t="shared" si="661"/>
        <v>0</v>
      </c>
      <c r="AA637" s="442">
        <f t="shared" si="661"/>
        <v>0</v>
      </c>
      <c r="AB637" s="442">
        <f t="shared" si="661"/>
        <v>0</v>
      </c>
      <c r="AC637" s="442">
        <f t="shared" si="661"/>
        <v>0</v>
      </c>
    </row>
    <row r="638" spans="16:30">
      <c r="Q638" s="1125" t="s">
        <v>254</v>
      </c>
      <c r="R638" s="770">
        <f>SUM(R634:R637)</f>
        <v>1187.9561914856031</v>
      </c>
      <c r="S638" s="770">
        <f t="shared" ref="S638" si="662">SUM(S634:S637)</f>
        <v>0</v>
      </c>
      <c r="T638" s="770">
        <f t="shared" ref="T638" si="663">SUM(T634:T637)</f>
        <v>0</v>
      </c>
      <c r="U638" s="770">
        <f t="shared" ref="U638" si="664">SUM(U634:U637)</f>
        <v>0</v>
      </c>
      <c r="V638" s="770">
        <f t="shared" ref="V638" si="665">SUM(V634:V637)</f>
        <v>0</v>
      </c>
      <c r="W638" s="770">
        <f t="shared" ref="W638" si="666">SUM(W634:W637)</f>
        <v>0</v>
      </c>
      <c r="X638" s="770">
        <f t="shared" ref="X638" si="667">SUM(X634:X637)</f>
        <v>0</v>
      </c>
      <c r="Y638" s="770">
        <f t="shared" ref="Y638" si="668">SUM(Y634:Y637)</f>
        <v>0</v>
      </c>
      <c r="Z638" s="770">
        <f t="shared" ref="Z638" si="669">SUM(Z634:Z637)</f>
        <v>0</v>
      </c>
      <c r="AA638" s="770">
        <f t="shared" ref="AA638" si="670">SUM(AA634:AA637)</f>
        <v>0</v>
      </c>
      <c r="AB638" s="770">
        <f t="shared" ref="AB638" si="671">SUM(AB634:AB637)</f>
        <v>0</v>
      </c>
      <c r="AC638" s="770">
        <f t="shared" ref="AC638" si="672">SUM(AC634:AC637)</f>
        <v>0</v>
      </c>
    </row>
    <row r="640" spans="16:30">
      <c r="Q640" s="1285" t="s">
        <v>1126</v>
      </c>
      <c r="R640" s="1287">
        <f t="shared" ref="R640:AC640" si="673">R638*$R$22*$K$577</f>
        <v>56.427274063732817</v>
      </c>
      <c r="S640" s="1287">
        <f t="shared" si="673"/>
        <v>0</v>
      </c>
      <c r="T640" s="1287">
        <f t="shared" si="673"/>
        <v>0</v>
      </c>
      <c r="U640" s="1287">
        <f t="shared" si="673"/>
        <v>0</v>
      </c>
      <c r="V640" s="1287">
        <f t="shared" si="673"/>
        <v>0</v>
      </c>
      <c r="W640" s="1287">
        <f t="shared" si="673"/>
        <v>0</v>
      </c>
      <c r="X640" s="1287">
        <f t="shared" si="673"/>
        <v>0</v>
      </c>
      <c r="Y640" s="1287">
        <f t="shared" si="673"/>
        <v>0</v>
      </c>
      <c r="Z640" s="1287">
        <f t="shared" si="673"/>
        <v>0</v>
      </c>
      <c r="AA640" s="1287">
        <f t="shared" si="673"/>
        <v>0</v>
      </c>
      <c r="AB640" s="1287">
        <f t="shared" si="673"/>
        <v>0</v>
      </c>
      <c r="AC640" s="1287">
        <f t="shared" si="673"/>
        <v>0</v>
      </c>
      <c r="AD640" s="872">
        <f>SUM(R640:AC640)</f>
        <v>56.427274063732817</v>
      </c>
    </row>
    <row r="641" spans="16:29">
      <c r="P641" s="1284" t="s">
        <v>1222</v>
      </c>
    </row>
    <row r="642" spans="16:29">
      <c r="Q642" s="1150" t="s">
        <v>1127</v>
      </c>
    </row>
    <row r="643" spans="16:29">
      <c r="Q643" s="490" t="s">
        <v>1224</v>
      </c>
      <c r="R643" s="1280">
        <v>42</v>
      </c>
      <c r="S643">
        <v>41</v>
      </c>
      <c r="T643">
        <v>41</v>
      </c>
      <c r="U643">
        <v>40</v>
      </c>
      <c r="V643">
        <v>36</v>
      </c>
      <c r="W643">
        <v>29</v>
      </c>
      <c r="X643">
        <v>25</v>
      </c>
      <c r="Y643">
        <v>20</v>
      </c>
      <c r="Z643">
        <v>8</v>
      </c>
    </row>
    <row r="644" spans="16:29">
      <c r="Q644" s="490" t="s">
        <v>1225</v>
      </c>
      <c r="R644">
        <v>52</v>
      </c>
      <c r="S644">
        <v>52</v>
      </c>
      <c r="T644">
        <v>50</v>
      </c>
      <c r="U644">
        <v>40</v>
      </c>
      <c r="V644">
        <v>26</v>
      </c>
      <c r="W644">
        <v>21</v>
      </c>
      <c r="X644">
        <v>16</v>
      </c>
      <c r="Y644">
        <v>8</v>
      </c>
      <c r="Z644">
        <v>4</v>
      </c>
      <c r="AA644">
        <v>3</v>
      </c>
      <c r="AB644">
        <v>3</v>
      </c>
      <c r="AC644">
        <v>2</v>
      </c>
    </row>
    <row r="645" spans="16:29">
      <c r="Q645" s="490" t="s">
        <v>1226</v>
      </c>
      <c r="R645">
        <v>10</v>
      </c>
      <c r="S645">
        <v>10</v>
      </c>
      <c r="T645">
        <v>10</v>
      </c>
      <c r="U645">
        <v>10</v>
      </c>
      <c r="V645">
        <v>10</v>
      </c>
      <c r="W645">
        <v>9</v>
      </c>
      <c r="X645">
        <v>8</v>
      </c>
      <c r="Y645">
        <v>8</v>
      </c>
      <c r="Z645">
        <v>6</v>
      </c>
      <c r="AA645">
        <v>4</v>
      </c>
      <c r="AB645">
        <v>1</v>
      </c>
    </row>
    <row r="647" spans="16:29">
      <c r="Q647" s="1149" t="s">
        <v>1227</v>
      </c>
    </row>
    <row r="648" spans="16:29">
      <c r="Q648" s="775" t="s">
        <v>1125</v>
      </c>
      <c r="R648" s="775" t="s">
        <v>479</v>
      </c>
      <c r="S648" s="775" t="s">
        <v>480</v>
      </c>
      <c r="T648" s="775" t="s">
        <v>481</v>
      </c>
      <c r="U648" s="775" t="s">
        <v>482</v>
      </c>
      <c r="V648" s="775" t="s">
        <v>483</v>
      </c>
      <c r="W648" s="775" t="s">
        <v>484</v>
      </c>
      <c r="X648" s="775" t="s">
        <v>485</v>
      </c>
      <c r="Y648" s="775" t="s">
        <v>486</v>
      </c>
      <c r="Z648" s="775" t="s">
        <v>487</v>
      </c>
      <c r="AA648" s="775" t="s">
        <v>488</v>
      </c>
      <c r="AB648" s="775" t="s">
        <v>489</v>
      </c>
      <c r="AC648" s="775" t="s">
        <v>490</v>
      </c>
    </row>
    <row r="649" spans="16:29">
      <c r="Q649">
        <v>0</v>
      </c>
      <c r="R649" s="442">
        <f>R$643*$U625*$T625</f>
        <v>1135.3838151877364</v>
      </c>
      <c r="S649" s="442">
        <f t="shared" ref="S649:AC649" si="674">S$643*$U625*$T625</f>
        <v>1108.3508672070759</v>
      </c>
      <c r="T649" s="442">
        <f t="shared" si="674"/>
        <v>1108.3508672070759</v>
      </c>
      <c r="U649" s="442">
        <f t="shared" si="674"/>
        <v>1081.3179192264154</v>
      </c>
      <c r="V649" s="442">
        <f t="shared" si="674"/>
        <v>973.18612730377401</v>
      </c>
      <c r="W649" s="442">
        <f t="shared" si="674"/>
        <v>783.95549143915127</v>
      </c>
      <c r="X649" s="442">
        <f t="shared" si="674"/>
        <v>675.82369951650969</v>
      </c>
      <c r="Y649" s="442">
        <f t="shared" si="674"/>
        <v>540.65895961320768</v>
      </c>
      <c r="Z649" s="442">
        <f t="shared" si="674"/>
        <v>216.26358384528311</v>
      </c>
      <c r="AA649" s="442">
        <f t="shared" si="674"/>
        <v>0</v>
      </c>
      <c r="AB649" s="442">
        <f t="shared" si="674"/>
        <v>0</v>
      </c>
      <c r="AC649" s="442">
        <f t="shared" si="674"/>
        <v>0</v>
      </c>
    </row>
    <row r="650" spans="16:29">
      <c r="Q650">
        <v>50</v>
      </c>
      <c r="R650" s="442">
        <f t="shared" ref="R650:AC652" si="675">R$643*$U626*$T626</f>
        <v>3623.1653221849301</v>
      </c>
      <c r="S650" s="442">
        <f t="shared" si="675"/>
        <v>3536.8994811805269</v>
      </c>
      <c r="T650" s="442">
        <f t="shared" si="675"/>
        <v>3536.8994811805269</v>
      </c>
      <c r="U650" s="442">
        <f t="shared" si="675"/>
        <v>3450.6336401761241</v>
      </c>
      <c r="V650" s="442">
        <f t="shared" si="675"/>
        <v>3105.5702761585112</v>
      </c>
      <c r="W650" s="442">
        <f t="shared" si="675"/>
        <v>2501.70938912769</v>
      </c>
      <c r="X650" s="442">
        <f t="shared" si="675"/>
        <v>2156.6460251100775</v>
      </c>
      <c r="Y650" s="442">
        <f t="shared" si="675"/>
        <v>1725.3168200880621</v>
      </c>
      <c r="Z650" s="442">
        <f t="shared" si="675"/>
        <v>690.1267280352248</v>
      </c>
      <c r="AA650" s="442">
        <f t="shared" si="675"/>
        <v>0</v>
      </c>
      <c r="AB650" s="442">
        <f t="shared" si="675"/>
        <v>0</v>
      </c>
      <c r="AC650" s="442">
        <f t="shared" si="675"/>
        <v>0</v>
      </c>
    </row>
    <row r="651" spans="16:29">
      <c r="Q651">
        <v>150</v>
      </c>
      <c r="R651" s="442">
        <f t="shared" si="675"/>
        <v>1525.1039274568686</v>
      </c>
      <c r="S651" s="442">
        <f t="shared" si="675"/>
        <v>1488.7919291840863</v>
      </c>
      <c r="T651" s="442">
        <f t="shared" si="675"/>
        <v>1488.7919291840863</v>
      </c>
      <c r="U651" s="442">
        <f t="shared" si="675"/>
        <v>1452.4799309113037</v>
      </c>
      <c r="V651" s="442">
        <f t="shared" si="675"/>
        <v>1307.2319378201732</v>
      </c>
      <c r="W651" s="442">
        <f t="shared" si="675"/>
        <v>1053.047949910695</v>
      </c>
      <c r="X651" s="442">
        <f t="shared" si="675"/>
        <v>907.79995681956473</v>
      </c>
      <c r="Y651" s="442">
        <f t="shared" si="675"/>
        <v>726.23996545565183</v>
      </c>
      <c r="Z651" s="442">
        <f t="shared" si="675"/>
        <v>290.49598618226071</v>
      </c>
      <c r="AA651" s="442">
        <f t="shared" si="675"/>
        <v>0</v>
      </c>
      <c r="AB651" s="442">
        <f t="shared" si="675"/>
        <v>0</v>
      </c>
      <c r="AC651" s="442">
        <f t="shared" si="675"/>
        <v>0</v>
      </c>
    </row>
    <row r="652" spans="16:29">
      <c r="Q652">
        <v>300</v>
      </c>
      <c r="R652" s="442">
        <f t="shared" si="675"/>
        <v>2032.0402755696873</v>
      </c>
      <c r="S652" s="442">
        <f t="shared" si="675"/>
        <v>1983.6583642465994</v>
      </c>
      <c r="T652" s="442">
        <f t="shared" si="675"/>
        <v>1983.6583642465994</v>
      </c>
      <c r="U652" s="442">
        <f t="shared" si="675"/>
        <v>1935.2764529235117</v>
      </c>
      <c r="V652" s="442">
        <f t="shared" si="675"/>
        <v>1741.7488076311606</v>
      </c>
      <c r="W652" s="442">
        <f t="shared" si="675"/>
        <v>1403.075428369546</v>
      </c>
      <c r="X652" s="442">
        <f t="shared" si="675"/>
        <v>1209.5477830771947</v>
      </c>
      <c r="Y652" s="442">
        <f t="shared" si="675"/>
        <v>967.63822646175583</v>
      </c>
      <c r="Z652" s="442">
        <f t="shared" si="675"/>
        <v>387.05529058470233</v>
      </c>
      <c r="AA652" s="442">
        <f t="shared" si="675"/>
        <v>0</v>
      </c>
      <c r="AB652" s="442">
        <f t="shared" si="675"/>
        <v>0</v>
      </c>
      <c r="AC652" s="442">
        <f t="shared" si="675"/>
        <v>0</v>
      </c>
    </row>
    <row r="653" spans="16:29">
      <c r="Q653" s="1125" t="s">
        <v>254</v>
      </c>
      <c r="R653" s="770">
        <f>SUM(R649:R652)</f>
        <v>8315.6933403992225</v>
      </c>
      <c r="S653" s="770">
        <f t="shared" ref="S653" si="676">SUM(S649:S652)</f>
        <v>8117.7006418182882</v>
      </c>
      <c r="T653" s="770">
        <f t="shared" ref="T653" si="677">SUM(T649:T652)</f>
        <v>8117.7006418182882</v>
      </c>
      <c r="U653" s="770">
        <f t="shared" ref="U653" si="678">SUM(U649:U652)</f>
        <v>7919.7079432373557</v>
      </c>
      <c r="V653" s="770">
        <f t="shared" ref="V653" si="679">SUM(V649:V652)</f>
        <v>7127.7371489136185</v>
      </c>
      <c r="W653" s="770">
        <f t="shared" ref="W653" si="680">SUM(W649:W652)</f>
        <v>5741.788258847082</v>
      </c>
      <c r="X653" s="770">
        <f t="shared" ref="X653" si="681">SUM(X649:X652)</f>
        <v>4949.8174645233466</v>
      </c>
      <c r="Y653" s="770">
        <f t="shared" ref="Y653" si="682">SUM(Y649:Y652)</f>
        <v>3959.8539716186779</v>
      </c>
      <c r="Z653" s="770">
        <f t="shared" ref="Z653" si="683">SUM(Z649:Z652)</f>
        <v>1583.941588647471</v>
      </c>
      <c r="AA653" s="770">
        <f t="shared" ref="AA653" si="684">SUM(AA649:AA652)</f>
        <v>0</v>
      </c>
      <c r="AB653" s="770">
        <f t="shared" ref="AB653" si="685">SUM(AB649:AB652)</f>
        <v>0</v>
      </c>
      <c r="AC653" s="770">
        <f t="shared" ref="AC653" si="686">SUM(AC649:AC652)</f>
        <v>0</v>
      </c>
    </row>
    <row r="655" spans="16:29">
      <c r="Q655" s="1149" t="s">
        <v>1228</v>
      </c>
    </row>
    <row r="656" spans="16:29">
      <c r="Q656" s="775" t="s">
        <v>1125</v>
      </c>
      <c r="R656" s="775" t="s">
        <v>479</v>
      </c>
      <c r="S656" s="775" t="s">
        <v>480</v>
      </c>
      <c r="T656" s="775" t="s">
        <v>481</v>
      </c>
      <c r="U656" s="775" t="s">
        <v>482</v>
      </c>
      <c r="V656" s="775" t="s">
        <v>483</v>
      </c>
      <c r="W656" s="775" t="s">
        <v>484</v>
      </c>
      <c r="X656" s="775" t="s">
        <v>485</v>
      </c>
      <c r="Y656" s="775" t="s">
        <v>486</v>
      </c>
      <c r="Z656" s="775" t="s">
        <v>487</v>
      </c>
      <c r="AA656" s="775" t="s">
        <v>488</v>
      </c>
      <c r="AB656" s="775" t="s">
        <v>489</v>
      </c>
      <c r="AC656" s="775" t="s">
        <v>490</v>
      </c>
    </row>
    <row r="657" spans="17:30">
      <c r="Q657">
        <v>0</v>
      </c>
      <c r="R657" s="442">
        <f>R$644*$T625*$U625</f>
        <v>1405.7132949943402</v>
      </c>
      <c r="S657" s="442">
        <f t="shared" ref="S657:AC657" si="687">S$644*$T625*$U625</f>
        <v>1405.7132949943402</v>
      </c>
      <c r="T657" s="442">
        <f t="shared" si="687"/>
        <v>1351.6473990330194</v>
      </c>
      <c r="U657" s="442">
        <f t="shared" si="687"/>
        <v>1081.3179192264156</v>
      </c>
      <c r="V657" s="442">
        <f t="shared" si="687"/>
        <v>702.85664749717012</v>
      </c>
      <c r="W657" s="442">
        <f t="shared" si="687"/>
        <v>567.69190759386811</v>
      </c>
      <c r="X657" s="442">
        <f t="shared" si="687"/>
        <v>432.52716769056622</v>
      </c>
      <c r="Y657" s="442">
        <f t="shared" si="687"/>
        <v>216.26358384528311</v>
      </c>
      <c r="Z657" s="442">
        <f t="shared" si="687"/>
        <v>108.13179192264155</v>
      </c>
      <c r="AA657" s="442">
        <f t="shared" si="687"/>
        <v>81.098843941981158</v>
      </c>
      <c r="AB657" s="442">
        <f t="shared" si="687"/>
        <v>81.098843941981158</v>
      </c>
      <c r="AC657" s="442">
        <f t="shared" si="687"/>
        <v>54.065895961320777</v>
      </c>
    </row>
    <row r="658" spans="17:30">
      <c r="Q658">
        <v>50</v>
      </c>
      <c r="R658" s="442">
        <f t="shared" ref="R658:AC660" si="688">R$644*$T626*$U626</f>
        <v>4485.8237322289615</v>
      </c>
      <c r="S658" s="442">
        <f t="shared" si="688"/>
        <v>4485.8237322289615</v>
      </c>
      <c r="T658" s="442">
        <f t="shared" si="688"/>
        <v>4313.292050220155</v>
      </c>
      <c r="U658" s="442">
        <f t="shared" si="688"/>
        <v>3450.6336401761241</v>
      </c>
      <c r="V658" s="442">
        <f t="shared" si="688"/>
        <v>2242.9118661144807</v>
      </c>
      <c r="W658" s="442">
        <f t="shared" si="688"/>
        <v>1811.5826610924651</v>
      </c>
      <c r="X658" s="442">
        <f t="shared" si="688"/>
        <v>1380.2534560704496</v>
      </c>
      <c r="Y658" s="442">
        <f t="shared" si="688"/>
        <v>690.1267280352248</v>
      </c>
      <c r="Z658" s="442">
        <f t="shared" si="688"/>
        <v>345.0633640176124</v>
      </c>
      <c r="AA658" s="442">
        <f t="shared" si="688"/>
        <v>258.79752301320929</v>
      </c>
      <c r="AB658" s="442">
        <f t="shared" si="688"/>
        <v>258.79752301320929</v>
      </c>
      <c r="AC658" s="442">
        <f t="shared" si="688"/>
        <v>172.5316820088062</v>
      </c>
    </row>
    <row r="659" spans="17:30">
      <c r="Q659">
        <v>150</v>
      </c>
      <c r="R659" s="442">
        <f t="shared" si="688"/>
        <v>1888.2239101846947</v>
      </c>
      <c r="S659" s="442">
        <f t="shared" si="688"/>
        <v>1888.2239101846947</v>
      </c>
      <c r="T659" s="442">
        <f t="shared" si="688"/>
        <v>1815.5999136391295</v>
      </c>
      <c r="U659" s="442">
        <f t="shared" si="688"/>
        <v>1452.4799309113034</v>
      </c>
      <c r="V659" s="442">
        <f t="shared" si="688"/>
        <v>944.11195509234733</v>
      </c>
      <c r="W659" s="442">
        <f t="shared" si="688"/>
        <v>762.55196372843432</v>
      </c>
      <c r="X659" s="442">
        <f t="shared" si="688"/>
        <v>580.99197236452142</v>
      </c>
      <c r="Y659" s="442">
        <f t="shared" si="688"/>
        <v>290.49598618226071</v>
      </c>
      <c r="Z659" s="442">
        <f t="shared" si="688"/>
        <v>145.24799309113035</v>
      </c>
      <c r="AA659" s="442">
        <f t="shared" si="688"/>
        <v>108.93599481834777</v>
      </c>
      <c r="AB659" s="442">
        <f t="shared" si="688"/>
        <v>108.93599481834777</v>
      </c>
      <c r="AC659" s="442">
        <f t="shared" si="688"/>
        <v>72.623996545565177</v>
      </c>
    </row>
    <row r="660" spans="17:30">
      <c r="Q660">
        <v>300</v>
      </c>
      <c r="R660" s="442">
        <f t="shared" si="688"/>
        <v>2515.8593888005653</v>
      </c>
      <c r="S660" s="442">
        <f t="shared" si="688"/>
        <v>2515.8593888005653</v>
      </c>
      <c r="T660" s="442">
        <f t="shared" si="688"/>
        <v>2419.0955661543899</v>
      </c>
      <c r="U660" s="442">
        <f t="shared" si="688"/>
        <v>1935.2764529235117</v>
      </c>
      <c r="V660" s="442">
        <f t="shared" si="688"/>
        <v>1257.9296944002826</v>
      </c>
      <c r="W660" s="442">
        <f t="shared" si="688"/>
        <v>1016.0201377848437</v>
      </c>
      <c r="X660" s="442">
        <f t="shared" si="688"/>
        <v>774.11058116940467</v>
      </c>
      <c r="Y660" s="442">
        <f t="shared" si="688"/>
        <v>387.05529058470233</v>
      </c>
      <c r="Z660" s="442">
        <f t="shared" si="688"/>
        <v>193.52764529235117</v>
      </c>
      <c r="AA660" s="442">
        <f t="shared" si="688"/>
        <v>145.14573396926338</v>
      </c>
      <c r="AB660" s="442">
        <f t="shared" si="688"/>
        <v>145.14573396926338</v>
      </c>
      <c r="AC660" s="442">
        <f t="shared" si="688"/>
        <v>96.763822646175583</v>
      </c>
    </row>
    <row r="661" spans="17:30">
      <c r="Q661" s="1125" t="s">
        <v>254</v>
      </c>
      <c r="R661" s="770">
        <f>SUM(R657:R660)</f>
        <v>10295.620326208562</v>
      </c>
      <c r="S661" s="770">
        <f t="shared" ref="S661" si="689">SUM(S657:S660)</f>
        <v>10295.620326208562</v>
      </c>
      <c r="T661" s="770">
        <f t="shared" ref="T661" si="690">SUM(T657:T660)</f>
        <v>9899.6349290466933</v>
      </c>
      <c r="U661" s="770">
        <f t="shared" ref="U661" si="691">SUM(U657:U660)</f>
        <v>7919.7079432373548</v>
      </c>
      <c r="V661" s="770">
        <f t="shared" ref="V661" si="692">SUM(V657:V660)</f>
        <v>5147.8101631042809</v>
      </c>
      <c r="W661" s="770">
        <f t="shared" ref="W661" si="693">SUM(W657:W660)</f>
        <v>4157.8466701996113</v>
      </c>
      <c r="X661" s="770">
        <f t="shared" ref="X661" si="694">SUM(X657:X660)</f>
        <v>3167.883177294942</v>
      </c>
      <c r="Y661" s="770">
        <f t="shared" ref="Y661" si="695">SUM(Y657:Y660)</f>
        <v>1583.941588647471</v>
      </c>
      <c r="Z661" s="770">
        <f t="shared" ref="Z661" si="696">SUM(Z657:Z660)</f>
        <v>791.9707943237355</v>
      </c>
      <c r="AA661" s="770">
        <f t="shared" ref="AA661" si="697">SUM(AA657:AA660)</f>
        <v>593.97809574280154</v>
      </c>
      <c r="AB661" s="770">
        <f t="shared" ref="AB661" si="698">SUM(AB657:AB660)</f>
        <v>593.97809574280154</v>
      </c>
      <c r="AC661" s="770">
        <f t="shared" ref="AC661" si="699">SUM(AC657:AC660)</f>
        <v>395.98539716186775</v>
      </c>
    </row>
    <row r="663" spans="17:30">
      <c r="Q663" s="1149" t="s">
        <v>1229</v>
      </c>
    </row>
    <row r="664" spans="17:30">
      <c r="Q664" s="775" t="s">
        <v>1125</v>
      </c>
      <c r="R664" s="775" t="s">
        <v>479</v>
      </c>
      <c r="S664" s="775" t="s">
        <v>480</v>
      </c>
      <c r="T664" s="775" t="s">
        <v>481</v>
      </c>
      <c r="U664" s="775" t="s">
        <v>482</v>
      </c>
      <c r="V664" s="775" t="s">
        <v>483</v>
      </c>
      <c r="W664" s="775" t="s">
        <v>484</v>
      </c>
      <c r="X664" s="775" t="s">
        <v>485</v>
      </c>
      <c r="Y664" s="775" t="s">
        <v>486</v>
      </c>
      <c r="Z664" s="775" t="s">
        <v>487</v>
      </c>
      <c r="AA664" s="775" t="s">
        <v>488</v>
      </c>
      <c r="AB664" s="775" t="s">
        <v>489</v>
      </c>
      <c r="AC664" s="775" t="s">
        <v>490</v>
      </c>
    </row>
    <row r="665" spans="17:30">
      <c r="Q665">
        <v>0</v>
      </c>
      <c r="R665" s="442">
        <f>R$645*$T625*$U625</f>
        <v>270.3294798066039</v>
      </c>
      <c r="S665" s="442">
        <f t="shared" ref="S665:AC665" si="700">S$645*$T625*$U625</f>
        <v>270.3294798066039</v>
      </c>
      <c r="T665" s="442">
        <f t="shared" si="700"/>
        <v>270.3294798066039</v>
      </c>
      <c r="U665" s="442">
        <f t="shared" si="700"/>
        <v>270.3294798066039</v>
      </c>
      <c r="V665" s="442">
        <f t="shared" si="700"/>
        <v>270.3294798066039</v>
      </c>
      <c r="W665" s="442">
        <f t="shared" si="700"/>
        <v>243.2965318259435</v>
      </c>
      <c r="X665" s="442">
        <f t="shared" si="700"/>
        <v>216.26358384528311</v>
      </c>
      <c r="Y665" s="442">
        <f t="shared" si="700"/>
        <v>216.26358384528311</v>
      </c>
      <c r="Z665" s="442">
        <f t="shared" si="700"/>
        <v>162.19768788396232</v>
      </c>
      <c r="AA665" s="442">
        <f t="shared" si="700"/>
        <v>108.13179192264155</v>
      </c>
      <c r="AB665" s="442">
        <f t="shared" si="700"/>
        <v>27.032947980660389</v>
      </c>
      <c r="AC665" s="442">
        <f t="shared" si="700"/>
        <v>0</v>
      </c>
    </row>
    <row r="666" spans="17:30">
      <c r="Q666">
        <v>50</v>
      </c>
      <c r="R666" s="442">
        <f t="shared" ref="R666:AC668" si="701">R$645*$T626*$U626</f>
        <v>862.65841004403103</v>
      </c>
      <c r="S666" s="442">
        <f t="shared" si="701"/>
        <v>862.65841004403103</v>
      </c>
      <c r="T666" s="442">
        <f t="shared" si="701"/>
        <v>862.65841004403103</v>
      </c>
      <c r="U666" s="442">
        <f t="shared" si="701"/>
        <v>862.65841004403103</v>
      </c>
      <c r="V666" s="442">
        <f t="shared" si="701"/>
        <v>862.65841004403103</v>
      </c>
      <c r="W666" s="442">
        <f t="shared" si="701"/>
        <v>776.39256903962792</v>
      </c>
      <c r="X666" s="442">
        <f t="shared" si="701"/>
        <v>690.1267280352248</v>
      </c>
      <c r="Y666" s="442">
        <f t="shared" si="701"/>
        <v>690.1267280352248</v>
      </c>
      <c r="Z666" s="442">
        <f t="shared" si="701"/>
        <v>517.59504602641857</v>
      </c>
      <c r="AA666" s="442">
        <f t="shared" si="701"/>
        <v>345.0633640176124</v>
      </c>
      <c r="AB666" s="442">
        <f t="shared" si="701"/>
        <v>86.2658410044031</v>
      </c>
      <c r="AC666" s="442">
        <f t="shared" si="701"/>
        <v>0</v>
      </c>
    </row>
    <row r="667" spans="17:30">
      <c r="Q667">
        <v>150</v>
      </c>
      <c r="R667" s="442">
        <f t="shared" si="701"/>
        <v>363.11998272782586</v>
      </c>
      <c r="S667" s="442">
        <f t="shared" si="701"/>
        <v>363.11998272782586</v>
      </c>
      <c r="T667" s="442">
        <f t="shared" si="701"/>
        <v>363.11998272782586</v>
      </c>
      <c r="U667" s="442">
        <f t="shared" si="701"/>
        <v>363.11998272782586</v>
      </c>
      <c r="V667" s="442">
        <f t="shared" si="701"/>
        <v>363.11998272782586</v>
      </c>
      <c r="W667" s="442">
        <f t="shared" si="701"/>
        <v>326.80798445504331</v>
      </c>
      <c r="X667" s="442">
        <f t="shared" si="701"/>
        <v>290.49598618226071</v>
      </c>
      <c r="Y667" s="442">
        <f t="shared" si="701"/>
        <v>290.49598618226071</v>
      </c>
      <c r="Z667" s="442">
        <f t="shared" si="701"/>
        <v>217.87198963669553</v>
      </c>
      <c r="AA667" s="442">
        <f t="shared" si="701"/>
        <v>145.24799309113035</v>
      </c>
      <c r="AB667" s="442">
        <f t="shared" si="701"/>
        <v>36.311998272782589</v>
      </c>
      <c r="AC667" s="442">
        <f t="shared" si="701"/>
        <v>0</v>
      </c>
    </row>
    <row r="668" spans="17:30">
      <c r="Q668">
        <v>300</v>
      </c>
      <c r="R668" s="442">
        <f t="shared" si="701"/>
        <v>483.81911323087792</v>
      </c>
      <c r="S668" s="442">
        <f t="shared" si="701"/>
        <v>483.81911323087792</v>
      </c>
      <c r="T668" s="442">
        <f t="shared" si="701"/>
        <v>483.81911323087792</v>
      </c>
      <c r="U668" s="442">
        <f t="shared" si="701"/>
        <v>483.81911323087792</v>
      </c>
      <c r="V668" s="442">
        <f t="shared" si="701"/>
        <v>483.81911323087792</v>
      </c>
      <c r="W668" s="442">
        <f t="shared" si="701"/>
        <v>435.43720190779015</v>
      </c>
      <c r="X668" s="442">
        <f t="shared" si="701"/>
        <v>387.05529058470233</v>
      </c>
      <c r="Y668" s="442">
        <f t="shared" si="701"/>
        <v>387.05529058470233</v>
      </c>
      <c r="Z668" s="442">
        <f t="shared" si="701"/>
        <v>290.29146793852675</v>
      </c>
      <c r="AA668" s="442">
        <f t="shared" si="701"/>
        <v>193.52764529235117</v>
      </c>
      <c r="AB668" s="442">
        <f t="shared" si="701"/>
        <v>48.381911323087792</v>
      </c>
      <c r="AC668" s="442">
        <f t="shared" si="701"/>
        <v>0</v>
      </c>
    </row>
    <row r="669" spans="17:30">
      <c r="Q669" s="1125" t="s">
        <v>254</v>
      </c>
      <c r="R669" s="770">
        <f>SUM(R665:R668)</f>
        <v>1979.9269858093387</v>
      </c>
      <c r="S669" s="770">
        <f t="shared" ref="S669" si="702">SUM(S665:S668)</f>
        <v>1979.9269858093387</v>
      </c>
      <c r="T669" s="770">
        <f t="shared" ref="T669" si="703">SUM(T665:T668)</f>
        <v>1979.9269858093387</v>
      </c>
      <c r="U669" s="770">
        <f t="shared" ref="U669" si="704">SUM(U665:U668)</f>
        <v>1979.9269858093387</v>
      </c>
      <c r="V669" s="770">
        <f t="shared" ref="V669" si="705">SUM(V665:V668)</f>
        <v>1979.9269858093387</v>
      </c>
      <c r="W669" s="770">
        <f t="shared" ref="W669" si="706">SUM(W665:W668)</f>
        <v>1781.9342872284046</v>
      </c>
      <c r="X669" s="770">
        <f t="shared" ref="X669" si="707">SUM(X665:X668)</f>
        <v>1583.941588647471</v>
      </c>
      <c r="Y669" s="770">
        <f t="shared" ref="Y669" si="708">SUM(Y665:Y668)</f>
        <v>1583.941588647471</v>
      </c>
      <c r="Z669" s="770">
        <f t="shared" ref="Z669" si="709">SUM(Z665:Z668)</f>
        <v>1187.9561914856031</v>
      </c>
      <c r="AA669" s="770">
        <f t="shared" ref="AA669" si="710">SUM(AA665:AA668)</f>
        <v>791.9707943237355</v>
      </c>
      <c r="AB669" s="770">
        <f t="shared" ref="AB669" si="711">SUM(AB665:AB668)</f>
        <v>197.99269858093388</v>
      </c>
      <c r="AC669" s="770">
        <f t="shared" ref="AC669" si="712">SUM(AC665:AC668)</f>
        <v>0</v>
      </c>
    </row>
    <row r="672" spans="17:30">
      <c r="Q672" s="1285" t="s">
        <v>466</v>
      </c>
      <c r="R672" s="1286">
        <f t="shared" ref="R672:AC672" si="713">R653*$R$22*$D$589+R661*$R$22*$D$590+$R$22*$D$591*R669</f>
        <v>179.94030729212579</v>
      </c>
      <c r="S672" s="1286">
        <f t="shared" si="713"/>
        <v>177.74591330075845</v>
      </c>
      <c r="T672" s="1286">
        <f t="shared" si="713"/>
        <v>174.61106474166218</v>
      </c>
      <c r="U672" s="1286">
        <f t="shared" si="713"/>
        <v>156.74242795481342</v>
      </c>
      <c r="V672" s="1286">
        <f t="shared" si="713"/>
        <v>126.02091207566998</v>
      </c>
      <c r="W672" s="1286">
        <f t="shared" si="713"/>
        <v>102.19606302653834</v>
      </c>
      <c r="X672" s="1286">
        <f t="shared" si="713"/>
        <v>84.954395951508872</v>
      </c>
      <c r="Y672" s="1286">
        <f t="shared" si="713"/>
        <v>61.443031758286864</v>
      </c>
      <c r="Z672" s="1286">
        <f t="shared" si="713"/>
        <v>27.586667320047162</v>
      </c>
      <c r="AA672" s="1286">
        <f t="shared" si="713"/>
        <v>7.2101516859214163</v>
      </c>
      <c r="AB672" s="1286">
        <f t="shared" si="713"/>
        <v>5.3292425504636558</v>
      </c>
      <c r="AC672" s="1286">
        <f t="shared" si="713"/>
        <v>3.1348485590962683</v>
      </c>
      <c r="AD672" s="872">
        <f>SUM(R672:AC672)</f>
        <v>1106.9150262168923</v>
      </c>
    </row>
    <row r="673" spans="2:40">
      <c r="Q673" s="1285"/>
      <c r="R673" s="1286"/>
      <c r="S673" s="1286"/>
      <c r="T673" s="1286"/>
      <c r="U673" s="1286"/>
      <c r="V673" s="1286"/>
      <c r="W673" s="1286"/>
      <c r="X673" s="1286"/>
      <c r="Y673" s="1286"/>
      <c r="Z673" s="1286"/>
      <c r="AA673" s="1286"/>
      <c r="AB673" s="1286"/>
      <c r="AC673" s="1286"/>
      <c r="AD673" s="1288"/>
    </row>
    <row r="674" spans="2:40" s="41" customFormat="1" ht="16.5" customHeight="1">
      <c r="B674" s="40" t="s">
        <v>93</v>
      </c>
    </row>
    <row r="676" spans="2:40" s="47" customFormat="1">
      <c r="B676" s="46" t="s">
        <v>763</v>
      </c>
      <c r="O676" s="1136" t="s">
        <v>460</v>
      </c>
      <c r="P676" s="1136"/>
      <c r="Q676" s="1137">
        <f>AN705</f>
        <v>0</v>
      </c>
      <c r="R676" s="1138">
        <f>Q676/SUM($X$57:$AA$57)</f>
        <v>0</v>
      </c>
    </row>
    <row r="679" spans="2:40">
      <c r="B679" s="742" t="s">
        <v>426</v>
      </c>
      <c r="K679" s="544" t="s">
        <v>470</v>
      </c>
      <c r="AA679" s="544" t="s">
        <v>1147</v>
      </c>
    </row>
    <row r="681" spans="2:40">
      <c r="C681" s="140" t="s">
        <v>721</v>
      </c>
    </row>
    <row r="682" spans="2:40">
      <c r="Y682" s="1159"/>
      <c r="Z682" s="2"/>
      <c r="AA682" s="1160"/>
    </row>
    <row r="683" spans="2:40">
      <c r="C683" t="s">
        <v>717</v>
      </c>
      <c r="D683" s="1647" t="s">
        <v>357</v>
      </c>
      <c r="E683" s="1647"/>
      <c r="F683" s="8" t="s">
        <v>21</v>
      </c>
      <c r="N683" s="492"/>
      <c r="O683" s="1152" t="s">
        <v>1128</v>
      </c>
      <c r="P683" s="1152" t="s">
        <v>1129</v>
      </c>
      <c r="Q683" s="1152" t="s">
        <v>1130</v>
      </c>
      <c r="R683" s="1152" t="s">
        <v>1131</v>
      </c>
      <c r="S683" s="1152" t="s">
        <v>1132</v>
      </c>
      <c r="T683" s="1152" t="s">
        <v>1133</v>
      </c>
      <c r="U683" s="1152" t="s">
        <v>1134</v>
      </c>
      <c r="V683" s="1152" t="s">
        <v>1135</v>
      </c>
      <c r="W683" s="1152" t="s">
        <v>1136</v>
      </c>
      <c r="X683" s="1152" t="s">
        <v>1137</v>
      </c>
      <c r="Y683" s="1168" t="s">
        <v>1146</v>
      </c>
      <c r="Z683" s="1167"/>
      <c r="AA683" s="492"/>
      <c r="AB683" s="1152">
        <v>201701</v>
      </c>
      <c r="AC683" s="1152">
        <v>201702</v>
      </c>
      <c r="AD683" s="1152">
        <v>201703</v>
      </c>
      <c r="AE683" s="1152">
        <v>201704</v>
      </c>
      <c r="AF683" s="1152">
        <v>201705</v>
      </c>
      <c r="AG683" s="1152">
        <v>201706</v>
      </c>
      <c r="AH683" s="1152">
        <v>201707</v>
      </c>
      <c r="AI683" s="1172">
        <v>201708</v>
      </c>
      <c r="AJ683" s="1172">
        <v>201709</v>
      </c>
      <c r="AK683" s="1172">
        <v>201710</v>
      </c>
      <c r="AL683" s="1161">
        <v>201711</v>
      </c>
      <c r="AM683" s="1161">
        <v>201712</v>
      </c>
      <c r="AN683" s="1161" t="s">
        <v>625</v>
      </c>
    </row>
    <row r="684" spans="2:40">
      <c r="C684" s="714"/>
      <c r="D684" s="893" t="s">
        <v>207</v>
      </c>
      <c r="E684" s="893" t="s">
        <v>718</v>
      </c>
      <c r="F684" s="893" t="s">
        <v>719</v>
      </c>
      <c r="N684" s="754" t="s">
        <v>1138</v>
      </c>
      <c r="O684">
        <v>192</v>
      </c>
      <c r="P684">
        <v>187</v>
      </c>
      <c r="Q684">
        <v>620</v>
      </c>
      <c r="R684">
        <v>471</v>
      </c>
      <c r="S684">
        <v>618</v>
      </c>
      <c r="T684">
        <v>1122</v>
      </c>
      <c r="U684">
        <v>823</v>
      </c>
      <c r="V684">
        <v>943</v>
      </c>
      <c r="W684">
        <v>1076</v>
      </c>
      <c r="X684">
        <v>1011</v>
      </c>
      <c r="Y684" s="1169"/>
      <c r="Z684" s="1162"/>
      <c r="AA684" s="754" t="s">
        <v>1138</v>
      </c>
      <c r="AB684" s="442">
        <f>'[1]Total Agency'!Z15</f>
        <v>403.78313333889719</v>
      </c>
      <c r="AC684" s="442">
        <f>'[1]Total Agency'!AA15</f>
        <v>421.15685631665389</v>
      </c>
      <c r="AD684" s="442">
        <f>'[1]Total Agency'!AB15</f>
        <v>1100.7202601023207</v>
      </c>
      <c r="AE684" s="442">
        <f>'[1]Total Agency'!AC15</f>
        <v>1065.7614684765738</v>
      </c>
      <c r="AF684" s="442">
        <f>'[1]Total Agency'!AD15</f>
        <v>1300.9996124012082</v>
      </c>
      <c r="AG684" s="442">
        <f>'[1]Total Agency'!AE15</f>
        <v>1670.6740965621302</v>
      </c>
      <c r="AH684" s="442">
        <f>'[1]Total Agency'!AF15</f>
        <v>1160.8254547148047</v>
      </c>
      <c r="AI684" s="442">
        <f>'[1]Total Agency'!AG15</f>
        <v>1413.2698134488169</v>
      </c>
      <c r="AJ684" s="442">
        <f>'[1]Total Agency'!AH15</f>
        <v>1666.9132116041837</v>
      </c>
      <c r="AK684" s="442">
        <f>'[1]Total Agency'!AI15</f>
        <v>1293.7400579646248</v>
      </c>
      <c r="AL684" s="442">
        <f>'[1]Total Agency'!AJ15</f>
        <v>1539.0841279619865</v>
      </c>
      <c r="AM684" s="442">
        <f>'[1]Total Agency'!AK15</f>
        <v>1796.0022303166488</v>
      </c>
    </row>
    <row r="685" spans="2:40">
      <c r="C685" t="s">
        <v>119</v>
      </c>
      <c r="D685" s="8">
        <v>1</v>
      </c>
      <c r="E685" s="8">
        <v>12</v>
      </c>
      <c r="F685" s="895">
        <v>1</v>
      </c>
      <c r="N685" s="1154">
        <v>0.6</v>
      </c>
      <c r="O685" s="732"/>
      <c r="P685" s="1155"/>
      <c r="Q685" s="1155"/>
      <c r="R685" s="1155"/>
      <c r="S685" s="1155"/>
      <c r="T685" s="1155"/>
      <c r="U685" s="1155"/>
      <c r="V685" s="1155"/>
      <c r="W685" s="1155"/>
      <c r="X685" s="1155"/>
      <c r="Y685" s="1169"/>
      <c r="Z685" s="1163"/>
      <c r="AA685" s="1154"/>
      <c r="AB685" s="732"/>
      <c r="AC685" s="1155"/>
      <c r="AD685" s="1155"/>
      <c r="AE685" s="1155"/>
      <c r="AF685" s="1155"/>
      <c r="AG685" s="1155"/>
      <c r="AH685" s="1155"/>
      <c r="AI685" s="1175"/>
      <c r="AJ685" s="1175"/>
      <c r="AK685" s="1175"/>
      <c r="AL685" s="1176"/>
      <c r="AM685" s="1176"/>
    </row>
    <row r="686" spans="2:40">
      <c r="D686" s="8"/>
      <c r="E686" s="8"/>
      <c r="F686" s="1298"/>
      <c r="L686" s="1156" t="s">
        <v>721</v>
      </c>
      <c r="N686" s="754" t="s">
        <v>1139</v>
      </c>
      <c r="O686">
        <v>369</v>
      </c>
      <c r="P686">
        <v>263</v>
      </c>
      <c r="Q686">
        <v>301</v>
      </c>
      <c r="R686">
        <v>567</v>
      </c>
      <c r="S686">
        <v>442</v>
      </c>
      <c r="T686">
        <v>742</v>
      </c>
      <c r="U686">
        <v>1045</v>
      </c>
      <c r="V686">
        <v>879</v>
      </c>
      <c r="W686">
        <v>1002</v>
      </c>
      <c r="X686">
        <v>888</v>
      </c>
      <c r="Y686" s="1169"/>
      <c r="Z686" s="1162"/>
      <c r="AA686" s="754" t="s">
        <v>1139</v>
      </c>
      <c r="AB686" s="914">
        <f>$N$610*X684+(100%-$N$610)*AB684</f>
        <v>403.78313333889719</v>
      </c>
      <c r="AC686" s="914">
        <f>$N$610*AB684+(100%-$N$610)*AC684</f>
        <v>421.15685631665389</v>
      </c>
      <c r="AD686" s="914">
        <f t="shared" ref="AD686:AM686" si="714">$N$610*AC684+(100%-$N$610)*AD684</f>
        <v>1100.7202601023207</v>
      </c>
      <c r="AE686" s="914">
        <f t="shared" si="714"/>
        <v>1065.7614684765738</v>
      </c>
      <c r="AF686" s="914">
        <f t="shared" si="714"/>
        <v>1300.9996124012082</v>
      </c>
      <c r="AG686" s="914">
        <f t="shared" si="714"/>
        <v>1670.6740965621302</v>
      </c>
      <c r="AH686" s="914">
        <f t="shared" si="714"/>
        <v>1160.8254547148047</v>
      </c>
      <c r="AI686" s="914">
        <f t="shared" si="714"/>
        <v>1413.2698134488169</v>
      </c>
      <c r="AJ686" s="914">
        <f t="shared" si="714"/>
        <v>1666.9132116041837</v>
      </c>
      <c r="AK686" s="914">
        <f t="shared" si="714"/>
        <v>1293.7400579646248</v>
      </c>
      <c r="AL686" s="914">
        <f t="shared" si="714"/>
        <v>1539.0841279619865</v>
      </c>
      <c r="AM686" s="914">
        <f t="shared" si="714"/>
        <v>1796.0022303166488</v>
      </c>
    </row>
    <row r="687" spans="2:40">
      <c r="D687" s="8"/>
      <c r="E687" s="8"/>
      <c r="F687" s="1298"/>
      <c r="N687" s="754" t="s">
        <v>1140</v>
      </c>
      <c r="O687">
        <v>105</v>
      </c>
      <c r="P687">
        <v>67</v>
      </c>
      <c r="Q687">
        <v>83</v>
      </c>
      <c r="R687">
        <v>193</v>
      </c>
      <c r="S687">
        <v>148</v>
      </c>
      <c r="T687">
        <v>260</v>
      </c>
      <c r="U687">
        <v>284</v>
      </c>
      <c r="V687">
        <v>251</v>
      </c>
      <c r="W687">
        <v>376</v>
      </c>
      <c r="X687">
        <v>376</v>
      </c>
      <c r="Y687" s="1171">
        <f>SUM(O687:X687)*$F$685</f>
        <v>2143</v>
      </c>
      <c r="Z687" s="1162"/>
      <c r="AA687" s="754" t="s">
        <v>1140</v>
      </c>
      <c r="AB687" s="914">
        <f>AB688*AB686</f>
        <v>114.89763956797887</v>
      </c>
      <c r="AC687" s="914">
        <f>AC688*AC686</f>
        <v>107.29091016431867</v>
      </c>
      <c r="AD687" s="914">
        <f t="shared" ref="AD687:AM687" si="715">AD688*AD686</f>
        <v>303.52086906475949</v>
      </c>
      <c r="AE687" s="914">
        <f t="shared" si="715"/>
        <v>362.77242225040339</v>
      </c>
      <c r="AF687" s="914">
        <f t="shared" si="715"/>
        <v>435.62882949180727</v>
      </c>
      <c r="AG687" s="914">
        <f t="shared" si="715"/>
        <v>585.4114084988596</v>
      </c>
      <c r="AH687" s="914">
        <f t="shared" si="715"/>
        <v>315.47792262105696</v>
      </c>
      <c r="AI687" s="914">
        <f t="shared" si="715"/>
        <v>403.56168734431515</v>
      </c>
      <c r="AJ687" s="914">
        <f t="shared" si="715"/>
        <v>625.50835086145014</v>
      </c>
      <c r="AK687" s="914">
        <f t="shared" si="715"/>
        <v>547.79984436339976</v>
      </c>
      <c r="AL687" s="914">
        <f t="shared" si="715"/>
        <v>692.58785758289389</v>
      </c>
      <c r="AM687" s="914">
        <f t="shared" si="715"/>
        <v>862.08107055199139</v>
      </c>
      <c r="AN687" s="1147">
        <f>SUM(AB687:AM687)*$F$685</f>
        <v>5356.5388123632347</v>
      </c>
    </row>
    <row r="688" spans="2:40">
      <c r="D688" s="8"/>
      <c r="E688" s="8"/>
      <c r="F688" s="8"/>
      <c r="N688" s="754" t="s">
        <v>1141</v>
      </c>
      <c r="O688" s="594">
        <f>O687/O686</f>
        <v>0.28455284552845528</v>
      </c>
      <c r="P688" s="594">
        <f t="shared" ref="P688:X688" si="716">P687/P686</f>
        <v>0.25475285171102663</v>
      </c>
      <c r="Q688" s="594">
        <f t="shared" si="716"/>
        <v>0.27574750830564781</v>
      </c>
      <c r="R688" s="594">
        <f t="shared" si="716"/>
        <v>0.3403880070546737</v>
      </c>
      <c r="S688" s="594">
        <f t="shared" si="716"/>
        <v>0.33484162895927599</v>
      </c>
      <c r="T688" s="594">
        <f t="shared" si="716"/>
        <v>0.35040431266846361</v>
      </c>
      <c r="U688" s="594">
        <f t="shared" si="716"/>
        <v>0.27177033492822966</v>
      </c>
      <c r="V688" s="594">
        <f t="shared" si="716"/>
        <v>0.28555176336746302</v>
      </c>
      <c r="W688" s="594">
        <f t="shared" si="716"/>
        <v>0.37524950099800397</v>
      </c>
      <c r="X688" s="594">
        <f t="shared" si="716"/>
        <v>0.42342342342342343</v>
      </c>
      <c r="Y688" s="1169"/>
      <c r="Z688" s="1165"/>
      <c r="AA688" s="754" t="s">
        <v>1141</v>
      </c>
      <c r="AB688" s="594">
        <v>0.28455284552845528</v>
      </c>
      <c r="AC688" s="594">
        <v>0.25475285171102663</v>
      </c>
      <c r="AD688" s="594">
        <v>0.27574750830564781</v>
      </c>
      <c r="AE688" s="594">
        <v>0.3403880070546737</v>
      </c>
      <c r="AF688" s="594">
        <v>0.33484162895927599</v>
      </c>
      <c r="AG688" s="594">
        <v>0.35040431266846361</v>
      </c>
      <c r="AH688" s="594">
        <v>0.27177033492822966</v>
      </c>
      <c r="AI688" s="1166">
        <v>0.28555176336746302</v>
      </c>
      <c r="AJ688" s="1166">
        <v>0.37524950099800397</v>
      </c>
      <c r="AK688" s="1166">
        <v>0.42342342342342343</v>
      </c>
      <c r="AL688" s="1177">
        <v>0.45</v>
      </c>
      <c r="AM688" s="1177">
        <v>0.48</v>
      </c>
      <c r="AN688" s="1182"/>
    </row>
    <row r="689" spans="3:40">
      <c r="C689" s="140" t="s">
        <v>722</v>
      </c>
      <c r="N689" s="754"/>
      <c r="Y689" s="1169"/>
      <c r="Z689" s="1159"/>
      <c r="AA689" s="754"/>
      <c r="AI689" s="2"/>
      <c r="AJ689" s="2"/>
      <c r="AK689" s="2"/>
      <c r="AL689" s="1178"/>
      <c r="AM689" s="1178"/>
      <c r="AN689" s="1182"/>
    </row>
    <row r="690" spans="3:40">
      <c r="N690" s="1299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1169"/>
      <c r="Z690" s="1162"/>
      <c r="AA690" s="1299"/>
      <c r="AB690" s="1173"/>
      <c r="AC690" s="1173"/>
      <c r="AD690" s="1173"/>
      <c r="AE690" s="1173"/>
      <c r="AF690" s="1173"/>
      <c r="AG690" s="1173"/>
      <c r="AH690" s="1173"/>
      <c r="AI690" s="1173"/>
      <c r="AJ690" s="1173"/>
      <c r="AK690" s="1173"/>
      <c r="AL690" s="1173"/>
      <c r="AM690" s="1173"/>
      <c r="AN690" s="1182"/>
    </row>
    <row r="691" spans="3:40">
      <c r="C691" s="1647" t="s">
        <v>357</v>
      </c>
      <c r="D691" s="1647"/>
      <c r="E691" s="8" t="s">
        <v>720</v>
      </c>
      <c r="F691" t="s">
        <v>723</v>
      </c>
      <c r="N691" s="1299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1170"/>
      <c r="Z691" s="1162"/>
      <c r="AA691" s="1299"/>
      <c r="AB691" s="1173"/>
      <c r="AC691" s="1173"/>
      <c r="AD691" s="1173"/>
      <c r="AE691" s="1173"/>
      <c r="AF691" s="1173"/>
      <c r="AG691" s="1173"/>
      <c r="AH691" s="1173"/>
      <c r="AI691" s="1173"/>
      <c r="AJ691" s="1173"/>
      <c r="AK691" s="1173"/>
      <c r="AL691" s="1174"/>
      <c r="AM691" s="1174"/>
      <c r="AN691" s="1182"/>
    </row>
    <row r="692" spans="3:40">
      <c r="C692" s="893" t="s">
        <v>207</v>
      </c>
      <c r="D692" s="893" t="s">
        <v>718</v>
      </c>
      <c r="E692" s="714"/>
      <c r="F692" s="714"/>
      <c r="N692" s="1299"/>
      <c r="O692" s="1166"/>
      <c r="P692" s="1166"/>
      <c r="Q692" s="1166"/>
      <c r="R692" s="1166"/>
      <c r="S692" s="1166"/>
      <c r="T692" s="1166"/>
      <c r="U692" s="1166"/>
      <c r="V692" s="1166"/>
      <c r="W692" s="1166"/>
      <c r="X692" s="1166"/>
      <c r="Y692" s="1169"/>
      <c r="Z692" s="1165"/>
      <c r="AA692" s="1299"/>
      <c r="AB692" s="1166"/>
      <c r="AC692" s="1166"/>
      <c r="AD692" s="1166"/>
      <c r="AE692" s="1166"/>
      <c r="AF692" s="1166"/>
      <c r="AG692" s="1166"/>
      <c r="AH692" s="1166"/>
      <c r="AI692" s="1166"/>
      <c r="AJ692" s="1166"/>
      <c r="AK692" s="1166"/>
      <c r="AL692" s="1177"/>
      <c r="AM692" s="1177"/>
      <c r="AN692" s="1182"/>
    </row>
    <row r="693" spans="3:40">
      <c r="C693" s="8">
        <v>5</v>
      </c>
      <c r="D693" s="8">
        <v>100</v>
      </c>
      <c r="E693" s="896" t="s">
        <v>427</v>
      </c>
      <c r="F693" s="897">
        <v>13</v>
      </c>
      <c r="N693" s="1299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1169"/>
      <c r="Z693" s="1159"/>
      <c r="AA693" s="1299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1178"/>
      <c r="AM693" s="1178"/>
      <c r="AN693" s="1182"/>
    </row>
    <row r="694" spans="3:40">
      <c r="C694" s="1296"/>
      <c r="D694" s="1296"/>
      <c r="E694" s="1296"/>
      <c r="F694" s="1297"/>
      <c r="N694" s="1299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1169"/>
      <c r="Z694" s="1159"/>
      <c r="AA694" s="1299"/>
      <c r="AB694" s="1173"/>
      <c r="AC694" s="1173"/>
      <c r="AD694" s="1173"/>
      <c r="AE694" s="1173"/>
      <c r="AF694" s="1173"/>
      <c r="AG694" s="1173"/>
      <c r="AH694" s="1173"/>
      <c r="AI694" s="1173"/>
      <c r="AJ694" s="1173"/>
      <c r="AK694" s="1173"/>
      <c r="AL694" s="1173"/>
      <c r="AM694" s="1173"/>
      <c r="AN694" s="1182"/>
    </row>
    <row r="695" spans="3:40">
      <c r="N695" s="1299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1170"/>
      <c r="Z695" s="1162"/>
      <c r="AA695" s="1299"/>
      <c r="AB695" s="1173"/>
      <c r="AC695" s="1173"/>
      <c r="AD695" s="1173"/>
      <c r="AE695" s="1173"/>
      <c r="AF695" s="1173"/>
      <c r="AG695" s="1173"/>
      <c r="AH695" s="1173"/>
      <c r="AI695" s="1173"/>
      <c r="AJ695" s="1173"/>
      <c r="AK695" s="1173"/>
      <c r="AL695" s="1173"/>
      <c r="AM695" s="1173"/>
      <c r="AN695" s="1182"/>
    </row>
    <row r="696" spans="3:40">
      <c r="N696" s="1299"/>
      <c r="O696" s="1166"/>
      <c r="P696" s="1166"/>
      <c r="Q696" s="1166"/>
      <c r="R696" s="1166"/>
      <c r="S696" s="1166"/>
      <c r="T696" s="1166"/>
      <c r="U696" s="1166"/>
      <c r="V696" s="1166"/>
      <c r="W696" s="1166"/>
      <c r="X696" s="1166"/>
      <c r="Y696" s="1169"/>
      <c r="Z696" s="1166"/>
      <c r="AA696" s="1299"/>
      <c r="AB696" s="1166"/>
      <c r="AC696" s="1166"/>
      <c r="AD696" s="1166"/>
      <c r="AE696" s="1166"/>
      <c r="AF696" s="1166"/>
      <c r="AG696" s="1166"/>
      <c r="AH696" s="1166"/>
      <c r="AI696" s="1166"/>
      <c r="AJ696" s="1166"/>
      <c r="AK696" s="1166"/>
      <c r="AL696" s="1177"/>
      <c r="AM696" s="1177"/>
      <c r="AN696" s="1182"/>
    </row>
    <row r="697" spans="3:40">
      <c r="N697" s="1300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1169"/>
      <c r="Z697" s="1159"/>
      <c r="AA697" s="548"/>
      <c r="AI697" s="2"/>
      <c r="AJ697" s="2"/>
      <c r="AK697" s="2"/>
      <c r="AL697" s="1178"/>
      <c r="AM697" s="1178"/>
      <c r="AN697" s="1182"/>
    </row>
    <row r="698" spans="3:40">
      <c r="N698" s="1299"/>
      <c r="O698" s="2"/>
      <c r="P698" s="2"/>
      <c r="Q698" s="2"/>
      <c r="R698" s="2"/>
      <c r="S698" s="2"/>
      <c r="T698" s="2"/>
      <c r="U698" s="2"/>
      <c r="V698" s="1162"/>
      <c r="W698" s="1162"/>
      <c r="X698" s="1162"/>
      <c r="Y698" s="1169"/>
      <c r="Z698" s="1162"/>
      <c r="AA698" s="754" t="s">
        <v>1142</v>
      </c>
      <c r="AB698" s="1174">
        <f t="shared" ref="AB698:AH698" si="717">AB699*AB684</f>
        <v>39.957705903328367</v>
      </c>
      <c r="AC698" s="1174">
        <f t="shared" si="717"/>
        <v>27.026108426737149</v>
      </c>
      <c r="AD698" s="1174">
        <f t="shared" si="717"/>
        <v>58.586723521575131</v>
      </c>
      <c r="AE698" s="1174">
        <f t="shared" si="717"/>
        <v>67.882896081310435</v>
      </c>
      <c r="AF698" s="1174">
        <f t="shared" si="717"/>
        <v>82.101917287454881</v>
      </c>
      <c r="AG698" s="1174">
        <f t="shared" si="717"/>
        <v>65.516631237730593</v>
      </c>
      <c r="AH698" s="1174">
        <f t="shared" si="717"/>
        <v>57.829700660154302</v>
      </c>
      <c r="AI698" s="1174">
        <f>AI699*AI684</f>
        <v>70.405908081897309</v>
      </c>
      <c r="AJ698" s="1174">
        <f t="shared" ref="AJ698:AM698" si="718">AJ699*AJ684</f>
        <v>83.041848937753983</v>
      </c>
      <c r="AK698" s="1174">
        <f t="shared" si="718"/>
        <v>64.451205803826994</v>
      </c>
      <c r="AL698" s="1174">
        <f t="shared" si="718"/>
        <v>76.673692887535168</v>
      </c>
      <c r="AM698" s="1174">
        <f t="shared" si="718"/>
        <v>89.472772105689671</v>
      </c>
      <c r="AN698" s="1182"/>
    </row>
    <row r="699" spans="3:40">
      <c r="N699" s="1299"/>
      <c r="O699" s="1166"/>
      <c r="P699" s="1166"/>
      <c r="Q699" s="1166"/>
      <c r="R699" s="1166"/>
      <c r="S699" s="1166"/>
      <c r="T699" s="1166"/>
      <c r="U699" s="1166"/>
      <c r="V699" s="1165"/>
      <c r="W699" s="1165"/>
      <c r="X699" s="1165"/>
      <c r="Y699" s="1169"/>
      <c r="Z699" s="1165"/>
      <c r="AA699" s="754" t="s">
        <v>706</v>
      </c>
      <c r="AB699" s="594">
        <v>9.8958333333333329E-2</v>
      </c>
      <c r="AC699" s="594">
        <v>6.4171122994652413E-2</v>
      </c>
      <c r="AD699" s="594">
        <v>5.32258064516129E-2</v>
      </c>
      <c r="AE699" s="594">
        <v>6.3694267515923567E-2</v>
      </c>
      <c r="AF699" s="594">
        <v>6.3106796116504854E-2</v>
      </c>
      <c r="AG699" s="594">
        <v>3.9215686274509803E-2</v>
      </c>
      <c r="AH699" s="594">
        <v>4.9817739975698661E-2</v>
      </c>
      <c r="AI699" s="1177">
        <v>4.9817739975698661E-2</v>
      </c>
      <c r="AJ699" s="1177">
        <v>4.9817739975698661E-2</v>
      </c>
      <c r="AK699" s="1177">
        <v>4.9817739975698661E-2</v>
      </c>
      <c r="AL699" s="1177">
        <v>4.9817739975698661E-2</v>
      </c>
      <c r="AM699" s="1177">
        <v>4.9817739975698661E-2</v>
      </c>
      <c r="AN699" s="1182"/>
    </row>
    <row r="700" spans="3:40">
      <c r="N700" s="548"/>
      <c r="Y700" s="1169"/>
      <c r="Z700" s="1159"/>
      <c r="AA700" s="548"/>
      <c r="AI700" s="2"/>
      <c r="AJ700" s="2"/>
      <c r="AK700" s="2"/>
      <c r="AL700" s="1178"/>
      <c r="AM700" s="1178"/>
      <c r="AN700" s="1182"/>
    </row>
    <row r="701" spans="3:40">
      <c r="L701" s="1156" t="s">
        <v>1143</v>
      </c>
      <c r="N701" s="754" t="s">
        <v>1144</v>
      </c>
      <c r="O701">
        <v>11</v>
      </c>
      <c r="P701">
        <v>7</v>
      </c>
      <c r="Q701">
        <v>21</v>
      </c>
      <c r="R701">
        <v>29</v>
      </c>
      <c r="S701">
        <v>33</v>
      </c>
      <c r="T701">
        <v>38</v>
      </c>
      <c r="U701">
        <v>28</v>
      </c>
      <c r="V701" s="1153">
        <f>V702*V684</f>
        <v>37.72</v>
      </c>
      <c r="W701" s="1153">
        <f t="shared" ref="W701:X701" si="719">W702*W684</f>
        <v>53.800000000000004</v>
      </c>
      <c r="X701" s="1153">
        <f t="shared" si="719"/>
        <v>40.44</v>
      </c>
      <c r="Y701" s="1171">
        <f>SUM(O701:X701)*$F$693</f>
        <v>3886.4799999999996</v>
      </c>
      <c r="Z701" s="1162"/>
      <c r="AA701" s="754" t="s">
        <v>1144</v>
      </c>
      <c r="AB701" s="1179">
        <f>AB702*AB684</f>
        <v>23.133408680874318</v>
      </c>
      <c r="AC701" s="1179">
        <f t="shared" ref="AC701:AM701" si="720">AC702*AC684</f>
        <v>15.765229915596668</v>
      </c>
      <c r="AD701" s="1179">
        <f t="shared" si="720"/>
        <v>37.282460422820542</v>
      </c>
      <c r="AE701" s="1179">
        <f t="shared" si="720"/>
        <v>65.620132878600089</v>
      </c>
      <c r="AF701" s="1179">
        <f t="shared" si="720"/>
        <v>69.470853089384903</v>
      </c>
      <c r="AG701" s="1179">
        <f t="shared" si="720"/>
        <v>56.582545159858242</v>
      </c>
      <c r="AH701" s="1179">
        <f t="shared" si="720"/>
        <v>39.493454109373666</v>
      </c>
      <c r="AI701" s="1179">
        <f t="shared" si="720"/>
        <v>56.530792537952678</v>
      </c>
      <c r="AJ701" s="1179">
        <f t="shared" si="720"/>
        <v>83.345660580209199</v>
      </c>
      <c r="AK701" s="1179">
        <f t="shared" si="720"/>
        <v>51.749602318584998</v>
      </c>
      <c r="AL701" s="1179">
        <f t="shared" si="720"/>
        <v>76.95420639809933</v>
      </c>
      <c r="AM701" s="1179">
        <f t="shared" si="720"/>
        <v>107.76013381899892</v>
      </c>
      <c r="AN701" s="1147">
        <f>SUM(AB701:AM701)*$F$693</f>
        <v>8887.9502388345954</v>
      </c>
    </row>
    <row r="702" spans="3:40">
      <c r="N702" s="754" t="s">
        <v>1145</v>
      </c>
      <c r="O702" s="594">
        <f>O701/O684</f>
        <v>5.7291666666666664E-2</v>
      </c>
      <c r="P702" s="594">
        <f t="shared" ref="P702:U702" si="721">P701/P684</f>
        <v>3.7433155080213901E-2</v>
      </c>
      <c r="Q702" s="594">
        <f t="shared" si="721"/>
        <v>3.3870967741935487E-2</v>
      </c>
      <c r="R702" s="594">
        <f t="shared" si="721"/>
        <v>6.1571125265392782E-2</v>
      </c>
      <c r="S702" s="594">
        <f t="shared" si="721"/>
        <v>5.3398058252427182E-2</v>
      </c>
      <c r="T702" s="594">
        <f t="shared" si="721"/>
        <v>3.3868092691622102E-2</v>
      </c>
      <c r="U702" s="594">
        <f t="shared" si="721"/>
        <v>3.4021871202916158E-2</v>
      </c>
      <c r="V702" s="1157">
        <v>0.04</v>
      </c>
      <c r="W702" s="1157">
        <v>0.05</v>
      </c>
      <c r="X702" s="1157">
        <v>0.04</v>
      </c>
      <c r="Y702" s="1169"/>
      <c r="Z702" s="1165"/>
      <c r="AA702" s="754" t="s">
        <v>1145</v>
      </c>
      <c r="AB702" s="1180">
        <v>5.7291666666666664E-2</v>
      </c>
      <c r="AC702" s="1180">
        <v>3.7433155080213901E-2</v>
      </c>
      <c r="AD702" s="1180">
        <v>3.3870967741935487E-2</v>
      </c>
      <c r="AE702" s="1180">
        <v>6.1571125265392782E-2</v>
      </c>
      <c r="AF702" s="1180">
        <v>5.3398058252427182E-2</v>
      </c>
      <c r="AG702" s="1180">
        <v>3.3868092691622102E-2</v>
      </c>
      <c r="AH702" s="1180">
        <v>3.4021871202916158E-2</v>
      </c>
      <c r="AI702" s="1177">
        <v>0.04</v>
      </c>
      <c r="AJ702" s="1177">
        <v>0.05</v>
      </c>
      <c r="AK702" s="1177">
        <v>0.04</v>
      </c>
      <c r="AL702" s="1177">
        <v>0.05</v>
      </c>
      <c r="AM702" s="1177">
        <v>0.06</v>
      </c>
      <c r="AN702" s="1182"/>
    </row>
    <row r="703" spans="3:40">
      <c r="M703" s="2"/>
      <c r="N703" s="1299"/>
      <c r="O703" s="2"/>
      <c r="P703" s="2"/>
      <c r="Q703" s="2"/>
      <c r="R703" s="2"/>
      <c r="S703" s="2"/>
      <c r="T703" s="2"/>
      <c r="U703" s="2"/>
      <c r="V703" s="1162"/>
      <c r="W703" s="1162"/>
      <c r="X703" s="1162"/>
      <c r="Y703" s="1170"/>
      <c r="Z703" s="1162"/>
      <c r="AA703" s="1299"/>
      <c r="AB703" s="1174"/>
      <c r="AC703" s="1174"/>
      <c r="AD703" s="1174"/>
      <c r="AE703" s="1174"/>
      <c r="AF703" s="1174"/>
      <c r="AG703" s="1174"/>
      <c r="AH703" s="1174"/>
      <c r="AI703" s="1174"/>
      <c r="AJ703" s="1174"/>
      <c r="AK703" s="1174"/>
      <c r="AL703" s="1174"/>
      <c r="AM703" s="1174"/>
      <c r="AN703" s="1182"/>
    </row>
    <row r="704" spans="3:40">
      <c r="M704" s="2"/>
      <c r="N704" s="1299"/>
      <c r="O704" s="1166"/>
      <c r="P704" s="1166"/>
      <c r="Q704" s="1166"/>
      <c r="R704" s="1166"/>
      <c r="S704" s="1166"/>
      <c r="T704" s="1166"/>
      <c r="U704" s="1166"/>
      <c r="V704" s="1165"/>
      <c r="W704" s="1165"/>
      <c r="X704" s="1165"/>
      <c r="Y704" s="1169"/>
      <c r="Z704" s="1165"/>
      <c r="AA704" s="1299"/>
      <c r="AB704" s="1177"/>
      <c r="AC704" s="1177"/>
      <c r="AD704" s="1177"/>
      <c r="AE704" s="1177"/>
      <c r="AF704" s="1177"/>
      <c r="AG704" s="1177"/>
      <c r="AH704" s="1177"/>
      <c r="AI704" s="1177"/>
      <c r="AJ704" s="1177"/>
      <c r="AK704" s="1177"/>
      <c r="AL704" s="1177"/>
      <c r="AM704" s="1177"/>
      <c r="AN704" s="1182"/>
    </row>
    <row r="705" spans="2:40">
      <c r="V705" s="1151"/>
      <c r="W705" s="1151"/>
      <c r="X705" s="1151"/>
      <c r="Y705" s="1159"/>
      <c r="Z705" s="1159"/>
      <c r="AA705" s="1164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1182"/>
    </row>
    <row r="708" spans="2:40" s="45" customFormat="1">
      <c r="B708" s="46" t="s">
        <v>764</v>
      </c>
      <c r="O708" s="1136" t="s">
        <v>460</v>
      </c>
      <c r="P708" s="1136"/>
      <c r="Q708" s="1137">
        <f>AC714+AC718+AC727</f>
        <v>7529.5401264181082</v>
      </c>
      <c r="R708" s="1138">
        <f>Q708/SUM($X$57:$AA$57)</f>
        <v>1.097354972256913E-2</v>
      </c>
    </row>
    <row r="710" spans="2:40">
      <c r="K710" s="544" t="s">
        <v>470</v>
      </c>
      <c r="AA710" s="544" t="s">
        <v>1147</v>
      </c>
    </row>
    <row r="711" spans="2:40">
      <c r="B711" s="1301"/>
      <c r="C711" s="2"/>
      <c r="D711" s="2"/>
      <c r="E711" s="2"/>
      <c r="F711" s="2"/>
      <c r="G711" s="2"/>
      <c r="H711" s="2"/>
    </row>
    <row r="712" spans="2:40">
      <c r="B712" s="669">
        <v>1</v>
      </c>
      <c r="C712" t="s">
        <v>1233</v>
      </c>
      <c r="N712" s="490" t="s">
        <v>1157</v>
      </c>
      <c r="AB712" s="490" t="s">
        <v>1157</v>
      </c>
    </row>
    <row r="713" spans="2:40">
      <c r="B713" s="669"/>
      <c r="C713" t="s">
        <v>1234</v>
      </c>
      <c r="F713" s="894">
        <v>1</v>
      </c>
      <c r="N713" s="490" t="s">
        <v>1158</v>
      </c>
      <c r="O713" s="442">
        <f>SUM(O687:X687)</f>
        <v>2143</v>
      </c>
      <c r="AB713" s="490" t="s">
        <v>1158</v>
      </c>
      <c r="AC713" s="442">
        <f>SUM(AB687:AM687)</f>
        <v>5356.5388123632347</v>
      </c>
    </row>
    <row r="714" spans="2:40">
      <c r="B714" s="669">
        <v>2</v>
      </c>
      <c r="C714" s="143" t="s">
        <v>724</v>
      </c>
      <c r="F714" s="788">
        <v>13</v>
      </c>
      <c r="N714" s="490" t="s">
        <v>1159</v>
      </c>
      <c r="O714" s="442">
        <f>O713*$F$711</f>
        <v>0</v>
      </c>
      <c r="AB714" s="490" t="s">
        <v>1159</v>
      </c>
      <c r="AC714" s="876">
        <f>AC713*$F$713</f>
        <v>5356.5388123632347</v>
      </c>
    </row>
    <row r="715" spans="2:40">
      <c r="C715" t="s">
        <v>725</v>
      </c>
    </row>
    <row r="716" spans="2:40">
      <c r="C716" s="898" t="s">
        <v>726</v>
      </c>
      <c r="N716" s="490"/>
      <c r="AB716" s="490"/>
    </row>
    <row r="717" spans="2:40">
      <c r="N717" s="490"/>
      <c r="O717" s="442"/>
      <c r="AB717" s="490"/>
      <c r="AC717" s="442"/>
    </row>
    <row r="718" spans="2:40">
      <c r="N718" s="490"/>
      <c r="O718" s="442"/>
      <c r="AB718" s="490"/>
      <c r="AC718" s="876"/>
    </row>
    <row r="720" spans="2:40">
      <c r="L720">
        <v>2</v>
      </c>
      <c r="N720" s="490" t="s">
        <v>1160</v>
      </c>
      <c r="Z720">
        <v>2</v>
      </c>
      <c r="AB720" s="490" t="s">
        <v>1160</v>
      </c>
    </row>
    <row r="721" spans="2:33">
      <c r="AC721" s="1183"/>
      <c r="AD721" s="1185" t="s">
        <v>1161</v>
      </c>
      <c r="AE721" s="1185" t="s">
        <v>1162</v>
      </c>
      <c r="AF721" s="1185" t="s">
        <v>1163</v>
      </c>
      <c r="AG721" s="1185" t="s">
        <v>1164</v>
      </c>
    </row>
    <row r="722" spans="2:33">
      <c r="N722" s="1183"/>
      <c r="O722" s="1184" t="s">
        <v>1148</v>
      </c>
      <c r="P722" s="1184" t="s">
        <v>1149</v>
      </c>
      <c r="Q722" s="1184" t="s">
        <v>1150</v>
      </c>
      <c r="R722" s="1184" t="s">
        <v>1151</v>
      </c>
      <c r="S722" s="1184" t="s">
        <v>1152</v>
      </c>
      <c r="T722" s="1184" t="s">
        <v>1153</v>
      </c>
      <c r="U722" s="1184" t="s">
        <v>1154</v>
      </c>
      <c r="V722" s="1184" t="s">
        <v>1155</v>
      </c>
      <c r="AC722" s="754" t="s">
        <v>1156</v>
      </c>
      <c r="AD722" s="914">
        <f>AD723*AD724</f>
        <v>18.801296112528416</v>
      </c>
      <c r="AE722" s="914">
        <f t="shared" ref="AE722:AG722" si="722">AE723*AE724</f>
        <v>40.437049820960155</v>
      </c>
      <c r="AF722" s="914">
        <f t="shared" si="722"/>
        <v>48.33494510276747</v>
      </c>
      <c r="AG722" s="914">
        <f t="shared" si="722"/>
        <v>59.580656198734225</v>
      </c>
    </row>
    <row r="723" spans="2:33">
      <c r="N723" s="754" t="s">
        <v>1156</v>
      </c>
      <c r="O723">
        <v>4</v>
      </c>
      <c r="P723">
        <v>4</v>
      </c>
      <c r="Q723">
        <v>10</v>
      </c>
      <c r="R723">
        <v>10</v>
      </c>
      <c r="S723">
        <v>6</v>
      </c>
      <c r="T723">
        <v>22</v>
      </c>
      <c r="U723">
        <v>14</v>
      </c>
      <c r="V723" s="914">
        <f>V724%</f>
        <v>18.822865947642796</v>
      </c>
      <c r="AC723" s="754" t="s">
        <v>633</v>
      </c>
      <c r="AD723" s="914">
        <f>Y298</f>
        <v>1880.1296112528416</v>
      </c>
      <c r="AE723" s="914">
        <f>Z298</f>
        <v>2021.8524910480076</v>
      </c>
      <c r="AF723" s="914">
        <f>AA298</f>
        <v>2197.0429592167034</v>
      </c>
      <c r="AG723" s="914">
        <f>AB298</f>
        <v>2383.2262479493688</v>
      </c>
    </row>
    <row r="724" spans="2:33">
      <c r="N724" s="754" t="s">
        <v>633</v>
      </c>
      <c r="O724">
        <v>585</v>
      </c>
      <c r="P724">
        <v>722</v>
      </c>
      <c r="Q724">
        <v>817</v>
      </c>
      <c r="R724">
        <v>856</v>
      </c>
      <c r="S724">
        <v>885</v>
      </c>
      <c r="T724">
        <v>1124</v>
      </c>
      <c r="U724">
        <v>1341</v>
      </c>
      <c r="V724" s="914">
        <f>'[4]AL Promotion &amp; Recruited'!$Y$22</f>
        <v>1882.2865947642795</v>
      </c>
      <c r="AC724" s="754" t="s">
        <v>706</v>
      </c>
      <c r="AD724" s="594">
        <v>0.01</v>
      </c>
      <c r="AE724" s="594">
        <v>0.02</v>
      </c>
      <c r="AF724" s="594">
        <v>2.1999999999999999E-2</v>
      </c>
      <c r="AG724" s="594">
        <v>2.5000000000000001E-2</v>
      </c>
    </row>
    <row r="725" spans="2:33">
      <c r="N725" s="754" t="s">
        <v>706</v>
      </c>
      <c r="O725" s="594">
        <f>O723/O724</f>
        <v>6.8376068376068376E-3</v>
      </c>
      <c r="P725" s="594">
        <f t="shared" ref="P725:U725" si="723">P723/P724</f>
        <v>5.5401662049861496E-3</v>
      </c>
      <c r="Q725" s="594">
        <f t="shared" si="723"/>
        <v>1.2239902080783354E-2</v>
      </c>
      <c r="R725" s="594">
        <f t="shared" si="723"/>
        <v>1.1682242990654205E-2</v>
      </c>
      <c r="S725" s="594">
        <f t="shared" si="723"/>
        <v>6.7796610169491523E-3</v>
      </c>
      <c r="T725" s="594">
        <f t="shared" si="723"/>
        <v>1.9572953736654804E-2</v>
      </c>
      <c r="U725" s="594">
        <f t="shared" si="723"/>
        <v>1.0439970171513796E-2</v>
      </c>
      <c r="V725" s="594">
        <v>0.02</v>
      </c>
    </row>
    <row r="726" spans="2:33">
      <c r="AB726" s="490" t="s">
        <v>1165</v>
      </c>
      <c r="AC726" s="914">
        <f>SUM(AD722:AG722)</f>
        <v>167.15394723499028</v>
      </c>
    </row>
    <row r="727" spans="2:33">
      <c r="AB727" s="490" t="s">
        <v>466</v>
      </c>
      <c r="AC727" s="876">
        <f>AC726*$F$714</f>
        <v>2173.0013140548735</v>
      </c>
    </row>
    <row r="730" spans="2:33" s="45" customFormat="1">
      <c r="B730" s="46" t="s">
        <v>765</v>
      </c>
      <c r="O730" s="1136" t="s">
        <v>460</v>
      </c>
      <c r="P730" s="1136"/>
      <c r="Q730" s="1137">
        <f>AD738</f>
        <v>22002.158954255254</v>
      </c>
      <c r="R730" s="1138">
        <f>Q730/SUM($X$57:$AA$57)</f>
        <v>3.2065940447181918E-2</v>
      </c>
    </row>
    <row r="732" spans="2:33">
      <c r="C732" s="258" t="s">
        <v>112</v>
      </c>
      <c r="D732" s="223"/>
      <c r="E732" s="239"/>
      <c r="F732" s="239"/>
      <c r="G732" s="239"/>
      <c r="H732" s="239"/>
      <c r="I732" s="239"/>
      <c r="Q732" s="1" t="s">
        <v>549</v>
      </c>
    </row>
    <row r="733" spans="2:33">
      <c r="C733" s="243" t="s">
        <v>113</v>
      </c>
      <c r="D733" s="343"/>
      <c r="E733" s="344"/>
      <c r="F733" s="230"/>
      <c r="G733" s="239"/>
      <c r="H733" s="239"/>
      <c r="I733" s="239"/>
      <c r="R733" s="490" t="s">
        <v>479</v>
      </c>
      <c r="S733" s="490" t="s">
        <v>480</v>
      </c>
      <c r="T733" s="490" t="s">
        <v>481</v>
      </c>
      <c r="U733" s="490" t="s">
        <v>482</v>
      </c>
      <c r="V733" s="490" t="s">
        <v>483</v>
      </c>
      <c r="W733" s="490" t="s">
        <v>484</v>
      </c>
      <c r="X733" s="490" t="s">
        <v>485</v>
      </c>
      <c r="Y733" s="490" t="s">
        <v>486</v>
      </c>
      <c r="Z733" s="490" t="s">
        <v>487</v>
      </c>
      <c r="AA733" s="490" t="s">
        <v>488</v>
      </c>
      <c r="AB733" s="490" t="s">
        <v>489</v>
      </c>
      <c r="AC733" s="490" t="s">
        <v>490</v>
      </c>
      <c r="AD733" s="1125" t="s">
        <v>254</v>
      </c>
    </row>
    <row r="734" spans="2:33">
      <c r="C734" s="899" t="s">
        <v>114</v>
      </c>
      <c r="D734" s="345" t="s">
        <v>115</v>
      </c>
      <c r="E734" s="241" t="s">
        <v>116</v>
      </c>
      <c r="F734" s="318" t="s">
        <v>117</v>
      </c>
      <c r="G734" s="242" t="s">
        <v>118</v>
      </c>
      <c r="H734" s="346"/>
      <c r="I734" s="347"/>
      <c r="Q734" t="s">
        <v>628</v>
      </c>
      <c r="R734" s="442">
        <f>'Leader RSP'!EF13</f>
        <v>1878.5595000000005</v>
      </c>
      <c r="S734" s="442">
        <f>'Leader RSP'!EG13</f>
        <v>1249.9156800000007</v>
      </c>
      <c r="T734" s="442">
        <f>'Leader RSP'!EH13</f>
        <v>981.88431750000029</v>
      </c>
      <c r="U734" s="442">
        <f>'Leader RSP'!EI13</f>
        <v>900.39669750000007</v>
      </c>
      <c r="V734" s="442">
        <f>'Leader RSP'!EJ13</f>
        <v>988.82823600000029</v>
      </c>
      <c r="W734" s="442">
        <f>'Leader RSP'!EK13</f>
        <v>1062.3872902500002</v>
      </c>
      <c r="X734" s="442">
        <f>'Leader RSP'!EL13</f>
        <v>1025.2300657500004</v>
      </c>
      <c r="Y734" s="442">
        <f>'Leader RSP'!EM13</f>
        <v>1096.9227200250002</v>
      </c>
      <c r="Z734" s="442">
        <f>'Leader RSP'!EN13</f>
        <v>1190.5599276450005</v>
      </c>
      <c r="AA734" s="442">
        <f>'Leader RSP'!EO13</f>
        <v>1206.1982725650005</v>
      </c>
      <c r="AB734" s="442">
        <f>'Leader RSP'!EP13</f>
        <v>1314.2665096110004</v>
      </c>
      <c r="AC734" s="442">
        <f>'Leader RSP'!EQ13</f>
        <v>1388.4675771037505</v>
      </c>
      <c r="AD734" s="1147">
        <f>SUM(R734:AC734)</f>
        <v>14283.616793949754</v>
      </c>
    </row>
    <row r="735" spans="2:33">
      <c r="C735" s="243" t="s">
        <v>119</v>
      </c>
      <c r="D735" s="348">
        <v>10</v>
      </c>
      <c r="E735" s="349">
        <v>1</v>
      </c>
      <c r="F735" s="350">
        <v>3</v>
      </c>
      <c r="G735" s="351">
        <v>10</v>
      </c>
      <c r="H735" s="352"/>
      <c r="I735" s="353"/>
      <c r="Q735" t="s">
        <v>506</v>
      </c>
      <c r="R735" s="442">
        <f>'Leader RSP'!EF56</f>
        <v>417.16537499999993</v>
      </c>
      <c r="S735" s="442">
        <f>'Leader RSP'!EG56</f>
        <v>260.66733750000003</v>
      </c>
      <c r="T735" s="442">
        <f>'Leader RSP'!EH56</f>
        <v>195.97466249999999</v>
      </c>
      <c r="U735" s="442">
        <f>'Leader RSP'!EI56</f>
        <v>177.0289875</v>
      </c>
      <c r="V735" s="442">
        <f>'Leader RSP'!EJ56</f>
        <v>197.51836500000002</v>
      </c>
      <c r="W735" s="442">
        <f>'Leader RSP'!EK56</f>
        <v>211.49060625000001</v>
      </c>
      <c r="X735" s="442">
        <f>'Leader RSP'!EL56</f>
        <v>197.25138675000002</v>
      </c>
      <c r="Y735" s="442">
        <f>'Leader RSP'!EM56</f>
        <v>206.51376735000002</v>
      </c>
      <c r="Z735" s="442">
        <f>'Leader RSP'!EN56</f>
        <v>214.03469265750002</v>
      </c>
      <c r="AA735" s="442">
        <f>'Leader RSP'!EO56</f>
        <v>209.87507475000007</v>
      </c>
      <c r="AB735" s="442">
        <f>'Leader RSP'!EP56</f>
        <v>223.86169525500006</v>
      </c>
      <c r="AC735" s="442">
        <f>'Leader RSP'!EQ56</f>
        <v>228.09556499400009</v>
      </c>
      <c r="AD735" s="1147">
        <f t="shared" ref="AD735:AD737" si="724">SUM(R735:AC735)</f>
        <v>2739.4775155065004</v>
      </c>
    </row>
    <row r="736" spans="2:33">
      <c r="C736" s="243" t="s">
        <v>120</v>
      </c>
      <c r="D736" s="348">
        <v>20</v>
      </c>
      <c r="E736" s="349">
        <v>1</v>
      </c>
      <c r="F736" s="354">
        <v>4</v>
      </c>
      <c r="G736" s="351">
        <v>10</v>
      </c>
      <c r="H736" s="352"/>
      <c r="I736" s="353"/>
      <c r="Q736" t="s">
        <v>629</v>
      </c>
      <c r="R736" s="442">
        <f>'Leader RSP'!EF103</f>
        <v>435.99719999999996</v>
      </c>
      <c r="S736" s="442">
        <f>'Leader RSP'!EG103</f>
        <v>417.85351200000008</v>
      </c>
      <c r="T736" s="442">
        <f>'Leader RSP'!EH103</f>
        <v>367.29976500000004</v>
      </c>
      <c r="U736" s="442">
        <f>'Leader RSP'!EI103</f>
        <v>300.61368000000004</v>
      </c>
      <c r="V736" s="442">
        <f>'Leader RSP'!EJ103</f>
        <v>257.7213342</v>
      </c>
      <c r="W736" s="442">
        <f>'Leader RSP'!EK103</f>
        <v>236.64929082300003</v>
      </c>
      <c r="X736" s="442">
        <f>'Leader RSP'!EL103</f>
        <v>202.38882701400001</v>
      </c>
      <c r="Y736" s="442">
        <f>'Leader RSP'!EM103</f>
        <v>193.03377251399999</v>
      </c>
      <c r="Z736" s="442">
        <f>'Leader RSP'!EN103</f>
        <v>174.34244876400004</v>
      </c>
      <c r="AA736" s="442">
        <f>'Leader RSP'!EO103</f>
        <v>151.19902076400001</v>
      </c>
      <c r="AB736" s="442">
        <f>'Leader RSP'!EP103</f>
        <v>139.89030026399999</v>
      </c>
      <c r="AC736" s="442">
        <f>'Leader RSP'!EQ103</f>
        <v>135.00613526400002</v>
      </c>
      <c r="AD736" s="1147">
        <f t="shared" si="724"/>
        <v>3011.9952866069998</v>
      </c>
    </row>
    <row r="737" spans="3:30">
      <c r="C737" s="243" t="s">
        <v>121</v>
      </c>
      <c r="D737" s="348">
        <v>25</v>
      </c>
      <c r="E737" s="349">
        <v>2</v>
      </c>
      <c r="F737" s="354">
        <v>5</v>
      </c>
      <c r="G737" s="351">
        <v>10</v>
      </c>
      <c r="H737" s="352"/>
      <c r="I737" s="355"/>
      <c r="Q737" s="714" t="s">
        <v>1117</v>
      </c>
      <c r="R737" s="731">
        <f>'Leader RSP'!EF149</f>
        <v>263.649</v>
      </c>
      <c r="S737" s="731">
        <f>'Leader RSP'!EG149</f>
        <v>233.89344</v>
      </c>
      <c r="T737" s="731">
        <f>'Leader RSP'!EH149</f>
        <v>227.29220999999998</v>
      </c>
      <c r="U737" s="731">
        <f>'Leader RSP'!EI149</f>
        <v>202.68198000000001</v>
      </c>
      <c r="V737" s="731">
        <f>'Leader RSP'!EJ149</f>
        <v>185.46164999999999</v>
      </c>
      <c r="W737" s="731">
        <f>'Leader RSP'!EK149</f>
        <v>181.08409928400002</v>
      </c>
      <c r="X737" s="731">
        <f>'Leader RSP'!EL149</f>
        <v>164.54736856800002</v>
      </c>
      <c r="Y737" s="731">
        <f>'Leader RSP'!EM149</f>
        <v>141.62936356800003</v>
      </c>
      <c r="Z737" s="731">
        <f>'Leader RSP'!EN149</f>
        <v>115.14216106800001</v>
      </c>
      <c r="AA737" s="731">
        <f>'Leader RSP'!EO149</f>
        <v>90.345631068000017</v>
      </c>
      <c r="AB737" s="731">
        <f>'Leader RSP'!EP149</f>
        <v>81.704416068000015</v>
      </c>
      <c r="AC737" s="731">
        <f>'Leader RSP'!EQ149</f>
        <v>79.638038567999999</v>
      </c>
      <c r="AD737" s="1148">
        <f t="shared" si="724"/>
        <v>1967.069358192</v>
      </c>
    </row>
    <row r="738" spans="3:30">
      <c r="C738" s="243" t="s">
        <v>122</v>
      </c>
      <c r="D738" s="348">
        <v>30</v>
      </c>
      <c r="E738" s="356">
        <v>2</v>
      </c>
      <c r="F738" s="354"/>
      <c r="G738" s="351">
        <v>7</v>
      </c>
      <c r="H738" s="357"/>
      <c r="I738" s="353"/>
      <c r="Q738" s="669" t="s">
        <v>221</v>
      </c>
      <c r="R738" s="842">
        <f>SUM(R734:R737)</f>
        <v>2995.371075</v>
      </c>
      <c r="S738" s="842">
        <f t="shared" ref="S738:AD738" si="725">SUM(S734:S737)</f>
        <v>2162.329969500001</v>
      </c>
      <c r="T738" s="842">
        <f t="shared" si="725"/>
        <v>1772.4509550000002</v>
      </c>
      <c r="U738" s="842">
        <f t="shared" si="725"/>
        <v>1580.7213450000002</v>
      </c>
      <c r="V738" s="842">
        <f t="shared" si="725"/>
        <v>1629.5295852000002</v>
      </c>
      <c r="W738" s="842">
        <f t="shared" si="725"/>
        <v>1691.6112866070002</v>
      </c>
      <c r="X738" s="842">
        <f t="shared" si="725"/>
        <v>1589.4176480820006</v>
      </c>
      <c r="Y738" s="842">
        <f t="shared" si="725"/>
        <v>1638.0996234570002</v>
      </c>
      <c r="Z738" s="842">
        <f t="shared" si="725"/>
        <v>1694.0792301345004</v>
      </c>
      <c r="AA738" s="842">
        <f t="shared" si="725"/>
        <v>1657.6179991470005</v>
      </c>
      <c r="AB738" s="842">
        <f t="shared" si="725"/>
        <v>1759.7229211980004</v>
      </c>
      <c r="AC738" s="842">
        <f t="shared" si="725"/>
        <v>1831.2073159297506</v>
      </c>
      <c r="AD738" s="1147">
        <f t="shared" si="725"/>
        <v>22002.158954255254</v>
      </c>
    </row>
    <row r="739" spans="3:30">
      <c r="C739" s="243" t="s">
        <v>123</v>
      </c>
      <c r="D739" s="348">
        <v>35</v>
      </c>
      <c r="E739" s="356">
        <v>3</v>
      </c>
      <c r="F739" s="354"/>
      <c r="G739" s="351">
        <v>7</v>
      </c>
      <c r="H739" s="357"/>
      <c r="I739" s="353"/>
    </row>
    <row r="740" spans="3:30">
      <c r="C740" s="243" t="s">
        <v>124</v>
      </c>
      <c r="D740" s="348">
        <v>40</v>
      </c>
      <c r="E740" s="356">
        <v>3</v>
      </c>
      <c r="F740" s="354"/>
      <c r="G740" s="351">
        <v>7</v>
      </c>
      <c r="H740" s="357"/>
      <c r="I740" s="355"/>
    </row>
    <row r="741" spans="3:30">
      <c r="C741" s="243" t="s">
        <v>125</v>
      </c>
      <c r="D741" s="348">
        <v>45</v>
      </c>
      <c r="E741" s="356">
        <v>4</v>
      </c>
      <c r="F741" s="354"/>
      <c r="G741" s="358">
        <v>6</v>
      </c>
      <c r="H741" s="357"/>
      <c r="I741" s="239"/>
    </row>
    <row r="742" spans="3:30">
      <c r="C742" s="243" t="s">
        <v>126</v>
      </c>
      <c r="D742" s="348">
        <v>45</v>
      </c>
      <c r="E742" s="356">
        <v>4</v>
      </c>
      <c r="F742" s="354"/>
      <c r="G742" s="358">
        <v>6</v>
      </c>
      <c r="H742" s="357"/>
      <c r="I742" s="239"/>
    </row>
    <row r="743" spans="3:30">
      <c r="C743" s="899" t="s">
        <v>127</v>
      </c>
      <c r="D743" s="359">
        <v>50</v>
      </c>
      <c r="E743" s="360">
        <v>4</v>
      </c>
      <c r="F743" s="361"/>
      <c r="G743" s="362">
        <v>6</v>
      </c>
      <c r="H743" s="363"/>
      <c r="I743" s="239"/>
    </row>
    <row r="744" spans="3:30">
      <c r="C744" s="256" t="s">
        <v>128</v>
      </c>
      <c r="D744" s="364">
        <f t="shared" ref="D744:E744" si="726">SUM(D735:D743)</f>
        <v>300</v>
      </c>
      <c r="E744" s="365">
        <f t="shared" si="726"/>
        <v>24</v>
      </c>
      <c r="F744" s="223"/>
      <c r="G744" s="255">
        <f>SUM(G735:G743)</f>
        <v>69</v>
      </c>
      <c r="H744" s="366"/>
      <c r="I744" s="355"/>
    </row>
    <row r="745" spans="3:30">
      <c r="C745" s="367" t="s">
        <v>371</v>
      </c>
      <c r="D745" s="31"/>
      <c r="E745" s="31"/>
      <c r="F745" s="31"/>
      <c r="G745" s="31"/>
      <c r="H745" s="368"/>
      <c r="I745" s="31"/>
    </row>
    <row r="746" spans="3:30">
      <c r="C746" s="367" t="s">
        <v>129</v>
      </c>
      <c r="D746" s="32"/>
      <c r="E746" s="32"/>
      <c r="F746" s="32"/>
      <c r="G746" s="32"/>
      <c r="H746" s="369"/>
      <c r="I746" s="32"/>
    </row>
    <row r="747" spans="3:30">
      <c r="C747" s="370" t="s">
        <v>130</v>
      </c>
      <c r="D747" s="370"/>
      <c r="E747" s="370"/>
      <c r="F747" s="370"/>
      <c r="G747" s="370"/>
      <c r="H747" s="370"/>
      <c r="I747" s="370"/>
    </row>
    <row r="748" spans="3:30">
      <c r="C748" s="371" t="s">
        <v>131</v>
      </c>
      <c r="D748" s="370"/>
      <c r="E748" s="370"/>
      <c r="F748" s="370"/>
      <c r="G748" s="372"/>
      <c r="H748" s="370"/>
      <c r="I748" s="370"/>
    </row>
    <row r="749" spans="3:30">
      <c r="C749" s="371" t="s">
        <v>132</v>
      </c>
      <c r="D749" s="373"/>
      <c r="E749" s="373"/>
      <c r="F749" s="373"/>
      <c r="G749" s="374"/>
      <c r="H749" s="373"/>
      <c r="I749" s="373"/>
    </row>
    <row r="750" spans="3:30">
      <c r="C750" s="375" t="s">
        <v>133</v>
      </c>
      <c r="D750" s="376"/>
      <c r="E750" s="376"/>
      <c r="F750" s="376"/>
      <c r="G750" s="376"/>
      <c r="H750" s="377"/>
      <c r="I750" s="376"/>
    </row>
    <row r="751" spans="3:30">
      <c r="C751" s="378"/>
      <c r="D751" s="379"/>
      <c r="E751" s="379"/>
      <c r="F751" s="379"/>
      <c r="G751" s="379"/>
      <c r="H751" s="379"/>
      <c r="I751" s="379"/>
    </row>
    <row r="752" spans="3:30">
      <c r="C752" s="378"/>
      <c r="D752" s="379"/>
      <c r="E752" s="379"/>
      <c r="F752" s="379"/>
      <c r="G752" s="379"/>
      <c r="H752" s="379"/>
      <c r="I752" s="379"/>
    </row>
    <row r="753" spans="3:9">
      <c r="C753" s="380" t="s">
        <v>134</v>
      </c>
      <c r="D753" s="379"/>
      <c r="E753" s="379"/>
      <c r="F753" s="379"/>
      <c r="G753" s="379"/>
      <c r="H753" s="379"/>
      <c r="I753" s="379"/>
    </row>
    <row r="754" spans="3:9">
      <c r="C754" s="381">
        <v>25</v>
      </c>
      <c r="D754" s="382" t="s">
        <v>372</v>
      </c>
      <c r="E754" s="379"/>
      <c r="F754" s="379"/>
      <c r="G754" s="379"/>
      <c r="H754" s="379"/>
      <c r="I754" s="379"/>
    </row>
    <row r="755" spans="3:9">
      <c r="C755" s="383"/>
      <c r="D755" s="277" t="s">
        <v>135</v>
      </c>
      <c r="E755" s="239"/>
      <c r="F755" s="239"/>
      <c r="G755" s="239"/>
      <c r="H755" s="239"/>
      <c r="I755" s="239"/>
    </row>
    <row r="756" spans="3:9">
      <c r="C756" s="384" t="s">
        <v>136</v>
      </c>
      <c r="D756" s="385"/>
      <c r="E756" s="239"/>
      <c r="F756" s="239"/>
      <c r="G756" s="319"/>
      <c r="H756" s="239"/>
      <c r="I756" s="239"/>
    </row>
    <row r="757" spans="3:9">
      <c r="C757" s="220" t="s">
        <v>137</v>
      </c>
      <c r="D757" s="386">
        <f>ROUND(D758*D759*D760,0)</f>
        <v>11</v>
      </c>
      <c r="E757" s="239"/>
      <c r="F757" s="239"/>
      <c r="G757" s="239"/>
      <c r="H757" s="239"/>
      <c r="I757" s="239"/>
    </row>
    <row r="758" spans="3:9">
      <c r="C758" s="220" t="s">
        <v>138</v>
      </c>
      <c r="D758" s="239">
        <v>1.3</v>
      </c>
      <c r="E758" s="239"/>
      <c r="F758" s="239"/>
      <c r="G758" s="239"/>
      <c r="H758" s="239"/>
      <c r="I758" s="239"/>
    </row>
    <row r="759" spans="3:9">
      <c r="C759" s="311" t="s">
        <v>139</v>
      </c>
      <c r="D759" s="239">
        <v>11</v>
      </c>
      <c r="E759" s="239"/>
      <c r="F759" s="239"/>
      <c r="G759" s="239"/>
      <c r="H759" s="239"/>
      <c r="I759" s="239"/>
    </row>
    <row r="760" spans="3:9">
      <c r="C760" s="311" t="s">
        <v>140</v>
      </c>
      <c r="D760" s="319">
        <v>0.75</v>
      </c>
      <c r="E760" s="239"/>
      <c r="F760" s="239"/>
      <c r="G760" s="239"/>
      <c r="H760" s="239"/>
      <c r="I760" s="239"/>
    </row>
    <row r="761" spans="3:9">
      <c r="C761" s="239"/>
      <c r="D761" s="239"/>
      <c r="E761" s="239"/>
      <c r="F761" s="239"/>
      <c r="G761" s="239"/>
      <c r="H761" s="239"/>
      <c r="I761" s="239"/>
    </row>
    <row r="762" spans="3:9">
      <c r="C762" s="258" t="s">
        <v>141</v>
      </c>
      <c r="D762" s="223"/>
      <c r="E762" s="239"/>
      <c r="F762" s="239"/>
      <c r="G762" s="239"/>
      <c r="H762" s="239"/>
      <c r="I762" s="387"/>
    </row>
    <row r="763" spans="3:9" ht="28.5">
      <c r="C763" s="388" t="s">
        <v>114</v>
      </c>
      <c r="D763" s="389" t="s">
        <v>142</v>
      </c>
      <c r="E763" s="390" t="s">
        <v>143</v>
      </c>
      <c r="F763" s="391" t="s">
        <v>144</v>
      </c>
      <c r="G763" s="391" t="s">
        <v>145</v>
      </c>
      <c r="H763" s="390" t="s">
        <v>118</v>
      </c>
      <c r="I763" s="392"/>
    </row>
    <row r="764" spans="3:9">
      <c r="C764" s="243" t="s">
        <v>119</v>
      </c>
      <c r="D764" s="393">
        <v>15</v>
      </c>
      <c r="E764" s="349">
        <v>1</v>
      </c>
      <c r="F764" s="350">
        <v>1</v>
      </c>
      <c r="G764" s="350">
        <v>5</v>
      </c>
      <c r="H764" s="351">
        <v>13</v>
      </c>
      <c r="I764" s="352"/>
    </row>
    <row r="765" spans="3:9">
      <c r="C765" s="243" t="s">
        <v>120</v>
      </c>
      <c r="D765" s="393">
        <v>30</v>
      </c>
      <c r="E765" s="349">
        <v>2</v>
      </c>
      <c r="F765" s="354">
        <v>1</v>
      </c>
      <c r="G765" s="354">
        <v>6</v>
      </c>
      <c r="H765" s="351">
        <v>13</v>
      </c>
      <c r="I765" s="352"/>
    </row>
    <row r="766" spans="3:9">
      <c r="C766" s="243" t="s">
        <v>121</v>
      </c>
      <c r="D766" s="393">
        <v>35</v>
      </c>
      <c r="E766" s="349">
        <v>3</v>
      </c>
      <c r="F766" s="354">
        <v>2</v>
      </c>
      <c r="G766" s="354">
        <v>9</v>
      </c>
      <c r="H766" s="351">
        <v>13</v>
      </c>
      <c r="I766" s="352"/>
    </row>
    <row r="767" spans="3:9">
      <c r="C767" s="243" t="s">
        <v>122</v>
      </c>
      <c r="D767" s="393">
        <v>45</v>
      </c>
      <c r="E767" s="356">
        <v>5</v>
      </c>
      <c r="F767" s="354">
        <v>2</v>
      </c>
      <c r="G767" s="354"/>
      <c r="H767" s="351">
        <v>9</v>
      </c>
      <c r="I767" s="357"/>
    </row>
    <row r="768" spans="3:9">
      <c r="C768" s="243" t="s">
        <v>123</v>
      </c>
      <c r="D768" s="393">
        <v>55</v>
      </c>
      <c r="E768" s="356">
        <v>6</v>
      </c>
      <c r="F768" s="354">
        <v>2</v>
      </c>
      <c r="G768" s="354"/>
      <c r="H768" s="351">
        <v>9</v>
      </c>
      <c r="I768" s="357"/>
    </row>
    <row r="769" spans="3:9">
      <c r="C769" s="243" t="s">
        <v>124</v>
      </c>
      <c r="D769" s="393">
        <v>65</v>
      </c>
      <c r="E769" s="356">
        <v>8</v>
      </c>
      <c r="F769" s="354">
        <v>2</v>
      </c>
      <c r="G769" s="354"/>
      <c r="H769" s="351">
        <v>9</v>
      </c>
      <c r="I769" s="357"/>
    </row>
    <row r="770" spans="3:9">
      <c r="C770" s="243" t="s">
        <v>125</v>
      </c>
      <c r="D770" s="393">
        <v>75</v>
      </c>
      <c r="E770" s="356">
        <v>9</v>
      </c>
      <c r="F770" s="354">
        <v>2</v>
      </c>
      <c r="G770" s="354"/>
      <c r="H770" s="351">
        <v>7</v>
      </c>
      <c r="I770" s="357"/>
    </row>
    <row r="771" spans="3:9">
      <c r="C771" s="243" t="s">
        <v>126</v>
      </c>
      <c r="D771" s="393">
        <v>80</v>
      </c>
      <c r="E771" s="356">
        <v>10</v>
      </c>
      <c r="F771" s="354">
        <v>2</v>
      </c>
      <c r="G771" s="354"/>
      <c r="H771" s="351">
        <v>7</v>
      </c>
      <c r="I771" s="357"/>
    </row>
    <row r="772" spans="3:9">
      <c r="C772" s="899" t="s">
        <v>127</v>
      </c>
      <c r="D772" s="394">
        <v>85</v>
      </c>
      <c r="E772" s="360">
        <v>10</v>
      </c>
      <c r="F772" s="361">
        <v>2</v>
      </c>
      <c r="G772" s="361"/>
      <c r="H772" s="395">
        <v>7</v>
      </c>
      <c r="I772" s="363"/>
    </row>
    <row r="773" spans="3:9">
      <c r="C773" s="256" t="s">
        <v>146</v>
      </c>
      <c r="D773" s="396">
        <f>SUM(D764:D772)</f>
        <v>485</v>
      </c>
      <c r="E773" s="397">
        <f>SUM(E764:E772)</f>
        <v>54</v>
      </c>
      <c r="F773" s="318">
        <v>2</v>
      </c>
      <c r="G773" s="318"/>
      <c r="H773" s="255">
        <f>SUM(H764:H772)</f>
        <v>87</v>
      </c>
      <c r="I773" s="366"/>
    </row>
    <row r="774" spans="3:9">
      <c r="C774" s="239"/>
      <c r="D774" s="212" t="s">
        <v>147</v>
      </c>
      <c r="E774" s="239"/>
      <c r="F774" s="239"/>
      <c r="G774" s="239"/>
      <c r="H774" s="239"/>
      <c r="I774" s="239"/>
    </row>
    <row r="775" spans="3:9">
      <c r="C775" s="239"/>
      <c r="D775" s="212" t="s">
        <v>148</v>
      </c>
      <c r="E775" s="239"/>
      <c r="F775" s="239"/>
      <c r="G775" s="239"/>
      <c r="H775" s="239"/>
      <c r="I775" s="239"/>
    </row>
    <row r="776" spans="3:9">
      <c r="C776" s="220"/>
      <c r="D776" s="212" t="s">
        <v>149</v>
      </c>
      <c r="E776" s="239"/>
      <c r="F776" s="239"/>
      <c r="G776" s="239"/>
      <c r="H776" s="239"/>
      <c r="I776" s="239"/>
    </row>
    <row r="777" spans="3:9">
      <c r="C777" s="256"/>
      <c r="D777" s="367" t="s">
        <v>150</v>
      </c>
      <c r="E777" s="239"/>
      <c r="F777" s="239"/>
      <c r="G777" s="239"/>
      <c r="H777" s="239"/>
      <c r="I777" s="239"/>
    </row>
    <row r="778" spans="3:9">
      <c r="C778" s="212" t="s">
        <v>151</v>
      </c>
      <c r="D778" s="220"/>
      <c r="E778" s="239"/>
      <c r="F778" s="239"/>
      <c r="G778" s="239"/>
      <c r="H778" s="239"/>
      <c r="I778" s="398"/>
    </row>
    <row r="779" spans="3:9">
      <c r="C779" s="399" t="s">
        <v>152</v>
      </c>
      <c r="D779" s="220" t="s">
        <v>153</v>
      </c>
      <c r="E779" s="239"/>
      <c r="F779" s="385"/>
      <c r="G779" s="385"/>
      <c r="H779" s="385"/>
      <c r="I779" s="385"/>
    </row>
    <row r="780" spans="3:9">
      <c r="C780" s="399" t="s">
        <v>373</v>
      </c>
      <c r="D780" s="239"/>
      <c r="E780" s="256"/>
      <c r="F780" s="239"/>
      <c r="G780" s="239"/>
      <c r="H780" s="239"/>
      <c r="I780" s="239"/>
    </row>
    <row r="781" spans="3:9">
      <c r="C781" s="367" t="s">
        <v>154</v>
      </c>
      <c r="D781" s="239"/>
      <c r="E781" s="256"/>
      <c r="F781" s="239"/>
      <c r="G781" s="239"/>
      <c r="H781" s="239"/>
      <c r="I781" s="239"/>
    </row>
    <row r="782" spans="3:9">
      <c r="C782" s="280" t="s">
        <v>155</v>
      </c>
      <c r="D782" s="239"/>
      <c r="E782" s="256"/>
      <c r="F782" s="239"/>
      <c r="G782" s="239"/>
      <c r="H782" s="239"/>
      <c r="I782" s="239"/>
    </row>
    <row r="783" spans="3:9">
      <c r="C783" s="239"/>
      <c r="D783" s="239"/>
      <c r="E783" s="239"/>
      <c r="F783" s="239"/>
      <c r="G783" s="239"/>
      <c r="H783" s="239"/>
      <c r="I783" s="239"/>
    </row>
    <row r="784" spans="3:9">
      <c r="C784" s="380" t="s">
        <v>134</v>
      </c>
      <c r="D784" s="400"/>
      <c r="E784" s="400"/>
      <c r="F784" s="401"/>
      <c r="G784" s="401"/>
      <c r="H784" s="402"/>
      <c r="I784" s="401"/>
    </row>
    <row r="785" spans="3:9">
      <c r="C785" s="381">
        <v>30</v>
      </c>
      <c r="D785" s="382" t="s">
        <v>374</v>
      </c>
      <c r="E785" s="382"/>
      <c r="F785" s="382"/>
      <c r="G785" s="382"/>
      <c r="H785" s="382"/>
      <c r="I785" s="382"/>
    </row>
    <row r="786" spans="3:9">
      <c r="C786" s="383"/>
      <c r="D786" s="277" t="s">
        <v>156</v>
      </c>
      <c r="E786" s="31"/>
      <c r="F786" s="403"/>
      <c r="G786" s="404"/>
      <c r="H786" s="405"/>
      <c r="I786" s="31"/>
    </row>
    <row r="787" spans="3:9">
      <c r="C787" s="380"/>
      <c r="D787" s="400"/>
      <c r="E787" s="400"/>
      <c r="F787" s="401"/>
      <c r="G787" s="401"/>
      <c r="H787" s="402"/>
      <c r="I787" s="401"/>
    </row>
    <row r="788" spans="3:9">
      <c r="C788" s="378"/>
      <c r="D788" s="379"/>
      <c r="E788" s="379"/>
      <c r="F788" s="379"/>
      <c r="G788" s="379"/>
      <c r="H788" s="379"/>
      <c r="I788" s="379"/>
    </row>
    <row r="789" spans="3:9">
      <c r="C789" s="239"/>
      <c r="D789" s="239"/>
      <c r="E789" s="239"/>
      <c r="F789" s="239"/>
      <c r="G789" s="239"/>
      <c r="H789" s="239"/>
      <c r="I789" s="239"/>
    </row>
    <row r="790" spans="3:9">
      <c r="C790" s="239"/>
      <c r="D790" s="239"/>
      <c r="E790" s="239"/>
      <c r="F790" s="239"/>
      <c r="G790" s="239"/>
      <c r="H790" s="239"/>
      <c r="I790" s="239"/>
    </row>
    <row r="791" spans="3:9">
      <c r="C791" s="258" t="s">
        <v>157</v>
      </c>
      <c r="D791" s="223"/>
      <c r="E791" s="239"/>
      <c r="F791" s="239"/>
      <c r="G791" s="239"/>
      <c r="H791" s="239"/>
      <c r="I791" s="239"/>
    </row>
    <row r="792" spans="3:9" ht="43.5">
      <c r="C792" s="899" t="s">
        <v>114</v>
      </c>
      <c r="D792" s="263" t="s">
        <v>158</v>
      </c>
      <c r="E792" s="406" t="s">
        <v>159</v>
      </c>
      <c r="F792" s="407" t="s">
        <v>160</v>
      </c>
      <c r="G792" s="406" t="s">
        <v>161</v>
      </c>
      <c r="H792" s="318" t="s">
        <v>162</v>
      </c>
      <c r="I792" s="408" t="s">
        <v>118</v>
      </c>
    </row>
    <row r="793" spans="3:9">
      <c r="C793" s="243" t="s">
        <v>119</v>
      </c>
      <c r="D793" s="393">
        <v>20</v>
      </c>
      <c r="E793" s="350">
        <v>10</v>
      </c>
      <c r="F793" s="349">
        <v>2</v>
      </c>
      <c r="G793" s="350">
        <v>1</v>
      </c>
      <c r="H793" s="350">
        <v>5</v>
      </c>
      <c r="I793" s="409">
        <v>18</v>
      </c>
    </row>
    <row r="794" spans="3:9">
      <c r="C794" s="243" t="s">
        <v>120</v>
      </c>
      <c r="D794" s="393">
        <v>40</v>
      </c>
      <c r="E794" s="354">
        <v>10</v>
      </c>
      <c r="F794" s="349">
        <v>3</v>
      </c>
      <c r="G794" s="354">
        <v>2</v>
      </c>
      <c r="H794" s="354">
        <v>9</v>
      </c>
      <c r="I794" s="409">
        <v>18</v>
      </c>
    </row>
    <row r="795" spans="3:9">
      <c r="C795" s="243" t="s">
        <v>121</v>
      </c>
      <c r="D795" s="393">
        <v>60</v>
      </c>
      <c r="E795" s="354">
        <v>10</v>
      </c>
      <c r="F795" s="349">
        <v>4</v>
      </c>
      <c r="G795" s="354">
        <v>2</v>
      </c>
      <c r="H795" s="354">
        <v>10</v>
      </c>
      <c r="I795" s="409">
        <v>18</v>
      </c>
    </row>
    <row r="796" spans="3:9">
      <c r="C796" s="243" t="s">
        <v>122</v>
      </c>
      <c r="D796" s="393">
        <v>90</v>
      </c>
      <c r="E796" s="354">
        <v>20</v>
      </c>
      <c r="F796" s="356">
        <v>6</v>
      </c>
      <c r="G796" s="354">
        <v>2</v>
      </c>
      <c r="H796" s="354"/>
      <c r="I796" s="409">
        <v>15</v>
      </c>
    </row>
    <row r="797" spans="3:9">
      <c r="C797" s="243" t="s">
        <v>123</v>
      </c>
      <c r="D797" s="393">
        <v>100</v>
      </c>
      <c r="E797" s="354">
        <v>20</v>
      </c>
      <c r="F797" s="356">
        <v>8</v>
      </c>
      <c r="G797" s="354">
        <v>3</v>
      </c>
      <c r="H797" s="354"/>
      <c r="I797" s="409">
        <v>15</v>
      </c>
    </row>
    <row r="798" spans="3:9">
      <c r="C798" s="243" t="s">
        <v>124</v>
      </c>
      <c r="D798" s="393">
        <v>100</v>
      </c>
      <c r="E798" s="354">
        <v>20</v>
      </c>
      <c r="F798" s="356">
        <v>8</v>
      </c>
      <c r="G798" s="354">
        <v>3</v>
      </c>
      <c r="H798" s="354"/>
      <c r="I798" s="409">
        <v>15</v>
      </c>
    </row>
    <row r="799" spans="3:9">
      <c r="C799" s="243" t="s">
        <v>125</v>
      </c>
      <c r="D799" s="393">
        <v>125</v>
      </c>
      <c r="E799" s="354">
        <v>20</v>
      </c>
      <c r="F799" s="356">
        <v>10</v>
      </c>
      <c r="G799" s="354">
        <v>4</v>
      </c>
      <c r="H799" s="354"/>
      <c r="I799" s="409">
        <v>12</v>
      </c>
    </row>
    <row r="800" spans="3:9">
      <c r="C800" s="243" t="s">
        <v>126</v>
      </c>
      <c r="D800" s="393">
        <v>125</v>
      </c>
      <c r="E800" s="354">
        <v>20</v>
      </c>
      <c r="F800" s="356">
        <v>10</v>
      </c>
      <c r="G800" s="354">
        <v>4</v>
      </c>
      <c r="H800" s="354"/>
      <c r="I800" s="409">
        <v>12</v>
      </c>
    </row>
    <row r="801" spans="3:9">
      <c r="C801" s="243" t="s">
        <v>127</v>
      </c>
      <c r="D801" s="393">
        <v>150</v>
      </c>
      <c r="E801" s="354">
        <v>20</v>
      </c>
      <c r="F801" s="356">
        <v>12</v>
      </c>
      <c r="G801" s="354">
        <v>5</v>
      </c>
      <c r="H801" s="354"/>
      <c r="I801" s="409">
        <v>12</v>
      </c>
    </row>
    <row r="802" spans="3:9">
      <c r="C802" s="243" t="s">
        <v>163</v>
      </c>
      <c r="D802" s="393">
        <v>150</v>
      </c>
      <c r="E802" s="354">
        <v>20</v>
      </c>
      <c r="F802" s="356">
        <v>12</v>
      </c>
      <c r="G802" s="354">
        <v>5</v>
      </c>
      <c r="H802" s="354"/>
      <c r="I802" s="409">
        <v>12</v>
      </c>
    </row>
    <row r="803" spans="3:9">
      <c r="C803" s="243" t="s">
        <v>164</v>
      </c>
      <c r="D803" s="393">
        <v>170</v>
      </c>
      <c r="E803" s="410">
        <v>20</v>
      </c>
      <c r="F803" s="356">
        <v>12</v>
      </c>
      <c r="G803" s="354" t="s">
        <v>165</v>
      </c>
      <c r="H803" s="354"/>
      <c r="I803" s="409">
        <v>12</v>
      </c>
    </row>
    <row r="804" spans="3:9">
      <c r="C804" s="899" t="s">
        <v>166</v>
      </c>
      <c r="D804" s="394">
        <v>170</v>
      </c>
      <c r="E804" s="361">
        <v>20</v>
      </c>
      <c r="F804" s="360">
        <v>12</v>
      </c>
      <c r="G804" s="361" t="s">
        <v>165</v>
      </c>
      <c r="H804" s="361"/>
      <c r="I804" s="411">
        <v>12</v>
      </c>
    </row>
    <row r="805" spans="3:9">
      <c r="C805" s="256" t="s">
        <v>167</v>
      </c>
      <c r="D805" s="396">
        <f>SUM(D793:D804)</f>
        <v>1300</v>
      </c>
      <c r="E805" s="412">
        <f>SUM(E793:E804)</f>
        <v>210</v>
      </c>
      <c r="F805" s="397">
        <f>SUM(F793:F804)</f>
        <v>99</v>
      </c>
      <c r="G805" s="413">
        <v>6</v>
      </c>
      <c r="H805" s="318"/>
      <c r="I805" s="414">
        <f>SUM(I793:I804)</f>
        <v>171</v>
      </c>
    </row>
    <row r="806" spans="3:9">
      <c r="C806" s="239"/>
      <c r="D806" s="239" t="s">
        <v>168</v>
      </c>
      <c r="E806" s="239"/>
      <c r="F806" s="239" t="s">
        <v>169</v>
      </c>
      <c r="G806" s="239"/>
      <c r="H806" s="318"/>
      <c r="I806" s="239"/>
    </row>
    <row r="807" spans="3:9">
      <c r="C807" s="220" t="s">
        <v>170</v>
      </c>
      <c r="D807" s="239"/>
      <c r="E807" s="239"/>
      <c r="F807" s="239"/>
      <c r="G807" s="239"/>
      <c r="H807" s="318"/>
      <c r="I807" s="239"/>
    </row>
    <row r="808" spans="3:9">
      <c r="C808" s="256" t="s">
        <v>171</v>
      </c>
      <c r="D808" s="220" t="s">
        <v>172</v>
      </c>
      <c r="E808" s="239"/>
      <c r="F808" s="239"/>
      <c r="G808" s="239"/>
      <c r="H808" s="318"/>
      <c r="I808" s="239"/>
    </row>
    <row r="809" spans="3:9">
      <c r="C809" s="239"/>
      <c r="D809" s="220" t="s">
        <v>173</v>
      </c>
      <c r="E809" s="239"/>
      <c r="F809" s="239"/>
      <c r="G809" s="239"/>
      <c r="H809" s="318"/>
      <c r="I809" s="398"/>
    </row>
    <row r="810" spans="3:9">
      <c r="C810" s="239"/>
      <c r="D810" s="220" t="s">
        <v>174</v>
      </c>
      <c r="E810" s="239"/>
      <c r="F810" s="239"/>
      <c r="G810" s="239"/>
      <c r="H810" s="239"/>
      <c r="I810" s="239"/>
    </row>
    <row r="811" spans="3:9">
      <c r="C811" s="220" t="s">
        <v>175</v>
      </c>
      <c r="D811" s="239"/>
      <c r="E811" s="231"/>
      <c r="F811" s="231"/>
      <c r="G811" s="231"/>
      <c r="H811" s="231"/>
      <c r="I811" s="231"/>
    </row>
    <row r="812" spans="3:9">
      <c r="C812" s="220"/>
      <c r="D812" s="239"/>
      <c r="E812" s="231"/>
      <c r="F812" s="231"/>
      <c r="G812" s="231"/>
      <c r="H812" s="231"/>
      <c r="I812" s="231"/>
    </row>
    <row r="813" spans="3:9">
      <c r="C813" s="380" t="s">
        <v>134</v>
      </c>
      <c r="D813" s="400"/>
      <c r="E813" s="400"/>
      <c r="F813" s="401"/>
      <c r="G813" s="401"/>
      <c r="H813" s="402"/>
      <c r="I813" s="401"/>
    </row>
    <row r="814" spans="3:9">
      <c r="C814" s="381">
        <v>30</v>
      </c>
      <c r="D814" s="382" t="s">
        <v>374</v>
      </c>
      <c r="E814" s="379"/>
      <c r="F814" s="379"/>
      <c r="G814" s="379"/>
      <c r="H814" s="379"/>
      <c r="I814" s="379"/>
    </row>
    <row r="815" spans="3:9">
      <c r="C815" s="383"/>
      <c r="D815" s="277" t="s">
        <v>156</v>
      </c>
      <c r="E815" s="210"/>
      <c r="F815" s="210"/>
      <c r="G815" s="210"/>
      <c r="H815" s="210"/>
      <c r="I815" s="210"/>
    </row>
  </sheetData>
  <mergeCells count="32">
    <mergeCell ref="C691:D691"/>
    <mergeCell ref="C300:D300"/>
    <mergeCell ref="E300:H300"/>
    <mergeCell ref="D683:E683"/>
    <mergeCell ref="X103:Z103"/>
    <mergeCell ref="AA103:AC103"/>
    <mergeCell ref="AD103:AF103"/>
    <mergeCell ref="AG103:AI103"/>
    <mergeCell ref="E147:G147"/>
    <mergeCell ref="AA81:AC81"/>
    <mergeCell ref="X81:Z81"/>
    <mergeCell ref="AD81:AF81"/>
    <mergeCell ref="AG81:AI81"/>
    <mergeCell ref="X92:Z92"/>
    <mergeCell ref="AA92:AC92"/>
    <mergeCell ref="AD92:AF92"/>
    <mergeCell ref="AG92:AI92"/>
    <mergeCell ref="AA71:AC71"/>
    <mergeCell ref="AD71:AF71"/>
    <mergeCell ref="AG71:AI71"/>
    <mergeCell ref="F45:H45"/>
    <mergeCell ref="X45:Z45"/>
    <mergeCell ref="AA45:AC45"/>
    <mergeCell ref="AD45:AF45"/>
    <mergeCell ref="D45:E45"/>
    <mergeCell ref="D46:E46"/>
    <mergeCell ref="D47:E47"/>
    <mergeCell ref="D51:E51"/>
    <mergeCell ref="D52:E52"/>
    <mergeCell ref="D48:E48"/>
    <mergeCell ref="D49:E49"/>
    <mergeCell ref="D50:E50"/>
  </mergeCells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B2:V356"/>
  <sheetViews>
    <sheetView showGridLines="0" topLeftCell="A36" zoomScale="80" zoomScaleNormal="80" workbookViewId="0">
      <selection activeCell="L47" sqref="L47"/>
    </sheetView>
  </sheetViews>
  <sheetFormatPr defaultRowHeight="15"/>
  <cols>
    <col min="1" max="1" width="2.140625" customWidth="1"/>
    <col min="4" max="4" width="11.42578125" customWidth="1"/>
    <col min="5" max="9" width="12.5703125" customWidth="1"/>
    <col min="10" max="10" width="12.5703125" style="490" customWidth="1"/>
    <col min="11" max="12" width="12.5703125" customWidth="1"/>
    <col min="13" max="14" width="15.85546875" bestFit="1" customWidth="1"/>
    <col min="15" max="15" width="12" bestFit="1" customWidth="1"/>
    <col min="25" max="25" width="9.85546875" bestFit="1" customWidth="1"/>
    <col min="26" max="29" width="10.85546875" bestFit="1" customWidth="1"/>
  </cols>
  <sheetData>
    <row r="2" spans="2:14" ht="21">
      <c r="B2" s="1451" t="s">
        <v>1439</v>
      </c>
      <c r="G2" s="464"/>
      <c r="H2" s="464"/>
      <c r="I2" s="464"/>
      <c r="J2" s="1527"/>
      <c r="K2" s="464"/>
      <c r="L2" s="464"/>
    </row>
    <row r="3" spans="2:14">
      <c r="G3" s="442"/>
      <c r="H3" s="442"/>
      <c r="I3" s="442"/>
      <c r="J3" s="921"/>
      <c r="K3" s="442"/>
      <c r="L3" s="442"/>
    </row>
    <row r="4" spans="2:14" ht="18" customHeight="1">
      <c r="B4" s="1452" t="s">
        <v>1440</v>
      </c>
      <c r="C4" s="1453"/>
      <c r="D4" s="1454"/>
      <c r="E4" s="1455">
        <v>2015</v>
      </c>
      <c r="F4" s="1455">
        <v>2016</v>
      </c>
      <c r="G4" s="1455">
        <v>2017</v>
      </c>
      <c r="H4" s="1455">
        <v>2018</v>
      </c>
      <c r="I4" s="1455">
        <v>2019</v>
      </c>
      <c r="J4" s="1528">
        <v>2020</v>
      </c>
      <c r="K4" s="1455">
        <v>2021</v>
      </c>
      <c r="L4" s="1455">
        <v>2022</v>
      </c>
    </row>
    <row r="5" spans="2:14" ht="18" customHeight="1">
      <c r="B5" s="1457" t="s">
        <v>1441</v>
      </c>
      <c r="C5" s="1456"/>
      <c r="D5" s="1456"/>
      <c r="E5" s="1456"/>
      <c r="F5" s="1456"/>
      <c r="G5" s="1456"/>
      <c r="H5" s="1456"/>
      <c r="I5" s="1456"/>
      <c r="J5" s="1529"/>
      <c r="K5" s="1456"/>
      <c r="L5" s="1458"/>
    </row>
    <row r="6" spans="2:14" ht="18" customHeight="1">
      <c r="B6" s="1459" t="s">
        <v>1442</v>
      </c>
      <c r="C6" s="1460"/>
      <c r="D6" s="1461"/>
      <c r="E6" s="1462">
        <f>[1]Summary!E8</f>
        <v>994</v>
      </c>
      <c r="F6" s="1462">
        <f>[1]Summary!F8</f>
        <v>1902.2251123898</v>
      </c>
      <c r="G6" s="1462">
        <f>[1]Summary!G8</f>
        <v>2508.4328014594726</v>
      </c>
      <c r="H6" s="1462">
        <f>[1]Summary!H8</f>
        <v>2964.6959881171629</v>
      </c>
      <c r="I6" s="1462">
        <f>[1]Summary!I8</f>
        <v>3592.8349340910254</v>
      </c>
      <c r="J6" s="1530">
        <f>[1]Summary!J8</f>
        <v>3905.0757369174785</v>
      </c>
      <c r="K6" s="1462">
        <f>[1]Summary!K8</f>
        <v>4497.143389184972</v>
      </c>
      <c r="L6" s="1462">
        <f>[1]Summary!L8</f>
        <v>5133.8735087424111</v>
      </c>
    </row>
    <row r="7" spans="2:14" ht="18" customHeight="1">
      <c r="B7" s="1459" t="s">
        <v>1455</v>
      </c>
      <c r="C7" s="1460"/>
      <c r="D7" s="1461"/>
      <c r="E7" s="1462"/>
      <c r="F7" s="1462"/>
      <c r="G7" s="1462">
        <f>AVERAGE('[1]Total Agency'!$Z$11:$AK$11)</f>
        <v>2120.5628273667303</v>
      </c>
      <c r="H7" s="1462">
        <f>AVERAGE('[1]Total Agency'!$AL$11:$AW$11)</f>
        <v>2610.0499949200407</v>
      </c>
      <c r="I7" s="1462">
        <f>AVERAGE('[1]Total Agency'!$AX$11:$BI$11)</f>
        <v>3205.6014055160836</v>
      </c>
      <c r="J7" s="1530">
        <f>AVERAGE('[1]Total Agency'!$BJ$11:$BU$11)</f>
        <v>3644.0068615851724</v>
      </c>
      <c r="K7" s="1462">
        <f>AVERAGE('[1]Total Agency'!$BV$11:$CG$11)</f>
        <v>4127.3138784894873</v>
      </c>
      <c r="L7" s="1462">
        <f>AVERAGE('[1]Total Agency'!$CH$11:$CS$11)</f>
        <v>4723.025846135346</v>
      </c>
    </row>
    <row r="8" spans="2:14" ht="18" customHeight="1">
      <c r="B8" s="1463" t="s">
        <v>1443</v>
      </c>
      <c r="C8" s="1460"/>
      <c r="D8" s="1461"/>
      <c r="E8" s="1464">
        <f>[1]Summary!E9</f>
        <v>0.30862733471686926</v>
      </c>
      <c r="F8" s="1464">
        <f>[1]Summary!F9</f>
        <v>0.31722040253240313</v>
      </c>
      <c r="G8" s="1464">
        <f>[1]Summary!G9</f>
        <v>0.29497624576059656</v>
      </c>
      <c r="H8" s="1464">
        <f>[1]Summary!H9</f>
        <v>0.30384004518452984</v>
      </c>
      <c r="I8" s="1464">
        <f>[1]Summary!I9</f>
        <v>0.30148766316149822</v>
      </c>
      <c r="J8" s="1531">
        <f>[1]Summary!J9</f>
        <v>0.30036127927385681</v>
      </c>
      <c r="K8" s="1464">
        <f>[1]Summary!K9</f>
        <v>0.30131126640023598</v>
      </c>
      <c r="L8" s="1464">
        <f>[1]Summary!L9</f>
        <v>0.30150427477770436</v>
      </c>
    </row>
    <row r="9" spans="2:14" ht="18" customHeight="1">
      <c r="B9" s="1463" t="s">
        <v>1444</v>
      </c>
      <c r="C9" s="1460"/>
      <c r="D9" s="1461"/>
      <c r="E9" s="1465">
        <f>[1]Summary!E10</f>
        <v>1.6916426512968299</v>
      </c>
      <c r="F9" s="1465">
        <f>[1]Summary!F10</f>
        <v>1.99432892483585</v>
      </c>
      <c r="G9" s="1465">
        <f>[1]Summary!G10</f>
        <v>1.9760936497463046</v>
      </c>
      <c r="H9" s="1465">
        <f>[1]Summary!H10</f>
        <v>1.9631488654199447</v>
      </c>
      <c r="I9" s="1465">
        <f>[1]Summary!I10</f>
        <v>1.9840097674105779</v>
      </c>
      <c r="J9" s="1532">
        <f>[1]Summary!J10</f>
        <v>1.9709361185818006</v>
      </c>
      <c r="K9" s="1465">
        <f>[1]Summary!K10</f>
        <v>1.9739040756997071</v>
      </c>
      <c r="L9" s="1465">
        <f>[1]Summary!L10</f>
        <v>1.9751923780079468</v>
      </c>
    </row>
    <row r="10" spans="2:14" ht="18" customHeight="1">
      <c r="B10" s="1463" t="s">
        <v>1445</v>
      </c>
      <c r="C10" s="1460"/>
      <c r="D10" s="1461"/>
      <c r="E10" s="1462">
        <f>[1]Summary!E11</f>
        <v>807</v>
      </c>
      <c r="F10" s="1462">
        <f>[1]Summary!F11</f>
        <v>1061</v>
      </c>
      <c r="G10" s="1462">
        <f>[1]Summary!G11</f>
        <v>550</v>
      </c>
      <c r="H10" s="1462">
        <f>[1]Summary!H11</f>
        <v>600</v>
      </c>
      <c r="I10" s="1462">
        <f>[1]Summary!I11</f>
        <v>460</v>
      </c>
      <c r="J10" s="1530">
        <f>[1]Summary!J11</f>
        <v>240</v>
      </c>
      <c r="K10" s="1462">
        <f>[1]Summary!K11</f>
        <v>240</v>
      </c>
      <c r="L10" s="1462">
        <f>[1]Summary!L11</f>
        <v>240</v>
      </c>
    </row>
    <row r="11" spans="2:14" ht="18" customHeight="1">
      <c r="B11" s="1463" t="s">
        <v>1446</v>
      </c>
      <c r="C11" s="1460"/>
      <c r="D11" s="1461"/>
      <c r="E11" s="1462">
        <f>[1]Summary!E12</f>
        <v>7797</v>
      </c>
      <c r="F11" s="1462">
        <f>[1]Summary!F12</f>
        <v>11124.831529778599</v>
      </c>
      <c r="G11" s="1462">
        <f>[1]Summary!G12</f>
        <v>15382.93032320885</v>
      </c>
      <c r="H11" s="1462">
        <f>[1]Summary!H12</f>
        <v>19282.212929541856</v>
      </c>
      <c r="I11" s="1462">
        <f>[1]Summary!I12</f>
        <v>23469.337657971824</v>
      </c>
      <c r="J11" s="1530">
        <f>[1]Summary!J12</f>
        <v>26126.714010511419</v>
      </c>
      <c r="K11" s="1462">
        <f>[1]Summary!K12</f>
        <v>29697.111487265938</v>
      </c>
      <c r="L11" s="1462">
        <f>[1]Summary!L12</f>
        <v>33992.383219356852</v>
      </c>
      <c r="M11" s="722"/>
    </row>
    <row r="12" spans="2:14" ht="18" customHeight="1">
      <c r="B12" s="1463" t="s">
        <v>1447</v>
      </c>
      <c r="C12" s="1460"/>
      <c r="D12" s="1461"/>
      <c r="E12" s="1462">
        <f>[1]Summary!E13</f>
        <v>4117</v>
      </c>
      <c r="F12" s="1462">
        <f>[1]Summary!F13</f>
        <v>10244.923698985</v>
      </c>
      <c r="G12" s="1462">
        <f>[1]Summary!G13</f>
        <v>14741.670769023571</v>
      </c>
      <c r="H12" s="1462">
        <f>[1]Summary!H13</f>
        <v>17485.917328914958</v>
      </c>
      <c r="I12" s="1462">
        <f>[1]Summary!I13</f>
        <v>21566.585749495702</v>
      </c>
      <c r="J12" s="1530">
        <f>[1]Summary!J13</f>
        <v>24339.48890427122</v>
      </c>
      <c r="K12" s="1462">
        <f>[1]Summary!K13</f>
        <v>27603.838470002378</v>
      </c>
      <c r="L12" s="1462">
        <f>[1]Summary!L13</f>
        <v>31669.217270708541</v>
      </c>
      <c r="M12" s="581"/>
      <c r="N12" s="722"/>
    </row>
    <row r="13" spans="2:14" ht="18" customHeight="1">
      <c r="B13" s="1463" t="s">
        <v>465</v>
      </c>
      <c r="C13" s="1460"/>
      <c r="D13" s="1461"/>
      <c r="E13" s="1465"/>
      <c r="F13" s="1465"/>
      <c r="G13" s="1465"/>
      <c r="H13" s="1462">
        <f>AVERAGE('[1]Total Agency'!$AL$40:$AW$40)</f>
        <v>14945.314522993167</v>
      </c>
      <c r="I13" s="1462">
        <f>AVERAGE('[1]Total Agency'!$AX$40:$BI$40)</f>
        <v>18145.368976538026</v>
      </c>
      <c r="J13" s="1530">
        <f>AVERAGE('[1]Total Agency'!$BJ$40:$BU$40)</f>
        <v>21536.576060762931</v>
      </c>
      <c r="K13" s="1462">
        <f>AVERAGE('[1]Total Agency'!$BV$40:$CG$40)</f>
        <v>24271.281372679456</v>
      </c>
      <c r="L13" s="1462">
        <f>AVERAGE('[1]Total Agency'!$CH$40:$CS$40)</f>
        <v>27745.195182167652</v>
      </c>
    </row>
    <row r="14" spans="2:14" ht="18" customHeight="1">
      <c r="B14" s="1466" t="s">
        <v>1448</v>
      </c>
      <c r="C14" s="1460"/>
      <c r="D14" s="1461"/>
      <c r="E14" s="1462"/>
      <c r="F14" s="1462"/>
      <c r="G14" s="1462"/>
      <c r="H14" s="1462"/>
      <c r="I14" s="1462"/>
      <c r="J14" s="1530"/>
      <c r="K14" s="1462"/>
      <c r="L14" s="1462"/>
    </row>
    <row r="15" spans="2:14" ht="18" customHeight="1">
      <c r="B15" s="1463" t="s">
        <v>636</v>
      </c>
      <c r="C15" s="1460"/>
      <c r="D15" s="1461"/>
      <c r="E15" s="1462">
        <f>[1]Summary!E16</f>
        <v>5648</v>
      </c>
      <c r="F15" s="1462">
        <f>[1]Summary!F16</f>
        <v>18091.673146246114</v>
      </c>
      <c r="G15" s="1462">
        <f>[1]Summary!G16</f>
        <v>29395.952996976965</v>
      </c>
      <c r="H15" s="1462">
        <f>[1]Summary!H16</f>
        <v>37486.632650057356</v>
      </c>
      <c r="I15" s="1462">
        <f>[1]Summary!I16</f>
        <v>47707.734746382368</v>
      </c>
      <c r="J15" s="1530">
        <f>[1]Summary!J16</f>
        <v>56924.891314878638</v>
      </c>
      <c r="K15" s="1462">
        <f>[1]Summary!K16</f>
        <v>65976.24960569384</v>
      </c>
      <c r="L15" s="1462">
        <f>[1]Summary!L16</f>
        <v>75887.789556690652</v>
      </c>
    </row>
    <row r="16" spans="2:14" ht="18" customHeight="1">
      <c r="B16" s="1463" t="s">
        <v>495</v>
      </c>
      <c r="C16" s="1460"/>
      <c r="D16" s="1461"/>
      <c r="E16" s="1464">
        <f>[1]Summary!E17</f>
        <v>0.29070695112849682</v>
      </c>
      <c r="F16" s="1464">
        <f>[1]Summary!F17</f>
        <v>0.23578557538102102</v>
      </c>
      <c r="G16" s="1464">
        <f>[1]Summary!G17</f>
        <v>0.20909422924719515</v>
      </c>
      <c r="H16" s="1464">
        <f>[1]Summary!H17</f>
        <v>0.20902109817531037</v>
      </c>
      <c r="I16" s="1464">
        <f>[1]Summary!I17</f>
        <v>0.21909968143050945</v>
      </c>
      <c r="J16" s="1531">
        <f>[1]Summary!J17</f>
        <v>0.22026439715963406</v>
      </c>
      <c r="K16" s="1464">
        <f>[1]Summary!K17</f>
        <v>0.22652371401632046</v>
      </c>
      <c r="L16" s="1464">
        <f>[1]Summary!L17</f>
        <v>0.22793072535752404</v>
      </c>
    </row>
    <row r="17" spans="2:15" ht="18" customHeight="1">
      <c r="B17" s="1463" t="s">
        <v>1449</v>
      </c>
      <c r="C17" s="1460"/>
      <c r="D17" s="1461"/>
      <c r="E17" s="1465">
        <f>[1]Summary!E18</f>
        <v>1.6303116147308783</v>
      </c>
      <c r="F17" s="1465">
        <f>[1]Summary!F18</f>
        <v>1.5309299103746168</v>
      </c>
      <c r="G17" s="1465">
        <f>[1]Summary!G18</f>
        <v>1.4838163748627737</v>
      </c>
      <c r="H17" s="1465">
        <f>[1]Summary!H18</f>
        <v>1.555326142749482</v>
      </c>
      <c r="I17" s="1465">
        <f>[1]Summary!I18</f>
        <v>1.6247991659089773</v>
      </c>
      <c r="J17" s="1532">
        <f>[1]Summary!J18</f>
        <v>1.6582521884854549</v>
      </c>
      <c r="K17" s="1465">
        <f>[1]Summary!K18</f>
        <v>1.7155983365421703</v>
      </c>
      <c r="L17" s="1465">
        <f>[1]Summary!L18</f>
        <v>1.78003860080581</v>
      </c>
    </row>
    <row r="18" spans="2:15" ht="18" customHeight="1">
      <c r="B18" s="1463" t="s">
        <v>497</v>
      </c>
      <c r="C18" s="1460"/>
      <c r="D18" s="1461"/>
      <c r="E18" s="1465">
        <f>[1]Summary!E19</f>
        <v>19.940748262380538</v>
      </c>
      <c r="F18" s="1465">
        <f>[1]Summary!F19</f>
        <v>17.022629359639133</v>
      </c>
      <c r="G18" s="1465">
        <f>[1]Summary!G19</f>
        <v>16.051940334403685</v>
      </c>
      <c r="H18" s="1465">
        <f>[1]Summary!H19</f>
        <v>16.601734372738939</v>
      </c>
      <c r="I18" s="1465">
        <f>[1]Summary!I19</f>
        <v>17.424411684862505</v>
      </c>
      <c r="J18" s="1532">
        <f>[1]Summary!J19</f>
        <v>18.574387948417524</v>
      </c>
      <c r="K18" s="1465">
        <f>[1]Summary!K19</f>
        <v>20.115166719366094</v>
      </c>
      <c r="L18" s="1465">
        <f>[1]Summary!L19</f>
        <v>21.897961607341092</v>
      </c>
    </row>
    <row r="19" spans="2:15" ht="18" customHeight="1">
      <c r="B19" s="1463" t="s">
        <v>1450</v>
      </c>
      <c r="C19" s="1460"/>
      <c r="D19" s="1461"/>
      <c r="E19" s="1465">
        <f>[1]Summary!E20</f>
        <v>32.509633498583568</v>
      </c>
      <c r="F19" s="1465">
        <f>[1]Summary!F20</f>
        <v>26.060452439892657</v>
      </c>
      <c r="G19" s="1465">
        <f>[1]Summary!G20</f>
        <v>23.81813191650842</v>
      </c>
      <c r="H19" s="1465">
        <f>[1]Summary!H20</f>
        <v>25.821111484903543</v>
      </c>
      <c r="I19" s="1465">
        <f>[1]Summary!I20</f>
        <v>28.311169572019239</v>
      </c>
      <c r="J19" s="1532">
        <f>[1]Summary!J20</f>
        <v>30.801019465241218</v>
      </c>
      <c r="K19" s="1465">
        <f>[1]Summary!K20</f>
        <v>34.509546563012897</v>
      </c>
      <c r="L19" s="1465">
        <f>[1]Summary!L20</f>
        <v>38.979216940030781</v>
      </c>
    </row>
    <row r="20" spans="2:15" ht="18" customHeight="1">
      <c r="B20" s="1463" t="s">
        <v>1451</v>
      </c>
      <c r="C20" s="1460"/>
      <c r="D20" s="1461"/>
      <c r="E20" s="1465">
        <f>[1]Summary!E21</f>
        <v>9.4507764366780762</v>
      </c>
      <c r="F20" s="1465">
        <f>[1]Summary!F21</f>
        <v>6.1446787732298231</v>
      </c>
      <c r="G20" s="1465">
        <f>[1]Summary!G21</f>
        <v>4.9802339351903466</v>
      </c>
      <c r="H20" s="1465">
        <f>[1]Summary!H21</f>
        <v>5.3971570786816576</v>
      </c>
      <c r="I20" s="1465">
        <f>[1]Summary!I21</f>
        <v>6.2029682341545476</v>
      </c>
      <c r="J20" s="1532">
        <f>[1]Summary!J21</f>
        <v>6.7843679844135112</v>
      </c>
      <c r="K20" s="1465">
        <f>[1]Summary!K21</f>
        <v>7.8172306564728284</v>
      </c>
      <c r="L20" s="1465">
        <f>[1]Summary!L21</f>
        <v>8.884561191009503</v>
      </c>
    </row>
    <row r="21" spans="2:15" ht="18" customHeight="1">
      <c r="B21" s="1467" t="s">
        <v>499</v>
      </c>
      <c r="C21" s="1468"/>
      <c r="D21" s="1469"/>
      <c r="E21" s="1472">
        <f>[1]Summary!E22</f>
        <v>319929.83399999997</v>
      </c>
      <c r="F21" s="1472">
        <f>[1]Summary!F22</f>
        <v>471477.18758582999</v>
      </c>
      <c r="G21" s="1472">
        <f>[1]Summary!G22</f>
        <v>700156.68629347836</v>
      </c>
      <c r="H21" s="1472">
        <f>[1]Summary!H22</f>
        <v>967946.52085075621</v>
      </c>
      <c r="I21" s="1472">
        <f>[1]Summary!I22</f>
        <v>1350661.7683017454</v>
      </c>
      <c r="J21" s="1533">
        <f>[1]Summary!J22</f>
        <v>1753344.6854463178</v>
      </c>
      <c r="K21" s="1472">
        <f>[1]Summary!K22</f>
        <v>2276810.457820653</v>
      </c>
      <c r="L21" s="1472">
        <f>[1]Summary!L22</f>
        <v>2958046.6122296471</v>
      </c>
    </row>
    <row r="22" spans="2:15" ht="18" customHeight="1">
      <c r="B22" s="1467" t="s">
        <v>1452</v>
      </c>
      <c r="C22" s="1468"/>
      <c r="D22" s="1469"/>
      <c r="E22" s="1464">
        <f>[1]Summary!E23</f>
        <v>0</v>
      </c>
      <c r="F22" s="1464">
        <f>[1]Summary!F23</f>
        <v>0.47368934522633488</v>
      </c>
      <c r="G22" s="1464">
        <f>[1]Summary!G23</f>
        <v>0.48502770596089229</v>
      </c>
      <c r="H22" s="1464">
        <f>[1]Summary!H23</f>
        <v>0.38247129506813105</v>
      </c>
      <c r="I22" s="1464">
        <f>[1]Summary!I23</f>
        <v>0.39538883523710555</v>
      </c>
      <c r="J22" s="1531">
        <f>[1]Summary!J23</f>
        <v>0.29813749570396575</v>
      </c>
      <c r="K22" s="1464">
        <f>[1]Summary!K23</f>
        <v>0.29855269002117857</v>
      </c>
      <c r="L22" s="1464">
        <f>[1]Summary!L23</f>
        <v>0.29920635337430257</v>
      </c>
    </row>
    <row r="23" spans="2:15" ht="18" customHeight="1">
      <c r="B23" s="1463" t="s">
        <v>1453</v>
      </c>
      <c r="C23" s="1460"/>
      <c r="D23" s="1461"/>
      <c r="E23" s="1464">
        <f>[1]Summary!E24</f>
        <v>0.16912469626074336</v>
      </c>
      <c r="F23" s="1464">
        <f>[1]Summary!F24</f>
        <v>0.24037440507521143</v>
      </c>
      <c r="G23" s="1464">
        <f>[1]Summary!G24</f>
        <v>0.15981919412265855</v>
      </c>
      <c r="H23" s="1464">
        <f>[1]Summary!H24</f>
        <v>0.15266265563396306</v>
      </c>
      <c r="I23" s="1464">
        <f>[1]Summary!I24</f>
        <v>0.1523044294537324</v>
      </c>
      <c r="J23" s="1531">
        <f>[1]Summary!J24</f>
        <v>0.14329601880081852</v>
      </c>
      <c r="K23" s="1464">
        <f>[1]Summary!K24</f>
        <v>0.14403723413868064</v>
      </c>
      <c r="L23" s="1464">
        <f>[1]Summary!L24</f>
        <v>0.14411165345053914</v>
      </c>
    </row>
    <row r="24" spans="2:15">
      <c r="B24" s="1467" t="s">
        <v>206</v>
      </c>
      <c r="C24" s="1460"/>
      <c r="D24" s="1461"/>
      <c r="E24" s="1470"/>
      <c r="F24" s="1470"/>
      <c r="G24" s="1471">
        <f>G21*98%</f>
        <v>686153.55256760877</v>
      </c>
      <c r="H24" s="1471">
        <v>966153.14998061094</v>
      </c>
      <c r="I24" s="1471">
        <v>1351788.1862255593</v>
      </c>
      <c r="J24" s="1534">
        <v>1762533.0784256798</v>
      </c>
      <c r="K24" s="1471">
        <v>2290631.0416128035</v>
      </c>
      <c r="L24" s="1471">
        <v>2977820.3540966678</v>
      </c>
    </row>
    <row r="25" spans="2:15">
      <c r="H25" s="1140">
        <f>H20/G20-1</f>
        <v>8.3715574191270514E-2</v>
      </c>
      <c r="I25" s="1140">
        <f t="shared" ref="I25:K25" si="0">I20/H20-1</f>
        <v>0.14930289108237749</v>
      </c>
      <c r="J25" s="1535">
        <f t="shared" si="0"/>
        <v>9.3729280614026411E-2</v>
      </c>
      <c r="K25" s="1140">
        <f t="shared" si="0"/>
        <v>0.15224154621804553</v>
      </c>
      <c r="L25" s="1140">
        <f>L20/K20-1</f>
        <v>0.13653563281427594</v>
      </c>
    </row>
    <row r="26" spans="2:15">
      <c r="H26" s="1140"/>
      <c r="I26" s="1140"/>
      <c r="J26" s="1535"/>
      <c r="K26" s="1140"/>
      <c r="L26" s="1140"/>
    </row>
    <row r="27" spans="2:15" ht="19.5">
      <c r="B27" s="33" t="s">
        <v>1430</v>
      </c>
      <c r="H27" s="464"/>
      <c r="I27" s="464"/>
      <c r="J27" s="1527"/>
      <c r="K27" s="464"/>
      <c r="L27" s="464"/>
    </row>
    <row r="28" spans="2:15" ht="19.5">
      <c r="B28" s="33"/>
      <c r="H28" s="464"/>
      <c r="I28" s="464"/>
      <c r="J28" s="1527"/>
      <c r="K28" s="464"/>
      <c r="L28" s="464"/>
    </row>
    <row r="29" spans="2:15">
      <c r="B29" s="86" t="s">
        <v>1482</v>
      </c>
      <c r="H29" s="464"/>
      <c r="I29" s="464"/>
      <c r="J29" s="1527"/>
      <c r="K29" s="464"/>
      <c r="L29" s="464"/>
    </row>
    <row r="30" spans="2:15" ht="19.5">
      <c r="B30" s="33"/>
      <c r="I30" s="714"/>
      <c r="J30" s="775">
        <v>2018</v>
      </c>
      <c r="K30" s="714">
        <v>2019</v>
      </c>
      <c r="L30" s="714">
        <v>2020</v>
      </c>
      <c r="M30" s="714">
        <v>2021</v>
      </c>
      <c r="N30" s="714">
        <v>2022</v>
      </c>
    </row>
    <row r="31" spans="2:15" ht="19.5">
      <c r="B31" s="33"/>
      <c r="I31" s="1590" t="s">
        <v>729</v>
      </c>
      <c r="J31" s="1601">
        <v>301352.16735766613</v>
      </c>
      <c r="K31" s="1591">
        <v>420937.84090831759</v>
      </c>
      <c r="L31" s="1591">
        <v>542783.81664517662</v>
      </c>
      <c r="M31" s="1591">
        <v>705502.83938576467</v>
      </c>
      <c r="N31" s="1591">
        <v>917153.6912014971</v>
      </c>
      <c r="O31" s="470" t="s">
        <v>1484</v>
      </c>
    </row>
    <row r="32" spans="2:15" ht="19.5">
      <c r="B32" s="33"/>
      <c r="I32" s="490" t="s">
        <v>464</v>
      </c>
      <c r="J32" s="1536">
        <f>J31/H24</f>
        <v>0.31190931516780107</v>
      </c>
      <c r="K32" s="594">
        <f>K31/I24</f>
        <v>0.31139334194335083</v>
      </c>
      <c r="L32" s="594">
        <f>L31/J24</f>
        <v>0.30795666946006994</v>
      </c>
      <c r="M32" s="594">
        <f t="shared" ref="M32:N32" si="1">M31/K24</f>
        <v>0.30799497019346656</v>
      </c>
      <c r="N32" s="594">
        <f t="shared" si="1"/>
        <v>0.30799497019346517</v>
      </c>
    </row>
    <row r="33" spans="2:15" ht="19.5">
      <c r="B33" s="33"/>
      <c r="J33" s="1537"/>
      <c r="K33" s="722"/>
      <c r="L33" s="722"/>
      <c r="M33" s="722"/>
      <c r="N33" s="722"/>
    </row>
    <row r="34" spans="2:15" ht="19.5">
      <c r="B34" s="33"/>
    </row>
    <row r="36" spans="2:15">
      <c r="B36" s="11"/>
      <c r="C36" s="4"/>
      <c r="D36" s="4"/>
      <c r="E36" s="4"/>
      <c r="F36" s="4"/>
      <c r="G36" s="4"/>
      <c r="H36" s="4"/>
      <c r="I36" s="4"/>
      <c r="J36" s="76"/>
      <c r="K36" s="4"/>
    </row>
    <row r="37" spans="2:15" s="42" customFormat="1">
      <c r="B37" s="1605" t="s">
        <v>1483</v>
      </c>
      <c r="C37" s="43"/>
      <c r="D37" s="43"/>
      <c r="E37" s="43"/>
      <c r="F37" s="43"/>
      <c r="G37" s="43"/>
      <c r="H37" s="43"/>
      <c r="I37" s="43"/>
      <c r="J37" s="1538"/>
      <c r="K37" s="43"/>
    </row>
    <row r="38" spans="2:15" s="2" customFormat="1">
      <c r="B38" s="83"/>
      <c r="C38" s="84"/>
      <c r="D38" s="84"/>
      <c r="E38" s="84"/>
      <c r="F38" s="84"/>
      <c r="G38" s="84"/>
      <c r="H38" s="84"/>
      <c r="I38" s="84"/>
      <c r="J38" s="503"/>
      <c r="K38" s="84"/>
    </row>
    <row r="39" spans="2:15" s="2" customFormat="1">
      <c r="B39" s="86"/>
      <c r="C39" s="84"/>
      <c r="D39" s="84"/>
      <c r="E39" s="84"/>
      <c r="F39" s="84"/>
      <c r="G39" s="84"/>
      <c r="H39" s="84"/>
      <c r="I39" s="84"/>
      <c r="J39" s="1539"/>
      <c r="K39" s="1526">
        <v>2018</v>
      </c>
      <c r="L39" s="1526">
        <v>2019</v>
      </c>
      <c r="M39" s="1525">
        <v>2020</v>
      </c>
      <c r="N39" s="1526">
        <v>2021</v>
      </c>
      <c r="O39" s="1526">
        <v>2022</v>
      </c>
    </row>
    <row r="40" spans="2:15" s="2" customFormat="1">
      <c r="B40" s="86"/>
      <c r="C40" s="84"/>
      <c r="D40" s="84"/>
      <c r="E40" s="84"/>
      <c r="F40" s="84"/>
      <c r="G40" s="84"/>
      <c r="H40" s="84"/>
      <c r="I40" s="84"/>
      <c r="J40" s="1510" t="s">
        <v>206</v>
      </c>
      <c r="K40" s="1557">
        <f>H24</f>
        <v>966153.14998061094</v>
      </c>
      <c r="L40" s="1557">
        <f t="shared" ref="L40:O40" si="2">I24</f>
        <v>1351788.1862255593</v>
      </c>
      <c r="M40" s="1557">
        <f t="shared" si="2"/>
        <v>1762533.0784256798</v>
      </c>
      <c r="N40" s="1557">
        <f t="shared" si="2"/>
        <v>2290631.0416128035</v>
      </c>
      <c r="O40" s="1557">
        <f t="shared" si="2"/>
        <v>2977820.3540966678</v>
      </c>
    </row>
    <row r="41" spans="2:15" s="2" customFormat="1">
      <c r="B41" s="83"/>
      <c r="C41" s="84"/>
      <c r="D41" s="84"/>
      <c r="E41" s="84"/>
      <c r="F41" s="84"/>
      <c r="G41" s="84"/>
      <c r="H41" s="84"/>
      <c r="I41" s="84"/>
      <c r="J41" s="503" t="s">
        <v>465</v>
      </c>
      <c r="K41" s="1557">
        <f>H13</f>
        <v>14945.314522993167</v>
      </c>
      <c r="L41" s="1557">
        <f t="shared" ref="L41:O41" si="3">I13</f>
        <v>18145.368976538026</v>
      </c>
      <c r="M41" s="1557">
        <f t="shared" si="3"/>
        <v>21536.576060762931</v>
      </c>
      <c r="N41" s="1557">
        <f t="shared" si="3"/>
        <v>24271.281372679456</v>
      </c>
      <c r="O41" s="1557">
        <f t="shared" si="3"/>
        <v>27745.195182167652</v>
      </c>
    </row>
    <row r="42" spans="2:15" s="2" customFormat="1">
      <c r="B42" s="83"/>
      <c r="C42" s="84"/>
      <c r="D42" s="84"/>
      <c r="E42" s="84"/>
      <c r="F42" s="84"/>
      <c r="G42" s="84"/>
      <c r="H42" s="84"/>
      <c r="I42" s="84"/>
      <c r="J42" s="503"/>
      <c r="K42" s="84"/>
    </row>
    <row r="43" spans="2:15" s="2" customFormat="1">
      <c r="B43" s="83"/>
      <c r="C43" s="84"/>
      <c r="D43" s="84"/>
      <c r="E43" s="84"/>
      <c r="F43" s="84"/>
      <c r="G43" s="84"/>
      <c r="H43" s="84"/>
      <c r="I43" s="84"/>
      <c r="J43" s="1497" t="s">
        <v>1480</v>
      </c>
      <c r="K43" s="1562">
        <v>2018</v>
      </c>
      <c r="L43" s="1562">
        <v>2019</v>
      </c>
      <c r="M43" s="1563">
        <v>2020</v>
      </c>
      <c r="N43" s="1562">
        <v>2021</v>
      </c>
      <c r="O43" s="1562">
        <v>2022</v>
      </c>
    </row>
    <row r="44" spans="2:15">
      <c r="B44" s="10" t="s">
        <v>5</v>
      </c>
      <c r="C44" s="4"/>
      <c r="D44" s="4"/>
      <c r="E44" s="4"/>
      <c r="F44" s="4"/>
      <c r="G44" s="4"/>
      <c r="H44" s="4"/>
      <c r="I44" s="4"/>
      <c r="J44" s="1564">
        <v>180</v>
      </c>
      <c r="K44" s="1565">
        <v>8.0000000000000002E-3</v>
      </c>
      <c r="L44" s="1608">
        <f>K44</f>
        <v>8.0000000000000002E-3</v>
      </c>
      <c r="M44" s="1608">
        <f t="shared" ref="M44:O44" si="4">L44</f>
        <v>8.0000000000000002E-3</v>
      </c>
      <c r="N44" s="1608">
        <f t="shared" si="4"/>
        <v>8.0000000000000002E-3</v>
      </c>
      <c r="O44" s="1608">
        <f t="shared" si="4"/>
        <v>8.0000000000000002E-3</v>
      </c>
    </row>
    <row r="45" spans="2:15">
      <c r="B45" s="11" t="s">
        <v>22</v>
      </c>
      <c r="C45" s="4"/>
      <c r="D45" s="4"/>
      <c r="E45" s="4"/>
      <c r="F45" s="4"/>
      <c r="G45" s="4"/>
      <c r="H45" s="4"/>
      <c r="I45" s="4"/>
      <c r="J45" s="1564">
        <v>130</v>
      </c>
      <c r="K45" s="1565">
        <v>0.01</v>
      </c>
      <c r="L45" s="1609">
        <f t="shared" ref="L45:O45" si="5">K45</f>
        <v>0.01</v>
      </c>
      <c r="M45" s="1609">
        <f t="shared" si="5"/>
        <v>0.01</v>
      </c>
      <c r="N45" s="1609">
        <f t="shared" si="5"/>
        <v>0.01</v>
      </c>
      <c r="O45" s="1609">
        <f t="shared" si="5"/>
        <v>0.01</v>
      </c>
    </row>
    <row r="46" spans="2:15">
      <c r="B46" s="4"/>
      <c r="C46" s="1428" t="s">
        <v>20</v>
      </c>
      <c r="D46" s="1657" t="s">
        <v>13</v>
      </c>
      <c r="E46" s="1658"/>
      <c r="F46" s="1632" t="s">
        <v>354</v>
      </c>
      <c r="G46" s="1633"/>
      <c r="H46" s="1634"/>
      <c r="I46" s="4"/>
      <c r="J46" s="1564">
        <v>90</v>
      </c>
      <c r="K46" s="1565">
        <v>0.02</v>
      </c>
      <c r="L46" s="1609">
        <f t="shared" ref="L46:O46" si="6">K46</f>
        <v>0.02</v>
      </c>
      <c r="M46" s="1609">
        <f t="shared" si="6"/>
        <v>0.02</v>
      </c>
      <c r="N46" s="1609">
        <f t="shared" si="6"/>
        <v>0.02</v>
      </c>
      <c r="O46" s="1609">
        <f t="shared" si="6"/>
        <v>0.02</v>
      </c>
    </row>
    <row r="47" spans="2:15" ht="29.25">
      <c r="B47" s="4"/>
      <c r="C47" s="5"/>
      <c r="D47" s="1655" t="s">
        <v>16</v>
      </c>
      <c r="E47" s="1656"/>
      <c r="F47" s="168" t="s">
        <v>461</v>
      </c>
      <c r="G47" s="489" t="s">
        <v>462</v>
      </c>
      <c r="H47" s="489" t="s">
        <v>463</v>
      </c>
      <c r="I47" s="4"/>
      <c r="J47" s="1564">
        <v>50</v>
      </c>
      <c r="K47" s="1565">
        <v>0.05</v>
      </c>
      <c r="L47" s="1609">
        <f t="shared" ref="L47:O47" si="7">K47</f>
        <v>0.05</v>
      </c>
      <c r="M47" s="1609">
        <f t="shared" si="7"/>
        <v>0.05</v>
      </c>
      <c r="N47" s="1609">
        <f t="shared" si="7"/>
        <v>0.05</v>
      </c>
      <c r="O47" s="1609">
        <f t="shared" si="7"/>
        <v>0.05</v>
      </c>
    </row>
    <row r="48" spans="2:15">
      <c r="B48" s="4"/>
      <c r="C48" s="1429">
        <v>6</v>
      </c>
      <c r="D48" s="1657">
        <v>180</v>
      </c>
      <c r="E48" s="1658"/>
      <c r="F48" s="171">
        <v>0.45</v>
      </c>
      <c r="G48" s="172">
        <v>0.5</v>
      </c>
      <c r="H48" s="172">
        <v>0.55000000000000004</v>
      </c>
      <c r="I48" s="4"/>
      <c r="J48" s="1564">
        <v>30</v>
      </c>
      <c r="K48" s="1565">
        <v>0.06</v>
      </c>
      <c r="L48" s="1609">
        <f t="shared" ref="L48:O48" si="8">K48</f>
        <v>0.06</v>
      </c>
      <c r="M48" s="1609">
        <f t="shared" si="8"/>
        <v>0.06</v>
      </c>
      <c r="N48" s="1609">
        <f t="shared" si="8"/>
        <v>0.06</v>
      </c>
      <c r="O48" s="1609">
        <f t="shared" si="8"/>
        <v>0.06</v>
      </c>
    </row>
    <row r="49" spans="2:15">
      <c r="B49" s="4"/>
      <c r="C49" s="1429">
        <v>5</v>
      </c>
      <c r="D49" s="1666">
        <v>130</v>
      </c>
      <c r="E49" s="1667"/>
      <c r="F49" s="171">
        <v>0.35</v>
      </c>
      <c r="G49" s="172">
        <v>0.4</v>
      </c>
      <c r="H49" s="172">
        <v>0.45</v>
      </c>
      <c r="I49" s="4"/>
      <c r="J49" s="1566">
        <v>15</v>
      </c>
      <c r="K49" s="1567">
        <v>0.12</v>
      </c>
      <c r="L49" s="1568">
        <f t="shared" ref="L49:O49" si="9">K49</f>
        <v>0.12</v>
      </c>
      <c r="M49" s="1568">
        <f t="shared" si="9"/>
        <v>0.12</v>
      </c>
      <c r="N49" s="1568">
        <f t="shared" si="9"/>
        <v>0.12</v>
      </c>
      <c r="O49" s="1568">
        <f t="shared" si="9"/>
        <v>0.12</v>
      </c>
    </row>
    <row r="50" spans="2:15">
      <c r="B50" s="4"/>
      <c r="C50" s="1429">
        <v>4</v>
      </c>
      <c r="D50" s="1666">
        <v>90</v>
      </c>
      <c r="E50" s="1667"/>
      <c r="F50" s="171">
        <v>0.25</v>
      </c>
      <c r="G50" s="172">
        <v>0.3</v>
      </c>
      <c r="H50" s="172">
        <v>0.35</v>
      </c>
      <c r="I50" s="4"/>
      <c r="J50" s="1564"/>
      <c r="K50" s="1569">
        <f>SUM(K44:K49)</f>
        <v>0.26800000000000002</v>
      </c>
      <c r="L50" s="1569">
        <f t="shared" ref="L50:O50" si="10">SUM(L44:L49)</f>
        <v>0.26800000000000002</v>
      </c>
      <c r="M50" s="1569">
        <f t="shared" si="10"/>
        <v>0.26800000000000002</v>
      </c>
      <c r="N50" s="1569">
        <f t="shared" si="10"/>
        <v>0.26800000000000002</v>
      </c>
      <c r="O50" s="1569">
        <f t="shared" si="10"/>
        <v>0.26800000000000002</v>
      </c>
    </row>
    <row r="51" spans="2:15">
      <c r="B51" s="4"/>
      <c r="C51" s="1429">
        <v>3</v>
      </c>
      <c r="D51" s="1666">
        <v>50</v>
      </c>
      <c r="E51" s="1667"/>
      <c r="F51" s="171">
        <v>0.15</v>
      </c>
      <c r="G51" s="172">
        <v>0.2</v>
      </c>
      <c r="H51" s="172">
        <v>0.25</v>
      </c>
      <c r="I51" s="4"/>
    </row>
    <row r="52" spans="2:15">
      <c r="B52" s="12"/>
      <c r="C52" s="1430">
        <v>2</v>
      </c>
      <c r="D52" s="1668">
        <v>30</v>
      </c>
      <c r="E52" s="1669"/>
      <c r="F52" s="171">
        <v>0.1</v>
      </c>
      <c r="G52" s="174">
        <v>0.15</v>
      </c>
      <c r="H52" s="174">
        <v>0.2</v>
      </c>
      <c r="I52" s="12"/>
      <c r="J52" s="1497" t="s">
        <v>478</v>
      </c>
      <c r="K52" s="1562">
        <v>2018</v>
      </c>
      <c r="L52" s="1562">
        <v>2019</v>
      </c>
      <c r="M52" s="1563">
        <v>2020</v>
      </c>
      <c r="N52" s="1562">
        <v>2021</v>
      </c>
      <c r="O52" s="1562">
        <v>2022</v>
      </c>
    </row>
    <row r="53" spans="2:15">
      <c r="B53" s="4"/>
      <c r="C53" s="1427">
        <v>1</v>
      </c>
      <c r="D53" s="1655">
        <v>15</v>
      </c>
      <c r="E53" s="1656"/>
      <c r="F53" s="176">
        <v>0.08</v>
      </c>
      <c r="G53" s="177">
        <v>0.1</v>
      </c>
      <c r="H53" s="177">
        <v>0.12</v>
      </c>
      <c r="I53" s="4"/>
      <c r="J53" s="1564">
        <v>180</v>
      </c>
      <c r="K53" s="1573">
        <v>349.25</v>
      </c>
      <c r="L53" s="1179">
        <f>K53*1.1</f>
        <v>384.17500000000001</v>
      </c>
      <c r="M53" s="1179">
        <f t="shared" ref="M53:O53" si="11">L53*1.1</f>
        <v>422.59250000000003</v>
      </c>
      <c r="N53" s="1179">
        <f t="shared" si="11"/>
        <v>464.8517500000001</v>
      </c>
      <c r="O53" s="1179">
        <f t="shared" si="11"/>
        <v>511.33692500000012</v>
      </c>
    </row>
    <row r="54" spans="2:15">
      <c r="B54" s="4"/>
      <c r="C54" s="6" t="s">
        <v>23</v>
      </c>
      <c r="D54" s="4"/>
      <c r="E54" s="4"/>
      <c r="F54" s="4"/>
      <c r="G54" s="4"/>
      <c r="H54" s="4"/>
      <c r="I54" s="4"/>
      <c r="J54" s="1564">
        <v>130</v>
      </c>
      <c r="K54" s="1573">
        <v>162.25</v>
      </c>
      <c r="L54" s="1179">
        <f t="shared" ref="L54:O54" si="12">K54*1.1</f>
        <v>178.47500000000002</v>
      </c>
      <c r="M54" s="1179">
        <f t="shared" si="12"/>
        <v>196.32250000000005</v>
      </c>
      <c r="N54" s="1179">
        <f t="shared" si="12"/>
        <v>215.95475000000008</v>
      </c>
      <c r="O54" s="1179">
        <f t="shared" si="12"/>
        <v>237.5502250000001</v>
      </c>
    </row>
    <row r="55" spans="2:15">
      <c r="B55" s="4"/>
      <c r="C55" s="6" t="s">
        <v>24</v>
      </c>
      <c r="D55" s="4"/>
      <c r="E55" s="4"/>
      <c r="F55" s="4"/>
      <c r="G55" s="4"/>
      <c r="H55" s="4"/>
      <c r="I55" s="4"/>
      <c r="J55" s="1564">
        <v>90</v>
      </c>
      <c r="K55" s="1573">
        <v>118.25000000000001</v>
      </c>
      <c r="L55" s="1179">
        <f t="shared" ref="L55:O55" si="13">K55*1.1</f>
        <v>130.07500000000002</v>
      </c>
      <c r="M55" s="1179">
        <f t="shared" si="13"/>
        <v>143.08250000000004</v>
      </c>
      <c r="N55" s="1179">
        <f t="shared" si="13"/>
        <v>157.39075000000005</v>
      </c>
      <c r="O55" s="1179">
        <f t="shared" si="13"/>
        <v>173.12982500000007</v>
      </c>
    </row>
    <row r="56" spans="2:15">
      <c r="B56" s="4"/>
      <c r="C56" s="6"/>
      <c r="D56" s="4"/>
      <c r="E56" s="4"/>
      <c r="F56" s="4"/>
      <c r="G56" s="4"/>
      <c r="H56" s="4"/>
      <c r="I56" s="4"/>
      <c r="J56" s="1564">
        <v>50</v>
      </c>
      <c r="K56" s="1573">
        <v>72.875</v>
      </c>
      <c r="L56" s="1179">
        <f t="shared" ref="L56:O56" si="14">K56*1.1</f>
        <v>80.162500000000009</v>
      </c>
      <c r="M56" s="1179">
        <f t="shared" si="14"/>
        <v>88.178750000000022</v>
      </c>
      <c r="N56" s="1179">
        <f t="shared" si="14"/>
        <v>96.996625000000037</v>
      </c>
      <c r="O56" s="1179">
        <f t="shared" si="14"/>
        <v>106.69628750000005</v>
      </c>
    </row>
    <row r="57" spans="2:15">
      <c r="B57" s="4"/>
      <c r="C57" s="6"/>
      <c r="D57" s="4"/>
      <c r="E57" s="4"/>
      <c r="F57" s="4"/>
      <c r="G57" s="4"/>
      <c r="H57" s="4"/>
      <c r="I57" s="4"/>
      <c r="J57" s="1564">
        <v>30</v>
      </c>
      <c r="K57" s="1573">
        <v>40.150000000000006</v>
      </c>
      <c r="L57" s="1179">
        <f t="shared" ref="L57:O57" si="15">K57*1.1</f>
        <v>44.165000000000013</v>
      </c>
      <c r="M57" s="1179">
        <f t="shared" si="15"/>
        <v>48.58150000000002</v>
      </c>
      <c r="N57" s="1179">
        <f t="shared" si="15"/>
        <v>53.439650000000029</v>
      </c>
      <c r="O57" s="1179">
        <f t="shared" si="15"/>
        <v>58.783615000000033</v>
      </c>
    </row>
    <row r="58" spans="2:15">
      <c r="B58" s="4"/>
      <c r="C58" s="6"/>
      <c r="D58" s="4"/>
      <c r="E58" s="4"/>
      <c r="F58" s="4"/>
      <c r="G58" s="4"/>
      <c r="H58" s="4"/>
      <c r="I58" s="4"/>
      <c r="J58" s="1564">
        <v>15</v>
      </c>
      <c r="K58" s="1573">
        <v>21.450000000000003</v>
      </c>
      <c r="L58" s="1179">
        <f t="shared" ref="L58:O58" si="16">K58*1.1</f>
        <v>23.595000000000006</v>
      </c>
      <c r="M58" s="1179">
        <f t="shared" si="16"/>
        <v>25.95450000000001</v>
      </c>
      <c r="N58" s="1179">
        <f t="shared" si="16"/>
        <v>28.549950000000013</v>
      </c>
      <c r="O58" s="1179">
        <f t="shared" si="16"/>
        <v>31.404945000000016</v>
      </c>
    </row>
    <row r="59" spans="2:15">
      <c r="B59" s="4"/>
      <c r="C59" s="6"/>
      <c r="D59" s="4"/>
      <c r="E59" s="4"/>
      <c r="F59" s="4"/>
      <c r="G59" s="4"/>
      <c r="H59" s="4"/>
      <c r="I59" s="4"/>
      <c r="J59" s="76"/>
      <c r="K59" s="4"/>
    </row>
    <row r="60" spans="2:15">
      <c r="B60" s="4"/>
      <c r="C60" s="6"/>
      <c r="D60" s="4"/>
      <c r="E60" s="4"/>
      <c r="F60" s="4"/>
      <c r="G60" s="4"/>
      <c r="H60" s="4"/>
      <c r="I60" s="4"/>
      <c r="J60" s="1559" t="s">
        <v>674</v>
      </c>
      <c r="K60" s="1576">
        <v>2018</v>
      </c>
      <c r="L60" s="1576">
        <v>2019</v>
      </c>
      <c r="M60" s="1560">
        <v>2020</v>
      </c>
      <c r="N60" s="1576">
        <v>2021</v>
      </c>
      <c r="O60" s="1576">
        <v>2022</v>
      </c>
    </row>
    <row r="61" spans="2:15">
      <c r="B61" s="4"/>
      <c r="C61" s="6"/>
      <c r="D61" s="4"/>
      <c r="E61" s="4"/>
      <c r="F61" s="4"/>
      <c r="G61" s="4"/>
      <c r="H61" s="4"/>
      <c r="I61" s="4"/>
      <c r="J61" s="1574">
        <v>180</v>
      </c>
      <c r="K61" s="1577">
        <f t="shared" ref="K61:O66" si="17">K$41*K44*K53*4</f>
        <v>167028.83510897163</v>
      </c>
      <c r="L61" s="1577">
        <f t="shared" si="17"/>
        <v>223071.9080499679</v>
      </c>
      <c r="M61" s="1577">
        <f t="shared" si="17"/>
        <v>291238.25660665473</v>
      </c>
      <c r="N61" s="1577">
        <f t="shared" si="17"/>
        <v>361041.52386663842</v>
      </c>
      <c r="O61" s="1577">
        <f t="shared" si="17"/>
        <v>453988.56921518163</v>
      </c>
    </row>
    <row r="62" spans="2:15">
      <c r="B62" s="4"/>
      <c r="C62" s="6"/>
      <c r="D62" s="4"/>
      <c r="E62" s="4"/>
      <c r="F62" s="4"/>
      <c r="G62" s="4"/>
      <c r="H62" s="4"/>
      <c r="I62" s="4"/>
      <c r="J62" s="1574">
        <v>130</v>
      </c>
      <c r="K62" s="1577">
        <f t="shared" si="17"/>
        <v>96995.091254225656</v>
      </c>
      <c r="L62" s="1578">
        <f t="shared" si="17"/>
        <v>129539.78912350499</v>
      </c>
      <c r="M62" s="1578">
        <f t="shared" si="17"/>
        <v>169124.57814756528</v>
      </c>
      <c r="N62" s="1578">
        <f t="shared" si="17"/>
        <v>209659.94004066603</v>
      </c>
      <c r="O62" s="1578">
        <f t="shared" si="17"/>
        <v>263635.09432771377</v>
      </c>
    </row>
    <row r="63" spans="2:15">
      <c r="B63" s="4"/>
      <c r="C63" s="6"/>
      <c r="D63" s="4"/>
      <c r="E63" s="4"/>
      <c r="F63" s="4"/>
      <c r="G63" s="4"/>
      <c r="H63" s="4"/>
      <c r="I63" s="4"/>
      <c r="J63" s="1574">
        <v>90</v>
      </c>
      <c r="K63" s="1577">
        <f t="shared" si="17"/>
        <v>141382.67538751537</v>
      </c>
      <c r="L63" s="1578">
        <f t="shared" si="17"/>
        <v>188820.70956985472</v>
      </c>
      <c r="M63" s="1578">
        <f t="shared" si="17"/>
        <v>246520.57153712903</v>
      </c>
      <c r="N63" s="1578">
        <f t="shared" si="17"/>
        <v>305606.01429656404</v>
      </c>
      <c r="O63" s="1578">
        <f t="shared" si="17"/>
        <v>384281.66291836242</v>
      </c>
    </row>
    <row r="64" spans="2:15">
      <c r="B64" s="4"/>
      <c r="C64" s="6"/>
      <c r="D64" s="4"/>
      <c r="E64" s="4"/>
      <c r="F64" s="4"/>
      <c r="G64" s="4"/>
      <c r="H64" s="4"/>
      <c r="I64" s="4"/>
      <c r="J64" s="1574">
        <v>50</v>
      </c>
      <c r="K64" s="1577">
        <f t="shared" si="17"/>
        <v>217827.95917262541</v>
      </c>
      <c r="L64" s="1578">
        <f t="shared" si="17"/>
        <v>290915.62811634596</v>
      </c>
      <c r="M64" s="1578">
        <f t="shared" si="17"/>
        <v>379813.67126359994</v>
      </c>
      <c r="N64" s="1578">
        <f t="shared" si="17"/>
        <v>470846.47551505506</v>
      </c>
      <c r="O64" s="1578">
        <f t="shared" si="17"/>
        <v>592061.86438003532</v>
      </c>
    </row>
    <row r="65" spans="2:15">
      <c r="B65" s="4"/>
      <c r="C65" s="6"/>
      <c r="D65" s="4"/>
      <c r="E65" s="4"/>
      <c r="F65" s="4"/>
      <c r="G65" s="4"/>
      <c r="H65" s="4"/>
      <c r="I65" s="4"/>
      <c r="J65" s="1574">
        <v>30</v>
      </c>
      <c r="K65" s="1577">
        <f t="shared" si="17"/>
        <v>144013.05074356217</v>
      </c>
      <c r="L65" s="1579">
        <f t="shared" si="17"/>
        <v>192333.6530037125</v>
      </c>
      <c r="M65" s="1579">
        <f t="shared" si="17"/>
        <v>251107.00077502913</v>
      </c>
      <c r="N65" s="1579">
        <f t="shared" si="17"/>
        <v>311291.70758580248</v>
      </c>
      <c r="O65" s="1579">
        <f t="shared" si="17"/>
        <v>391431.08920521574</v>
      </c>
    </row>
    <row r="66" spans="2:15">
      <c r="B66" s="4"/>
      <c r="C66" s="6"/>
      <c r="D66" s="4"/>
      <c r="E66" s="4"/>
      <c r="F66" s="4"/>
      <c r="G66" s="4"/>
      <c r="H66" s="4"/>
      <c r="I66" s="4"/>
      <c r="J66" s="1575">
        <v>15</v>
      </c>
      <c r="K66" s="1580">
        <f t="shared" si="17"/>
        <v>153876.95832873767</v>
      </c>
      <c r="L66" s="1581">
        <f t="shared" si="17"/>
        <v>205507.19088067909</v>
      </c>
      <c r="M66" s="1581">
        <f t="shared" si="17"/>
        <v>268306.11041715438</v>
      </c>
      <c r="N66" s="1581">
        <f t="shared" si="17"/>
        <v>332613.05742044648</v>
      </c>
      <c r="O66" s="1581">
        <f t="shared" si="17"/>
        <v>418241.43778091547</v>
      </c>
    </row>
    <row r="67" spans="2:15">
      <c r="B67" s="4"/>
      <c r="C67" s="6"/>
      <c r="D67" s="4"/>
      <c r="E67" s="4"/>
      <c r="F67" s="4"/>
      <c r="G67" s="4"/>
      <c r="H67" s="4"/>
      <c r="I67" s="4"/>
      <c r="J67" s="1574"/>
      <c r="K67" s="1577">
        <f>SUM(K61:K66)</f>
        <v>921124.56999563787</v>
      </c>
      <c r="L67" s="1577">
        <f t="shared" ref="L67:O67" si="18">SUM(L61:L66)</f>
        <v>1230188.8787440653</v>
      </c>
      <c r="M67" s="1577">
        <f t="shared" si="18"/>
        <v>1606110.1887471324</v>
      </c>
      <c r="N67" s="1577">
        <f t="shared" si="18"/>
        <v>1991058.7187251726</v>
      </c>
      <c r="O67" s="1577">
        <f t="shared" si="18"/>
        <v>2503639.7178274244</v>
      </c>
    </row>
    <row r="68" spans="2:15">
      <c r="B68" s="4"/>
      <c r="C68" s="6"/>
      <c r="D68" s="4"/>
      <c r="E68" s="4"/>
      <c r="F68" s="4"/>
      <c r="G68" s="4"/>
      <c r="H68" s="4"/>
      <c r="I68" s="4"/>
      <c r="J68" s="76"/>
      <c r="K68" s="1561">
        <f>K67/K40</f>
        <v>0.95339395210182076</v>
      </c>
      <c r="L68" s="1561">
        <f>L67/L40</f>
        <v>0.91004559092869308</v>
      </c>
      <c r="M68" s="1561">
        <f>M67/M40</f>
        <v>0.91125108992662618</v>
      </c>
      <c r="N68" s="1561">
        <f>N67/N40</f>
        <v>0.86921843044757396</v>
      </c>
      <c r="O68" s="1561">
        <f>O67/O40</f>
        <v>0.84076251086909914</v>
      </c>
    </row>
    <row r="69" spans="2:15">
      <c r="B69" s="4"/>
      <c r="C69" s="6"/>
      <c r="D69" s="4"/>
      <c r="E69" s="4"/>
      <c r="F69" s="4"/>
      <c r="G69" s="4"/>
      <c r="H69" s="4"/>
      <c r="I69" s="4"/>
      <c r="J69" s="76"/>
      <c r="K69" s="4"/>
    </row>
    <row r="70" spans="2:15">
      <c r="B70" s="4"/>
      <c r="C70" s="6"/>
      <c r="D70" s="4"/>
      <c r="E70" s="4"/>
      <c r="F70" s="4"/>
      <c r="G70" s="4"/>
      <c r="H70" s="4"/>
      <c r="I70" s="4"/>
      <c r="J70" s="76"/>
      <c r="K70" s="4"/>
    </row>
    <row r="71" spans="2:15">
      <c r="B71" s="4"/>
      <c r="C71" s="6"/>
      <c r="D71" s="4"/>
      <c r="E71" s="4"/>
      <c r="F71" s="4"/>
      <c r="G71" s="4"/>
      <c r="H71" s="4"/>
      <c r="I71" s="4"/>
      <c r="J71" s="1559" t="s">
        <v>466</v>
      </c>
      <c r="K71" s="1576">
        <v>2018</v>
      </c>
      <c r="L71" s="1576">
        <v>2019</v>
      </c>
      <c r="M71" s="1560">
        <v>2020</v>
      </c>
      <c r="N71" s="1576">
        <v>2021</v>
      </c>
      <c r="O71" s="1576">
        <v>2022</v>
      </c>
    </row>
    <row r="72" spans="2:15">
      <c r="B72" s="4"/>
      <c r="C72" s="6"/>
      <c r="D72" s="4"/>
      <c r="E72" s="4"/>
      <c r="F72" s="4"/>
      <c r="G72" s="4"/>
      <c r="H72" s="4"/>
      <c r="I72" s="4"/>
      <c r="J72" s="1574">
        <v>180</v>
      </c>
      <c r="K72" s="1577">
        <f>(K61*30%*$F48+K61*35%*$G48+K61*35%*$H48)*J$32</f>
        <v>26179.169409987739</v>
      </c>
      <c r="L72" s="1577">
        <f t="shared" ref="L72:N72" si="19">(L61*30%*$F48+L61*35%*$G48+L61*35%*$H48)*K$32</f>
        <v>34905.211238033087</v>
      </c>
      <c r="M72" s="1577">
        <f t="shared" si="19"/>
        <v>45068.603670781151</v>
      </c>
      <c r="N72" s="1577">
        <f t="shared" si="19"/>
        <v>55877.48412440929</v>
      </c>
      <c r="O72" s="1577">
        <f>(O61*30%*$F48+O61*35%*$G48+O61*35%*$H48)*N$32</f>
        <v>70262.663411410889</v>
      </c>
    </row>
    <row r="73" spans="2:15">
      <c r="B73" s="4"/>
      <c r="C73" s="6"/>
      <c r="D73" s="4"/>
      <c r="E73" s="4"/>
      <c r="F73" s="4"/>
      <c r="G73" s="4"/>
      <c r="H73" s="4"/>
      <c r="I73" s="4"/>
      <c r="J73" s="1574">
        <v>130</v>
      </c>
      <c r="K73" s="1577">
        <f t="shared" ref="K73:O73" si="20">(K62*30%*$F49+K62*35%*$G49+K62*35%*$H49)*J$32</f>
        <v>12177.103176316918</v>
      </c>
      <c r="L73" s="1578">
        <f t="shared" si="20"/>
        <v>16235.975709546572</v>
      </c>
      <c r="M73" s="1578">
        <f t="shared" si="20"/>
        <v>20963.42432859082</v>
      </c>
      <c r="N73" s="1578">
        <f t="shared" si="20"/>
        <v>25991.118310894537</v>
      </c>
      <c r="O73" s="1578">
        <f t="shared" si="20"/>
        <v>32682.308915314767</v>
      </c>
    </row>
    <row r="74" spans="2:15">
      <c r="B74" s="4"/>
      <c r="C74" s="6"/>
      <c r="D74" s="4"/>
      <c r="E74" s="4"/>
      <c r="F74" s="4"/>
      <c r="G74" s="4"/>
      <c r="H74" s="4"/>
      <c r="I74" s="4"/>
      <c r="J74" s="1574">
        <v>90</v>
      </c>
      <c r="K74" s="1577">
        <f t="shared" ref="K74:O74" si="21">(K63*30%*$F50+K63*35%*$G50+K63*35%*$H50)*J$32</f>
        <v>13339.818470655211</v>
      </c>
      <c r="L74" s="1578">
        <f t="shared" si="21"/>
        <v>17786.247313774253</v>
      </c>
      <c r="M74" s="1578">
        <f t="shared" si="21"/>
        <v>22965.090384600066</v>
      </c>
      <c r="N74" s="1578">
        <f t="shared" si="21"/>
        <v>28472.847367424838</v>
      </c>
      <c r="O74" s="1578">
        <f t="shared" si="21"/>
        <v>35802.937843221967</v>
      </c>
    </row>
    <row r="75" spans="2:15">
      <c r="B75" s="4"/>
      <c r="C75" s="6"/>
      <c r="D75" s="4"/>
      <c r="E75" s="4"/>
      <c r="F75" s="4"/>
      <c r="G75" s="4"/>
      <c r="H75" s="4"/>
      <c r="I75" s="4"/>
      <c r="J75" s="1574">
        <v>50</v>
      </c>
      <c r="K75" s="1577">
        <f t="shared" ref="K75:O75" si="22">(K64*30%*$F51+K64*35%*$G51+K64*35%*$H51)*J$32</f>
        <v>13758.370337911498</v>
      </c>
      <c r="L75" s="1578">
        <f t="shared" si="22"/>
        <v>18344.310906696348</v>
      </c>
      <c r="M75" s="1578">
        <f t="shared" si="22"/>
        <v>23685.646026592374</v>
      </c>
      <c r="N75" s="1578">
        <f t="shared" si="22"/>
        <v>29366.215103871524</v>
      </c>
      <c r="O75" s="1578">
        <f t="shared" si="22"/>
        <v>36926.295445164316</v>
      </c>
    </row>
    <row r="76" spans="2:15">
      <c r="B76" s="4"/>
      <c r="C76" s="6"/>
      <c r="D76" s="4"/>
      <c r="E76" s="4"/>
      <c r="F76" s="4"/>
      <c r="G76" s="4"/>
      <c r="H76" s="4"/>
      <c r="I76" s="4"/>
      <c r="J76" s="1574">
        <v>30</v>
      </c>
      <c r="K76" s="1577">
        <f t="shared" ref="K76:O76" si="23">(K65*30%*$F52+K65*35%*$G52+K65*35%*$H52)*J$32</f>
        <v>6850.1493349791635</v>
      </c>
      <c r="L76" s="1579">
        <f t="shared" si="23"/>
        <v>9133.4413939923215</v>
      </c>
      <c r="M76" s="1579">
        <f t="shared" si="23"/>
        <v>11792.836534609738</v>
      </c>
      <c r="N76" s="1579">
        <f t="shared" si="23"/>
        <v>14621.132730402787</v>
      </c>
      <c r="O76" s="1579">
        <f t="shared" si="23"/>
        <v>18385.21801451479</v>
      </c>
    </row>
    <row r="77" spans="2:15">
      <c r="B77" s="4"/>
      <c r="C77" s="6"/>
      <c r="D77" s="4"/>
      <c r="E77" s="4"/>
      <c r="F77" s="4"/>
      <c r="G77" s="4"/>
      <c r="H77" s="4"/>
      <c r="I77" s="4"/>
      <c r="J77" s="1575">
        <v>15</v>
      </c>
      <c r="K77" s="1580">
        <f t="shared" ref="K77:O77" si="24">(K66*30%*$F53+K66*35%*$G53+K66*35%*$H53)*J$32</f>
        <v>4847.5613259345046</v>
      </c>
      <c r="L77" s="1581">
        <f t="shared" si="24"/>
        <v>6463.350667134202</v>
      </c>
      <c r="M77" s="1581">
        <f t="shared" si="24"/>
        <v>8345.2922721451159</v>
      </c>
      <c r="N77" s="1581">
        <f t="shared" si="24"/>
        <v>10346.758019322988</v>
      </c>
      <c r="O77" s="1581">
        <f t="shared" si="24"/>
        <v>13010.442175463513</v>
      </c>
    </row>
    <row r="78" spans="2:15">
      <c r="B78" s="4"/>
      <c r="C78" s="6"/>
      <c r="D78" s="4"/>
      <c r="E78" s="4"/>
      <c r="F78" s="4"/>
      <c r="G78" s="4"/>
      <c r="H78" s="4"/>
      <c r="I78" s="4"/>
      <c r="J78" s="1599"/>
      <c r="K78" s="1600">
        <f>SUM(K72:K77)</f>
        <v>77152.172055785049</v>
      </c>
      <c r="L78" s="1600">
        <f t="shared" ref="L78" si="25">SUM(L72:L77)</f>
        <v>102868.53722917679</v>
      </c>
      <c r="M78" s="1600">
        <f t="shared" ref="M78" si="26">SUM(M72:M77)</f>
        <v>132820.89321731927</v>
      </c>
      <c r="N78" s="1600">
        <f t="shared" ref="N78" si="27">SUM(N72:N77)</f>
        <v>164675.55565632597</v>
      </c>
      <c r="O78" s="1600">
        <f>SUM(O72:O77)</f>
        <v>207069.86580509026</v>
      </c>
    </row>
    <row r="79" spans="2:15">
      <c r="B79" s="4"/>
      <c r="C79" s="6"/>
      <c r="D79" s="4"/>
      <c r="E79" s="4"/>
      <c r="F79" s="4"/>
      <c r="G79" s="4"/>
      <c r="H79" s="4"/>
      <c r="I79" s="4"/>
      <c r="J79" s="76"/>
      <c r="K79" s="1582">
        <f>K78/K40</f>
        <v>7.985501269372601E-2</v>
      </c>
      <c r="L79" s="1582">
        <f t="shared" ref="L79:N79" si="28">L78/L40</f>
        <v>7.6098118238778684E-2</v>
      </c>
      <c r="M79" s="1582">
        <f t="shared" si="28"/>
        <v>7.5357957727497982E-2</v>
      </c>
      <c r="N79" s="1582">
        <f t="shared" si="28"/>
        <v>7.1890912444974142E-2</v>
      </c>
      <c r="O79" s="1582">
        <f>O78/O40</f>
        <v>6.9537393523494001E-2</v>
      </c>
    </row>
    <row r="80" spans="2:15">
      <c r="B80" s="4"/>
      <c r="C80" s="6"/>
      <c r="D80" s="4"/>
      <c r="E80" s="4"/>
      <c r="F80" s="4"/>
      <c r="G80" s="4"/>
      <c r="H80" s="4"/>
      <c r="I80" s="4"/>
      <c r="J80" s="76"/>
      <c r="K80" s="4"/>
    </row>
    <row r="81" spans="2:22" s="42" customFormat="1">
      <c r="B81" s="53" t="s">
        <v>201</v>
      </c>
      <c r="J81" s="1540"/>
    </row>
    <row r="83" spans="2:22">
      <c r="B83" s="86" t="s">
        <v>224</v>
      </c>
      <c r="J83" s="775"/>
      <c r="K83" s="714">
        <v>2018</v>
      </c>
      <c r="L83" s="714">
        <v>2019</v>
      </c>
      <c r="M83" s="714">
        <v>2020</v>
      </c>
      <c r="N83" s="714">
        <v>2021</v>
      </c>
      <c r="O83" s="714">
        <v>2022</v>
      </c>
    </row>
    <row r="84" spans="2:22">
      <c r="J84" s="490" t="s">
        <v>206</v>
      </c>
      <c r="K84" s="581">
        <f>H24</f>
        <v>966153.14998061094</v>
      </c>
      <c r="L84" s="581">
        <f>I24</f>
        <v>1351788.1862255593</v>
      </c>
      <c r="M84" s="581">
        <f>J24</f>
        <v>1762533.0784256798</v>
      </c>
      <c r="N84" s="581">
        <f>K24</f>
        <v>2290631.0416128035</v>
      </c>
      <c r="O84" s="581">
        <f>L24</f>
        <v>2977820.3540966678</v>
      </c>
    </row>
    <row r="85" spans="2:22">
      <c r="J85" s="490" t="s">
        <v>465</v>
      </c>
      <c r="K85" s="581">
        <f>H13</f>
        <v>14945.314522993167</v>
      </c>
      <c r="L85" s="581">
        <f>I13</f>
        <v>18145.368976538026</v>
      </c>
      <c r="M85" s="581">
        <f>J13</f>
        <v>21536.576060762931</v>
      </c>
      <c r="N85" s="581">
        <f>K13</f>
        <v>24271.281372679456</v>
      </c>
      <c r="O85" s="581">
        <f>L13</f>
        <v>27745.195182167652</v>
      </c>
    </row>
    <row r="86" spans="2:22">
      <c r="C86" s="640" t="s">
        <v>357</v>
      </c>
      <c r="D86" s="67"/>
      <c r="E86" s="67"/>
      <c r="F86" s="67"/>
      <c r="G86" s="67"/>
      <c r="H86" s="67"/>
      <c r="I86" s="67"/>
      <c r="J86" s="74"/>
    </row>
    <row r="87" spans="2:22">
      <c r="C87" s="640"/>
      <c r="D87" s="67"/>
      <c r="E87" s="67"/>
      <c r="F87" s="67"/>
      <c r="G87" s="67"/>
      <c r="H87" s="67"/>
      <c r="I87" s="67"/>
      <c r="J87" s="1149" t="s">
        <v>522</v>
      </c>
      <c r="Q87" s="140" t="s">
        <v>523</v>
      </c>
    </row>
    <row r="88" spans="2:22" ht="41.25" customHeight="1">
      <c r="C88" s="641" t="s">
        <v>202</v>
      </c>
      <c r="D88" s="642" t="s">
        <v>342</v>
      </c>
      <c r="E88" s="641" t="s">
        <v>229</v>
      </c>
      <c r="F88" s="643"/>
      <c r="G88" s="644"/>
      <c r="H88" s="645"/>
      <c r="I88" s="645"/>
      <c r="J88" s="1586" t="s">
        <v>1481</v>
      </c>
      <c r="K88" s="714">
        <v>2018</v>
      </c>
      <c r="L88" s="714">
        <v>2019</v>
      </c>
      <c r="M88" s="714">
        <v>2020</v>
      </c>
      <c r="N88" s="714">
        <v>2021</v>
      </c>
      <c r="O88" s="714">
        <v>2022</v>
      </c>
      <c r="Q88" s="1487" t="s">
        <v>222</v>
      </c>
      <c r="R88" s="714">
        <v>2018</v>
      </c>
      <c r="S88" s="714">
        <v>2019</v>
      </c>
      <c r="T88" s="714">
        <v>2020</v>
      </c>
      <c r="U88" s="714">
        <v>2021</v>
      </c>
      <c r="V88" s="714">
        <v>2022</v>
      </c>
    </row>
    <row r="89" spans="2:22">
      <c r="C89" s="646" t="s">
        <v>203</v>
      </c>
      <c r="D89" s="647">
        <v>300</v>
      </c>
      <c r="E89" s="647">
        <v>6</v>
      </c>
      <c r="F89" s="648"/>
      <c r="G89" s="1290"/>
      <c r="H89" s="649"/>
      <c r="I89" s="649"/>
      <c r="J89" s="1587" t="s">
        <v>203</v>
      </c>
      <c r="K89" s="1483">
        <v>1.2E-2</v>
      </c>
      <c r="L89" s="1483">
        <f>K89</f>
        <v>1.2E-2</v>
      </c>
      <c r="M89" s="1483">
        <f t="shared" ref="M89:O89" si="29">L89</f>
        <v>1.2E-2</v>
      </c>
      <c r="N89" s="1483">
        <f t="shared" si="29"/>
        <v>1.2E-2</v>
      </c>
      <c r="O89" s="1483">
        <f t="shared" si="29"/>
        <v>1.2E-2</v>
      </c>
      <c r="Q89" s="1479" t="s">
        <v>203</v>
      </c>
      <c r="R89" s="1482">
        <v>0.6</v>
      </c>
      <c r="S89" s="1482">
        <f>R89*1.05</f>
        <v>0.63</v>
      </c>
      <c r="T89" s="1482">
        <f t="shared" ref="T89:V89" si="30">S89*1.05</f>
        <v>0.66150000000000009</v>
      </c>
      <c r="U89" s="1482">
        <f t="shared" si="30"/>
        <v>0.69457500000000016</v>
      </c>
      <c r="V89" s="1482">
        <f t="shared" si="30"/>
        <v>0.72930375000000025</v>
      </c>
    </row>
    <row r="90" spans="2:22">
      <c r="C90" s="646" t="s">
        <v>204</v>
      </c>
      <c r="D90" s="647">
        <v>150</v>
      </c>
      <c r="E90" s="647">
        <v>6</v>
      </c>
      <c r="F90" s="648"/>
      <c r="G90" s="1290"/>
      <c r="H90" s="649"/>
      <c r="I90" s="649"/>
      <c r="J90" s="1587" t="s">
        <v>204</v>
      </c>
      <c r="K90" s="1483">
        <v>1.4999999999999999E-2</v>
      </c>
      <c r="L90" s="1483">
        <f t="shared" ref="L90:O91" si="31">K90</f>
        <v>1.4999999999999999E-2</v>
      </c>
      <c r="M90" s="1483">
        <f t="shared" si="31"/>
        <v>1.4999999999999999E-2</v>
      </c>
      <c r="N90" s="1483">
        <f t="shared" si="31"/>
        <v>1.4999999999999999E-2</v>
      </c>
      <c r="O90" s="1483">
        <f t="shared" si="31"/>
        <v>1.4999999999999999E-2</v>
      </c>
      <c r="Q90" s="1479" t="s">
        <v>204</v>
      </c>
      <c r="R90" s="1482">
        <v>0.35</v>
      </c>
      <c r="S90" s="1482">
        <f t="shared" ref="S90:V91" si="32">R90*1.05</f>
        <v>0.36749999999999999</v>
      </c>
      <c r="T90" s="1482">
        <f t="shared" si="32"/>
        <v>0.38587500000000002</v>
      </c>
      <c r="U90" s="1482">
        <f t="shared" si="32"/>
        <v>0.40516875000000002</v>
      </c>
      <c r="V90" s="1482">
        <f t="shared" si="32"/>
        <v>0.42542718750000003</v>
      </c>
    </row>
    <row r="91" spans="2:22">
      <c r="C91" s="650" t="s">
        <v>205</v>
      </c>
      <c r="D91" s="99">
        <v>75</v>
      </c>
      <c r="E91" s="99">
        <v>6</v>
      </c>
      <c r="F91" s="648"/>
      <c r="G91" s="1290"/>
      <c r="H91" s="649"/>
      <c r="I91" s="649"/>
      <c r="J91" s="1588" t="s">
        <v>205</v>
      </c>
      <c r="K91" s="1485">
        <v>8.5000000000000006E-2</v>
      </c>
      <c r="L91" s="1485">
        <f t="shared" si="31"/>
        <v>8.5000000000000006E-2</v>
      </c>
      <c r="M91" s="1485">
        <f t="shared" si="31"/>
        <v>8.5000000000000006E-2</v>
      </c>
      <c r="N91" s="1485">
        <f t="shared" si="31"/>
        <v>8.5000000000000006E-2</v>
      </c>
      <c r="O91" s="1485">
        <f t="shared" si="31"/>
        <v>8.5000000000000006E-2</v>
      </c>
      <c r="Q91" s="1479" t="s">
        <v>205</v>
      </c>
      <c r="R91" s="1482">
        <v>0.18</v>
      </c>
      <c r="S91" s="1482">
        <f t="shared" si="32"/>
        <v>0.189</v>
      </c>
      <c r="T91" s="1482">
        <f t="shared" si="32"/>
        <v>0.19845000000000002</v>
      </c>
      <c r="U91" s="1482">
        <f t="shared" si="32"/>
        <v>0.20837250000000002</v>
      </c>
      <c r="V91" s="1482">
        <f t="shared" si="32"/>
        <v>0.21879112500000003</v>
      </c>
    </row>
    <row r="92" spans="2:22">
      <c r="C92" s="67"/>
      <c r="D92" s="67"/>
      <c r="E92" s="67"/>
      <c r="F92" s="67"/>
      <c r="G92" s="67"/>
      <c r="H92" s="67"/>
      <c r="I92" s="67"/>
      <c r="J92" s="1480"/>
      <c r="K92" s="1486">
        <f>SUM(K89:K91)</f>
        <v>0.112</v>
      </c>
      <c r="L92" s="1486">
        <f t="shared" ref="L92:O92" si="33">SUM(L89:L91)</f>
        <v>0.112</v>
      </c>
      <c r="M92" s="1486">
        <f t="shared" si="33"/>
        <v>0.112</v>
      </c>
      <c r="N92" s="1486">
        <f t="shared" si="33"/>
        <v>0.112</v>
      </c>
      <c r="O92" s="1486">
        <f t="shared" si="33"/>
        <v>0.112</v>
      </c>
    </row>
    <row r="93" spans="2:22">
      <c r="C93" s="67" t="s">
        <v>23</v>
      </c>
      <c r="D93" s="67"/>
      <c r="E93" s="67"/>
      <c r="F93" s="67"/>
      <c r="G93" s="67"/>
      <c r="H93" s="67"/>
      <c r="I93" s="67"/>
    </row>
    <row r="94" spans="2:22" ht="45">
      <c r="C94" s="67" t="s">
        <v>24</v>
      </c>
      <c r="D94" s="67"/>
      <c r="E94" s="67"/>
      <c r="F94" s="67"/>
      <c r="G94" s="67"/>
      <c r="H94" s="67"/>
      <c r="I94" s="67"/>
      <c r="J94" s="1589" t="s">
        <v>1458</v>
      </c>
      <c r="K94" s="714">
        <v>2018</v>
      </c>
      <c r="L94" s="714">
        <v>2019</v>
      </c>
      <c r="M94" s="714">
        <v>2020</v>
      </c>
      <c r="N94" s="714">
        <v>2021</v>
      </c>
      <c r="O94" s="714">
        <v>2022</v>
      </c>
    </row>
    <row r="95" spans="2:22">
      <c r="C95" s="130"/>
      <c r="D95" s="67"/>
      <c r="E95" s="67"/>
      <c r="F95" s="67"/>
      <c r="G95" s="67"/>
      <c r="H95" s="67"/>
      <c r="I95" s="67"/>
      <c r="J95" s="1587" t="s">
        <v>203</v>
      </c>
      <c r="K95" s="1280">
        <v>200</v>
      </c>
      <c r="L95" s="1488">
        <f>K95*1.1</f>
        <v>220.00000000000003</v>
      </c>
      <c r="M95" s="1488">
        <f t="shared" ref="M95:O95" si="34">L95*1.1</f>
        <v>242.00000000000006</v>
      </c>
      <c r="N95" s="1488">
        <f t="shared" si="34"/>
        <v>266.2000000000001</v>
      </c>
      <c r="O95" s="1488">
        <f t="shared" si="34"/>
        <v>292.82000000000016</v>
      </c>
    </row>
    <row r="96" spans="2:22">
      <c r="C96" s="67"/>
      <c r="D96" s="67"/>
      <c r="E96" s="67"/>
      <c r="F96" s="67"/>
      <c r="G96" s="67"/>
      <c r="H96" s="67"/>
      <c r="I96" s="67"/>
      <c r="J96" s="1587" t="s">
        <v>204</v>
      </c>
      <c r="K96" s="1280">
        <v>80</v>
      </c>
      <c r="L96" s="1488">
        <f t="shared" ref="L96:O97" si="35">K96*1.1</f>
        <v>88</v>
      </c>
      <c r="M96" s="1488">
        <f t="shared" si="35"/>
        <v>96.800000000000011</v>
      </c>
      <c r="N96" s="1488">
        <f t="shared" si="35"/>
        <v>106.48000000000002</v>
      </c>
      <c r="O96" s="1488">
        <f t="shared" si="35"/>
        <v>117.12800000000003</v>
      </c>
    </row>
    <row r="97" spans="2:22">
      <c r="C97" s="651" t="s">
        <v>358</v>
      </c>
      <c r="D97" s="67"/>
      <c r="E97" s="67"/>
      <c r="F97" s="67"/>
      <c r="G97" s="67"/>
      <c r="H97" s="67"/>
      <c r="I97" s="67"/>
      <c r="J97" s="1587" t="s">
        <v>205</v>
      </c>
      <c r="K97" s="1280">
        <v>35</v>
      </c>
      <c r="L97" s="1488">
        <f t="shared" si="35"/>
        <v>38.5</v>
      </c>
      <c r="M97" s="1488">
        <f t="shared" si="35"/>
        <v>42.35</v>
      </c>
      <c r="N97" s="1488">
        <f t="shared" si="35"/>
        <v>46.585000000000008</v>
      </c>
      <c r="O97" s="1488">
        <f t="shared" si="35"/>
        <v>51.243500000000012</v>
      </c>
    </row>
    <row r="98" spans="2:22">
      <c r="C98" s="67"/>
      <c r="D98" s="67"/>
      <c r="E98" s="1681" t="s">
        <v>521</v>
      </c>
      <c r="F98" s="1682"/>
      <c r="G98" s="1683"/>
      <c r="H98" s="67"/>
      <c r="I98" s="67"/>
      <c r="J98" s="1480"/>
      <c r="K98" s="1280"/>
      <c r="L98" s="1280"/>
      <c r="M98" s="1280"/>
      <c r="N98" s="1280"/>
      <c r="O98" s="1280"/>
    </row>
    <row r="99" spans="2:22">
      <c r="C99" s="115"/>
      <c r="D99" s="116"/>
      <c r="E99" s="1432" t="s">
        <v>203</v>
      </c>
      <c r="F99" s="1433" t="s">
        <v>204</v>
      </c>
      <c r="G99" s="1434" t="s">
        <v>205</v>
      </c>
      <c r="H99" s="67"/>
      <c r="I99" s="67"/>
    </row>
    <row r="100" spans="2:22">
      <c r="C100" s="551" t="s">
        <v>606</v>
      </c>
      <c r="D100" s="541"/>
      <c r="E100" s="655">
        <v>0.2</v>
      </c>
      <c r="F100" s="656">
        <v>0.15</v>
      </c>
      <c r="G100" s="657">
        <v>0.1</v>
      </c>
      <c r="H100" s="67"/>
      <c r="I100" s="1276"/>
      <c r="J100" s="1589" t="s">
        <v>605</v>
      </c>
      <c r="K100" s="714">
        <v>2018</v>
      </c>
      <c r="L100" s="714">
        <v>2019</v>
      </c>
      <c r="M100" s="714">
        <v>2020</v>
      </c>
      <c r="N100" s="714">
        <v>2021</v>
      </c>
      <c r="O100" s="714">
        <v>2022</v>
      </c>
      <c r="Q100" s="1481" t="s">
        <v>605</v>
      </c>
      <c r="R100" s="714">
        <v>2018</v>
      </c>
      <c r="S100" s="714">
        <v>2019</v>
      </c>
      <c r="T100" s="714">
        <v>2020</v>
      </c>
      <c r="U100" s="714">
        <v>2021</v>
      </c>
      <c r="V100" s="714">
        <v>2022</v>
      </c>
    </row>
    <row r="101" spans="2:22">
      <c r="C101" s="107" t="s">
        <v>375</v>
      </c>
      <c r="D101" s="117"/>
      <c r="E101" s="658">
        <v>0.1</v>
      </c>
      <c r="F101" s="659">
        <v>0.1</v>
      </c>
      <c r="G101" s="660">
        <v>0.1</v>
      </c>
      <c r="H101" s="67"/>
      <c r="I101" s="67"/>
      <c r="J101" s="1587" t="s">
        <v>203</v>
      </c>
      <c r="K101" s="1488">
        <f>K$85*K89*K95*4</f>
        <v>143475.0194207344</v>
      </c>
      <c r="L101" s="1488">
        <f t="shared" ref="L101:N101" si="36">L$85*L89*L95*4</f>
        <v>191615.09639224157</v>
      </c>
      <c r="M101" s="1488">
        <f t="shared" si="36"/>
        <v>250168.86752182225</v>
      </c>
      <c r="N101" s="1488">
        <f t="shared" si="36"/>
        <v>310128.72486754914</v>
      </c>
      <c r="O101" s="1488">
        <f>O$85*O89*O95*4</f>
        <v>389968.70655563218</v>
      </c>
      <c r="Q101" s="1479" t="s">
        <v>203</v>
      </c>
      <c r="R101" s="1488">
        <f>K$85*K89*R89*K95*4</f>
        <v>86085.011652440648</v>
      </c>
      <c r="S101" s="1488">
        <f t="shared" ref="S101:V101" si="37">L$85*L89*S89*L95*4</f>
        <v>120717.5107271122</v>
      </c>
      <c r="T101" s="1488">
        <f t="shared" si="37"/>
        <v>165486.70586568545</v>
      </c>
      <c r="U101" s="1488">
        <f t="shared" si="37"/>
        <v>215407.65907487803</v>
      </c>
      <c r="V101" s="1488">
        <f t="shared" si="37"/>
        <v>284405.64007367223</v>
      </c>
    </row>
    <row r="102" spans="2:22">
      <c r="C102" s="67"/>
      <c r="D102" s="67"/>
      <c r="E102" s="67"/>
      <c r="F102" s="67"/>
      <c r="G102" s="67"/>
      <c r="H102" s="67"/>
      <c r="I102" s="67"/>
      <c r="J102" s="1587" t="s">
        <v>204</v>
      </c>
      <c r="K102" s="1488">
        <f t="shared" ref="K102:N102" si="38">K$85*K90*K96*4</f>
        <v>71737.509710367201</v>
      </c>
      <c r="L102" s="1488">
        <f t="shared" si="38"/>
        <v>95807.54819612077</v>
      </c>
      <c r="M102" s="1488">
        <f t="shared" si="38"/>
        <v>125084.43376091111</v>
      </c>
      <c r="N102" s="1488">
        <f t="shared" si="38"/>
        <v>155064.36243377454</v>
      </c>
      <c r="O102" s="1488">
        <f>O$85*O90*O96*4</f>
        <v>194984.353277816</v>
      </c>
      <c r="Q102" s="1479" t="s">
        <v>204</v>
      </c>
      <c r="R102" s="1488">
        <f t="shared" ref="R102:R103" si="39">K$85*K90*R90*K96*4</f>
        <v>25108.12839862852</v>
      </c>
      <c r="S102" s="1488">
        <f t="shared" ref="S102:S103" si="40">L$85*L90*S90*L96*4</f>
        <v>35209.273962074381</v>
      </c>
      <c r="T102" s="1488">
        <f t="shared" ref="T102:T103" si="41">M$85*M90*T90*M96*4</f>
        <v>48266.955877491579</v>
      </c>
      <c r="U102" s="1488">
        <f t="shared" ref="U102:U103" si="42">N$85*N90*U90*N96*4</f>
        <v>62827.233896839396</v>
      </c>
      <c r="V102" s="1488">
        <f t="shared" ref="V102:V103" si="43">O$85*O90*V90*O96*4</f>
        <v>82951.645021487682</v>
      </c>
    </row>
    <row r="103" spans="2:22">
      <c r="C103" s="67" t="s">
        <v>376</v>
      </c>
      <c r="D103" s="67"/>
      <c r="E103" s="67"/>
      <c r="F103" s="67"/>
      <c r="G103" s="67"/>
      <c r="H103" s="67"/>
      <c r="I103" s="67"/>
      <c r="J103" s="1588" t="s">
        <v>205</v>
      </c>
      <c r="K103" s="1489">
        <f t="shared" ref="K103:N103" si="44">K$85*K91*K97*4</f>
        <v>177849.2428236187</v>
      </c>
      <c r="L103" s="1489">
        <f t="shared" si="44"/>
        <v>237522.87990288279</v>
      </c>
      <c r="M103" s="1489">
        <f t="shared" si="44"/>
        <v>310105.15869892546</v>
      </c>
      <c r="N103" s="1489">
        <f t="shared" si="44"/>
        <v>384430.39853373275</v>
      </c>
      <c r="O103" s="1489">
        <f>O$85*O91*O97*4</f>
        <v>483398.70916791889</v>
      </c>
      <c r="Q103" s="1484" t="s">
        <v>205</v>
      </c>
      <c r="R103" s="1489">
        <f t="shared" si="39"/>
        <v>32012.863708251363</v>
      </c>
      <c r="S103" s="1489">
        <f t="shared" si="40"/>
        <v>44891.824301644854</v>
      </c>
      <c r="T103" s="1489">
        <f t="shared" si="41"/>
        <v>61540.368743801766</v>
      </c>
      <c r="U103" s="1489">
        <f t="shared" si="42"/>
        <v>80104.723218470244</v>
      </c>
      <c r="V103" s="1489">
        <f t="shared" si="43"/>
        <v>105763.3474023968</v>
      </c>
    </row>
    <row r="104" spans="2:22">
      <c r="C104" s="67" t="s">
        <v>231</v>
      </c>
      <c r="D104" s="67"/>
      <c r="E104" s="67"/>
      <c r="F104" s="67"/>
      <c r="G104" s="67"/>
      <c r="H104" s="67"/>
      <c r="I104" s="67"/>
      <c r="J104" s="74"/>
      <c r="K104" s="581">
        <f>SUM(K101:K103)</f>
        <v>393061.77195472032</v>
      </c>
      <c r="L104" s="581">
        <f t="shared" ref="L104:O104" si="45">SUM(L101:L103)</f>
        <v>524945.52449124516</v>
      </c>
      <c r="M104" s="581">
        <f t="shared" si="45"/>
        <v>685358.45998165873</v>
      </c>
      <c r="N104" s="581">
        <f t="shared" si="45"/>
        <v>849623.4858350564</v>
      </c>
      <c r="O104" s="581">
        <f t="shared" si="45"/>
        <v>1068351.769001367</v>
      </c>
      <c r="Q104" s="67"/>
      <c r="R104" s="581">
        <f>SUM(R101:R103)</f>
        <v>143206.00375932053</v>
      </c>
      <c r="S104" s="581">
        <f t="shared" ref="S104" si="46">SUM(S101:S103)</f>
        <v>200818.60899083142</v>
      </c>
      <c r="T104" s="581">
        <f t="shared" ref="T104" si="47">SUM(T101:T103)</f>
        <v>275294.03048697882</v>
      </c>
      <c r="U104" s="581">
        <f t="shared" ref="U104" si="48">SUM(U101:U103)</f>
        <v>358339.61619018763</v>
      </c>
      <c r="V104" s="581">
        <f t="shared" ref="V104" si="49">SUM(V101:V103)</f>
        <v>473120.63249755668</v>
      </c>
    </row>
    <row r="105" spans="2:22">
      <c r="C105" s="67"/>
      <c r="D105" s="67"/>
      <c r="E105" s="67"/>
      <c r="F105" s="67"/>
      <c r="G105" s="67"/>
      <c r="H105" s="67"/>
      <c r="I105" s="67"/>
      <c r="K105" s="1490">
        <f>K104/K84</f>
        <v>0.40683174501124214</v>
      </c>
      <c r="L105" s="1490">
        <f t="shared" ref="L105:O105" si="50">L104/L84</f>
        <v>0.38833415607587857</v>
      </c>
      <c r="M105" s="1490">
        <f t="shared" si="50"/>
        <v>0.38884856594795419</v>
      </c>
      <c r="N105" s="1490">
        <f t="shared" si="50"/>
        <v>0.37091241251879986</v>
      </c>
      <c r="O105" s="1490">
        <f t="shared" si="50"/>
        <v>0.35876971810324509</v>
      </c>
    </row>
    <row r="106" spans="2:22">
      <c r="C106" s="661" t="s">
        <v>377</v>
      </c>
      <c r="D106" s="116"/>
      <c r="E106" s="116"/>
      <c r="F106" s="662" t="s">
        <v>203</v>
      </c>
      <c r="G106" s="663" t="s">
        <v>204</v>
      </c>
      <c r="H106" s="664" t="s">
        <v>205</v>
      </c>
    </row>
    <row r="107" spans="2:22" ht="25.5">
      <c r="C107" s="551" t="s">
        <v>381</v>
      </c>
      <c r="D107" s="541"/>
      <c r="E107" s="541"/>
      <c r="F107" s="665" t="s">
        <v>290</v>
      </c>
      <c r="G107" s="666" t="s">
        <v>290</v>
      </c>
      <c r="H107" s="667"/>
      <c r="J107" s="1589" t="s">
        <v>522</v>
      </c>
      <c r="K107" s="714">
        <v>2018</v>
      </c>
      <c r="L107" s="714">
        <v>2019</v>
      </c>
      <c r="M107" s="714">
        <v>2020</v>
      </c>
      <c r="N107" s="714">
        <v>2021</v>
      </c>
      <c r="O107" s="714">
        <v>2022</v>
      </c>
      <c r="Q107" s="1481" t="s">
        <v>523</v>
      </c>
      <c r="R107" s="714">
        <v>2018</v>
      </c>
      <c r="S107" s="714">
        <v>2019</v>
      </c>
      <c r="T107" s="714">
        <v>2020</v>
      </c>
      <c r="U107" s="714">
        <v>2021</v>
      </c>
      <c r="V107" s="714">
        <v>2022</v>
      </c>
    </row>
    <row r="108" spans="2:22">
      <c r="C108" s="551"/>
      <c r="D108" s="541"/>
      <c r="E108" s="541"/>
      <c r="F108" s="1430" t="s">
        <v>290</v>
      </c>
      <c r="G108" s="491"/>
      <c r="H108" s="1431"/>
      <c r="I108" s="1493">
        <v>0.2</v>
      </c>
      <c r="J108" s="1587" t="s">
        <v>203</v>
      </c>
      <c r="K108" s="1491">
        <f>K101*$I108*J$32</f>
        <v>8950.2390102416448</v>
      </c>
      <c r="L108" s="1491">
        <f t="shared" ref="L108:O108" si="51">L101*$I108*K$32</f>
        <v>11933.533046475482</v>
      </c>
      <c r="M108" s="1491">
        <f t="shared" si="51"/>
        <v>15408.234248923569</v>
      </c>
      <c r="N108" s="1491">
        <f t="shared" si="51"/>
        <v>19103.617474343719</v>
      </c>
      <c r="O108" s="1491">
        <f t="shared" si="51"/>
        <v>24021.68003039722</v>
      </c>
      <c r="P108" s="1493">
        <v>0.1</v>
      </c>
      <c r="Q108" s="1479" t="s">
        <v>203</v>
      </c>
      <c r="R108" s="1491">
        <f>R101*$P108*J$32</f>
        <v>2685.0717030724936</v>
      </c>
      <c r="S108" s="1491">
        <f t="shared" ref="S108:V108" si="52">S101*$P108*K$32</f>
        <v>3759.0629096397774</v>
      </c>
      <c r="T108" s="1491">
        <f t="shared" si="52"/>
        <v>5096.2734778314716</v>
      </c>
      <c r="U108" s="1491">
        <f t="shared" si="52"/>
        <v>6634.4475536211467</v>
      </c>
      <c r="V108" s="1491">
        <f t="shared" si="52"/>
        <v>8759.550663734406</v>
      </c>
    </row>
    <row r="109" spans="2:22">
      <c r="C109" s="551" t="s">
        <v>378</v>
      </c>
      <c r="D109" s="541"/>
      <c r="E109" s="541"/>
      <c r="F109" s="1430" t="s">
        <v>404</v>
      </c>
      <c r="G109" s="491" t="s">
        <v>404</v>
      </c>
      <c r="H109" s="1431" t="s">
        <v>404</v>
      </c>
      <c r="I109" s="1493">
        <v>0.15</v>
      </c>
      <c r="J109" s="1587" t="s">
        <v>204</v>
      </c>
      <c r="K109" s="1491">
        <f t="shared" ref="K109:O109" si="53">K102*$I109*J$32</f>
        <v>3356.3396288406166</v>
      </c>
      <c r="L109" s="1491">
        <f t="shared" si="53"/>
        <v>4475.0748924283052</v>
      </c>
      <c r="M109" s="1491">
        <f t="shared" si="53"/>
        <v>5778.0878433463367</v>
      </c>
      <c r="N109" s="1491">
        <f t="shared" si="53"/>
        <v>7163.8565528788922</v>
      </c>
      <c r="O109" s="1491">
        <f t="shared" si="53"/>
        <v>9008.1300113989528</v>
      </c>
      <c r="P109" s="1493">
        <v>0.1</v>
      </c>
      <c r="Q109" s="1479" t="s">
        <v>204</v>
      </c>
      <c r="R109" s="1491">
        <f t="shared" ref="R109:R110" si="54">R102*$P109*J$32</f>
        <v>783.14591339614401</v>
      </c>
      <c r="S109" s="1491">
        <f t="shared" ref="S109:S110" si="55">S102*$P109*K$32</f>
        <v>1096.3933486449348</v>
      </c>
      <c r="T109" s="1491">
        <f t="shared" ref="T109:T110" si="56">T102*$P109*L$32</f>
        <v>1486.4130977008456</v>
      </c>
      <c r="U109" s="1491">
        <f t="shared" ref="U109:U110" si="57">U102*$P109*M$32</f>
        <v>1935.0472031395002</v>
      </c>
      <c r="V109" s="1491">
        <f t="shared" ref="V109:V110" si="58">V102*$P109*N$32</f>
        <v>2554.8689435892006</v>
      </c>
    </row>
    <row r="110" spans="2:22">
      <c r="C110" s="551"/>
      <c r="D110" s="541"/>
      <c r="E110" s="541"/>
      <c r="F110" s="1430" t="s">
        <v>290</v>
      </c>
      <c r="G110" s="491" t="s">
        <v>290</v>
      </c>
      <c r="H110" s="1431"/>
      <c r="I110" s="1493">
        <v>0.1</v>
      </c>
      <c r="J110" s="1588" t="s">
        <v>205</v>
      </c>
      <c r="K110" s="1492">
        <f t="shared" ref="K110:O110" si="59">K103*$I110*J$32</f>
        <v>5547.2835532226864</v>
      </c>
      <c r="L110" s="1492">
        <f t="shared" si="59"/>
        <v>7396.304336096784</v>
      </c>
      <c r="M110" s="1492">
        <f t="shared" si="59"/>
        <v>9549.8951855307532</v>
      </c>
      <c r="N110" s="1492">
        <f t="shared" si="59"/>
        <v>11840.262913785948</v>
      </c>
      <c r="O110" s="1492">
        <f t="shared" si="59"/>
        <v>14888.437102173273</v>
      </c>
      <c r="P110" s="1493">
        <v>0.1</v>
      </c>
      <c r="Q110" s="1484" t="s">
        <v>205</v>
      </c>
      <c r="R110" s="1492">
        <f t="shared" si="54"/>
        <v>998.51103958008366</v>
      </c>
      <c r="S110" s="1492">
        <f t="shared" si="55"/>
        <v>1397.9015195222923</v>
      </c>
      <c r="T110" s="1492">
        <f t="shared" si="56"/>
        <v>1895.1766995685782</v>
      </c>
      <c r="U110" s="1492">
        <f t="shared" si="57"/>
        <v>2467.185184002863</v>
      </c>
      <c r="V110" s="1492">
        <f t="shared" si="58"/>
        <v>3257.4579030762307</v>
      </c>
    </row>
    <row r="111" spans="2:22">
      <c r="B111" s="57"/>
      <c r="C111" s="551" t="s">
        <v>380</v>
      </c>
      <c r="D111" s="541"/>
      <c r="E111" s="541"/>
      <c r="F111" s="1430" t="s">
        <v>290</v>
      </c>
      <c r="G111" s="491" t="s">
        <v>290</v>
      </c>
      <c r="H111" s="1431"/>
      <c r="J111" s="74"/>
      <c r="K111" s="581">
        <f>SUM(K108:K110)</f>
        <v>17853.862192304947</v>
      </c>
      <c r="L111" s="581">
        <f t="shared" ref="L111:O111" si="60">SUM(L108:L110)</f>
        <v>23804.91227500057</v>
      </c>
      <c r="M111" s="581">
        <f t="shared" si="60"/>
        <v>30736.217277800657</v>
      </c>
      <c r="N111" s="581">
        <f t="shared" si="60"/>
        <v>38107.736941008559</v>
      </c>
      <c r="O111" s="581">
        <f t="shared" si="60"/>
        <v>47918.247143969442</v>
      </c>
      <c r="Q111" s="67"/>
      <c r="R111" s="581">
        <f>SUM(R108:R110)</f>
        <v>4466.7286560487209</v>
      </c>
      <c r="S111" s="581">
        <f t="shared" ref="S111" si="61">SUM(S108:S110)</f>
        <v>6253.3577778070048</v>
      </c>
      <c r="T111" s="581">
        <f t="shared" ref="T111" si="62">SUM(T108:T110)</f>
        <v>8477.8632751008954</v>
      </c>
      <c r="U111" s="581">
        <f t="shared" ref="U111" si="63">SUM(U108:U110)</f>
        <v>11036.67994076351</v>
      </c>
      <c r="V111" s="581">
        <f t="shared" ref="V111" si="64">SUM(V108:V110)</f>
        <v>14571.877510399838</v>
      </c>
    </row>
    <row r="112" spans="2:22">
      <c r="C112" s="551" t="s">
        <v>385</v>
      </c>
      <c r="D112" s="541"/>
      <c r="E112" s="541"/>
      <c r="F112" s="1430" t="s">
        <v>290</v>
      </c>
      <c r="G112" s="491" t="s">
        <v>290</v>
      </c>
      <c r="H112" s="1431" t="s">
        <v>290</v>
      </c>
      <c r="J112" s="74"/>
      <c r="K112" s="1140">
        <f>K111/K84</f>
        <v>1.8479329278865617E-2</v>
      </c>
      <c r="L112" s="1140">
        <f t="shared" ref="L112:O112" si="65">L111/L84</f>
        <v>1.7609942532097616E-2</v>
      </c>
      <c r="M112" s="1140">
        <f t="shared" si="65"/>
        <v>1.7438661239342353E-2</v>
      </c>
      <c r="N112" s="1140">
        <f t="shared" si="65"/>
        <v>1.6636348782812879E-2</v>
      </c>
      <c r="O112" s="1140">
        <f t="shared" si="65"/>
        <v>1.6091718588076349E-2</v>
      </c>
      <c r="R112" s="594">
        <f>R111/K84</f>
        <v>4.6232097428222027E-3</v>
      </c>
      <c r="S112" s="594">
        <f t="shared" ref="S112:V112" si="66">S111/L84</f>
        <v>4.6259893683991476E-3</v>
      </c>
      <c r="T112" s="594">
        <f t="shared" si="66"/>
        <v>4.8100449170993412E-3</v>
      </c>
      <c r="U112" s="594">
        <f t="shared" si="66"/>
        <v>4.8181831732240594E-3</v>
      </c>
      <c r="V112" s="594">
        <f t="shared" si="66"/>
        <v>4.893470988051013E-3</v>
      </c>
    </row>
    <row r="113" spans="3:15">
      <c r="C113" s="107" t="s">
        <v>383</v>
      </c>
      <c r="D113" s="117"/>
      <c r="E113" s="117"/>
      <c r="F113" s="550" t="s">
        <v>290</v>
      </c>
      <c r="G113" s="70" t="s">
        <v>290</v>
      </c>
      <c r="H113" s="78" t="s">
        <v>290</v>
      </c>
      <c r="J113" s="74"/>
    </row>
    <row r="114" spans="3:15">
      <c r="D114" s="1426"/>
      <c r="E114" s="1426"/>
      <c r="F114" s="1426"/>
    </row>
    <row r="115" spans="3:15">
      <c r="D115" s="1426"/>
      <c r="E115" s="1426"/>
      <c r="F115" s="1426"/>
      <c r="J115" s="1541" t="s">
        <v>377</v>
      </c>
      <c r="K115" s="1474"/>
      <c r="L115" s="1474"/>
      <c r="M115" s="1474"/>
      <c r="N115" s="1474"/>
      <c r="O115" s="1474"/>
    </row>
    <row r="116" spans="3:15">
      <c r="D116" s="1426"/>
      <c r="E116" s="1426"/>
      <c r="F116" s="1426"/>
      <c r="I116" s="635" t="s">
        <v>696</v>
      </c>
      <c r="J116" s="1542"/>
      <c r="K116" s="714">
        <v>2018</v>
      </c>
      <c r="L116" s="714">
        <v>2019</v>
      </c>
      <c r="M116" s="714">
        <v>2020</v>
      </c>
      <c r="N116" s="714">
        <v>2021</v>
      </c>
      <c r="O116" s="714">
        <v>2022</v>
      </c>
    </row>
    <row r="117" spans="3:15">
      <c r="I117" s="635">
        <v>6</v>
      </c>
      <c r="J117" s="1494" t="s">
        <v>203</v>
      </c>
      <c r="K117" s="1500">
        <f>K$85*K89*70%*$I117</f>
        <v>753.24385195885566</v>
      </c>
      <c r="L117" s="1500">
        <f>L$85*L89*70%*$I117*1.15</f>
        <v>1051.7055858801439</v>
      </c>
      <c r="M117" s="1500">
        <f t="shared" ref="M117:N117" si="67">M$85*M89*70%*$I117*1.15</f>
        <v>1248.2599484818193</v>
      </c>
      <c r="N117" s="1500">
        <f t="shared" si="67"/>
        <v>1406.7634683605013</v>
      </c>
      <c r="O117" s="1500">
        <f>O$85*O89*70%*$I117*1.15</f>
        <v>1608.1115127584369</v>
      </c>
    </row>
    <row r="118" spans="3:15">
      <c r="I118" s="635">
        <v>5</v>
      </c>
      <c r="J118" s="1494" t="s">
        <v>204</v>
      </c>
      <c r="K118" s="1475">
        <f t="shared" ref="K118" si="68">K$85*K90*70%*$I118</f>
        <v>784.62901245714124</v>
      </c>
      <c r="L118" s="1475">
        <f t="shared" ref="L118:O118" si="69">L$85*L90*70%*$I118*1.15</f>
        <v>1095.5266519584829</v>
      </c>
      <c r="M118" s="1475">
        <f t="shared" si="69"/>
        <v>1300.2707796685618</v>
      </c>
      <c r="N118" s="1475">
        <f t="shared" si="69"/>
        <v>1465.3786128755221</v>
      </c>
      <c r="O118" s="1475">
        <f t="shared" si="69"/>
        <v>1675.116159123372</v>
      </c>
    </row>
    <row r="119" spans="3:15">
      <c r="I119" s="635">
        <v>1.5</v>
      </c>
      <c r="J119" s="1497" t="s">
        <v>205</v>
      </c>
      <c r="K119" s="1499">
        <f t="shared" ref="K119" si="70">K$85*K91*70%*$I119</f>
        <v>1333.8693211771401</v>
      </c>
      <c r="L119" s="1499">
        <f t="shared" ref="L119:O119" si="71">L$85*L91*70%*$I119*1.15</f>
        <v>1862.3953083294216</v>
      </c>
      <c r="M119" s="1499">
        <f t="shared" si="71"/>
        <v>2210.4603254365552</v>
      </c>
      <c r="N119" s="1499">
        <f t="shared" si="71"/>
        <v>2491.1436418883873</v>
      </c>
      <c r="O119" s="1499">
        <f t="shared" si="71"/>
        <v>2847.6974705097323</v>
      </c>
    </row>
    <row r="120" spans="3:15">
      <c r="J120" s="1494" t="s">
        <v>254</v>
      </c>
      <c r="K120" s="1475">
        <f>SUM(K117:K119)</f>
        <v>2871.742185593137</v>
      </c>
      <c r="L120" s="1475">
        <f t="shared" ref="L120:O120" si="72">SUM(L117:L119)</f>
        <v>4009.6275461680489</v>
      </c>
      <c r="M120" s="1475">
        <f t="shared" si="72"/>
        <v>4758.9910535869367</v>
      </c>
      <c r="N120" s="1475">
        <f t="shared" si="72"/>
        <v>5363.2857231244107</v>
      </c>
      <c r="O120" s="1475">
        <f t="shared" si="72"/>
        <v>6130.9251423915412</v>
      </c>
    </row>
    <row r="121" spans="3:15">
      <c r="J121" s="1494"/>
      <c r="K121" s="1501">
        <f>K120/K84</f>
        <v>2.9723467606049495E-3</v>
      </c>
      <c r="L121" s="1501">
        <f t="shared" ref="L121:O121" si="73">L120/L84</f>
        <v>2.966165547994368E-3</v>
      </c>
      <c r="M121" s="1501">
        <f t="shared" si="73"/>
        <v>2.700086093043846E-3</v>
      </c>
      <c r="N121" s="1501">
        <f t="shared" si="73"/>
        <v>2.3414009614347105E-3</v>
      </c>
      <c r="O121" s="1501">
        <f t="shared" si="73"/>
        <v>2.058863334034594E-3</v>
      </c>
    </row>
    <row r="122" spans="3:15">
      <c r="J122" s="1510"/>
      <c r="K122" s="1474"/>
      <c r="L122" s="868"/>
      <c r="M122" s="868"/>
      <c r="N122" s="1477"/>
      <c r="O122" s="1474"/>
    </row>
    <row r="123" spans="3:15">
      <c r="J123" s="1494" t="s">
        <v>1459</v>
      </c>
      <c r="K123" s="714">
        <v>2018</v>
      </c>
      <c r="L123" s="714">
        <v>2019</v>
      </c>
      <c r="M123" s="714">
        <v>2020</v>
      </c>
      <c r="N123" s="714">
        <v>2021</v>
      </c>
      <c r="O123" s="714">
        <v>2022</v>
      </c>
    </row>
    <row r="124" spans="3:15">
      <c r="J124" s="1597"/>
      <c r="K124" s="1598">
        <f>K111+R111+K120</f>
        <v>25192.333033946808</v>
      </c>
      <c r="L124" s="1598">
        <f t="shared" ref="L124:O124" si="74">L111+S111+L120</f>
        <v>34067.897598975622</v>
      </c>
      <c r="M124" s="1598">
        <f t="shared" si="74"/>
        <v>43973.071606488484</v>
      </c>
      <c r="N124" s="1598">
        <f t="shared" si="74"/>
        <v>54507.702604896484</v>
      </c>
      <c r="O124" s="1598">
        <f t="shared" si="74"/>
        <v>68621.049796760824</v>
      </c>
    </row>
    <row r="125" spans="3:15">
      <c r="J125" s="1543"/>
      <c r="K125" s="1502">
        <f>K124/K84</f>
        <v>2.6074885782292771E-2</v>
      </c>
      <c r="L125" s="1502">
        <f t="shared" ref="L125:O125" si="75">L124/L84</f>
        <v>2.5202097448491129E-2</v>
      </c>
      <c r="M125" s="1502">
        <f t="shared" si="75"/>
        <v>2.4948792249485537E-2</v>
      </c>
      <c r="N125" s="1502">
        <f t="shared" si="75"/>
        <v>2.379593291747165E-2</v>
      </c>
      <c r="O125" s="1502">
        <f t="shared" si="75"/>
        <v>2.3044052910161955E-2</v>
      </c>
    </row>
    <row r="126" spans="3:15">
      <c r="J126" s="1510"/>
      <c r="K126" s="1474"/>
      <c r="L126" s="434"/>
      <c r="M126" s="434"/>
      <c r="N126" s="1495"/>
      <c r="O126" s="1496"/>
    </row>
    <row r="128" spans="3:15" s="9" customFormat="1" ht="15.75" thickBot="1">
      <c r="J128" s="1544"/>
    </row>
    <row r="129" spans="2:14" ht="15.75" thickTop="1"/>
    <row r="130" spans="2:14" s="41" customFormat="1" ht="18.75" customHeight="1">
      <c r="B130" s="40" t="s">
        <v>32</v>
      </c>
      <c r="J130" s="1545"/>
    </row>
    <row r="132" spans="2:14" s="45" customFormat="1" ht="12.75">
      <c r="B132" s="44" t="s">
        <v>33</v>
      </c>
      <c r="J132" s="1546"/>
    </row>
    <row r="134" spans="2:14">
      <c r="B134" s="544" t="s">
        <v>711</v>
      </c>
      <c r="J134" s="775">
        <v>2018</v>
      </c>
      <c r="K134" s="714">
        <v>2019</v>
      </c>
      <c r="L134" s="714">
        <v>2020</v>
      </c>
      <c r="M134" s="714">
        <v>2021</v>
      </c>
      <c r="N134" s="714">
        <v>2022</v>
      </c>
    </row>
    <row r="135" spans="2:14">
      <c r="I135" t="s">
        <v>509</v>
      </c>
      <c r="J135" s="1547">
        <f>H24</f>
        <v>966153.14998061094</v>
      </c>
      <c r="K135" s="769">
        <f>I24</f>
        <v>1351788.1862255593</v>
      </c>
      <c r="L135" s="769">
        <f>J24</f>
        <v>1762533.0784256798</v>
      </c>
      <c r="M135" s="769">
        <f>K24</f>
        <v>2290631.0416128035</v>
      </c>
      <c r="N135" s="769">
        <f>L24</f>
        <v>2977820.3540966678</v>
      </c>
    </row>
    <row r="136" spans="2:14">
      <c r="I136" t="s">
        <v>1454</v>
      </c>
      <c r="J136" s="1548">
        <f>H7</f>
        <v>2610.0499949200407</v>
      </c>
      <c r="K136" s="1242">
        <f>I7</f>
        <v>3205.6014055160836</v>
      </c>
      <c r="L136" s="1242">
        <f>J7</f>
        <v>3644.0068615851724</v>
      </c>
      <c r="M136" s="1242">
        <f>K7</f>
        <v>4127.3138784894873</v>
      </c>
      <c r="N136" s="1242">
        <f>L7</f>
        <v>4723.025846135346</v>
      </c>
    </row>
    <row r="137" spans="2:14">
      <c r="J137" s="1548"/>
      <c r="K137" s="1242"/>
      <c r="L137" s="1242"/>
      <c r="M137" s="1242"/>
      <c r="N137" s="1242"/>
    </row>
    <row r="139" spans="2:14">
      <c r="C139" s="743" t="s">
        <v>616</v>
      </c>
      <c r="D139" s="746" t="s">
        <v>271</v>
      </c>
      <c r="I139" s="775" t="s">
        <v>1479</v>
      </c>
      <c r="J139" s="775">
        <v>2018</v>
      </c>
      <c r="K139" s="714">
        <v>2019</v>
      </c>
      <c r="L139" s="714">
        <v>2020</v>
      </c>
      <c r="M139" s="714">
        <v>2021</v>
      </c>
      <c r="N139" s="714">
        <v>2022</v>
      </c>
    </row>
    <row r="140" spans="2:14">
      <c r="C140" s="750" t="s">
        <v>16</v>
      </c>
      <c r="D140" s="747"/>
      <c r="H140" s="594"/>
      <c r="I140">
        <v>0</v>
      </c>
      <c r="J140" s="1536">
        <f>1-SUM(J141:J143)</f>
        <v>0.86599999999999999</v>
      </c>
      <c r="K140" s="1536">
        <f t="shared" ref="K140:N140" si="76">1-SUM(K141:K143)</f>
        <v>0.86599999999999999</v>
      </c>
      <c r="L140" s="1536">
        <f t="shared" si="76"/>
        <v>0.86599999999999999</v>
      </c>
      <c r="M140" s="1536">
        <f t="shared" si="76"/>
        <v>0.86599999999999999</v>
      </c>
      <c r="N140" s="1536">
        <f t="shared" si="76"/>
        <v>0.86599999999999999</v>
      </c>
    </row>
    <row r="141" spans="2:14">
      <c r="C141" s="744">
        <v>0</v>
      </c>
      <c r="D141" s="748">
        <v>0.12</v>
      </c>
      <c r="H141" s="594"/>
      <c r="I141">
        <v>50</v>
      </c>
      <c r="J141" s="1536">
        <v>9.1999999999999998E-2</v>
      </c>
      <c r="K141" s="1536">
        <v>9.1999999999999998E-2</v>
      </c>
      <c r="L141" s="1536">
        <v>9.1999999999999998E-2</v>
      </c>
      <c r="M141" s="1536">
        <v>9.1999999999999998E-2</v>
      </c>
      <c r="N141" s="1536">
        <v>9.1999999999999998E-2</v>
      </c>
    </row>
    <row r="142" spans="2:14">
      <c r="C142" s="744">
        <v>50</v>
      </c>
      <c r="D142" s="748">
        <v>0.15</v>
      </c>
      <c r="H142" s="594"/>
      <c r="I142">
        <v>150</v>
      </c>
      <c r="J142" s="1536">
        <v>0.03</v>
      </c>
      <c r="K142" s="1536">
        <v>0.03</v>
      </c>
      <c r="L142" s="1536">
        <v>0.03</v>
      </c>
      <c r="M142" s="1536">
        <v>0.03</v>
      </c>
      <c r="N142" s="1536">
        <v>0.03</v>
      </c>
    </row>
    <row r="143" spans="2:14">
      <c r="C143" s="744">
        <v>150</v>
      </c>
      <c r="D143" s="748">
        <v>0.17</v>
      </c>
      <c r="H143" s="594"/>
      <c r="I143" s="714">
        <v>300</v>
      </c>
      <c r="J143" s="1549">
        <v>1.2E-2</v>
      </c>
      <c r="K143" s="1549">
        <v>1.2E-2</v>
      </c>
      <c r="L143" s="1549">
        <v>1.2E-2</v>
      </c>
      <c r="M143" s="1549">
        <v>1.2E-2</v>
      </c>
      <c r="N143" s="1549">
        <v>1.2E-2</v>
      </c>
    </row>
    <row r="144" spans="2:14">
      <c r="C144" s="745">
        <v>300</v>
      </c>
      <c r="D144" s="749">
        <v>0.2</v>
      </c>
    </row>
    <row r="146" spans="8:14">
      <c r="I146" s="775" t="s">
        <v>1438</v>
      </c>
      <c r="J146" s="775">
        <v>2018</v>
      </c>
      <c r="K146" s="714">
        <v>2019</v>
      </c>
      <c r="L146" s="714">
        <v>2020</v>
      </c>
      <c r="M146" s="714">
        <v>2021</v>
      </c>
      <c r="N146" s="714">
        <v>2022</v>
      </c>
    </row>
    <row r="147" spans="8:14">
      <c r="H147" s="1473"/>
      <c r="I147">
        <v>0</v>
      </c>
      <c r="J147" s="1510">
        <v>10</v>
      </c>
      <c r="K147" s="1607">
        <f>J147*1.1</f>
        <v>11</v>
      </c>
      <c r="L147" s="1607">
        <f t="shared" ref="L147:N147" si="77">K147*1.1</f>
        <v>12.100000000000001</v>
      </c>
      <c r="M147" s="1607">
        <f t="shared" si="77"/>
        <v>13.310000000000002</v>
      </c>
      <c r="N147" s="1607">
        <f t="shared" si="77"/>
        <v>14.641000000000004</v>
      </c>
    </row>
    <row r="148" spans="8:14">
      <c r="H148" s="1473"/>
      <c r="I148">
        <v>50</v>
      </c>
      <c r="J148" s="1510">
        <v>90</v>
      </c>
      <c r="K148" s="769">
        <f t="shared" ref="K148:N148" si="78">J148*1.1</f>
        <v>99.000000000000014</v>
      </c>
      <c r="L148" s="769">
        <f t="shared" si="78"/>
        <v>108.90000000000002</v>
      </c>
      <c r="M148" s="769">
        <f t="shared" si="78"/>
        <v>119.79000000000003</v>
      </c>
      <c r="N148" s="769">
        <f t="shared" si="78"/>
        <v>131.76900000000006</v>
      </c>
    </row>
    <row r="149" spans="8:14">
      <c r="H149" s="1473"/>
      <c r="I149">
        <v>150</v>
      </c>
      <c r="J149" s="1510">
        <v>230</v>
      </c>
      <c r="K149" s="769">
        <f t="shared" ref="K149:N149" si="79">J149*1.1</f>
        <v>253.00000000000003</v>
      </c>
      <c r="L149" s="769">
        <f t="shared" si="79"/>
        <v>278.30000000000007</v>
      </c>
      <c r="M149" s="769">
        <f t="shared" si="79"/>
        <v>306.13000000000011</v>
      </c>
      <c r="N149" s="769">
        <f t="shared" si="79"/>
        <v>336.74300000000017</v>
      </c>
    </row>
    <row r="150" spans="8:14">
      <c r="H150" s="1473"/>
      <c r="I150" s="714">
        <v>300</v>
      </c>
      <c r="J150" s="775">
        <v>420</v>
      </c>
      <c r="K150" s="731">
        <f t="shared" ref="K150:N150" si="80">J150*1.1</f>
        <v>462.00000000000006</v>
      </c>
      <c r="L150" s="731">
        <f t="shared" si="80"/>
        <v>508.2000000000001</v>
      </c>
      <c r="M150" s="731">
        <f t="shared" si="80"/>
        <v>559.02000000000021</v>
      </c>
      <c r="N150" s="731">
        <f t="shared" si="80"/>
        <v>614.92200000000025</v>
      </c>
    </row>
    <row r="151" spans="8:14">
      <c r="K151" s="704"/>
      <c r="L151" s="704"/>
      <c r="M151" s="704"/>
      <c r="N151" s="704"/>
    </row>
    <row r="153" spans="8:14">
      <c r="I153" s="775" t="s">
        <v>674</v>
      </c>
      <c r="J153" s="775">
        <v>2018</v>
      </c>
      <c r="K153" s="714">
        <v>2019</v>
      </c>
      <c r="L153" s="714">
        <v>2020</v>
      </c>
      <c r="M153" s="714">
        <v>2021</v>
      </c>
      <c r="N153" s="714">
        <v>2022</v>
      </c>
    </row>
    <row r="154" spans="8:14">
      <c r="I154">
        <v>0</v>
      </c>
      <c r="J154" s="921">
        <f>J140*J$136*J147*12</f>
        <v>271236.39547209063</v>
      </c>
      <c r="K154" s="442">
        <f t="shared" ref="K154:N154" si="81">K140*K$136*K147*12</f>
        <v>366438.70786735456</v>
      </c>
      <c r="L154" s="442">
        <f t="shared" si="81"/>
        <v>458209.08359767671</v>
      </c>
      <c r="M154" s="442">
        <f t="shared" si="81"/>
        <v>570879.81993424729</v>
      </c>
      <c r="N154" s="442">
        <f t="shared" si="81"/>
        <v>718604.94412667712</v>
      </c>
    </row>
    <row r="155" spans="8:14">
      <c r="I155">
        <v>50</v>
      </c>
      <c r="J155" s="921">
        <f t="shared" ref="J155:N155" si="82">J141*J$136*J148*12</f>
        <v>259334.56749525524</v>
      </c>
      <c r="K155" s="442">
        <f t="shared" si="82"/>
        <v>350359.4112172859</v>
      </c>
      <c r="L155" s="442">
        <f t="shared" si="82"/>
        <v>438102.91133819439</v>
      </c>
      <c r="M155" s="442">
        <f t="shared" si="82"/>
        <v>545829.66617269837</v>
      </c>
      <c r="N155" s="442">
        <f t="shared" si="82"/>
        <v>687072.62556222721</v>
      </c>
    </row>
    <row r="156" spans="8:14">
      <c r="I156">
        <v>150</v>
      </c>
      <c r="J156" s="921">
        <f t="shared" ref="J156:N156" si="83">J142*J$136*J149*12</f>
        <v>216112.13957937935</v>
      </c>
      <c r="K156" s="442">
        <f t="shared" si="83"/>
        <v>291966.17601440492</v>
      </c>
      <c r="L156" s="442">
        <f t="shared" si="83"/>
        <v>365085.75944849534</v>
      </c>
      <c r="M156" s="442">
        <f t="shared" si="83"/>
        <v>454858.05514391541</v>
      </c>
      <c r="N156" s="442">
        <f t="shared" si="83"/>
        <v>572560.52130185603</v>
      </c>
    </row>
    <row r="157" spans="8:14">
      <c r="I157" s="714">
        <v>300</v>
      </c>
      <c r="J157" s="1439">
        <f t="shared" ref="J157:N157" si="84">J143*J$136*J150*12</f>
        <v>157855.82369276407</v>
      </c>
      <c r="K157" s="731">
        <f t="shared" si="84"/>
        <v>213262.25030617404</v>
      </c>
      <c r="L157" s="731">
        <f t="shared" si="84"/>
        <v>266671.3373362922</v>
      </c>
      <c r="M157" s="731">
        <f t="shared" si="84"/>
        <v>332244.14462685992</v>
      </c>
      <c r="N157" s="731">
        <f t="shared" si="84"/>
        <v>418218.1199074426</v>
      </c>
    </row>
    <row r="158" spans="8:14">
      <c r="J158" s="1550">
        <f>SUM(J154:J157)</f>
        <v>904538.92623948923</v>
      </c>
      <c r="K158" s="1475">
        <f t="shared" ref="K158:N158" si="85">SUM(K154:K157)</f>
        <v>1222026.5454052193</v>
      </c>
      <c r="L158" s="1475">
        <f t="shared" si="85"/>
        <v>1528069.0917206586</v>
      </c>
      <c r="M158" s="1475">
        <f t="shared" si="85"/>
        <v>1903811.6858777208</v>
      </c>
      <c r="N158" s="1475">
        <f t="shared" si="85"/>
        <v>2396456.2108982028</v>
      </c>
    </row>
    <row r="159" spans="8:14">
      <c r="J159" s="1551">
        <f>J158/J135</f>
        <v>0.93622727023934227</v>
      </c>
      <c r="K159" s="1476">
        <f t="shared" ref="K159:N159" si="86">K158/K135</f>
        <v>0.90400741614508529</v>
      </c>
      <c r="L159" s="1476">
        <f t="shared" si="86"/>
        <v>0.86697328431733722</v>
      </c>
      <c r="M159" s="1476">
        <f t="shared" si="86"/>
        <v>0.83112978532643644</v>
      </c>
      <c r="N159" s="1476">
        <f t="shared" si="86"/>
        <v>0.80476856422897824</v>
      </c>
    </row>
    <row r="161" spans="2:14">
      <c r="I161" s="775" t="s">
        <v>466</v>
      </c>
      <c r="J161" s="775">
        <v>2018</v>
      </c>
      <c r="K161" s="714">
        <v>2019</v>
      </c>
      <c r="L161" s="714">
        <v>2020</v>
      </c>
      <c r="M161" s="714">
        <v>2021</v>
      </c>
      <c r="N161" s="714">
        <v>2022</v>
      </c>
    </row>
    <row r="162" spans="2:14">
      <c r="I162">
        <v>0</v>
      </c>
      <c r="J162" s="921">
        <f>J154*$D141*J$32</f>
        <v>10152.139003233917</v>
      </c>
      <c r="K162" s="442">
        <f t="shared" ref="K162:N162" si="87">K154*$D141*K$32</f>
        <v>13692.788863226253</v>
      </c>
      <c r="L162" s="442">
        <f t="shared" si="87"/>
        <v>16933.025196130951</v>
      </c>
      <c r="M162" s="442">
        <f t="shared" si="87"/>
        <v>21099.373574964004</v>
      </c>
      <c r="N162" s="442">
        <f t="shared" si="87"/>
        <v>26559.205001660714</v>
      </c>
    </row>
    <row r="163" spans="2:14">
      <c r="I163">
        <v>50</v>
      </c>
      <c r="J163" s="921">
        <f t="shared" ref="J163:N165" si="88">J155*$D142*J$32</f>
        <v>12133.33010201744</v>
      </c>
      <c r="K163" s="442">
        <f t="shared" si="88"/>
        <v>16364.938191038307</v>
      </c>
      <c r="L163" s="442">
        <f t="shared" si="88"/>
        <v>20237.507018470598</v>
      </c>
      <c r="M163" s="442">
        <f t="shared" si="88"/>
        <v>25216.918764535505</v>
      </c>
      <c r="N163" s="442">
        <f t="shared" si="88"/>
        <v>31742.236924617606</v>
      </c>
    </row>
    <row r="164" spans="2:14">
      <c r="I164">
        <v>150</v>
      </c>
      <c r="J164" s="921">
        <f t="shared" si="88"/>
        <v>11459.256207460916</v>
      </c>
      <c r="K164" s="442">
        <f t="shared" si="88"/>
        <v>15455.774958202846</v>
      </c>
      <c r="L164" s="442">
        <f t="shared" si="88"/>
        <v>19113.201073000011</v>
      </c>
      <c r="M164" s="442">
        <f t="shared" si="88"/>
        <v>23815.978833172427</v>
      </c>
      <c r="N164" s="442">
        <f t="shared" si="88"/>
        <v>29978.779317694407</v>
      </c>
    </row>
    <row r="165" spans="2:14">
      <c r="I165" s="714">
        <v>300</v>
      </c>
      <c r="J165" s="1439">
        <f t="shared" si="88"/>
        <v>9847.3403726518372</v>
      </c>
      <c r="K165" s="731">
        <f t="shared" si="88"/>
        <v>13281.688966639787</v>
      </c>
      <c r="L165" s="731">
        <f t="shared" si="88"/>
        <v>16424.643377309469</v>
      </c>
      <c r="M165" s="731">
        <f t="shared" si="88"/>
        <v>20465.905084260703</v>
      </c>
      <c r="N165" s="731">
        <f t="shared" si="88"/>
        <v>25761.815475051964</v>
      </c>
    </row>
    <row r="166" spans="2:14">
      <c r="I166" s="1594"/>
      <c r="J166" s="1595">
        <f>SUM(J162:J165)</f>
        <v>43592.065685364112</v>
      </c>
      <c r="K166" s="1596">
        <f t="shared" ref="K166:N166" si="89">SUM(K162:K165)</f>
        <v>58795.190979107196</v>
      </c>
      <c r="L166" s="1596">
        <f t="shared" si="89"/>
        <v>72708.376664911033</v>
      </c>
      <c r="M166" s="1596">
        <f t="shared" si="89"/>
        <v>90598.176256932638</v>
      </c>
      <c r="N166" s="1596">
        <f t="shared" si="89"/>
        <v>114042.03671902469</v>
      </c>
    </row>
    <row r="167" spans="2:14">
      <c r="J167" s="1552">
        <f>J166/J135</f>
        <v>4.5119208777861908E-2</v>
      </c>
      <c r="K167" s="671">
        <f t="shared" ref="K167:N167" si="90">K166/K135</f>
        <v>4.3494381426186418E-2</v>
      </c>
      <c r="L167" s="671">
        <f t="shared" si="90"/>
        <v>4.1252205450722779E-2</v>
      </c>
      <c r="M167" s="671">
        <f t="shared" si="90"/>
        <v>3.9551623378483357E-2</v>
      </c>
      <c r="N167" s="671">
        <f t="shared" si="90"/>
        <v>3.8297151324838644E-2</v>
      </c>
    </row>
    <row r="168" spans="2:14" s="714" customFormat="1">
      <c r="J168" s="775"/>
    </row>
    <row r="170" spans="2:14">
      <c r="B170" s="544" t="s">
        <v>36</v>
      </c>
      <c r="J170" s="775">
        <v>2018</v>
      </c>
      <c r="K170" s="714">
        <v>2019</v>
      </c>
      <c r="L170" s="714">
        <v>2020</v>
      </c>
      <c r="M170" s="714">
        <v>2021</v>
      </c>
      <c r="N170" s="714">
        <v>2022</v>
      </c>
    </row>
    <row r="171" spans="2:14">
      <c r="I171" t="s">
        <v>509</v>
      </c>
      <c r="J171" s="1547">
        <f>J135</f>
        <v>966153.14998061094</v>
      </c>
      <c r="K171" s="769">
        <f t="shared" ref="K171:N171" si="91">K135</f>
        <v>1351788.1862255593</v>
      </c>
      <c r="L171" s="769">
        <f t="shared" si="91"/>
        <v>1762533.0784256798</v>
      </c>
      <c r="M171" s="769">
        <f t="shared" si="91"/>
        <v>2290631.0416128035</v>
      </c>
      <c r="N171" s="769">
        <f t="shared" si="91"/>
        <v>2977820.3540966678</v>
      </c>
    </row>
    <row r="172" spans="2:14">
      <c r="C172" s="743" t="s">
        <v>616</v>
      </c>
      <c r="D172" s="746" t="s">
        <v>271</v>
      </c>
      <c r="I172" t="s">
        <v>1456</v>
      </c>
      <c r="J172" s="1548">
        <f>AVERAGE('[1]AL Promotion &amp; Recruited'!$AL$26:$AW$26)</f>
        <v>209.66666666666666</v>
      </c>
      <c r="K172" s="1242">
        <f>AVERAGE('[1]AL Promotion &amp; Recruited'!$AX$26:$BI$26)</f>
        <v>249.66666666666666</v>
      </c>
      <c r="L172" s="1242">
        <f>AVERAGE('[1]AL Promotion &amp; Recruited'!$BJ$26:$BU$26)</f>
        <v>265.5</v>
      </c>
      <c r="M172" s="1242">
        <f>AVERAGE('[1]AL Promotion &amp; Recruited'!$BV$26:$CG$26)</f>
        <v>299.5</v>
      </c>
      <c r="N172" s="1242">
        <f>AVERAGE('[1]AL Promotion &amp; Recruited'!$CH$26:$CS$26)</f>
        <v>334.5</v>
      </c>
    </row>
    <row r="173" spans="2:14">
      <c r="C173" s="750" t="s">
        <v>16</v>
      </c>
      <c r="D173" s="747"/>
      <c r="J173" s="1548"/>
      <c r="K173" s="1242"/>
      <c r="L173" s="1242"/>
      <c r="M173" s="1242"/>
      <c r="N173" s="1242"/>
    </row>
    <row r="174" spans="2:14">
      <c r="C174" s="746">
        <v>0</v>
      </c>
      <c r="D174" s="791">
        <v>0.04</v>
      </c>
    </row>
    <row r="175" spans="2:14">
      <c r="C175" s="789">
        <v>150</v>
      </c>
      <c r="D175" s="748">
        <v>0.05</v>
      </c>
      <c r="I175" s="775" t="s">
        <v>1479</v>
      </c>
      <c r="J175" s="775">
        <v>2018</v>
      </c>
      <c r="K175" s="714">
        <v>2019</v>
      </c>
      <c r="L175" s="714">
        <v>2020</v>
      </c>
      <c r="M175" s="714">
        <v>2021</v>
      </c>
      <c r="N175" s="714">
        <v>2022</v>
      </c>
    </row>
    <row r="176" spans="2:14">
      <c r="C176" s="789">
        <v>500</v>
      </c>
      <c r="D176" s="748">
        <v>0.06</v>
      </c>
      <c r="H176" s="442"/>
      <c r="I176">
        <v>0</v>
      </c>
      <c r="J176" s="1536">
        <f>1-SUM(J177:J179)</f>
        <v>0.377</v>
      </c>
      <c r="K176" s="1536">
        <f t="shared" ref="K176:N176" si="92">1-SUM(K177:K179)</f>
        <v>0.377</v>
      </c>
      <c r="L176" s="1536">
        <f t="shared" si="92"/>
        <v>0.377</v>
      </c>
      <c r="M176" s="1536">
        <f t="shared" si="92"/>
        <v>0.377</v>
      </c>
      <c r="N176" s="1536">
        <f t="shared" si="92"/>
        <v>0.377</v>
      </c>
    </row>
    <row r="177" spans="3:14">
      <c r="C177" s="790">
        <v>700</v>
      </c>
      <c r="D177" s="749">
        <v>7.0000000000000007E-2</v>
      </c>
      <c r="H177" s="442"/>
      <c r="I177">
        <v>150</v>
      </c>
      <c r="J177" s="1536">
        <v>0.48</v>
      </c>
      <c r="K177" s="1536">
        <v>0.48</v>
      </c>
      <c r="L177" s="1536">
        <v>0.48</v>
      </c>
      <c r="M177" s="1536">
        <v>0.48</v>
      </c>
      <c r="N177" s="1536">
        <v>0.48</v>
      </c>
    </row>
    <row r="178" spans="3:14">
      <c r="H178" s="442"/>
      <c r="I178">
        <v>500</v>
      </c>
      <c r="J178" s="1536">
        <v>7.4999999999999997E-2</v>
      </c>
      <c r="K178" s="1536">
        <v>7.4999999999999997E-2</v>
      </c>
      <c r="L178" s="1536">
        <v>7.4999999999999997E-2</v>
      </c>
      <c r="M178" s="1536">
        <v>7.4999999999999997E-2</v>
      </c>
      <c r="N178" s="1536">
        <v>7.4999999999999997E-2</v>
      </c>
    </row>
    <row r="179" spans="3:14">
      <c r="C179" s="758" t="s">
        <v>1457</v>
      </c>
      <c r="H179" s="442"/>
      <c r="I179" s="714">
        <v>700</v>
      </c>
      <c r="J179" s="1549">
        <v>6.8000000000000005E-2</v>
      </c>
      <c r="K179" s="1549">
        <v>6.8000000000000005E-2</v>
      </c>
      <c r="L179" s="1549">
        <v>6.8000000000000005E-2</v>
      </c>
      <c r="M179" s="1549">
        <v>6.8000000000000005E-2</v>
      </c>
      <c r="N179" s="1549">
        <v>6.8000000000000005E-2</v>
      </c>
    </row>
    <row r="180" spans="3:14">
      <c r="N180" s="722"/>
    </row>
    <row r="182" spans="3:14">
      <c r="I182" s="775" t="s">
        <v>1438</v>
      </c>
      <c r="J182" s="775">
        <v>2018</v>
      </c>
      <c r="K182" s="714">
        <v>2019</v>
      </c>
      <c r="L182" s="714">
        <v>2020</v>
      </c>
      <c r="M182" s="714">
        <v>2021</v>
      </c>
      <c r="N182" s="714">
        <v>2022</v>
      </c>
    </row>
    <row r="183" spans="3:14">
      <c r="I183">
        <v>0</v>
      </c>
      <c r="J183" s="1510">
        <v>80</v>
      </c>
      <c r="K183" s="1607">
        <f>J183*1.15</f>
        <v>92</v>
      </c>
      <c r="L183" s="1607">
        <f t="shared" ref="L183:N183" si="93">K183*1.15</f>
        <v>105.8</v>
      </c>
      <c r="M183" s="1607">
        <f t="shared" si="93"/>
        <v>121.66999999999999</v>
      </c>
      <c r="N183" s="1607">
        <f t="shared" si="93"/>
        <v>139.92049999999998</v>
      </c>
    </row>
    <row r="184" spans="3:14">
      <c r="I184">
        <v>150</v>
      </c>
      <c r="J184" s="1510">
        <v>320</v>
      </c>
      <c r="K184" s="769">
        <f t="shared" ref="K184:N184" si="94">J184*1.15</f>
        <v>368</v>
      </c>
      <c r="L184" s="769">
        <f t="shared" si="94"/>
        <v>423.2</v>
      </c>
      <c r="M184" s="769">
        <f t="shared" si="94"/>
        <v>486.67999999999995</v>
      </c>
      <c r="N184" s="769">
        <f t="shared" si="94"/>
        <v>559.6819999999999</v>
      </c>
    </row>
    <row r="185" spans="3:14">
      <c r="I185">
        <v>500</v>
      </c>
      <c r="J185" s="1510">
        <v>630</v>
      </c>
      <c r="K185" s="769">
        <f t="shared" ref="K185:N185" si="95">J185*1.15</f>
        <v>724.5</v>
      </c>
      <c r="L185" s="769">
        <f t="shared" si="95"/>
        <v>833.17499999999995</v>
      </c>
      <c r="M185" s="769">
        <f t="shared" si="95"/>
        <v>958.15124999999989</v>
      </c>
      <c r="N185" s="769">
        <f t="shared" si="95"/>
        <v>1101.8739374999998</v>
      </c>
    </row>
    <row r="186" spans="3:14">
      <c r="I186" s="714">
        <v>700</v>
      </c>
      <c r="J186" s="775">
        <v>1200</v>
      </c>
      <c r="K186" s="731">
        <f t="shared" ref="K186:N186" si="96">J186*1.15</f>
        <v>1380</v>
      </c>
      <c r="L186" s="731">
        <f t="shared" si="96"/>
        <v>1586.9999999999998</v>
      </c>
      <c r="M186" s="731">
        <f t="shared" si="96"/>
        <v>1825.0499999999995</v>
      </c>
      <c r="N186" s="731">
        <f t="shared" si="96"/>
        <v>2098.8074999999994</v>
      </c>
    </row>
    <row r="187" spans="3:14">
      <c r="J187" s="1553">
        <f>SUMPRODUCT(J183:J186,J176:J179)</f>
        <v>312.61</v>
      </c>
      <c r="K187" s="1478">
        <f t="shared" ref="K187:N187" si="97">SUMPRODUCT(K183:K186,K176:K179)</f>
        <v>359.50149999999996</v>
      </c>
      <c r="L187" s="1478">
        <f t="shared" si="97"/>
        <v>413.42672499999998</v>
      </c>
      <c r="M187" s="1478">
        <f t="shared" si="97"/>
        <v>475.44073374999994</v>
      </c>
      <c r="N187" s="1478">
        <f t="shared" si="97"/>
        <v>546.75684381249982</v>
      </c>
    </row>
    <row r="189" spans="3:14">
      <c r="I189" s="775" t="s">
        <v>674</v>
      </c>
      <c r="J189" s="775">
        <v>2018</v>
      </c>
      <c r="K189" s="714">
        <v>2019</v>
      </c>
      <c r="L189" s="714">
        <v>2020</v>
      </c>
      <c r="M189" s="714">
        <v>2021</v>
      </c>
      <c r="N189" s="714">
        <v>2022</v>
      </c>
    </row>
    <row r="190" spans="3:14">
      <c r="I190">
        <v>0</v>
      </c>
      <c r="J190" s="921">
        <f>J176*J$172*J183*12</f>
        <v>75882.559999999998</v>
      </c>
      <c r="K190" s="442">
        <f t="shared" ref="K190:M190" si="98">K176*K$172*K183*12</f>
        <v>103913.26399999998</v>
      </c>
      <c r="L190" s="442">
        <f t="shared" si="98"/>
        <v>127078.70759999999</v>
      </c>
      <c r="M190" s="442">
        <f t="shared" si="98"/>
        <v>164855.30645999999</v>
      </c>
      <c r="N190" s="442">
        <f>N176*N$172*N183*12</f>
        <v>211738.61439899995</v>
      </c>
    </row>
    <row r="191" spans="3:14">
      <c r="I191">
        <v>150</v>
      </c>
      <c r="J191" s="921">
        <f t="shared" ref="J191:N191" si="99">J177*J$172*J184*12</f>
        <v>386457.59999999998</v>
      </c>
      <c r="K191" s="442">
        <f t="shared" si="99"/>
        <v>529213.43999999994</v>
      </c>
      <c r="L191" s="442">
        <f t="shared" si="99"/>
        <v>647191.29599999997</v>
      </c>
      <c r="M191" s="442">
        <f t="shared" si="99"/>
        <v>839581.40159999987</v>
      </c>
      <c r="N191" s="442">
        <f t="shared" si="99"/>
        <v>1078350.5030399999</v>
      </c>
    </row>
    <row r="192" spans="3:14">
      <c r="I192">
        <v>500</v>
      </c>
      <c r="J192" s="921">
        <f t="shared" ref="J192:N192" si="100">J178*J$172*J185*12</f>
        <v>118880.99999999997</v>
      </c>
      <c r="K192" s="442">
        <f t="shared" si="100"/>
        <v>162795.15</v>
      </c>
      <c r="L192" s="442">
        <f t="shared" si="100"/>
        <v>199087.16624999995</v>
      </c>
      <c r="M192" s="442">
        <f t="shared" si="100"/>
        <v>258269.66943749995</v>
      </c>
      <c r="N192" s="442">
        <f t="shared" si="100"/>
        <v>331719.14888437488</v>
      </c>
    </row>
    <row r="193" spans="2:14">
      <c r="I193" s="714">
        <v>700</v>
      </c>
      <c r="J193" s="1439">
        <f t="shared" ref="J193:N193" si="101">J179*J$172*J186*12</f>
        <v>205305.59999999998</v>
      </c>
      <c r="K193" s="731">
        <f t="shared" si="101"/>
        <v>281144.64</v>
      </c>
      <c r="L193" s="731">
        <f t="shared" si="101"/>
        <v>343820.37599999999</v>
      </c>
      <c r="M193" s="731">
        <f t="shared" si="101"/>
        <v>446027.61959999992</v>
      </c>
      <c r="N193" s="731">
        <f t="shared" si="101"/>
        <v>572873.70473999996</v>
      </c>
    </row>
    <row r="194" spans="2:14">
      <c r="J194" s="1550">
        <f>SUM(J190:J193)</f>
        <v>786526.75999999989</v>
      </c>
      <c r="K194" s="1475">
        <f t="shared" ref="K194" si="102">SUM(K190:K193)</f>
        <v>1077066.4939999999</v>
      </c>
      <c r="L194" s="1475">
        <f t="shared" ref="L194" si="103">SUM(L190:L193)</f>
        <v>1317177.5458499999</v>
      </c>
      <c r="M194" s="1475">
        <f t="shared" ref="M194" si="104">SUM(M190:M193)</f>
        <v>1708733.9970974997</v>
      </c>
      <c r="N194" s="1475">
        <f t="shared" ref="N194" si="105">SUM(N190:N193)</f>
        <v>2194681.9710633745</v>
      </c>
    </row>
    <row r="195" spans="2:14">
      <c r="J195" s="1551">
        <f>J194/J171</f>
        <v>0.81408083181821034</v>
      </c>
      <c r="K195" s="1476">
        <f t="shared" ref="K195" si="106">K194/K171</f>
        <v>0.79677164290610292</v>
      </c>
      <c r="L195" s="1476">
        <f t="shared" ref="L195" si="107">L194/L171</f>
        <v>0.74732075214527149</v>
      </c>
      <c r="M195" s="1476">
        <f t="shared" ref="M195" si="108">M194/M171</f>
        <v>0.74596648960733647</v>
      </c>
      <c r="N195" s="1476">
        <f>N194/N171</f>
        <v>0.73700952713419776</v>
      </c>
    </row>
    <row r="197" spans="2:14">
      <c r="I197" s="775" t="s">
        <v>466</v>
      </c>
      <c r="J197" s="775">
        <v>2018</v>
      </c>
      <c r="K197" s="714">
        <v>2019</v>
      </c>
      <c r="L197" s="714">
        <v>2020</v>
      </c>
      <c r="M197" s="714">
        <v>2021</v>
      </c>
      <c r="N197" s="714">
        <v>2022</v>
      </c>
    </row>
    <row r="198" spans="2:14">
      <c r="I198">
        <v>0</v>
      </c>
      <c r="J198" s="921">
        <f>J190*$D174*J$32</f>
        <v>946.73909291118298</v>
      </c>
      <c r="K198" s="442">
        <f t="shared" ref="K198:N198" si="109">K190*$D174*K$32</f>
        <v>1294.3159419680674</v>
      </c>
      <c r="L198" s="442">
        <f t="shared" si="109"/>
        <v>1565.3894220714433</v>
      </c>
      <c r="M198" s="442">
        <f t="shared" si="109"/>
        <v>2030.9842079752998</v>
      </c>
      <c r="N198" s="442">
        <f t="shared" si="109"/>
        <v>2608.5771292250242</v>
      </c>
    </row>
    <row r="199" spans="2:14">
      <c r="I199">
        <v>150</v>
      </c>
      <c r="J199" s="921">
        <f t="shared" ref="J199:N199" si="110">J191*$D175*J$32</f>
        <v>6026.9862678695999</v>
      </c>
      <c r="K199" s="442">
        <f t="shared" si="110"/>
        <v>8239.6770841468478</v>
      </c>
      <c r="L199" s="442">
        <f t="shared" si="110"/>
        <v>9965.3438009853144</v>
      </c>
      <c r="M199" s="442">
        <f t="shared" si="110"/>
        <v>12929.342438039042</v>
      </c>
      <c r="N199" s="442">
        <f t="shared" si="110"/>
        <v>16606.326552095648</v>
      </c>
    </row>
    <row r="200" spans="2:14">
      <c r="I200">
        <v>500</v>
      </c>
      <c r="J200" s="921">
        <f t="shared" ref="J200:N200" si="111">J192*$D176*J$32</f>
        <v>2224.805477787801</v>
      </c>
      <c r="K200" s="442">
        <f t="shared" si="111"/>
        <v>3041.5995486401453</v>
      </c>
      <c r="L200" s="442">
        <f t="shared" si="111"/>
        <v>3678.6132390355933</v>
      </c>
      <c r="M200" s="442">
        <f t="shared" si="111"/>
        <v>4772.7455484167549</v>
      </c>
      <c r="N200" s="442">
        <f t="shared" si="111"/>
        <v>6130.0697623946808</v>
      </c>
    </row>
    <row r="201" spans="2:14">
      <c r="I201" s="714">
        <v>700</v>
      </c>
      <c r="J201" s="1439">
        <f t="shared" ref="J201:N201" si="112">J193*$D177*J$32</f>
        <v>4482.5710367280153</v>
      </c>
      <c r="K201" s="731">
        <f t="shared" si="112"/>
        <v>6128.2598313342196</v>
      </c>
      <c r="L201" s="731">
        <f t="shared" si="112"/>
        <v>7411.7244519828282</v>
      </c>
      <c r="M201" s="731">
        <f t="shared" si="112"/>
        <v>9616.198438291538</v>
      </c>
      <c r="N201" s="731">
        <f t="shared" si="112"/>
        <v>12350.955373121138</v>
      </c>
    </row>
    <row r="202" spans="2:14">
      <c r="I202" s="1594"/>
      <c r="J202" s="1595">
        <f>SUM(J198:J201)</f>
        <v>13681.101875296599</v>
      </c>
      <c r="K202" s="1596">
        <f t="shared" ref="K202" si="113">SUM(K198:K201)</f>
        <v>18703.852406089281</v>
      </c>
      <c r="L202" s="1596">
        <f t="shared" ref="L202" si="114">SUM(L198:L201)</f>
        <v>22621.070914075179</v>
      </c>
      <c r="M202" s="1596">
        <f t="shared" ref="M202" si="115">SUM(M198:M201)</f>
        <v>29349.270632722633</v>
      </c>
      <c r="N202" s="1596">
        <f t="shared" ref="N202" si="116">SUM(N198:N201)</f>
        <v>37695.928816836487</v>
      </c>
    </row>
    <row r="203" spans="2:14">
      <c r="J203" s="1552">
        <f>J202/J171</f>
        <v>1.4160386348242156E-2</v>
      </c>
      <c r="K203" s="671">
        <f t="shared" ref="K203" si="117">K202/K171</f>
        <v>1.3836378063277701E-2</v>
      </c>
      <c r="L203" s="671">
        <f t="shared" ref="L203" si="118">L202/L171</f>
        <v>1.2834409289090137E-2</v>
      </c>
      <c r="M203" s="671">
        <f t="shared" ref="M203" si="119">M202/M171</f>
        <v>1.2812744654005122E-2</v>
      </c>
      <c r="N203" s="671">
        <f t="shared" ref="N203" si="120">N202/N171</f>
        <v>1.2658899575650083E-2</v>
      </c>
    </row>
    <row r="207" spans="2:14" s="45" customFormat="1" ht="12.75">
      <c r="B207" s="1606" t="s">
        <v>186</v>
      </c>
      <c r="J207" s="1546"/>
    </row>
    <row r="209" spans="3:16">
      <c r="C209" s="1" t="s">
        <v>389</v>
      </c>
      <c r="D209" s="141"/>
      <c r="E209" s="141"/>
      <c r="F209" s="141"/>
      <c r="G209" s="141"/>
      <c r="J209" s="1583"/>
      <c r="K209" s="424">
        <v>2018</v>
      </c>
      <c r="L209" s="424">
        <v>2019</v>
      </c>
      <c r="M209" s="424">
        <v>2020</v>
      </c>
      <c r="N209" s="424">
        <v>2021</v>
      </c>
      <c r="O209" s="424">
        <v>2022</v>
      </c>
    </row>
    <row r="210" spans="3:16">
      <c r="C210" s="141"/>
      <c r="D210" s="141"/>
      <c r="E210" s="141"/>
      <c r="F210" s="141"/>
      <c r="G210" s="141"/>
      <c r="J210" s="639" t="s">
        <v>712</v>
      </c>
      <c r="K210" s="141">
        <f>SUM('[1]AL Promotion &amp; Recruited'!$AL$38:$AW$38)</f>
        <v>593</v>
      </c>
      <c r="L210" s="141">
        <f>SUM('[1]AL Promotion &amp; Recruited'!$AX$38:$BI$38)</f>
        <v>733</v>
      </c>
      <c r="M210" s="141">
        <f>SUM('[1]AL Promotion &amp; Recruited'!$BJ$38:$BU$38)</f>
        <v>877</v>
      </c>
      <c r="N210" s="141"/>
      <c r="O210" s="141"/>
    </row>
    <row r="211" spans="3:16">
      <c r="C211" s="140" t="s">
        <v>391</v>
      </c>
      <c r="D211" s="141"/>
      <c r="E211" s="141"/>
      <c r="F211" s="891">
        <v>1</v>
      </c>
      <c r="G211" s="141" t="s">
        <v>714</v>
      </c>
      <c r="J211" s="639" t="s">
        <v>713</v>
      </c>
      <c r="K211" s="141">
        <f>SUM('[1]AL Promotion &amp; Recruited'!$AL$40:$AW$40)</f>
        <v>143</v>
      </c>
      <c r="L211" s="141">
        <f>SUM('[1]AL Promotion &amp; Recruited'!$AX$40:$BI$40)</f>
        <v>245</v>
      </c>
      <c r="M211" s="141">
        <f>SUM('[1]AL Promotion &amp; Recruited'!$BJ$40:$BU$40)</f>
        <v>206</v>
      </c>
      <c r="N211" s="141"/>
      <c r="O211" s="141"/>
    </row>
    <row r="212" spans="3:16">
      <c r="C212" s="140"/>
      <c r="D212" s="141"/>
      <c r="E212" s="141"/>
      <c r="F212" s="141"/>
      <c r="G212" s="141"/>
      <c r="J212" s="639" t="s">
        <v>554</v>
      </c>
      <c r="K212" s="1584">
        <f>K210*$F$211</f>
        <v>593</v>
      </c>
      <c r="L212" s="1584">
        <f t="shared" ref="L212:M212" si="121">L210*$F$211</f>
        <v>733</v>
      </c>
      <c r="M212" s="1584">
        <f t="shared" si="121"/>
        <v>877</v>
      </c>
      <c r="N212" s="1584"/>
      <c r="O212" s="1584"/>
    </row>
    <row r="213" spans="3:16">
      <c r="C213" s="140" t="s">
        <v>390</v>
      </c>
      <c r="D213" s="141"/>
      <c r="E213" s="141"/>
      <c r="F213" s="141"/>
      <c r="G213" s="141"/>
      <c r="J213" s="639" t="s">
        <v>716</v>
      </c>
      <c r="K213" s="1585">
        <f>K210*30%*3*$F$215</f>
        <v>800.55000000000007</v>
      </c>
      <c r="L213" s="1585">
        <f>L210*30%*3*$F$215</f>
        <v>989.55000000000007</v>
      </c>
      <c r="M213" s="1585">
        <f>M210*30%*3*$F$215</f>
        <v>1183.9499999999998</v>
      </c>
      <c r="N213" s="1585"/>
      <c r="O213" s="1585"/>
      <c r="P213" s="722"/>
    </row>
    <row r="214" spans="3:16">
      <c r="C214" s="243"/>
      <c r="D214" s="243"/>
      <c r="E214" s="884"/>
      <c r="F214" s="885"/>
      <c r="G214" s="886"/>
      <c r="J214" s="639"/>
      <c r="K214" s="141"/>
      <c r="L214" s="141"/>
      <c r="M214" s="141"/>
      <c r="N214" s="141"/>
      <c r="O214" s="141"/>
    </row>
    <row r="215" spans="3:16">
      <c r="C215" s="243"/>
      <c r="D215" s="143" t="s">
        <v>709</v>
      </c>
      <c r="E215" s="887"/>
      <c r="F215" s="892">
        <v>1.5</v>
      </c>
      <c r="G215" s="890" t="s">
        <v>715</v>
      </c>
      <c r="J215" s="639"/>
      <c r="K215" s="141"/>
      <c r="L215" s="141"/>
      <c r="M215" s="141"/>
      <c r="N215" s="141"/>
      <c r="O215" s="141"/>
    </row>
    <row r="216" spans="3:16">
      <c r="C216" s="243"/>
      <c r="D216" s="143"/>
      <c r="E216" s="887"/>
      <c r="F216" s="887"/>
      <c r="G216" s="888"/>
      <c r="J216" s="639"/>
      <c r="K216" s="141"/>
      <c r="L216" s="141"/>
      <c r="M216" s="141"/>
      <c r="N216" s="141"/>
      <c r="O216" s="141"/>
    </row>
    <row r="217" spans="3:16">
      <c r="C217" s="243"/>
      <c r="D217" s="143" t="s">
        <v>710</v>
      </c>
      <c r="E217" s="887"/>
      <c r="F217" s="887"/>
      <c r="G217" s="888"/>
      <c r="J217" s="639" t="s">
        <v>1423</v>
      </c>
      <c r="K217" s="1179">
        <f>K211*20%</f>
        <v>28.6</v>
      </c>
      <c r="L217" s="1179">
        <f t="shared" ref="L217:M217" si="122">L211*20%</f>
        <v>49</v>
      </c>
      <c r="M217" s="1179">
        <f t="shared" si="122"/>
        <v>41.2</v>
      </c>
      <c r="N217" s="1179"/>
      <c r="O217" s="1179"/>
    </row>
    <row r="218" spans="3:16">
      <c r="C218" s="243"/>
      <c r="D218" s="143"/>
      <c r="E218" s="887"/>
      <c r="F218" s="887"/>
      <c r="G218" s="888"/>
      <c r="J218" s="639" t="s">
        <v>1424</v>
      </c>
      <c r="K218" s="1179">
        <f>K211*50%</f>
        <v>71.5</v>
      </c>
      <c r="L218" s="1179">
        <f t="shared" ref="L218:M218" si="123">L211*50%</f>
        <v>122.5</v>
      </c>
      <c r="M218" s="1179">
        <f t="shared" si="123"/>
        <v>103</v>
      </c>
      <c r="N218" s="1179"/>
      <c r="O218" s="1179"/>
    </row>
    <row r="219" spans="3:16">
      <c r="C219" s="243"/>
      <c r="D219" s="143"/>
      <c r="E219" s="887"/>
      <c r="F219" s="887"/>
      <c r="G219" s="888"/>
      <c r="J219" s="639" t="s">
        <v>531</v>
      </c>
      <c r="K219" s="1179">
        <f>K217*$F$222+K218*$F$223</f>
        <v>772.2</v>
      </c>
      <c r="L219" s="1179">
        <f t="shared" ref="L219:M219" si="124">L217*$F$222+L218*$F$223</f>
        <v>1323</v>
      </c>
      <c r="M219" s="1179">
        <f t="shared" si="124"/>
        <v>1112.4000000000001</v>
      </c>
      <c r="N219" s="1179"/>
      <c r="O219" s="1179"/>
    </row>
    <row r="220" spans="3:16">
      <c r="C220" s="140" t="s">
        <v>531</v>
      </c>
      <c r="D220" s="141"/>
      <c r="E220" s="141"/>
      <c r="F220" s="141"/>
      <c r="G220" s="888"/>
      <c r="J220" s="639"/>
      <c r="K220" s="141"/>
      <c r="L220" s="141"/>
      <c r="M220" s="141"/>
      <c r="N220" s="141"/>
      <c r="O220" s="141"/>
    </row>
    <row r="221" spans="3:16">
      <c r="C221" s="141"/>
      <c r="D221" s="141"/>
      <c r="E221" s="141"/>
      <c r="F221" s="141"/>
      <c r="G221" s="889"/>
      <c r="J221" s="1592" t="s">
        <v>1459</v>
      </c>
      <c r="K221" s="1593">
        <f>K213+K219</f>
        <v>1572.75</v>
      </c>
      <c r="L221" s="1593">
        <f t="shared" ref="L221:M221" si="125">L213+L219</f>
        <v>2312.5500000000002</v>
      </c>
      <c r="M221" s="1593">
        <f t="shared" si="125"/>
        <v>2296.35</v>
      </c>
      <c r="N221" s="1593"/>
      <c r="O221" s="1593"/>
    </row>
    <row r="222" spans="3:16">
      <c r="C222" s="141" t="s">
        <v>532</v>
      </c>
      <c r="D222" s="141"/>
      <c r="E222" s="141"/>
      <c r="F222" s="1438">
        <v>12</v>
      </c>
      <c r="G222" s="219" t="s">
        <v>1422</v>
      </c>
      <c r="J222" s="639"/>
      <c r="K222" s="141"/>
      <c r="L222" s="141"/>
      <c r="M222" s="141"/>
      <c r="N222" s="141"/>
      <c r="O222" s="141"/>
    </row>
    <row r="223" spans="3:16">
      <c r="C223" s="141" t="s">
        <v>533</v>
      </c>
      <c r="D223" s="141"/>
      <c r="E223" s="141"/>
      <c r="F223" s="1438">
        <v>6</v>
      </c>
      <c r="G223" s="141" t="s">
        <v>1422</v>
      </c>
    </row>
    <row r="224" spans="3:16">
      <c r="G224" s="141"/>
    </row>
    <row r="225" spans="2:15">
      <c r="G225" s="141"/>
    </row>
    <row r="226" spans="2:15">
      <c r="G226" s="141"/>
    </row>
    <row r="227" spans="2:15">
      <c r="G227" s="141"/>
    </row>
    <row r="228" spans="2:15" s="45" customFormat="1" ht="12.75">
      <c r="B228" s="1606" t="s">
        <v>1437</v>
      </c>
      <c r="J228" s="1546"/>
    </row>
    <row r="230" spans="2:15">
      <c r="C230" t="s">
        <v>1237</v>
      </c>
      <c r="J230" s="71"/>
      <c r="K230" s="117">
        <v>2018</v>
      </c>
      <c r="L230" s="117">
        <v>2019</v>
      </c>
      <c r="M230" s="117">
        <v>2020</v>
      </c>
      <c r="N230" s="117">
        <v>2021</v>
      </c>
      <c r="O230" s="117">
        <v>2022</v>
      </c>
    </row>
    <row r="231" spans="2:15">
      <c r="C231" t="s">
        <v>1238</v>
      </c>
      <c r="J231" s="490" t="s">
        <v>1477</v>
      </c>
      <c r="K231">
        <v>150</v>
      </c>
      <c r="L231" s="442">
        <f>K231*1.1</f>
        <v>165</v>
      </c>
      <c r="M231" s="442">
        <f t="shared" ref="M231:O231" si="126">L231*1.1</f>
        <v>181.50000000000003</v>
      </c>
      <c r="N231" s="442">
        <f t="shared" si="126"/>
        <v>199.65000000000003</v>
      </c>
      <c r="O231" s="442">
        <f t="shared" si="126"/>
        <v>219.61500000000007</v>
      </c>
    </row>
    <row r="232" spans="2:15">
      <c r="C232" t="s">
        <v>1239</v>
      </c>
      <c r="J232" s="490" t="s">
        <v>1476</v>
      </c>
      <c r="K232" s="581">
        <f>J172</f>
        <v>209.66666666666666</v>
      </c>
      <c r="L232" s="581">
        <f t="shared" ref="L232:O232" si="127">K172</f>
        <v>249.66666666666666</v>
      </c>
      <c r="M232" s="581">
        <f t="shared" si="127"/>
        <v>265.5</v>
      </c>
      <c r="N232" s="581">
        <f t="shared" si="127"/>
        <v>299.5</v>
      </c>
      <c r="O232" s="581">
        <f t="shared" si="127"/>
        <v>334.5</v>
      </c>
    </row>
    <row r="233" spans="2:15">
      <c r="J233" s="490" t="s">
        <v>696</v>
      </c>
      <c r="K233">
        <v>3.5</v>
      </c>
    </row>
    <row r="234" spans="2:15">
      <c r="J234" s="1590" t="s">
        <v>1478</v>
      </c>
      <c r="K234" s="1591">
        <f>K232*$K$233</f>
        <v>733.83333333333326</v>
      </c>
      <c r="L234" s="1591">
        <f t="shared" ref="L234:O234" si="128">L232*$K$233</f>
        <v>873.83333333333326</v>
      </c>
      <c r="M234" s="1591">
        <f t="shared" si="128"/>
        <v>929.25</v>
      </c>
      <c r="N234" s="1591">
        <f t="shared" si="128"/>
        <v>1048.25</v>
      </c>
      <c r="O234" s="1591">
        <f t="shared" si="128"/>
        <v>1170.75</v>
      </c>
    </row>
    <row r="237" spans="2:15">
      <c r="I237" s="12"/>
      <c r="J237" s="1604"/>
      <c r="K237" s="499"/>
      <c r="L237" s="499"/>
      <c r="M237" s="499"/>
      <c r="N237" s="499"/>
      <c r="O237" s="12"/>
    </row>
    <row r="239" spans="2:15" s="45" customFormat="1" ht="12.75">
      <c r="B239" s="44" t="s">
        <v>675</v>
      </c>
      <c r="J239" s="1546"/>
    </row>
    <row r="241" spans="2:15">
      <c r="B241" s="544" t="s">
        <v>676</v>
      </c>
      <c r="J241" s="775"/>
      <c r="K241" s="714">
        <v>2018</v>
      </c>
      <c r="L241" s="714">
        <v>2019</v>
      </c>
      <c r="M241" s="714">
        <v>2020</v>
      </c>
      <c r="N241" s="714">
        <v>2021</v>
      </c>
      <c r="O241" s="714">
        <v>2022</v>
      </c>
    </row>
    <row r="242" spans="2:15">
      <c r="J242" s="490" t="s">
        <v>206</v>
      </c>
      <c r="K242" s="581">
        <f>J135</f>
        <v>966153.14998061094</v>
      </c>
      <c r="L242" s="581">
        <f>K135</f>
        <v>1351788.1862255593</v>
      </c>
      <c r="M242" s="581">
        <f>L135</f>
        <v>1762533.0784256798</v>
      </c>
      <c r="N242" s="581">
        <f>M135</f>
        <v>2290631.0416128035</v>
      </c>
      <c r="O242" s="581">
        <f>N135</f>
        <v>2977820.3540966678</v>
      </c>
    </row>
    <row r="243" spans="2:15">
      <c r="C243" s="7" t="s">
        <v>405</v>
      </c>
      <c r="D243" s="141"/>
      <c r="E243" s="141"/>
      <c r="F243" s="141"/>
      <c r="G243" s="141"/>
      <c r="H243" s="141"/>
      <c r="J243" s="490" t="s">
        <v>633</v>
      </c>
      <c r="K243" s="581">
        <f>J136-K210</f>
        <v>2017.0499949200407</v>
      </c>
      <c r="L243" s="581">
        <f>K136-L210</f>
        <v>2472.6014055160836</v>
      </c>
      <c r="M243" s="581">
        <f>L136-M210</f>
        <v>2767.0068615851724</v>
      </c>
      <c r="N243" s="581">
        <f>M136-N210</f>
        <v>4127.3138784894873</v>
      </c>
      <c r="O243" s="581">
        <f>N136-O210</f>
        <v>4723.025846135346</v>
      </c>
    </row>
    <row r="244" spans="2:15" ht="60">
      <c r="C244" s="445" t="s">
        <v>202</v>
      </c>
      <c r="D244" s="446" t="s">
        <v>398</v>
      </c>
      <c r="E244" s="446" t="s">
        <v>399</v>
      </c>
      <c r="F244" s="141"/>
      <c r="G244" s="141"/>
      <c r="H244" s="141"/>
    </row>
    <row r="245" spans="2:15">
      <c r="C245" s="447" t="s">
        <v>203</v>
      </c>
      <c r="D245" s="448">
        <v>1000</v>
      </c>
      <c r="E245" s="449">
        <v>6</v>
      </c>
      <c r="F245" s="442"/>
      <c r="G245" s="141"/>
      <c r="H245" s="141"/>
      <c r="J245" s="74"/>
    </row>
    <row r="246" spans="2:15">
      <c r="C246" s="450" t="s">
        <v>204</v>
      </c>
      <c r="D246" s="451">
        <f>100*6</f>
        <v>600</v>
      </c>
      <c r="E246" s="452">
        <v>3</v>
      </c>
      <c r="F246" s="442"/>
      <c r="G246" s="141"/>
      <c r="H246" s="141"/>
      <c r="J246" s="1149"/>
    </row>
    <row r="247" spans="2:15">
      <c r="C247" s="453" t="s">
        <v>205</v>
      </c>
      <c r="D247" s="454">
        <f>50*6</f>
        <v>300</v>
      </c>
      <c r="E247" s="455">
        <v>2</v>
      </c>
      <c r="F247" s="442"/>
      <c r="G247" s="1369"/>
      <c r="H247" s="141"/>
      <c r="J247" s="1487" t="s">
        <v>222</v>
      </c>
      <c r="K247" s="714">
        <v>2018</v>
      </c>
      <c r="L247" s="714">
        <v>2019</v>
      </c>
      <c r="M247" s="714">
        <v>2020</v>
      </c>
      <c r="N247" s="714">
        <v>2021</v>
      </c>
      <c r="O247" s="714">
        <v>2022</v>
      </c>
    </row>
    <row r="248" spans="2:15">
      <c r="C248" s="141"/>
      <c r="D248" s="141"/>
      <c r="E248" s="141"/>
      <c r="F248" s="141"/>
      <c r="G248" s="141"/>
      <c r="H248" s="141"/>
      <c r="J248" s="1479" t="s">
        <v>203</v>
      </c>
      <c r="K248" s="1483">
        <v>0.02</v>
      </c>
      <c r="L248" s="1483">
        <v>1.4999999999999999E-2</v>
      </c>
      <c r="M248" s="1483">
        <v>1.4999999999999999E-2</v>
      </c>
      <c r="N248" s="1483">
        <v>1.4999999999999999E-2</v>
      </c>
      <c r="O248" s="1483">
        <v>1.4999999999999999E-2</v>
      </c>
    </row>
    <row r="249" spans="2:15">
      <c r="C249" s="459" t="s">
        <v>403</v>
      </c>
      <c r="D249" s="141"/>
      <c r="E249" s="141"/>
      <c r="F249" s="141"/>
      <c r="G249" s="141"/>
      <c r="H249" s="141"/>
      <c r="J249" s="1479" t="s">
        <v>204</v>
      </c>
      <c r="K249" s="1483">
        <v>0.03</v>
      </c>
      <c r="L249" s="1483">
        <v>2.5000000000000001E-2</v>
      </c>
      <c r="M249" s="1483">
        <v>2.5000000000000001E-2</v>
      </c>
      <c r="N249" s="1483">
        <v>2.5000000000000001E-2</v>
      </c>
      <c r="O249" s="1483">
        <v>2.5000000000000001E-2</v>
      </c>
    </row>
    <row r="250" spans="2:15">
      <c r="C250" s="456" t="s">
        <v>400</v>
      </c>
      <c r="D250" s="141"/>
      <c r="E250" s="141"/>
      <c r="F250" s="141"/>
      <c r="G250" s="141"/>
      <c r="H250" s="141"/>
      <c r="J250" s="1484" t="s">
        <v>205</v>
      </c>
      <c r="K250" s="1485">
        <v>8.5000000000000006E-2</v>
      </c>
      <c r="L250" s="1485">
        <v>0.08</v>
      </c>
      <c r="M250" s="1485">
        <v>0.08</v>
      </c>
      <c r="N250" s="1485">
        <v>0.08</v>
      </c>
      <c r="O250" s="1485">
        <v>0.08</v>
      </c>
    </row>
    <row r="251" spans="2:15">
      <c r="C251" s="457" t="s">
        <v>677</v>
      </c>
      <c r="D251" s="141"/>
      <c r="E251" s="141"/>
      <c r="F251" s="141"/>
      <c r="G251" s="141"/>
      <c r="H251" s="141"/>
      <c r="J251" s="1480"/>
      <c r="K251" s="1486">
        <f>SUM(K248:K250)</f>
        <v>0.13500000000000001</v>
      </c>
      <c r="L251" s="1486">
        <f t="shared" ref="L251:O251" si="129">SUM(L248:L250)</f>
        <v>0.12</v>
      </c>
      <c r="M251" s="1486">
        <f t="shared" si="129"/>
        <v>0.12</v>
      </c>
      <c r="N251" s="1486">
        <f t="shared" si="129"/>
        <v>0.12</v>
      </c>
      <c r="O251" s="1486">
        <f t="shared" si="129"/>
        <v>0.12</v>
      </c>
    </row>
    <row r="252" spans="2:15">
      <c r="C252" s="457" t="s">
        <v>59</v>
      </c>
      <c r="D252" s="141"/>
      <c r="E252" s="141"/>
      <c r="F252" s="141"/>
      <c r="G252" s="141"/>
      <c r="H252" s="141"/>
    </row>
    <row r="253" spans="2:15" ht="25.5">
      <c r="C253" s="457" t="s">
        <v>393</v>
      </c>
      <c r="D253" s="141"/>
      <c r="E253" s="141"/>
      <c r="F253" s="141"/>
      <c r="G253" s="141"/>
      <c r="H253" s="141"/>
      <c r="J253" s="1481" t="s">
        <v>1458</v>
      </c>
      <c r="K253" s="714">
        <v>2018</v>
      </c>
      <c r="L253" s="714">
        <v>2019</v>
      </c>
      <c r="M253" s="714">
        <v>2020</v>
      </c>
      <c r="N253" s="714">
        <v>2021</v>
      </c>
      <c r="O253" s="714">
        <v>2022</v>
      </c>
    </row>
    <row r="254" spans="2:15">
      <c r="C254" s="141"/>
      <c r="D254" s="141"/>
      <c r="E254" s="141"/>
      <c r="F254" s="141"/>
      <c r="G254" s="141"/>
      <c r="H254" s="141"/>
      <c r="J254" s="1479" t="s">
        <v>203</v>
      </c>
      <c r="K254" s="1280">
        <v>600</v>
      </c>
      <c r="L254" s="1488">
        <f>K254*1.1</f>
        <v>660</v>
      </c>
      <c r="M254" s="1488">
        <f t="shared" ref="M254:O254" si="130">L254*1.1</f>
        <v>726.00000000000011</v>
      </c>
      <c r="N254" s="1488">
        <f t="shared" si="130"/>
        <v>798.60000000000014</v>
      </c>
      <c r="O254" s="1488">
        <f t="shared" si="130"/>
        <v>878.46000000000026</v>
      </c>
    </row>
    <row r="255" spans="2:15">
      <c r="C255" s="458" t="s">
        <v>287</v>
      </c>
      <c r="D255" s="141"/>
      <c r="E255" s="141"/>
      <c r="F255" s="141"/>
      <c r="G255" s="141"/>
      <c r="H255" s="141"/>
      <c r="J255" s="1479" t="s">
        <v>204</v>
      </c>
      <c r="K255" s="1280">
        <v>400</v>
      </c>
      <c r="L255" s="1488">
        <f t="shared" ref="L255:O256" si="131">K255*1.1</f>
        <v>440.00000000000006</v>
      </c>
      <c r="M255" s="1488">
        <f t="shared" si="131"/>
        <v>484.00000000000011</v>
      </c>
      <c r="N255" s="1488">
        <f t="shared" si="131"/>
        <v>532.4000000000002</v>
      </c>
      <c r="O255" s="1488">
        <f t="shared" si="131"/>
        <v>585.64000000000033</v>
      </c>
    </row>
    <row r="256" spans="2:15">
      <c r="C256" s="141"/>
      <c r="D256" s="141"/>
      <c r="E256" s="141"/>
      <c r="F256" s="141"/>
      <c r="G256" s="141"/>
      <c r="H256" s="141"/>
      <c r="J256" s="1479" t="s">
        <v>205</v>
      </c>
      <c r="K256" s="1280">
        <v>250</v>
      </c>
      <c r="L256" s="1488">
        <f t="shared" si="131"/>
        <v>275</v>
      </c>
      <c r="M256" s="1488">
        <f t="shared" si="131"/>
        <v>302.5</v>
      </c>
      <c r="N256" s="1488">
        <f t="shared" si="131"/>
        <v>332.75</v>
      </c>
      <c r="O256" s="1488">
        <f t="shared" si="131"/>
        <v>366.02500000000003</v>
      </c>
    </row>
    <row r="257" spans="3:15" ht="45">
      <c r="C257" s="445" t="s">
        <v>202</v>
      </c>
      <c r="D257" s="446" t="s">
        <v>707</v>
      </c>
      <c r="E257" s="446" t="s">
        <v>289</v>
      </c>
      <c r="F257" s="141"/>
      <c r="G257" s="141"/>
      <c r="H257" s="141"/>
      <c r="J257" s="1480"/>
      <c r="K257" s="1280"/>
      <c r="L257" s="1280"/>
      <c r="M257" s="1280"/>
      <c r="N257" s="1280"/>
      <c r="O257" s="1280"/>
    </row>
    <row r="258" spans="3:15">
      <c r="C258" s="447" t="s">
        <v>203</v>
      </c>
      <c r="D258" s="848">
        <v>0.2</v>
      </c>
      <c r="E258" s="449">
        <v>4</v>
      </c>
      <c r="F258" s="141"/>
      <c r="G258" s="141"/>
      <c r="H258" s="141"/>
    </row>
    <row r="259" spans="3:15">
      <c r="C259" s="450" t="s">
        <v>204</v>
      </c>
      <c r="D259" s="849">
        <v>0.15</v>
      </c>
      <c r="E259" s="452">
        <v>2</v>
      </c>
      <c r="F259" s="141"/>
      <c r="G259" s="141"/>
      <c r="H259" s="141"/>
      <c r="J259" s="1481" t="s">
        <v>605</v>
      </c>
      <c r="K259" s="714">
        <v>2018</v>
      </c>
      <c r="L259" s="714">
        <v>2019</v>
      </c>
      <c r="M259" s="714">
        <v>2020</v>
      </c>
      <c r="N259" s="714">
        <v>2021</v>
      </c>
      <c r="O259" s="714">
        <v>2022</v>
      </c>
    </row>
    <row r="260" spans="3:15">
      <c r="C260" s="453" t="s">
        <v>205</v>
      </c>
      <c r="D260" s="850">
        <v>0.12</v>
      </c>
      <c r="E260" s="455">
        <v>1</v>
      </c>
      <c r="F260" s="141"/>
      <c r="G260" s="141"/>
      <c r="H260" s="141"/>
      <c r="J260" s="1479" t="s">
        <v>203</v>
      </c>
      <c r="K260" s="1511">
        <f>K$243*K248*K254*4</f>
        <v>96818.399756161962</v>
      </c>
      <c r="L260" s="1511">
        <f t="shared" ref="L260:O260" si="132">L$243*L248*L254*4</f>
        <v>97915.015658436911</v>
      </c>
      <c r="M260" s="1511">
        <f t="shared" si="132"/>
        <v>120530.81889065013</v>
      </c>
      <c r="N260" s="1511">
        <f t="shared" si="132"/>
        <v>197764.37180170231</v>
      </c>
      <c r="O260" s="1511">
        <f t="shared" si="132"/>
        <v>248939.35708776343</v>
      </c>
    </row>
    <row r="261" spans="3:15">
      <c r="C261" s="141"/>
      <c r="D261" s="141"/>
      <c r="E261" s="141"/>
      <c r="F261" s="141"/>
      <c r="G261" s="141"/>
      <c r="H261" s="141"/>
      <c r="J261" s="1479" t="s">
        <v>204</v>
      </c>
      <c r="K261" s="1512">
        <f t="shared" ref="K261:O261" si="133">K$243*K249*K255*4</f>
        <v>96818.399756161962</v>
      </c>
      <c r="L261" s="1512">
        <f t="shared" si="133"/>
        <v>108794.46184270769</v>
      </c>
      <c r="M261" s="1512">
        <f t="shared" si="133"/>
        <v>133923.1321007224</v>
      </c>
      <c r="N261" s="1512">
        <f t="shared" si="133"/>
        <v>219738.19089078042</v>
      </c>
      <c r="O261" s="1512">
        <f t="shared" si="133"/>
        <v>276599.2856530706</v>
      </c>
    </row>
    <row r="262" spans="3:15">
      <c r="C262" s="435" t="s">
        <v>377</v>
      </c>
      <c r="D262" s="253"/>
      <c r="E262" s="253"/>
      <c r="F262" s="427" t="s">
        <v>203</v>
      </c>
      <c r="G262" s="428" t="s">
        <v>204</v>
      </c>
      <c r="H262" s="429" t="s">
        <v>205</v>
      </c>
      <c r="J262" s="1484" t="s">
        <v>205</v>
      </c>
      <c r="K262" s="1489">
        <f t="shared" ref="K262:O262" si="134">K$243*K250*K256*4</f>
        <v>171449.24956820346</v>
      </c>
      <c r="L262" s="1489">
        <f t="shared" si="134"/>
        <v>217588.92368541536</v>
      </c>
      <c r="M262" s="1489">
        <f t="shared" si="134"/>
        <v>267846.26420144469</v>
      </c>
      <c r="N262" s="1489">
        <f t="shared" si="134"/>
        <v>439476.38178156066</v>
      </c>
      <c r="O262" s="1489">
        <f t="shared" si="134"/>
        <v>553198.57130614086</v>
      </c>
    </row>
    <row r="263" spans="3:15">
      <c r="C263" s="422" t="s">
        <v>381</v>
      </c>
      <c r="D263" s="143"/>
      <c r="E263" s="143"/>
      <c r="F263" s="440" t="s">
        <v>290</v>
      </c>
      <c r="G263" s="420" t="s">
        <v>290</v>
      </c>
      <c r="H263" s="421"/>
      <c r="J263" s="74"/>
      <c r="K263" s="581">
        <f>SUM(K260:K262)</f>
        <v>365086.04908052739</v>
      </c>
      <c r="L263" s="581">
        <f t="shared" ref="L263:O263" si="135">SUM(L260:L262)</f>
        <v>424298.40118655993</v>
      </c>
      <c r="M263" s="581">
        <f t="shared" si="135"/>
        <v>522300.21519281721</v>
      </c>
      <c r="N263" s="581">
        <f t="shared" si="135"/>
        <v>856978.94447404332</v>
      </c>
      <c r="O263" s="581">
        <f t="shared" si="135"/>
        <v>1078737.2140469749</v>
      </c>
    </row>
    <row r="264" spans="3:15">
      <c r="C264" s="422" t="s">
        <v>382</v>
      </c>
      <c r="D264" s="143"/>
      <c r="E264" s="143"/>
      <c r="F264" s="1424" t="s">
        <v>290</v>
      </c>
      <c r="G264" s="1423"/>
      <c r="H264" s="1425"/>
      <c r="K264" s="1490">
        <f>K263/K242</f>
        <v>0.37787596002544116</v>
      </c>
      <c r="L264" s="1490">
        <f>L263/L242</f>
        <v>0.3138793529267917</v>
      </c>
      <c r="M264" s="1490">
        <f>M263/M242</f>
        <v>0.29633498604142133</v>
      </c>
      <c r="N264" s="1490">
        <f>N263/N242</f>
        <v>0.37412351832561197</v>
      </c>
      <c r="O264" s="1490">
        <f>O263/O242</f>
        <v>0.3622573176930996</v>
      </c>
    </row>
    <row r="265" spans="3:15">
      <c r="C265" s="422" t="s">
        <v>378</v>
      </c>
      <c r="D265" s="143"/>
      <c r="E265" s="143"/>
      <c r="F265" s="1424" t="s">
        <v>682</v>
      </c>
      <c r="G265" s="1423" t="s">
        <v>404</v>
      </c>
      <c r="H265" s="1425" t="s">
        <v>404</v>
      </c>
    </row>
    <row r="266" spans="3:15" ht="25.5">
      <c r="C266" s="422" t="s">
        <v>679</v>
      </c>
      <c r="D266" s="143"/>
      <c r="E266" s="143"/>
      <c r="F266" s="1424" t="s">
        <v>680</v>
      </c>
      <c r="G266" s="1423" t="s">
        <v>681</v>
      </c>
      <c r="H266" s="1425"/>
      <c r="J266" s="1524" t="s">
        <v>35</v>
      </c>
      <c r="K266" s="714">
        <v>2018</v>
      </c>
      <c r="L266" s="714">
        <v>2019</v>
      </c>
      <c r="M266" s="714">
        <v>2020</v>
      </c>
      <c r="N266" s="714">
        <v>2021</v>
      </c>
      <c r="O266" s="714">
        <v>2022</v>
      </c>
    </row>
    <row r="267" spans="3:15">
      <c r="C267" s="422" t="s">
        <v>380</v>
      </c>
      <c r="D267" s="143"/>
      <c r="E267" s="143"/>
      <c r="F267" s="1424" t="s">
        <v>290</v>
      </c>
      <c r="G267" s="1423" t="s">
        <v>290</v>
      </c>
      <c r="H267" s="1425"/>
      <c r="J267" s="1479" t="s">
        <v>203</v>
      </c>
      <c r="K267" s="1513">
        <f>K260*J$32*$D258</f>
        <v>6039.7121527173758</v>
      </c>
      <c r="L267" s="1513">
        <f t="shared" ref="L267:O267" si="136">L260*K$32*$D258</f>
        <v>6098.0167904632399</v>
      </c>
      <c r="M267" s="1513">
        <f t="shared" si="136"/>
        <v>7423.6539105719003</v>
      </c>
      <c r="N267" s="1513">
        <f t="shared" si="136"/>
        <v>12182.086359678988</v>
      </c>
      <c r="O267" s="1513">
        <f t="shared" si="136"/>
        <v>15334.413973245217</v>
      </c>
    </row>
    <row r="268" spans="3:15">
      <c r="C268" s="422" t="s">
        <v>385</v>
      </c>
      <c r="D268" s="143"/>
      <c r="E268" s="143"/>
      <c r="F268" s="1424" t="s">
        <v>290</v>
      </c>
      <c r="G268" s="1423" t="s">
        <v>290</v>
      </c>
      <c r="H268" s="1425" t="s">
        <v>290</v>
      </c>
      <c r="J268" s="1479" t="s">
        <v>204</v>
      </c>
      <c r="K268" s="1514">
        <f t="shared" ref="K268:O268" si="137">K261*J$32*$D259</f>
        <v>4529.7841145380316</v>
      </c>
      <c r="L268" s="1514">
        <f t="shared" si="137"/>
        <v>5081.680658719366</v>
      </c>
      <c r="M268" s="1514">
        <f t="shared" si="137"/>
        <v>6186.3782588099175</v>
      </c>
      <c r="N268" s="1514">
        <f t="shared" si="137"/>
        <v>10151.738633065828</v>
      </c>
      <c r="O268" s="1514">
        <f t="shared" si="137"/>
        <v>12778.678311037685</v>
      </c>
    </row>
    <row r="269" spans="3:15">
      <c r="C269" s="423" t="s">
        <v>383</v>
      </c>
      <c r="D269" s="424"/>
      <c r="E269" s="424"/>
      <c r="F269" s="441" t="s">
        <v>290</v>
      </c>
      <c r="G269" s="709" t="s">
        <v>290</v>
      </c>
      <c r="H269" s="439" t="s">
        <v>290</v>
      </c>
      <c r="J269" s="1484" t="s">
        <v>205</v>
      </c>
      <c r="K269" s="1492">
        <f t="shared" ref="K269:O269" si="138">K262*J$32*$D260</f>
        <v>6417.1941622622098</v>
      </c>
      <c r="L269" s="1492">
        <f t="shared" si="138"/>
        <v>8130.6890539509859</v>
      </c>
      <c r="M269" s="1492">
        <f t="shared" si="138"/>
        <v>9898.205214095864</v>
      </c>
      <c r="N269" s="1492">
        <f t="shared" si="138"/>
        <v>16242.781812905318</v>
      </c>
      <c r="O269" s="1492">
        <f t="shared" si="138"/>
        <v>20445.885297660283</v>
      </c>
    </row>
    <row r="270" spans="3:15">
      <c r="C270" s="141"/>
      <c r="D270" s="141"/>
      <c r="E270" s="141"/>
      <c r="F270" s="141"/>
      <c r="G270" s="141"/>
      <c r="H270" s="141"/>
      <c r="J270" s="74"/>
      <c r="K270" s="581">
        <f>SUM(K267:K269)</f>
        <v>16986.690429517617</v>
      </c>
      <c r="L270" s="581">
        <f t="shared" ref="L270:O270" si="139">SUM(L267:L269)</f>
        <v>19310.386503133592</v>
      </c>
      <c r="M270" s="581">
        <f t="shared" si="139"/>
        <v>23508.237383477681</v>
      </c>
      <c r="N270" s="581">
        <f t="shared" si="139"/>
        <v>38576.606805650132</v>
      </c>
      <c r="O270" s="581">
        <f t="shared" si="139"/>
        <v>48558.977581943182</v>
      </c>
    </row>
    <row r="271" spans="3:15">
      <c r="C271" s="460" t="s">
        <v>406</v>
      </c>
      <c r="D271" s="141"/>
      <c r="E271" s="141"/>
      <c r="F271" s="141"/>
      <c r="G271" s="141"/>
      <c r="H271" s="141"/>
      <c r="J271" s="74"/>
      <c r="K271" s="1140">
        <f>K270/K242</f>
        <v>1.7581778240704914E-2</v>
      </c>
      <c r="L271" s="1140">
        <f>L270/L242</f>
        <v>1.4285068252483945E-2</v>
      </c>
      <c r="M271" s="1140">
        <f>M270/M242</f>
        <v>1.3337756704387971E-2</v>
      </c>
      <c r="N271" s="1140">
        <f>N270/N242</f>
        <v>1.6841039043323559E-2</v>
      </c>
      <c r="O271" s="1140">
        <f>O270/O242</f>
        <v>1.6306886181075123E-2</v>
      </c>
    </row>
    <row r="272" spans="3:15">
      <c r="C272" s="141"/>
      <c r="D272" s="141"/>
      <c r="E272" s="141"/>
      <c r="F272" s="141"/>
      <c r="G272" s="141"/>
      <c r="H272" s="141"/>
    </row>
    <row r="273" spans="3:15" ht="25.5">
      <c r="C273" s="434" t="s">
        <v>407</v>
      </c>
      <c r="D273" s="141"/>
      <c r="E273" s="141"/>
      <c r="F273" s="141"/>
      <c r="G273" s="141"/>
      <c r="H273" s="141"/>
      <c r="J273" s="1524" t="s">
        <v>1469</v>
      </c>
      <c r="K273" s="714">
        <v>2018</v>
      </c>
      <c r="L273" s="714">
        <v>2019</v>
      </c>
      <c r="M273" s="714">
        <v>2020</v>
      </c>
      <c r="N273" s="714">
        <v>2021</v>
      </c>
      <c r="O273" s="714">
        <v>2022</v>
      </c>
    </row>
    <row r="274" spans="3:15">
      <c r="C274" s="434" t="s">
        <v>683</v>
      </c>
      <c r="D274" s="141"/>
      <c r="E274" s="141"/>
      <c r="F274" s="141"/>
      <c r="G274" s="141"/>
      <c r="H274" s="141"/>
      <c r="J274" s="1479" t="s">
        <v>203</v>
      </c>
      <c r="K274" s="1513">
        <f>K$243*K248*$E258*12</f>
        <v>1936.3679951232393</v>
      </c>
      <c r="L274" s="1513">
        <f t="shared" ref="L274:O274" si="140">L$243*L248*$E258*12</f>
        <v>1780.2730119715802</v>
      </c>
      <c r="M274" s="1513">
        <f t="shared" si="140"/>
        <v>1992.2449403413241</v>
      </c>
      <c r="N274" s="1513">
        <f t="shared" si="140"/>
        <v>2971.6659925124309</v>
      </c>
      <c r="O274" s="1513">
        <f t="shared" si="140"/>
        <v>3400.578609217449</v>
      </c>
    </row>
    <row r="275" spans="3:15">
      <c r="C275" s="434" t="s">
        <v>409</v>
      </c>
      <c r="D275" s="141"/>
      <c r="E275" s="141"/>
      <c r="F275" s="141"/>
      <c r="G275" s="141"/>
      <c r="H275" s="141"/>
      <c r="J275" s="1479" t="s">
        <v>204</v>
      </c>
      <c r="K275" s="1514">
        <f t="shared" ref="K275:O275" si="141">K$243*K249*$E259*12</f>
        <v>1452.2759963424294</v>
      </c>
      <c r="L275" s="1514">
        <f t="shared" si="141"/>
        <v>1483.5608433096502</v>
      </c>
      <c r="M275" s="1514">
        <f t="shared" si="141"/>
        <v>1660.2041169511035</v>
      </c>
      <c r="N275" s="1514">
        <f t="shared" si="141"/>
        <v>2476.3883270936926</v>
      </c>
      <c r="O275" s="1514">
        <f t="shared" si="141"/>
        <v>2833.8155076812077</v>
      </c>
    </row>
    <row r="276" spans="3:15">
      <c r="C276" s="434"/>
      <c r="D276" s="141"/>
      <c r="E276" s="141"/>
      <c r="F276" s="141"/>
      <c r="G276" s="141"/>
      <c r="H276" s="141"/>
      <c r="J276" s="1484" t="s">
        <v>205</v>
      </c>
      <c r="K276" s="1492">
        <f t="shared" ref="K276:O276" si="142">K$243*K250*$E260*12</f>
        <v>2057.3909948184419</v>
      </c>
      <c r="L276" s="1492">
        <f t="shared" si="142"/>
        <v>2373.6973492954403</v>
      </c>
      <c r="M276" s="1492">
        <f t="shared" si="142"/>
        <v>2656.3265871217654</v>
      </c>
      <c r="N276" s="1492">
        <f t="shared" si="142"/>
        <v>3962.2213233499078</v>
      </c>
      <c r="O276" s="1492">
        <f t="shared" si="142"/>
        <v>4534.1048122899319</v>
      </c>
    </row>
    <row r="277" spans="3:15">
      <c r="C277" s="434" t="s">
        <v>410</v>
      </c>
      <c r="D277" s="141" t="s">
        <v>411</v>
      </c>
      <c r="E277" s="141" t="s">
        <v>412</v>
      </c>
      <c r="F277" s="141" t="s">
        <v>413</v>
      </c>
      <c r="G277" s="141" t="s">
        <v>414</v>
      </c>
      <c r="H277" s="141" t="s">
        <v>418</v>
      </c>
      <c r="J277" s="74"/>
      <c r="K277" s="581">
        <f>SUM(K274:K276)</f>
        <v>5446.0349862841103</v>
      </c>
      <c r="L277" s="581">
        <f t="shared" ref="L277:O277" si="143">SUM(L274:L276)</f>
        <v>5637.5312045766705</v>
      </c>
      <c r="M277" s="581">
        <f t="shared" si="143"/>
        <v>6308.7756444141933</v>
      </c>
      <c r="N277" s="581">
        <f t="shared" si="143"/>
        <v>9410.2756429560322</v>
      </c>
      <c r="O277" s="581">
        <f t="shared" si="143"/>
        <v>10768.498929188589</v>
      </c>
    </row>
    <row r="278" spans="3:15">
      <c r="C278" s="461"/>
      <c r="D278" s="461"/>
      <c r="E278" s="461"/>
      <c r="F278" s="461"/>
      <c r="G278" s="462"/>
      <c r="H278" s="462"/>
      <c r="J278" s="74"/>
      <c r="K278" s="1140">
        <f>K277/K242</f>
        <v>5.6368237130866913E-3</v>
      </c>
      <c r="L278" s="1140">
        <f t="shared" ref="L278:O278" si="144">L277/L242</f>
        <v>4.1704249689573716E-3</v>
      </c>
      <c r="M278" s="1140">
        <f t="shared" si="144"/>
        <v>3.5793799966859535E-3</v>
      </c>
      <c r="N278" s="1140">
        <f t="shared" si="144"/>
        <v>4.1081586130651488E-3</v>
      </c>
      <c r="O278" s="1140">
        <f t="shared" si="144"/>
        <v>3.6162352488369803E-3</v>
      </c>
    </row>
    <row r="279" spans="3:15">
      <c r="C279" s="434" t="s">
        <v>415</v>
      </c>
      <c r="D279" s="141"/>
      <c r="E279" s="141" t="s">
        <v>416</v>
      </c>
      <c r="F279" s="141" t="s">
        <v>417</v>
      </c>
      <c r="G279" s="141" t="s">
        <v>417</v>
      </c>
      <c r="H279" s="141" t="s">
        <v>417</v>
      </c>
    </row>
    <row r="280" spans="3:15" ht="25.5">
      <c r="J280" s="1524" t="s">
        <v>697</v>
      </c>
      <c r="K280" s="714">
        <v>2018</v>
      </c>
      <c r="L280" s="714">
        <v>2019</v>
      </c>
      <c r="M280" s="714">
        <v>2020</v>
      </c>
      <c r="N280" s="714">
        <v>2021</v>
      </c>
      <c r="O280" s="714">
        <v>2022</v>
      </c>
    </row>
    <row r="281" spans="3:15">
      <c r="J281" s="490" t="s">
        <v>1470</v>
      </c>
      <c r="K281" s="442">
        <f>K260*70%*J$32*15%</f>
        <v>3170.8488801766221</v>
      </c>
      <c r="L281" s="442">
        <f t="shared" ref="L281:O281" si="145">L260*70%*K$32*15%</f>
        <v>3201.4588149931997</v>
      </c>
      <c r="M281" s="442">
        <f t="shared" si="145"/>
        <v>3897.4183030502463</v>
      </c>
      <c r="N281" s="442">
        <f t="shared" si="145"/>
        <v>6395.5953388314674</v>
      </c>
      <c r="O281" s="442">
        <f t="shared" si="145"/>
        <v>8050.5673359537377</v>
      </c>
    </row>
    <row r="282" spans="3:15">
      <c r="J282" s="490" t="s">
        <v>1471</v>
      </c>
      <c r="K282" s="442">
        <f>K281*$K$287</f>
        <v>2708.1205824596586</v>
      </c>
      <c r="L282" s="442">
        <f t="shared" ref="L282:O282" si="146">L281*$K$287</f>
        <v>2734.2635484719349</v>
      </c>
      <c r="M282" s="442">
        <f t="shared" si="146"/>
        <v>3328.660281141324</v>
      </c>
      <c r="N282" s="442">
        <f t="shared" si="146"/>
        <v>5462.2733623331151</v>
      </c>
      <c r="O282" s="442">
        <f t="shared" si="146"/>
        <v>6875.7319969658511</v>
      </c>
    </row>
    <row r="284" spans="3:15">
      <c r="I284" s="1515"/>
      <c r="J284" s="1516"/>
      <c r="K284" s="1516" t="s">
        <v>1472</v>
      </c>
      <c r="L284" s="1516" t="s">
        <v>410</v>
      </c>
      <c r="M284" s="1516" t="s">
        <v>411</v>
      </c>
      <c r="N284" s="1516" t="s">
        <v>412</v>
      </c>
      <c r="O284" s="1520" t="s">
        <v>413</v>
      </c>
    </row>
    <row r="285" spans="3:15">
      <c r="I285" s="866"/>
      <c r="J285" s="1517" t="s">
        <v>1475</v>
      </c>
      <c r="K285" s="12"/>
      <c r="L285" s="1521">
        <v>1.05</v>
      </c>
      <c r="M285" s="1521">
        <v>1.05</v>
      </c>
      <c r="N285" s="1521">
        <v>1.05</v>
      </c>
      <c r="O285" s="1522">
        <v>1.05</v>
      </c>
    </row>
    <row r="286" spans="3:15">
      <c r="I286" s="866"/>
      <c r="J286" s="1517" t="s">
        <v>1473</v>
      </c>
      <c r="K286" s="1518">
        <v>0</v>
      </c>
      <c r="L286" s="1518">
        <v>0</v>
      </c>
      <c r="M286" s="1518">
        <v>0.25</v>
      </c>
      <c r="N286" s="1518">
        <v>0.25</v>
      </c>
      <c r="O286" s="1519">
        <v>0.5</v>
      </c>
    </row>
    <row r="287" spans="3:15">
      <c r="I287" s="866"/>
      <c r="J287" s="1517" t="s">
        <v>1474</v>
      </c>
      <c r="K287" s="1202">
        <f>L286/L285 +M286/ (M285^2) +N286/ (N285^3) +O286/ (O285 ^4)</f>
        <v>0.85406800664332239</v>
      </c>
      <c r="L287" s="12"/>
      <c r="M287" s="12"/>
      <c r="N287" s="12"/>
      <c r="O287" s="548"/>
    </row>
    <row r="288" spans="3:15">
      <c r="I288" s="713"/>
      <c r="J288" s="775"/>
      <c r="K288" s="714"/>
      <c r="L288" s="714"/>
      <c r="M288" s="714"/>
      <c r="N288" s="714"/>
      <c r="O288" s="492"/>
    </row>
    <row r="290" spans="9:15">
      <c r="J290" s="1523" t="s">
        <v>552</v>
      </c>
    </row>
    <row r="292" spans="9:15">
      <c r="J292" s="1541" t="s">
        <v>377</v>
      </c>
      <c r="K292" s="1474"/>
      <c r="L292" s="1474"/>
      <c r="M292" s="1474"/>
      <c r="N292" s="1474"/>
      <c r="O292" s="1474"/>
    </row>
    <row r="293" spans="9:15">
      <c r="I293" s="635" t="s">
        <v>696</v>
      </c>
      <c r="J293" s="1542"/>
      <c r="K293" s="714">
        <v>2018</v>
      </c>
      <c r="L293" s="714">
        <v>2019</v>
      </c>
      <c r="M293" s="714">
        <v>2020</v>
      </c>
      <c r="N293" s="714">
        <v>2021</v>
      </c>
      <c r="O293" s="714">
        <v>2022</v>
      </c>
    </row>
    <row r="294" spans="9:15">
      <c r="I294" s="635">
        <v>9.5</v>
      </c>
      <c r="J294" s="1494" t="s">
        <v>203</v>
      </c>
      <c r="K294" s="1500">
        <f>K$243*K248*70%*$I294</f>
        <v>268.26764932436544</v>
      </c>
      <c r="L294" s="1500">
        <f t="shared" ref="L294:O294" si="147">L$243*L248*70%*$I294</f>
        <v>246.64199020022932</v>
      </c>
      <c r="M294" s="1500">
        <f t="shared" si="147"/>
        <v>276.00893444312095</v>
      </c>
      <c r="N294" s="1500">
        <f t="shared" si="147"/>
        <v>411.69955937932633</v>
      </c>
      <c r="O294" s="1500">
        <f t="shared" si="147"/>
        <v>471.12182815200072</v>
      </c>
    </row>
    <row r="295" spans="9:15">
      <c r="I295" s="635">
        <v>4.8</v>
      </c>
      <c r="J295" s="1494" t="s">
        <v>204</v>
      </c>
      <c r="K295" s="1475">
        <f t="shared" ref="K295:O295" si="148">K$243*K249*70%*$I295</f>
        <v>203.31863948794009</v>
      </c>
      <c r="L295" s="1475">
        <f t="shared" si="148"/>
        <v>207.69851806335103</v>
      </c>
      <c r="M295" s="1475">
        <f t="shared" si="148"/>
        <v>232.42857637315447</v>
      </c>
      <c r="N295" s="1475">
        <f t="shared" si="148"/>
        <v>346.6943657931169</v>
      </c>
      <c r="O295" s="1475">
        <f t="shared" si="148"/>
        <v>396.73417107536903</v>
      </c>
    </row>
    <row r="296" spans="9:15">
      <c r="I296" s="635">
        <v>1.3</v>
      </c>
      <c r="J296" s="1497" t="s">
        <v>205</v>
      </c>
      <c r="K296" s="1499">
        <f t="shared" ref="K296:O296" si="149">K$243*K250*70%*$I296</f>
        <v>156.01881710706513</v>
      </c>
      <c r="L296" s="1499">
        <f t="shared" si="149"/>
        <v>180.00538232157086</v>
      </c>
      <c r="M296" s="1499">
        <f t="shared" si="149"/>
        <v>201.43809952340055</v>
      </c>
      <c r="N296" s="1499">
        <f t="shared" si="149"/>
        <v>300.4684503540347</v>
      </c>
      <c r="O296" s="1499">
        <f t="shared" si="149"/>
        <v>343.83628159865322</v>
      </c>
    </row>
    <row r="297" spans="9:15">
      <c r="J297" s="1494" t="s">
        <v>254</v>
      </c>
      <c r="K297" s="1475">
        <f>SUM(K294:K296)</f>
        <v>627.60510591937066</v>
      </c>
      <c r="L297" s="1475">
        <f t="shared" ref="L297:O297" si="150">SUM(L294:L296)</f>
        <v>634.34589058515121</v>
      </c>
      <c r="M297" s="1475">
        <f t="shared" si="150"/>
        <v>709.87561033967597</v>
      </c>
      <c r="N297" s="1475">
        <f t="shared" si="150"/>
        <v>1058.862375526478</v>
      </c>
      <c r="O297" s="1475">
        <f t="shared" si="150"/>
        <v>1211.6922808260229</v>
      </c>
    </row>
    <row r="299" spans="9:15">
      <c r="J299" s="1494" t="s">
        <v>1459</v>
      </c>
      <c r="K299" s="581">
        <f>K270+K277+K282+K297</f>
        <v>25768.451104180756</v>
      </c>
      <c r="L299" s="581">
        <f t="shared" ref="L299:O299" si="151">L270+L277+L282+L297</f>
        <v>28316.527146767348</v>
      </c>
      <c r="M299" s="581">
        <f t="shared" si="151"/>
        <v>33855.548919372872</v>
      </c>
      <c r="N299" s="581">
        <f t="shared" si="151"/>
        <v>54508.018186465757</v>
      </c>
      <c r="O299" s="581">
        <f t="shared" si="151"/>
        <v>67414.900788923653</v>
      </c>
    </row>
    <row r="303" spans="9:15" s="714" customFormat="1">
      <c r="J303" s="775"/>
    </row>
    <row r="305" spans="2:14">
      <c r="B305" s="544" t="s">
        <v>702</v>
      </c>
    </row>
    <row r="306" spans="2:14">
      <c r="I306" s="714"/>
      <c r="J306" s="775">
        <v>2018</v>
      </c>
      <c r="K306" s="714">
        <v>2019</v>
      </c>
      <c r="L306" s="714">
        <v>2020</v>
      </c>
      <c r="M306" s="714">
        <v>2021</v>
      </c>
      <c r="N306" s="714">
        <v>2022</v>
      </c>
    </row>
    <row r="307" spans="2:14">
      <c r="C307" s="141" t="s">
        <v>708</v>
      </c>
      <c r="D307" s="141"/>
      <c r="I307" s="490" t="s">
        <v>1456</v>
      </c>
      <c r="J307" s="1554">
        <f>J172</f>
        <v>209.66666666666666</v>
      </c>
      <c r="K307" s="581">
        <f>K172</f>
        <v>249.66666666666666</v>
      </c>
      <c r="L307" s="581">
        <f>L172</f>
        <v>265.5</v>
      </c>
      <c r="M307" s="581">
        <f>M172</f>
        <v>299.5</v>
      </c>
      <c r="N307" s="581">
        <f>N172</f>
        <v>334.5</v>
      </c>
    </row>
    <row r="308" spans="2:14">
      <c r="C308" s="140" t="s">
        <v>421</v>
      </c>
      <c r="D308" s="141"/>
      <c r="I308" s="490" t="s">
        <v>706</v>
      </c>
      <c r="J308" s="1129">
        <v>0.1</v>
      </c>
      <c r="K308" s="1129">
        <v>0.1</v>
      </c>
      <c r="L308" s="1129">
        <v>0.1</v>
      </c>
      <c r="M308" s="1129">
        <v>0.1</v>
      </c>
      <c r="N308" s="1129">
        <v>0.1</v>
      </c>
    </row>
    <row r="309" spans="2:14">
      <c r="C309" s="141" t="s">
        <v>422</v>
      </c>
      <c r="D309" s="141"/>
      <c r="I309" s="490" t="s">
        <v>219</v>
      </c>
      <c r="J309" s="921">
        <f>J308*J307</f>
        <v>20.966666666666669</v>
      </c>
      <c r="K309" s="442">
        <f t="shared" ref="K309:N309" si="152">K308*K307</f>
        <v>24.966666666666669</v>
      </c>
      <c r="L309" s="442">
        <f t="shared" si="152"/>
        <v>26.55</v>
      </c>
      <c r="M309" s="442">
        <f t="shared" si="152"/>
        <v>29.950000000000003</v>
      </c>
      <c r="N309" s="442">
        <f t="shared" si="152"/>
        <v>33.450000000000003</v>
      </c>
    </row>
    <row r="310" spans="2:14">
      <c r="C310" s="141" t="s">
        <v>303</v>
      </c>
      <c r="D310" s="141"/>
      <c r="I310" s="490" t="s">
        <v>466</v>
      </c>
      <c r="J310" s="921">
        <f>J309*$E$317*12</f>
        <v>3774</v>
      </c>
      <c r="K310" s="442">
        <f t="shared" ref="K310:N310" si="153">K309*$E$317*12</f>
        <v>4494</v>
      </c>
      <c r="L310" s="442">
        <f t="shared" si="153"/>
        <v>4779</v>
      </c>
      <c r="M310" s="442">
        <f t="shared" si="153"/>
        <v>5391.0000000000009</v>
      </c>
      <c r="N310" s="442">
        <f t="shared" si="153"/>
        <v>6021.0000000000009</v>
      </c>
    </row>
    <row r="311" spans="2:14">
      <c r="C311" s="463" t="s">
        <v>703</v>
      </c>
      <c r="D311" s="141"/>
    </row>
    <row r="312" spans="2:14">
      <c r="C312" s="463" t="s">
        <v>704</v>
      </c>
      <c r="D312" s="141"/>
    </row>
    <row r="313" spans="2:14">
      <c r="C313" s="463" t="s">
        <v>424</v>
      </c>
      <c r="D313" s="141"/>
    </row>
    <row r="314" spans="2:14">
      <c r="C314" s="141"/>
      <c r="D314" s="141"/>
    </row>
    <row r="315" spans="2:14">
      <c r="C315" s="140" t="s">
        <v>287</v>
      </c>
      <c r="D315" s="141"/>
    </row>
    <row r="316" spans="2:14">
      <c r="C316" s="141"/>
      <c r="D316" s="141"/>
    </row>
    <row r="317" spans="2:14">
      <c r="C317" t="s">
        <v>1428</v>
      </c>
      <c r="E317" s="788">
        <v>15</v>
      </c>
      <c r="F317" t="s">
        <v>1422</v>
      </c>
    </row>
    <row r="318" spans="2:14">
      <c r="C318" t="s">
        <v>1429</v>
      </c>
    </row>
    <row r="323" spans="2:14" s="41" customFormat="1" ht="16.5" customHeight="1">
      <c r="B323" s="40" t="s">
        <v>93</v>
      </c>
      <c r="J323" s="1545"/>
    </row>
    <row r="325" spans="2:14" s="47" customFormat="1" ht="12.75">
      <c r="B325" s="46" t="s">
        <v>763</v>
      </c>
      <c r="J325" s="1555"/>
    </row>
    <row r="328" spans="2:14">
      <c r="B328" s="742" t="s">
        <v>426</v>
      </c>
      <c r="K328" s="544"/>
    </row>
    <row r="329" spans="2:14">
      <c r="I329" s="775" t="s">
        <v>1463</v>
      </c>
      <c r="J329" s="775">
        <v>2018</v>
      </c>
      <c r="K329" s="714">
        <v>2019</v>
      </c>
      <c r="L329" s="714">
        <v>2020</v>
      </c>
      <c r="M329" s="714">
        <v>2021</v>
      </c>
      <c r="N329" s="714">
        <v>2022</v>
      </c>
    </row>
    <row r="330" spans="2:14">
      <c r="C330" s="140" t="s">
        <v>721</v>
      </c>
      <c r="I330" s="490" t="s">
        <v>1461</v>
      </c>
      <c r="J330" s="1554">
        <f>H11</f>
        <v>19282.212929541856</v>
      </c>
      <c r="K330" s="581">
        <f>I11</f>
        <v>23469.337657971824</v>
      </c>
      <c r="L330" s="581">
        <f>J11</f>
        <v>26126.714010511419</v>
      </c>
      <c r="M330" s="581">
        <f>K11</f>
        <v>29697.111487265938</v>
      </c>
      <c r="N330" s="581">
        <f>L11</f>
        <v>33992.383219356852</v>
      </c>
    </row>
    <row r="331" spans="2:14">
      <c r="I331" s="490" t="s">
        <v>1462</v>
      </c>
      <c r="J331" s="1129">
        <v>0.35</v>
      </c>
      <c r="K331" s="1129">
        <v>0.35</v>
      </c>
      <c r="L331" s="1129">
        <v>0.35</v>
      </c>
      <c r="M331" s="1129">
        <v>0.35</v>
      </c>
      <c r="N331" s="1129">
        <v>0.35</v>
      </c>
    </row>
    <row r="332" spans="2:14">
      <c r="C332" t="s">
        <v>717</v>
      </c>
      <c r="D332" s="1647" t="s">
        <v>357</v>
      </c>
      <c r="E332" s="1647"/>
      <c r="F332" s="1426" t="s">
        <v>21</v>
      </c>
      <c r="I332" s="490" t="s">
        <v>219</v>
      </c>
      <c r="J332" s="921">
        <f>J331*J330</f>
        <v>6748.7745253396497</v>
      </c>
      <c r="K332" s="442">
        <f t="shared" ref="K332:N332" si="154">K331*K330</f>
        <v>8214.2681802901388</v>
      </c>
      <c r="L332" s="442">
        <f t="shared" si="154"/>
        <v>9144.3499036789963</v>
      </c>
      <c r="M332" s="442">
        <f t="shared" si="154"/>
        <v>10393.989020543078</v>
      </c>
      <c r="N332" s="442">
        <f t="shared" si="154"/>
        <v>11897.334126774898</v>
      </c>
    </row>
    <row r="333" spans="2:14">
      <c r="C333" s="714"/>
      <c r="D333" s="893" t="s">
        <v>207</v>
      </c>
      <c r="E333" s="893" t="s">
        <v>718</v>
      </c>
      <c r="F333" s="893" t="s">
        <v>719</v>
      </c>
      <c r="I333" s="1510" t="s">
        <v>466</v>
      </c>
      <c r="J333" s="921">
        <f>J332*$F$334</f>
        <v>6748.7745253396497</v>
      </c>
      <c r="K333" s="442">
        <f t="shared" ref="K333:N333" si="155">K332*$F$334</f>
        <v>8214.2681802901388</v>
      </c>
      <c r="L333" s="442">
        <f t="shared" si="155"/>
        <v>9144.3499036789963</v>
      </c>
      <c r="M333" s="442">
        <f t="shared" si="155"/>
        <v>10393.989020543078</v>
      </c>
      <c r="N333" s="442">
        <f t="shared" si="155"/>
        <v>11897.334126774898</v>
      </c>
    </row>
    <row r="334" spans="2:14">
      <c r="C334" t="s">
        <v>119</v>
      </c>
      <c r="D334" s="1426">
        <v>1</v>
      </c>
      <c r="E334" s="1426">
        <v>12</v>
      </c>
      <c r="F334" s="895">
        <v>1</v>
      </c>
    </row>
    <row r="335" spans="2:14">
      <c r="D335" s="1426"/>
      <c r="E335" s="1426"/>
      <c r="F335" s="1298"/>
      <c r="I335" s="1510" t="s">
        <v>1464</v>
      </c>
    </row>
    <row r="336" spans="2:14">
      <c r="D336" s="1426"/>
      <c r="E336" s="1426"/>
      <c r="F336" s="1298"/>
      <c r="I336" s="1510" t="s">
        <v>1465</v>
      </c>
      <c r="J336" s="1536">
        <v>0.05</v>
      </c>
      <c r="K336" s="1536">
        <v>0.05</v>
      </c>
      <c r="L336" s="1536">
        <v>0.05</v>
      </c>
      <c r="M336" s="1536">
        <v>0.05</v>
      </c>
      <c r="N336" s="1536">
        <v>0.05</v>
      </c>
    </row>
    <row r="337" spans="2:15">
      <c r="D337" s="1426"/>
      <c r="E337" s="1426"/>
      <c r="F337" s="1426"/>
      <c r="I337" s="1510" t="s">
        <v>219</v>
      </c>
      <c r="J337" s="921">
        <f>J336*J330</f>
        <v>964.11064647709281</v>
      </c>
      <c r="K337" s="442">
        <f t="shared" ref="K337:N337" si="156">K336*K330</f>
        <v>1173.4668828985912</v>
      </c>
      <c r="L337" s="442">
        <f t="shared" si="156"/>
        <v>1306.3357005255712</v>
      </c>
      <c r="M337" s="442">
        <f t="shared" si="156"/>
        <v>1484.8555743632969</v>
      </c>
      <c r="N337" s="442">
        <f t="shared" si="156"/>
        <v>1699.6191609678426</v>
      </c>
    </row>
    <row r="338" spans="2:15">
      <c r="C338" s="140" t="s">
        <v>722</v>
      </c>
      <c r="I338" s="1510" t="s">
        <v>466</v>
      </c>
      <c r="J338" s="921">
        <f>J337*$F$342</f>
        <v>12533.438404202207</v>
      </c>
      <c r="K338" s="442">
        <f>K337*$F$342*1.1</f>
        <v>16780.576425449854</v>
      </c>
      <c r="L338" s="442">
        <f t="shared" ref="L338:N338" si="157">L337*$F$342*1.1</f>
        <v>18680.600517515668</v>
      </c>
      <c r="M338" s="442">
        <f t="shared" si="157"/>
        <v>21233.434713395149</v>
      </c>
      <c r="N338" s="442">
        <f t="shared" si="157"/>
        <v>24304.554001840152</v>
      </c>
      <c r="O338" s="470" t="s">
        <v>1466</v>
      </c>
    </row>
    <row r="340" spans="2:15">
      <c r="C340" s="1647" t="s">
        <v>357</v>
      </c>
      <c r="D340" s="1647"/>
      <c r="E340" s="1426" t="s">
        <v>720</v>
      </c>
      <c r="F340" t="s">
        <v>723</v>
      </c>
    </row>
    <row r="341" spans="2:15">
      <c r="C341" s="893" t="s">
        <v>207</v>
      </c>
      <c r="D341" s="893" t="s">
        <v>718</v>
      </c>
      <c r="E341" s="714"/>
      <c r="F341" s="714"/>
    </row>
    <row r="342" spans="2:15">
      <c r="C342" s="1426">
        <v>5</v>
      </c>
      <c r="D342" s="1426">
        <v>100</v>
      </c>
      <c r="E342" s="896" t="s">
        <v>427</v>
      </c>
      <c r="F342" s="897">
        <v>13</v>
      </c>
    </row>
    <row r="343" spans="2:15">
      <c r="C343" s="1296"/>
      <c r="D343" s="1296"/>
      <c r="E343" s="1296"/>
      <c r="F343" s="1297"/>
    </row>
    <row r="344" spans="2:15" s="45" customFormat="1" ht="12.75">
      <c r="B344" s="46" t="s">
        <v>764</v>
      </c>
      <c r="J344" s="1546"/>
    </row>
    <row r="346" spans="2:15">
      <c r="K346" s="544"/>
    </row>
    <row r="347" spans="2:15">
      <c r="B347" s="1301"/>
      <c r="C347" s="2"/>
      <c r="D347" s="2"/>
      <c r="E347" s="2"/>
      <c r="F347" s="2"/>
      <c r="G347" s="2"/>
      <c r="H347" s="2"/>
      <c r="I347" s="775" t="s">
        <v>1159</v>
      </c>
      <c r="J347" s="775">
        <v>2018</v>
      </c>
      <c r="K347" s="714">
        <v>2019</v>
      </c>
      <c r="L347" s="714">
        <v>2020</v>
      </c>
      <c r="M347" s="714">
        <v>2021</v>
      </c>
      <c r="N347" s="714">
        <v>2022</v>
      </c>
    </row>
    <row r="348" spans="2:15">
      <c r="B348" s="669">
        <v>1</v>
      </c>
      <c r="C348" t="s">
        <v>1233</v>
      </c>
      <c r="I348" s="490" t="s">
        <v>1461</v>
      </c>
      <c r="J348" s="1554">
        <f>J330</f>
        <v>19282.212929541856</v>
      </c>
      <c r="K348" s="581">
        <f t="shared" ref="K348:N348" si="158">K330</f>
        <v>23469.337657971824</v>
      </c>
      <c r="L348" s="581">
        <f t="shared" si="158"/>
        <v>26126.714010511419</v>
      </c>
      <c r="M348" s="581">
        <f t="shared" si="158"/>
        <v>29697.111487265938</v>
      </c>
      <c r="N348" s="581">
        <f t="shared" si="158"/>
        <v>33992.383219356852</v>
      </c>
    </row>
    <row r="349" spans="2:15">
      <c r="B349" s="669"/>
      <c r="C349" t="s">
        <v>1234</v>
      </c>
      <c r="F349" s="894">
        <v>1</v>
      </c>
      <c r="I349" s="490" t="s">
        <v>1462</v>
      </c>
      <c r="J349" s="1129">
        <f>J331</f>
        <v>0.35</v>
      </c>
      <c r="K349" s="732">
        <f t="shared" ref="K349:N349" si="159">K331</f>
        <v>0.35</v>
      </c>
      <c r="L349" s="732">
        <f t="shared" si="159"/>
        <v>0.35</v>
      </c>
      <c r="M349" s="732">
        <f t="shared" si="159"/>
        <v>0.35</v>
      </c>
      <c r="N349" s="732">
        <f t="shared" si="159"/>
        <v>0.35</v>
      </c>
    </row>
    <row r="350" spans="2:15">
      <c r="B350" s="669">
        <v>2</v>
      </c>
      <c r="C350" s="143" t="s">
        <v>724</v>
      </c>
      <c r="F350" s="788">
        <v>13</v>
      </c>
      <c r="I350" s="490" t="s">
        <v>466</v>
      </c>
      <c r="J350" s="921">
        <f>J333</f>
        <v>6748.7745253396497</v>
      </c>
      <c r="K350" s="442">
        <f t="shared" ref="K350:N350" si="160">K333</f>
        <v>8214.2681802901388</v>
      </c>
      <c r="L350" s="442">
        <f t="shared" si="160"/>
        <v>9144.3499036789963</v>
      </c>
      <c r="M350" s="442">
        <f t="shared" si="160"/>
        <v>10393.989020543078</v>
      </c>
      <c r="N350" s="442">
        <f t="shared" si="160"/>
        <v>11897.334126774898</v>
      </c>
    </row>
    <row r="351" spans="2:15">
      <c r="C351" t="s">
        <v>725</v>
      </c>
      <c r="I351" s="1510"/>
      <c r="J351" s="921"/>
      <c r="K351" s="442"/>
      <c r="L351" s="442"/>
      <c r="M351" s="442"/>
      <c r="N351" s="442"/>
    </row>
    <row r="352" spans="2:15">
      <c r="C352" s="898" t="s">
        <v>726</v>
      </c>
      <c r="I352" s="775" t="s">
        <v>1467</v>
      </c>
      <c r="J352" s="775">
        <v>2018</v>
      </c>
      <c r="K352" s="714">
        <v>2019</v>
      </c>
      <c r="L352" s="714">
        <v>2020</v>
      </c>
      <c r="M352" s="714">
        <v>2021</v>
      </c>
      <c r="N352" s="714">
        <v>2022</v>
      </c>
    </row>
    <row r="353" spans="9:14">
      <c r="I353" s="1510" t="s">
        <v>633</v>
      </c>
      <c r="J353" s="1554">
        <f>H7</f>
        <v>2610.0499949200407</v>
      </c>
      <c r="K353" s="581">
        <f>I7</f>
        <v>3205.6014055160836</v>
      </c>
      <c r="L353" s="581">
        <f>J7</f>
        <v>3644.0068615851724</v>
      </c>
      <c r="M353" s="581">
        <f>K7</f>
        <v>4127.3138784894873</v>
      </c>
      <c r="N353" s="581">
        <f>L7</f>
        <v>4723.025846135346</v>
      </c>
    </row>
    <row r="354" spans="9:14">
      <c r="I354" s="1510" t="s">
        <v>1468</v>
      </c>
      <c r="J354" s="1556">
        <v>0.02</v>
      </c>
      <c r="K354" s="704">
        <v>0.02</v>
      </c>
      <c r="L354" s="704">
        <v>2.1999999999999999E-2</v>
      </c>
      <c r="M354" s="704">
        <v>2.1999999999999999E-2</v>
      </c>
      <c r="N354" s="704">
        <v>2.4E-2</v>
      </c>
    </row>
    <row r="355" spans="9:14">
      <c r="I355" s="1510" t="s">
        <v>219</v>
      </c>
      <c r="J355" s="921">
        <f>J354*J353*4</f>
        <v>208.80399959360327</v>
      </c>
      <c r="K355" s="442">
        <f t="shared" ref="K355:N355" si="161">K354*K353*4</f>
        <v>256.4481124412867</v>
      </c>
      <c r="L355" s="442">
        <f t="shared" si="161"/>
        <v>320.67260381949512</v>
      </c>
      <c r="M355" s="442">
        <f t="shared" si="161"/>
        <v>363.20362130707485</v>
      </c>
      <c r="N355" s="442">
        <f t="shared" si="161"/>
        <v>453.41048122899321</v>
      </c>
    </row>
    <row r="356" spans="9:14">
      <c r="I356" s="1510" t="s">
        <v>466</v>
      </c>
      <c r="J356" s="921">
        <f>J355*$F$350</f>
        <v>2714.4519947168424</v>
      </c>
      <c r="K356" s="442">
        <f>K355*$F$350*1.1</f>
        <v>3667.2080079103998</v>
      </c>
      <c r="L356" s="442">
        <f t="shared" ref="L356:N356" si="162">L355*$F$350*1.1</f>
        <v>4585.6182346187807</v>
      </c>
      <c r="M356" s="442">
        <f t="shared" si="162"/>
        <v>5193.8117846911709</v>
      </c>
      <c r="N356" s="442">
        <f t="shared" si="162"/>
        <v>6483.7698815746035</v>
      </c>
    </row>
  </sheetData>
  <mergeCells count="12">
    <mergeCell ref="D46:E46"/>
    <mergeCell ref="F46:H46"/>
    <mergeCell ref="D48:E48"/>
    <mergeCell ref="D49:E49"/>
    <mergeCell ref="D50:E50"/>
    <mergeCell ref="E98:G98"/>
    <mergeCell ref="D332:E332"/>
    <mergeCell ref="C340:D340"/>
    <mergeCell ref="D47:E47"/>
    <mergeCell ref="D53:E53"/>
    <mergeCell ref="D51:E51"/>
    <mergeCell ref="D52:E52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499984740745262"/>
  </sheetPr>
  <dimension ref="A1:BD165"/>
  <sheetViews>
    <sheetView topLeftCell="D1" zoomScale="80" zoomScaleNormal="80" workbookViewId="0">
      <pane xSplit="2" ySplit="1" topLeftCell="AP135" activePane="bottomRight" state="frozen"/>
      <selection activeCell="D1" sqref="D1"/>
      <selection pane="topRight" activeCell="E1" sqref="E1"/>
      <selection pane="bottomLeft" activeCell="D2" sqref="D2"/>
      <selection pane="bottomRight" activeCell="BD1" sqref="BD1"/>
    </sheetView>
  </sheetViews>
  <sheetFormatPr defaultRowHeight="15"/>
  <cols>
    <col min="1" max="1" width="14.140625" hidden="1" customWidth="1"/>
    <col min="2" max="2" width="11.85546875" hidden="1" customWidth="1"/>
    <col min="3" max="3" width="15.28515625" hidden="1" customWidth="1"/>
    <col min="4" max="4" width="9.42578125" customWidth="1"/>
    <col min="5" max="5" width="9.5703125" bestFit="1" customWidth="1"/>
    <col min="6" max="6" width="24" bestFit="1" customWidth="1"/>
    <col min="7" max="7" width="9.42578125" bestFit="1" customWidth="1"/>
    <col min="9" max="9" width="12.140625" bestFit="1" customWidth="1"/>
    <col min="10" max="10" width="9.7109375" bestFit="1" customWidth="1"/>
    <col min="11" max="11" width="12.140625" bestFit="1" customWidth="1"/>
    <col min="12" max="12" width="18.5703125" style="442" bestFit="1" customWidth="1"/>
    <col min="13" max="13" width="12" bestFit="1" customWidth="1"/>
    <col min="14" max="14" width="12" style="442" customWidth="1"/>
    <col min="15" max="15" width="14.7109375" customWidth="1"/>
    <col min="16" max="16" width="12" bestFit="1" customWidth="1"/>
    <col min="17" max="17" width="11.85546875" bestFit="1" customWidth="1"/>
    <col min="18" max="34" width="12" bestFit="1" customWidth="1"/>
    <col min="35" max="35" width="11.85546875" bestFit="1" customWidth="1"/>
    <col min="36" max="36" width="11.7109375" bestFit="1" customWidth="1"/>
    <col min="37" max="37" width="12" bestFit="1" customWidth="1"/>
    <col min="38" max="38" width="11.7109375" bestFit="1" customWidth="1"/>
    <col min="39" max="39" width="11.140625" bestFit="1" customWidth="1"/>
    <col min="40" max="40" width="12" bestFit="1" customWidth="1"/>
    <col min="41" max="41" width="11.85546875" bestFit="1" customWidth="1"/>
    <col min="42" max="42" width="11.42578125" bestFit="1" customWidth="1"/>
    <col min="43" max="44" width="11.7109375" bestFit="1" customWidth="1"/>
    <col min="45" max="45" width="11.42578125" bestFit="1" customWidth="1"/>
    <col min="46" max="46" width="11.7109375" bestFit="1" customWidth="1"/>
    <col min="47" max="47" width="11.85546875" bestFit="1" customWidth="1"/>
    <col min="48" max="48" width="11.7109375" bestFit="1" customWidth="1"/>
    <col min="49" max="49" width="12" bestFit="1" customWidth="1"/>
  </cols>
  <sheetData>
    <row r="1" spans="1:56" s="901" customFormat="1" ht="30">
      <c r="A1" s="907" t="s">
        <v>766</v>
      </c>
      <c r="B1" s="907" t="s">
        <v>767</v>
      </c>
      <c r="C1" s="907" t="s">
        <v>768</v>
      </c>
      <c r="D1" s="922" t="s">
        <v>1027</v>
      </c>
      <c r="E1" s="907" t="s">
        <v>769</v>
      </c>
      <c r="F1" s="907" t="s">
        <v>770</v>
      </c>
      <c r="G1" s="907" t="s">
        <v>771</v>
      </c>
      <c r="H1" s="908" t="s">
        <v>772</v>
      </c>
      <c r="I1" s="907" t="s">
        <v>773</v>
      </c>
      <c r="J1" s="907" t="s">
        <v>774</v>
      </c>
      <c r="K1" s="915" t="s">
        <v>775</v>
      </c>
      <c r="L1" s="926" t="s">
        <v>289</v>
      </c>
      <c r="M1" s="927">
        <v>42643</v>
      </c>
      <c r="N1" s="926" t="s">
        <v>1026</v>
      </c>
      <c r="O1" s="927" t="s">
        <v>776</v>
      </c>
      <c r="P1" s="928">
        <v>42583</v>
      </c>
      <c r="Q1" s="928">
        <v>42614</v>
      </c>
      <c r="R1" s="928">
        <v>42644</v>
      </c>
      <c r="S1" s="928">
        <v>42675</v>
      </c>
      <c r="T1" s="928">
        <v>42705</v>
      </c>
      <c r="U1" s="928">
        <v>42736</v>
      </c>
      <c r="V1" s="928">
        <v>42767</v>
      </c>
      <c r="W1" s="928">
        <v>42795</v>
      </c>
      <c r="X1" s="928">
        <v>42826</v>
      </c>
      <c r="Y1" s="928">
        <v>42856</v>
      </c>
      <c r="Z1" s="928">
        <v>42887</v>
      </c>
      <c r="AA1" s="928">
        <v>42917</v>
      </c>
      <c r="AB1" s="928">
        <v>42948</v>
      </c>
      <c r="AC1" s="928">
        <v>42979</v>
      </c>
      <c r="AD1" s="928">
        <v>43009</v>
      </c>
      <c r="AE1" s="928">
        <v>43040</v>
      </c>
      <c r="AF1" s="928">
        <v>43070</v>
      </c>
      <c r="AG1" s="928">
        <v>43101</v>
      </c>
      <c r="AH1" s="928">
        <v>43132</v>
      </c>
      <c r="AI1" s="928">
        <v>43160</v>
      </c>
      <c r="AJ1" s="928">
        <v>43191</v>
      </c>
      <c r="AK1" s="928">
        <v>43221</v>
      </c>
      <c r="AL1" s="928">
        <v>43252</v>
      </c>
      <c r="AM1" s="928">
        <v>43282</v>
      </c>
      <c r="AN1" s="928">
        <v>43313</v>
      </c>
      <c r="AO1" s="928">
        <v>43344</v>
      </c>
      <c r="AP1" s="928">
        <v>43374</v>
      </c>
      <c r="AQ1" s="928">
        <v>43405</v>
      </c>
      <c r="AR1" s="928">
        <v>43435</v>
      </c>
      <c r="AS1" s="928">
        <v>43466</v>
      </c>
      <c r="AT1" s="928">
        <v>43497</v>
      </c>
      <c r="AU1" s="928">
        <v>43525</v>
      </c>
      <c r="AV1" s="928">
        <v>43556</v>
      </c>
      <c r="AW1" s="928">
        <v>43586</v>
      </c>
      <c r="AX1" s="928">
        <v>43617</v>
      </c>
      <c r="AY1" s="928">
        <v>43647</v>
      </c>
      <c r="AZ1" s="928">
        <v>43678</v>
      </c>
      <c r="BA1" s="928">
        <v>43709</v>
      </c>
      <c r="BB1" s="928">
        <v>43739</v>
      </c>
      <c r="BC1" s="928">
        <v>43770</v>
      </c>
      <c r="BD1" s="928">
        <v>43800</v>
      </c>
    </row>
    <row r="2" spans="1:56">
      <c r="A2" s="909" t="s">
        <v>777</v>
      </c>
      <c r="B2" s="909" t="s">
        <v>778</v>
      </c>
      <c r="C2" s="909" t="s">
        <v>779</v>
      </c>
      <c r="D2" s="909"/>
      <c r="E2" s="909" t="s">
        <v>780</v>
      </c>
      <c r="F2" s="909" t="s">
        <v>781</v>
      </c>
      <c r="G2" s="909" t="s">
        <v>630</v>
      </c>
      <c r="H2" s="909" t="s">
        <v>782</v>
      </c>
      <c r="I2" s="910">
        <v>41890</v>
      </c>
      <c r="J2" s="911"/>
      <c r="K2" s="910">
        <v>42613</v>
      </c>
      <c r="L2" s="442">
        <v>45000000</v>
      </c>
      <c r="M2">
        <v>24.1</v>
      </c>
      <c r="O2" t="s">
        <v>783</v>
      </c>
      <c r="P2">
        <f t="shared" ref="P2:P65" si="0">L2</f>
        <v>45000000</v>
      </c>
    </row>
    <row r="3" spans="1:56">
      <c r="A3" s="909" t="s">
        <v>784</v>
      </c>
      <c r="B3" s="909" t="s">
        <v>785</v>
      </c>
      <c r="C3" s="909" t="s">
        <v>786</v>
      </c>
      <c r="D3" s="909"/>
      <c r="E3" s="909" t="s">
        <v>787</v>
      </c>
      <c r="F3" s="909" t="s">
        <v>788</v>
      </c>
      <c r="G3" s="909" t="s">
        <v>506</v>
      </c>
      <c r="H3" s="909" t="s">
        <v>782</v>
      </c>
      <c r="I3" s="910">
        <v>42116</v>
      </c>
      <c r="J3" s="912"/>
      <c r="K3" s="910">
        <v>42613</v>
      </c>
      <c r="L3" s="442">
        <v>30000000</v>
      </c>
      <c r="M3">
        <v>16.566666666666666</v>
      </c>
      <c r="O3" t="s">
        <v>783</v>
      </c>
      <c r="P3">
        <f t="shared" si="0"/>
        <v>30000000</v>
      </c>
    </row>
    <row r="4" spans="1:56">
      <c r="A4" s="909" t="s">
        <v>784</v>
      </c>
      <c r="B4" s="909" t="s">
        <v>785</v>
      </c>
      <c r="C4" s="909" t="s">
        <v>786</v>
      </c>
      <c r="D4" s="909"/>
      <c r="E4" s="909" t="s">
        <v>789</v>
      </c>
      <c r="F4" s="909" t="s">
        <v>790</v>
      </c>
      <c r="G4" s="909" t="s">
        <v>506</v>
      </c>
      <c r="H4" s="909" t="s">
        <v>782</v>
      </c>
      <c r="I4" s="910">
        <v>42082</v>
      </c>
      <c r="J4" s="913"/>
      <c r="K4" s="910">
        <v>42643</v>
      </c>
      <c r="L4" s="442">
        <v>35000000</v>
      </c>
      <c r="M4">
        <v>18.7</v>
      </c>
      <c r="O4" t="s">
        <v>783</v>
      </c>
      <c r="P4">
        <f t="shared" si="0"/>
        <v>35000000</v>
      </c>
      <c r="Q4">
        <f>L4</f>
        <v>35000000</v>
      </c>
    </row>
    <row r="5" spans="1:56">
      <c r="A5" s="909" t="s">
        <v>777</v>
      </c>
      <c r="B5" s="909" t="s">
        <v>791</v>
      </c>
      <c r="C5" s="909" t="s">
        <v>792</v>
      </c>
      <c r="D5" s="909"/>
      <c r="E5" s="909" t="s">
        <v>793</v>
      </c>
      <c r="F5" s="909" t="s">
        <v>794</v>
      </c>
      <c r="G5" s="909" t="s">
        <v>630</v>
      </c>
      <c r="H5" s="909" t="s">
        <v>782</v>
      </c>
      <c r="I5" s="910">
        <v>42271</v>
      </c>
      <c r="J5" s="912"/>
      <c r="K5" s="910">
        <v>42643</v>
      </c>
      <c r="L5" s="442">
        <v>15000000</v>
      </c>
      <c r="M5">
        <v>12.4</v>
      </c>
      <c r="O5" t="s">
        <v>783</v>
      </c>
      <c r="P5">
        <f t="shared" si="0"/>
        <v>15000000</v>
      </c>
      <c r="Q5">
        <f t="shared" ref="Q5:Q68" si="1">L5</f>
        <v>15000000</v>
      </c>
    </row>
    <row r="6" spans="1:56">
      <c r="A6" s="909" t="s">
        <v>777</v>
      </c>
      <c r="B6" s="909" t="s">
        <v>795</v>
      </c>
      <c r="C6" s="909" t="s">
        <v>796</v>
      </c>
      <c r="D6" s="909"/>
      <c r="E6" s="909" t="s">
        <v>797</v>
      </c>
      <c r="F6" s="909" t="s">
        <v>798</v>
      </c>
      <c r="G6" s="909" t="s">
        <v>629</v>
      </c>
      <c r="H6" s="909" t="s">
        <v>782</v>
      </c>
      <c r="I6" s="910">
        <v>42474</v>
      </c>
      <c r="J6" s="912"/>
      <c r="K6" s="910">
        <v>42643</v>
      </c>
      <c r="L6" s="442">
        <v>30000000</v>
      </c>
      <c r="M6">
        <v>5.6333333333333337</v>
      </c>
      <c r="O6" t="s">
        <v>799</v>
      </c>
      <c r="P6">
        <f t="shared" si="0"/>
        <v>30000000</v>
      </c>
      <c r="Q6">
        <f t="shared" si="1"/>
        <v>30000000</v>
      </c>
    </row>
    <row r="7" spans="1:56">
      <c r="A7" s="909" t="s">
        <v>777</v>
      </c>
      <c r="B7" s="909" t="s">
        <v>800</v>
      </c>
      <c r="C7" s="909" t="s">
        <v>801</v>
      </c>
      <c r="D7" s="909"/>
      <c r="E7" s="909" t="s">
        <v>802</v>
      </c>
      <c r="F7" s="909" t="s">
        <v>803</v>
      </c>
      <c r="G7" s="909" t="s">
        <v>628</v>
      </c>
      <c r="H7" s="909" t="s">
        <v>782</v>
      </c>
      <c r="I7" s="910">
        <v>41936</v>
      </c>
      <c r="J7" s="912"/>
      <c r="K7" s="910">
        <v>42674</v>
      </c>
      <c r="L7" s="442">
        <v>35000000</v>
      </c>
      <c r="M7">
        <v>24.6</v>
      </c>
      <c r="O7" t="s">
        <v>783</v>
      </c>
      <c r="P7">
        <f t="shared" si="0"/>
        <v>35000000</v>
      </c>
      <c r="Q7">
        <f t="shared" si="1"/>
        <v>35000000</v>
      </c>
      <c r="R7">
        <f>L7</f>
        <v>35000000</v>
      </c>
    </row>
    <row r="8" spans="1:56">
      <c r="A8" s="909" t="s">
        <v>804</v>
      </c>
      <c r="B8" s="909" t="s">
        <v>805</v>
      </c>
      <c r="C8" s="909" t="s">
        <v>806</v>
      </c>
      <c r="D8" s="909"/>
      <c r="E8" s="909" t="s">
        <v>807</v>
      </c>
      <c r="F8" s="909" t="s">
        <v>808</v>
      </c>
      <c r="G8" s="909" t="s">
        <v>628</v>
      </c>
      <c r="H8" s="909" t="s">
        <v>782</v>
      </c>
      <c r="I8" s="910">
        <v>41961</v>
      </c>
      <c r="J8" s="911"/>
      <c r="K8" s="910">
        <v>42704</v>
      </c>
      <c r="L8" s="442">
        <v>25000000</v>
      </c>
      <c r="M8">
        <v>24.766666666666666</v>
      </c>
      <c r="O8" t="s">
        <v>783</v>
      </c>
      <c r="P8">
        <f t="shared" si="0"/>
        <v>25000000</v>
      </c>
      <c r="Q8">
        <f t="shared" si="1"/>
        <v>25000000</v>
      </c>
      <c r="R8">
        <f t="shared" ref="R8:R71" si="2">L8</f>
        <v>25000000</v>
      </c>
      <c r="S8">
        <f>L8</f>
        <v>25000000</v>
      </c>
    </row>
    <row r="9" spans="1:56">
      <c r="A9" s="909" t="s">
        <v>784</v>
      </c>
      <c r="B9" s="909" t="s">
        <v>809</v>
      </c>
      <c r="C9" s="909" t="s">
        <v>810</v>
      </c>
      <c r="D9" s="909"/>
      <c r="E9" s="909" t="s">
        <v>811</v>
      </c>
      <c r="F9" s="909" t="s">
        <v>812</v>
      </c>
      <c r="G9" s="909" t="s">
        <v>630</v>
      </c>
      <c r="H9" s="909" t="s">
        <v>782</v>
      </c>
      <c r="I9" s="910">
        <v>41982</v>
      </c>
      <c r="J9" s="913"/>
      <c r="K9" s="910">
        <v>42704</v>
      </c>
      <c r="L9" s="442">
        <v>20000000</v>
      </c>
      <c r="M9">
        <v>24.066666666666666</v>
      </c>
      <c r="O9" t="s">
        <v>783</v>
      </c>
      <c r="P9">
        <f t="shared" si="0"/>
        <v>20000000</v>
      </c>
      <c r="Q9">
        <f t="shared" si="1"/>
        <v>20000000</v>
      </c>
      <c r="R9">
        <f t="shared" si="2"/>
        <v>20000000</v>
      </c>
      <c r="S9">
        <f t="shared" ref="S9:S72" si="3">L9</f>
        <v>20000000</v>
      </c>
    </row>
    <row r="10" spans="1:56">
      <c r="A10" s="909" t="s">
        <v>784</v>
      </c>
      <c r="B10" s="909" t="s">
        <v>809</v>
      </c>
      <c r="C10" s="909" t="s">
        <v>810</v>
      </c>
      <c r="D10" s="909"/>
      <c r="E10" s="909" t="s">
        <v>813</v>
      </c>
      <c r="F10" s="909" t="s">
        <v>814</v>
      </c>
      <c r="G10" s="909" t="s">
        <v>629</v>
      </c>
      <c r="H10" s="909" t="s">
        <v>782</v>
      </c>
      <c r="I10" s="910">
        <v>41982</v>
      </c>
      <c r="J10" s="913"/>
      <c r="K10" s="910">
        <v>42704</v>
      </c>
      <c r="L10" s="442">
        <v>18000000</v>
      </c>
      <c r="M10">
        <v>24.066666666666666</v>
      </c>
      <c r="O10" t="s">
        <v>783</v>
      </c>
      <c r="P10">
        <f t="shared" si="0"/>
        <v>18000000</v>
      </c>
      <c r="Q10">
        <f t="shared" si="1"/>
        <v>18000000</v>
      </c>
      <c r="R10">
        <f t="shared" si="2"/>
        <v>18000000</v>
      </c>
      <c r="S10">
        <f t="shared" si="3"/>
        <v>18000000</v>
      </c>
    </row>
    <row r="11" spans="1:56">
      <c r="A11" s="909" t="s">
        <v>784</v>
      </c>
      <c r="B11" s="909" t="s">
        <v>809</v>
      </c>
      <c r="C11" s="909" t="s">
        <v>810</v>
      </c>
      <c r="D11" s="909"/>
      <c r="E11" s="909" t="s">
        <v>815</v>
      </c>
      <c r="F11" s="909" t="s">
        <v>816</v>
      </c>
      <c r="G11" s="909" t="s">
        <v>506</v>
      </c>
      <c r="H11" s="909" t="s">
        <v>782</v>
      </c>
      <c r="I11" s="910">
        <v>41982</v>
      </c>
      <c r="J11" s="911"/>
      <c r="K11" s="910">
        <v>42704</v>
      </c>
      <c r="L11" s="442">
        <v>15000000</v>
      </c>
      <c r="M11">
        <v>24.066666666666666</v>
      </c>
      <c r="O11" t="s">
        <v>783</v>
      </c>
      <c r="P11">
        <f t="shared" si="0"/>
        <v>15000000</v>
      </c>
      <c r="Q11">
        <f t="shared" si="1"/>
        <v>15000000</v>
      </c>
      <c r="R11">
        <f t="shared" si="2"/>
        <v>15000000</v>
      </c>
      <c r="S11">
        <f t="shared" si="3"/>
        <v>15000000</v>
      </c>
    </row>
    <row r="12" spans="1:56">
      <c r="A12" s="909" t="s">
        <v>817</v>
      </c>
      <c r="B12" s="909" t="s">
        <v>818</v>
      </c>
      <c r="C12" s="909" t="s">
        <v>819</v>
      </c>
      <c r="D12" s="909"/>
      <c r="E12" s="909" t="s">
        <v>820</v>
      </c>
      <c r="F12" s="909" t="s">
        <v>821</v>
      </c>
      <c r="G12" s="909" t="s">
        <v>628</v>
      </c>
      <c r="H12" s="909" t="s">
        <v>782</v>
      </c>
      <c r="I12" s="910">
        <v>42110</v>
      </c>
      <c r="J12" s="913"/>
      <c r="K12" s="910">
        <v>42704</v>
      </c>
      <c r="L12" s="442">
        <v>35000000</v>
      </c>
      <c r="M12">
        <v>19.8</v>
      </c>
      <c r="O12" t="s">
        <v>783</v>
      </c>
      <c r="P12">
        <f t="shared" si="0"/>
        <v>35000000</v>
      </c>
      <c r="Q12">
        <f t="shared" si="1"/>
        <v>35000000</v>
      </c>
      <c r="R12">
        <f t="shared" si="2"/>
        <v>35000000</v>
      </c>
      <c r="S12">
        <f t="shared" si="3"/>
        <v>35000000</v>
      </c>
    </row>
    <row r="13" spans="1:56">
      <c r="A13" s="909" t="s">
        <v>784</v>
      </c>
      <c r="B13" s="909" t="s">
        <v>785</v>
      </c>
      <c r="C13" s="909" t="s">
        <v>822</v>
      </c>
      <c r="D13" s="909"/>
      <c r="E13" s="909" t="s">
        <v>823</v>
      </c>
      <c r="F13" s="909" t="s">
        <v>824</v>
      </c>
      <c r="G13" s="909" t="s">
        <v>628</v>
      </c>
      <c r="H13" s="909" t="s">
        <v>782</v>
      </c>
      <c r="I13" s="910">
        <v>41990</v>
      </c>
      <c r="J13" s="912"/>
      <c r="K13" s="910">
        <v>42735</v>
      </c>
      <c r="L13" s="442">
        <v>20000000</v>
      </c>
      <c r="M13">
        <v>24.833333333333332</v>
      </c>
      <c r="O13" t="s">
        <v>783</v>
      </c>
      <c r="P13">
        <f t="shared" si="0"/>
        <v>20000000</v>
      </c>
      <c r="Q13">
        <f t="shared" si="1"/>
        <v>20000000</v>
      </c>
      <c r="R13">
        <f t="shared" si="2"/>
        <v>20000000</v>
      </c>
      <c r="S13">
        <f t="shared" si="3"/>
        <v>20000000</v>
      </c>
      <c r="T13">
        <f>L13</f>
        <v>20000000</v>
      </c>
    </row>
    <row r="14" spans="1:56">
      <c r="A14" s="909" t="s">
        <v>777</v>
      </c>
      <c r="B14" s="909" t="s">
        <v>800</v>
      </c>
      <c r="C14" s="909" t="s">
        <v>825</v>
      </c>
      <c r="D14" s="909"/>
      <c r="E14" s="909" t="s">
        <v>826</v>
      </c>
      <c r="F14" s="909" t="s">
        <v>827</v>
      </c>
      <c r="G14" s="909" t="s">
        <v>630</v>
      </c>
      <c r="H14" s="909" t="s">
        <v>782</v>
      </c>
      <c r="I14" s="910">
        <v>41992</v>
      </c>
      <c r="J14" s="911"/>
      <c r="K14" s="910">
        <v>42735</v>
      </c>
      <c r="L14" s="442">
        <v>50000000</v>
      </c>
      <c r="M14">
        <v>24.766666666666666</v>
      </c>
      <c r="O14" t="s">
        <v>783</v>
      </c>
      <c r="P14">
        <f t="shared" si="0"/>
        <v>50000000</v>
      </c>
      <c r="Q14">
        <f t="shared" si="1"/>
        <v>50000000</v>
      </c>
      <c r="R14">
        <f t="shared" si="2"/>
        <v>50000000</v>
      </c>
      <c r="S14">
        <f t="shared" si="3"/>
        <v>50000000</v>
      </c>
      <c r="T14">
        <f t="shared" ref="T14:T77" si="4">L14</f>
        <v>50000000</v>
      </c>
    </row>
    <row r="15" spans="1:56">
      <c r="A15" s="909" t="s">
        <v>828</v>
      </c>
      <c r="B15" s="909" t="s">
        <v>829</v>
      </c>
      <c r="C15" s="909" t="s">
        <v>830</v>
      </c>
      <c r="D15" s="909"/>
      <c r="E15" s="909" t="s">
        <v>831</v>
      </c>
      <c r="F15" s="909" t="s">
        <v>832</v>
      </c>
      <c r="G15" s="909" t="s">
        <v>506</v>
      </c>
      <c r="H15" s="909" t="s">
        <v>782</v>
      </c>
      <c r="I15" s="910">
        <v>42018</v>
      </c>
      <c r="J15" s="911"/>
      <c r="K15" s="910">
        <v>42735</v>
      </c>
      <c r="L15" s="442">
        <v>40000000</v>
      </c>
      <c r="M15">
        <v>23.9</v>
      </c>
      <c r="O15" t="s">
        <v>783</v>
      </c>
      <c r="P15">
        <f t="shared" si="0"/>
        <v>40000000</v>
      </c>
      <c r="Q15">
        <f t="shared" si="1"/>
        <v>40000000</v>
      </c>
      <c r="R15">
        <f t="shared" si="2"/>
        <v>40000000</v>
      </c>
      <c r="S15">
        <f t="shared" si="3"/>
        <v>40000000</v>
      </c>
      <c r="T15">
        <f t="shared" si="4"/>
        <v>40000000</v>
      </c>
    </row>
    <row r="16" spans="1:56">
      <c r="A16" s="909" t="s">
        <v>817</v>
      </c>
      <c r="B16" s="909" t="s">
        <v>818</v>
      </c>
      <c r="C16" s="909" t="s">
        <v>819</v>
      </c>
      <c r="D16" s="909"/>
      <c r="E16" s="909" t="s">
        <v>833</v>
      </c>
      <c r="F16" s="909" t="s">
        <v>834</v>
      </c>
      <c r="G16" s="909" t="s">
        <v>506</v>
      </c>
      <c r="H16" s="909" t="s">
        <v>782</v>
      </c>
      <c r="I16" s="910">
        <v>42027</v>
      </c>
      <c r="J16" s="911"/>
      <c r="K16" s="910">
        <v>42766</v>
      </c>
      <c r="L16" s="442">
        <v>15000000</v>
      </c>
      <c r="M16">
        <v>24.633333333333333</v>
      </c>
      <c r="O16" t="s">
        <v>783</v>
      </c>
      <c r="P16">
        <f t="shared" si="0"/>
        <v>15000000</v>
      </c>
      <c r="Q16">
        <f t="shared" si="1"/>
        <v>15000000</v>
      </c>
      <c r="R16">
        <f t="shared" si="2"/>
        <v>15000000</v>
      </c>
      <c r="S16">
        <f t="shared" si="3"/>
        <v>15000000</v>
      </c>
      <c r="T16">
        <f t="shared" si="4"/>
        <v>15000000</v>
      </c>
      <c r="U16">
        <f>L16</f>
        <v>15000000</v>
      </c>
    </row>
    <row r="17" spans="1:23">
      <c r="A17" s="909" t="s">
        <v>817</v>
      </c>
      <c r="B17" s="909" t="s">
        <v>818</v>
      </c>
      <c r="C17" s="909" t="s">
        <v>819</v>
      </c>
      <c r="D17" s="909"/>
      <c r="E17" s="909" t="s">
        <v>835</v>
      </c>
      <c r="F17" s="909" t="s">
        <v>836</v>
      </c>
      <c r="G17" s="909" t="s">
        <v>628</v>
      </c>
      <c r="H17" s="909" t="s">
        <v>782</v>
      </c>
      <c r="I17" s="910">
        <v>42027</v>
      </c>
      <c r="J17" s="911"/>
      <c r="K17" s="910">
        <v>42766</v>
      </c>
      <c r="L17" s="442">
        <v>20000000</v>
      </c>
      <c r="M17">
        <v>24.633333333333333</v>
      </c>
      <c r="O17" t="s">
        <v>783</v>
      </c>
      <c r="P17">
        <f t="shared" si="0"/>
        <v>20000000</v>
      </c>
      <c r="Q17">
        <f t="shared" si="1"/>
        <v>20000000</v>
      </c>
      <c r="R17">
        <f t="shared" si="2"/>
        <v>20000000</v>
      </c>
      <c r="S17">
        <f t="shared" si="3"/>
        <v>20000000</v>
      </c>
      <c r="T17">
        <f t="shared" si="4"/>
        <v>20000000</v>
      </c>
      <c r="U17">
        <f t="shared" ref="U17:U80" si="5">L17</f>
        <v>20000000</v>
      </c>
    </row>
    <row r="18" spans="1:23">
      <c r="A18" s="909" t="s">
        <v>777</v>
      </c>
      <c r="B18" s="909" t="s">
        <v>800</v>
      </c>
      <c r="C18" s="909" t="s">
        <v>801</v>
      </c>
      <c r="D18" s="909"/>
      <c r="E18" s="909" t="s">
        <v>837</v>
      </c>
      <c r="F18" s="909" t="s">
        <v>838</v>
      </c>
      <c r="G18" s="909" t="s">
        <v>628</v>
      </c>
      <c r="H18" s="909" t="s">
        <v>782</v>
      </c>
      <c r="I18" s="910">
        <v>42033</v>
      </c>
      <c r="J18" s="912"/>
      <c r="K18" s="910">
        <v>42766</v>
      </c>
      <c r="L18" s="442">
        <v>40000000</v>
      </c>
      <c r="M18">
        <v>24.433333333333334</v>
      </c>
      <c r="O18" t="s">
        <v>783</v>
      </c>
      <c r="P18">
        <f t="shared" si="0"/>
        <v>40000000</v>
      </c>
      <c r="Q18">
        <f t="shared" si="1"/>
        <v>40000000</v>
      </c>
      <c r="R18">
        <f t="shared" si="2"/>
        <v>40000000</v>
      </c>
      <c r="S18">
        <f t="shared" si="3"/>
        <v>40000000</v>
      </c>
      <c r="T18">
        <f t="shared" si="4"/>
        <v>40000000</v>
      </c>
      <c r="U18">
        <f t="shared" si="5"/>
        <v>40000000</v>
      </c>
    </row>
    <row r="19" spans="1:23">
      <c r="A19" s="909" t="s">
        <v>777</v>
      </c>
      <c r="B19" s="909" t="s">
        <v>800</v>
      </c>
      <c r="C19" s="909" t="s">
        <v>801</v>
      </c>
      <c r="D19" s="909"/>
      <c r="E19" s="909" t="s">
        <v>839</v>
      </c>
      <c r="F19" s="909" t="s">
        <v>840</v>
      </c>
      <c r="G19" s="909" t="s">
        <v>841</v>
      </c>
      <c r="H19" s="909" t="s">
        <v>782</v>
      </c>
      <c r="I19" s="910">
        <v>42033</v>
      </c>
      <c r="J19" s="912"/>
      <c r="K19" s="910">
        <v>42766</v>
      </c>
      <c r="L19" s="442">
        <v>40000000</v>
      </c>
      <c r="M19">
        <v>24.433333333333334</v>
      </c>
      <c r="O19" t="s">
        <v>783</v>
      </c>
      <c r="P19">
        <f t="shared" si="0"/>
        <v>40000000</v>
      </c>
      <c r="Q19">
        <f t="shared" si="1"/>
        <v>40000000</v>
      </c>
      <c r="R19">
        <f t="shared" si="2"/>
        <v>40000000</v>
      </c>
      <c r="S19">
        <f t="shared" si="3"/>
        <v>40000000</v>
      </c>
      <c r="T19">
        <f t="shared" si="4"/>
        <v>40000000</v>
      </c>
      <c r="U19">
        <f t="shared" si="5"/>
        <v>40000000</v>
      </c>
    </row>
    <row r="20" spans="1:23">
      <c r="A20" s="909" t="s">
        <v>784</v>
      </c>
      <c r="B20" s="909" t="s">
        <v>809</v>
      </c>
      <c r="C20" s="909" t="s">
        <v>842</v>
      </c>
      <c r="D20" s="909"/>
      <c r="E20" s="909" t="s">
        <v>843</v>
      </c>
      <c r="F20" s="909" t="s">
        <v>844</v>
      </c>
      <c r="G20" s="909" t="s">
        <v>629</v>
      </c>
      <c r="H20" s="909" t="s">
        <v>782</v>
      </c>
      <c r="I20" s="910">
        <v>42059</v>
      </c>
      <c r="J20" s="913"/>
      <c r="K20" s="910">
        <v>42794</v>
      </c>
      <c r="L20" s="442">
        <v>40000000</v>
      </c>
      <c r="M20">
        <v>24.5</v>
      </c>
      <c r="O20" t="s">
        <v>783</v>
      </c>
      <c r="P20">
        <f t="shared" si="0"/>
        <v>40000000</v>
      </c>
      <c r="Q20">
        <f t="shared" si="1"/>
        <v>40000000</v>
      </c>
      <c r="R20">
        <f t="shared" si="2"/>
        <v>40000000</v>
      </c>
      <c r="S20">
        <f t="shared" si="3"/>
        <v>40000000</v>
      </c>
      <c r="T20">
        <f t="shared" si="4"/>
        <v>40000000</v>
      </c>
      <c r="U20">
        <f t="shared" si="5"/>
        <v>40000000</v>
      </c>
      <c r="V20">
        <f>L20</f>
        <v>40000000</v>
      </c>
    </row>
    <row r="21" spans="1:23">
      <c r="A21" s="909" t="s">
        <v>784</v>
      </c>
      <c r="B21" s="909" t="s">
        <v>809</v>
      </c>
      <c r="C21" s="909" t="s">
        <v>842</v>
      </c>
      <c r="D21" s="909"/>
      <c r="E21" s="909" t="s">
        <v>845</v>
      </c>
      <c r="F21" s="909" t="s">
        <v>846</v>
      </c>
      <c r="G21" s="909" t="s">
        <v>628</v>
      </c>
      <c r="H21" s="909" t="s">
        <v>782</v>
      </c>
      <c r="I21" s="910">
        <v>42059</v>
      </c>
      <c r="J21" s="912"/>
      <c r="K21" s="910">
        <v>42794</v>
      </c>
      <c r="L21" s="442">
        <v>20000000</v>
      </c>
      <c r="M21">
        <v>24.5</v>
      </c>
      <c r="O21" t="s">
        <v>783</v>
      </c>
      <c r="P21">
        <f t="shared" si="0"/>
        <v>20000000</v>
      </c>
      <c r="Q21">
        <f t="shared" si="1"/>
        <v>20000000</v>
      </c>
      <c r="R21">
        <f t="shared" si="2"/>
        <v>20000000</v>
      </c>
      <c r="S21">
        <f t="shared" si="3"/>
        <v>20000000</v>
      </c>
      <c r="T21">
        <f t="shared" si="4"/>
        <v>20000000</v>
      </c>
      <c r="U21">
        <f t="shared" si="5"/>
        <v>20000000</v>
      </c>
      <c r="V21">
        <f t="shared" ref="V21:V84" si="6">L21</f>
        <v>20000000</v>
      </c>
    </row>
    <row r="22" spans="1:23">
      <c r="A22" s="909" t="s">
        <v>784</v>
      </c>
      <c r="B22" s="909" t="s">
        <v>809</v>
      </c>
      <c r="C22" s="909" t="s">
        <v>842</v>
      </c>
      <c r="D22" s="909"/>
      <c r="E22" s="909" t="s">
        <v>847</v>
      </c>
      <c r="F22" s="909" t="s">
        <v>848</v>
      </c>
      <c r="G22" s="909" t="s">
        <v>841</v>
      </c>
      <c r="H22" s="909" t="s">
        <v>782</v>
      </c>
      <c r="I22" s="910">
        <v>42059</v>
      </c>
      <c r="J22" s="912"/>
      <c r="K22" s="910">
        <v>42794</v>
      </c>
      <c r="L22" s="442">
        <v>12000000</v>
      </c>
      <c r="M22">
        <v>24.5</v>
      </c>
      <c r="O22" t="s">
        <v>783</v>
      </c>
      <c r="P22">
        <f t="shared" si="0"/>
        <v>12000000</v>
      </c>
      <c r="Q22">
        <f t="shared" si="1"/>
        <v>12000000</v>
      </c>
      <c r="R22">
        <f t="shared" si="2"/>
        <v>12000000</v>
      </c>
      <c r="S22">
        <f t="shared" si="3"/>
        <v>12000000</v>
      </c>
      <c r="T22">
        <f t="shared" si="4"/>
        <v>12000000</v>
      </c>
      <c r="U22">
        <f t="shared" si="5"/>
        <v>12000000</v>
      </c>
      <c r="V22">
        <f t="shared" si="6"/>
        <v>12000000</v>
      </c>
    </row>
    <row r="23" spans="1:23">
      <c r="A23" s="909" t="s">
        <v>784</v>
      </c>
      <c r="B23" s="909" t="s">
        <v>809</v>
      </c>
      <c r="C23" s="909" t="s">
        <v>842</v>
      </c>
      <c r="D23" s="909"/>
      <c r="E23" s="909" t="s">
        <v>849</v>
      </c>
      <c r="F23" s="909" t="s">
        <v>850</v>
      </c>
      <c r="G23" s="909" t="s">
        <v>841</v>
      </c>
      <c r="H23" s="909" t="s">
        <v>782</v>
      </c>
      <c r="I23" s="910">
        <v>42059</v>
      </c>
      <c r="J23" s="912"/>
      <c r="K23" s="910">
        <v>42794</v>
      </c>
      <c r="L23" s="442">
        <v>25000000</v>
      </c>
      <c r="M23">
        <v>24.5</v>
      </c>
      <c r="O23" t="s">
        <v>783</v>
      </c>
      <c r="P23">
        <f t="shared" si="0"/>
        <v>25000000</v>
      </c>
      <c r="Q23">
        <f t="shared" si="1"/>
        <v>25000000</v>
      </c>
      <c r="R23">
        <f t="shared" si="2"/>
        <v>25000000</v>
      </c>
      <c r="S23">
        <f t="shared" si="3"/>
        <v>25000000</v>
      </c>
      <c r="T23">
        <f t="shared" si="4"/>
        <v>25000000</v>
      </c>
      <c r="U23">
        <f t="shared" si="5"/>
        <v>25000000</v>
      </c>
      <c r="V23">
        <f t="shared" si="6"/>
        <v>25000000</v>
      </c>
    </row>
    <row r="24" spans="1:23">
      <c r="A24" s="909" t="s">
        <v>784</v>
      </c>
      <c r="B24" s="909" t="s">
        <v>809</v>
      </c>
      <c r="C24" s="909" t="s">
        <v>842</v>
      </c>
      <c r="D24" s="909"/>
      <c r="E24" s="909" t="s">
        <v>851</v>
      </c>
      <c r="F24" s="909" t="s">
        <v>852</v>
      </c>
      <c r="G24" s="909" t="s">
        <v>628</v>
      </c>
      <c r="H24" s="909" t="s">
        <v>782</v>
      </c>
      <c r="I24" s="910">
        <v>42059</v>
      </c>
      <c r="J24" s="911"/>
      <c r="K24" s="910">
        <v>42794</v>
      </c>
      <c r="L24" s="442">
        <v>10000000</v>
      </c>
      <c r="M24">
        <v>24.5</v>
      </c>
      <c r="O24" t="s">
        <v>783</v>
      </c>
      <c r="P24">
        <f t="shared" si="0"/>
        <v>10000000</v>
      </c>
      <c r="Q24">
        <f t="shared" si="1"/>
        <v>10000000</v>
      </c>
      <c r="R24">
        <f t="shared" si="2"/>
        <v>10000000</v>
      </c>
      <c r="S24">
        <f t="shared" si="3"/>
        <v>10000000</v>
      </c>
      <c r="T24">
        <f t="shared" si="4"/>
        <v>10000000</v>
      </c>
      <c r="U24">
        <f t="shared" si="5"/>
        <v>10000000</v>
      </c>
      <c r="V24">
        <f t="shared" si="6"/>
        <v>10000000</v>
      </c>
    </row>
    <row r="25" spans="1:23">
      <c r="A25" s="909" t="s">
        <v>804</v>
      </c>
      <c r="B25" s="909" t="s">
        <v>805</v>
      </c>
      <c r="C25" s="909" t="s">
        <v>853</v>
      </c>
      <c r="D25" s="909"/>
      <c r="E25" s="909" t="s">
        <v>854</v>
      </c>
      <c r="F25" s="909" t="s">
        <v>855</v>
      </c>
      <c r="G25" s="909" t="s">
        <v>841</v>
      </c>
      <c r="H25" s="909" t="s">
        <v>782</v>
      </c>
      <c r="I25" s="910">
        <v>42075</v>
      </c>
      <c r="J25" s="911"/>
      <c r="K25" s="910">
        <v>42794</v>
      </c>
      <c r="L25" s="442">
        <v>25000000</v>
      </c>
      <c r="M25">
        <v>23.966666666666665</v>
      </c>
      <c r="O25" t="s">
        <v>783</v>
      </c>
      <c r="P25">
        <f t="shared" si="0"/>
        <v>25000000</v>
      </c>
      <c r="Q25">
        <f t="shared" si="1"/>
        <v>25000000</v>
      </c>
      <c r="R25">
        <f t="shared" si="2"/>
        <v>25000000</v>
      </c>
      <c r="S25">
        <f t="shared" si="3"/>
        <v>25000000</v>
      </c>
      <c r="T25">
        <f t="shared" si="4"/>
        <v>25000000</v>
      </c>
      <c r="U25">
        <f t="shared" si="5"/>
        <v>25000000</v>
      </c>
      <c r="V25">
        <f t="shared" si="6"/>
        <v>25000000</v>
      </c>
    </row>
    <row r="26" spans="1:23">
      <c r="A26" s="909" t="s">
        <v>777</v>
      </c>
      <c r="B26" s="909" t="s">
        <v>795</v>
      </c>
      <c r="C26" s="909" t="s">
        <v>796</v>
      </c>
      <c r="D26" s="909"/>
      <c r="E26" s="909" t="s">
        <v>856</v>
      </c>
      <c r="F26" s="909" t="s">
        <v>857</v>
      </c>
      <c r="G26" s="909" t="s">
        <v>841</v>
      </c>
      <c r="H26" s="909" t="s">
        <v>782</v>
      </c>
      <c r="I26" s="910">
        <v>42076</v>
      </c>
      <c r="J26" s="912"/>
      <c r="K26" s="910">
        <v>42794</v>
      </c>
      <c r="L26" s="442">
        <v>50000000</v>
      </c>
      <c r="M26">
        <v>23.933333333333334</v>
      </c>
      <c r="O26" t="s">
        <v>783</v>
      </c>
      <c r="P26">
        <f t="shared" si="0"/>
        <v>50000000</v>
      </c>
      <c r="Q26">
        <f t="shared" si="1"/>
        <v>50000000</v>
      </c>
      <c r="R26">
        <f t="shared" si="2"/>
        <v>50000000</v>
      </c>
      <c r="S26">
        <f t="shared" si="3"/>
        <v>50000000</v>
      </c>
      <c r="T26">
        <f t="shared" si="4"/>
        <v>50000000</v>
      </c>
      <c r="U26">
        <f t="shared" si="5"/>
        <v>50000000</v>
      </c>
      <c r="V26">
        <f t="shared" si="6"/>
        <v>50000000</v>
      </c>
    </row>
    <row r="27" spans="1:23">
      <c r="A27" s="909" t="s">
        <v>784</v>
      </c>
      <c r="B27" s="909" t="s">
        <v>785</v>
      </c>
      <c r="C27" s="909" t="s">
        <v>858</v>
      </c>
      <c r="D27" s="909"/>
      <c r="E27" s="909" t="s">
        <v>859</v>
      </c>
      <c r="F27" s="909" t="s">
        <v>860</v>
      </c>
      <c r="G27" s="909" t="s">
        <v>841</v>
      </c>
      <c r="H27" s="909" t="s">
        <v>782</v>
      </c>
      <c r="I27" s="910">
        <v>42335</v>
      </c>
      <c r="J27" s="913"/>
      <c r="K27" s="910">
        <v>42794</v>
      </c>
      <c r="L27" s="442">
        <v>20000000</v>
      </c>
      <c r="M27">
        <v>15.3</v>
      </c>
      <c r="O27" t="s">
        <v>783</v>
      </c>
      <c r="P27">
        <f t="shared" si="0"/>
        <v>20000000</v>
      </c>
      <c r="Q27">
        <f t="shared" si="1"/>
        <v>20000000</v>
      </c>
      <c r="R27">
        <f t="shared" si="2"/>
        <v>20000000</v>
      </c>
      <c r="S27">
        <f t="shared" si="3"/>
        <v>20000000</v>
      </c>
      <c r="T27">
        <f t="shared" si="4"/>
        <v>20000000</v>
      </c>
      <c r="U27">
        <f t="shared" si="5"/>
        <v>20000000</v>
      </c>
      <c r="V27">
        <f t="shared" si="6"/>
        <v>20000000</v>
      </c>
    </row>
    <row r="28" spans="1:23">
      <c r="A28" s="909" t="s">
        <v>817</v>
      </c>
      <c r="B28" s="909" t="s">
        <v>818</v>
      </c>
      <c r="C28" s="909" t="s">
        <v>819</v>
      </c>
      <c r="D28" s="909"/>
      <c r="E28" s="909" t="s">
        <v>861</v>
      </c>
      <c r="F28" s="909" t="s">
        <v>862</v>
      </c>
      <c r="G28" s="909" t="s">
        <v>628</v>
      </c>
      <c r="H28" s="909" t="s">
        <v>782</v>
      </c>
      <c r="I28" s="910">
        <v>42082</v>
      </c>
      <c r="J28" s="912"/>
      <c r="K28" s="910">
        <v>42825</v>
      </c>
      <c r="L28" s="442">
        <v>40000000</v>
      </c>
      <c r="M28">
        <v>24.766666666666666</v>
      </c>
      <c r="O28" t="s">
        <v>783</v>
      </c>
      <c r="P28">
        <f t="shared" si="0"/>
        <v>40000000</v>
      </c>
      <c r="Q28">
        <f t="shared" si="1"/>
        <v>40000000</v>
      </c>
      <c r="R28">
        <f t="shared" si="2"/>
        <v>40000000</v>
      </c>
      <c r="S28">
        <f t="shared" si="3"/>
        <v>40000000</v>
      </c>
      <c r="T28">
        <f t="shared" si="4"/>
        <v>40000000</v>
      </c>
      <c r="U28">
        <f t="shared" si="5"/>
        <v>40000000</v>
      </c>
      <c r="V28">
        <f t="shared" si="6"/>
        <v>40000000</v>
      </c>
      <c r="W28">
        <f>L28</f>
        <v>40000000</v>
      </c>
    </row>
    <row r="29" spans="1:23">
      <c r="A29" s="909" t="s">
        <v>817</v>
      </c>
      <c r="B29" s="909" t="s">
        <v>818</v>
      </c>
      <c r="C29" s="909" t="s">
        <v>819</v>
      </c>
      <c r="D29" s="909"/>
      <c r="E29" s="909" t="s">
        <v>863</v>
      </c>
      <c r="F29" s="909" t="s">
        <v>864</v>
      </c>
      <c r="G29" s="909" t="s">
        <v>629</v>
      </c>
      <c r="H29" s="909" t="s">
        <v>782</v>
      </c>
      <c r="I29" s="910">
        <v>42083</v>
      </c>
      <c r="J29" s="913"/>
      <c r="K29" s="910">
        <v>42825</v>
      </c>
      <c r="L29" s="442">
        <v>20000000</v>
      </c>
      <c r="M29">
        <v>24.733333333333334</v>
      </c>
      <c r="O29" t="s">
        <v>783</v>
      </c>
      <c r="P29">
        <f t="shared" si="0"/>
        <v>20000000</v>
      </c>
      <c r="Q29">
        <f t="shared" si="1"/>
        <v>20000000</v>
      </c>
      <c r="R29">
        <f t="shared" si="2"/>
        <v>20000000</v>
      </c>
      <c r="S29">
        <f t="shared" si="3"/>
        <v>20000000</v>
      </c>
      <c r="T29">
        <f t="shared" si="4"/>
        <v>20000000</v>
      </c>
      <c r="U29">
        <f t="shared" si="5"/>
        <v>20000000</v>
      </c>
      <c r="V29">
        <f t="shared" si="6"/>
        <v>20000000</v>
      </c>
      <c r="W29">
        <f t="shared" ref="W29:W92" si="7">L29</f>
        <v>20000000</v>
      </c>
    </row>
    <row r="30" spans="1:23">
      <c r="A30" s="909" t="s">
        <v>784</v>
      </c>
      <c r="B30" s="909" t="s">
        <v>865</v>
      </c>
      <c r="C30" s="909" t="s">
        <v>866</v>
      </c>
      <c r="D30" s="909"/>
      <c r="E30" s="909" t="s">
        <v>867</v>
      </c>
      <c r="F30" s="909" t="s">
        <v>868</v>
      </c>
      <c r="G30" s="909" t="s">
        <v>506</v>
      </c>
      <c r="H30" s="909" t="s">
        <v>782</v>
      </c>
      <c r="I30" s="910">
        <v>42088</v>
      </c>
      <c r="J30" s="912"/>
      <c r="K30" s="910">
        <v>42825</v>
      </c>
      <c r="L30" s="442">
        <v>28000000</v>
      </c>
      <c r="M30">
        <v>24.566666666666666</v>
      </c>
      <c r="O30" t="s">
        <v>783</v>
      </c>
      <c r="P30">
        <f t="shared" si="0"/>
        <v>28000000</v>
      </c>
      <c r="Q30">
        <f t="shared" si="1"/>
        <v>28000000</v>
      </c>
      <c r="R30">
        <f t="shared" si="2"/>
        <v>28000000</v>
      </c>
      <c r="S30">
        <f t="shared" si="3"/>
        <v>28000000</v>
      </c>
      <c r="T30">
        <f t="shared" si="4"/>
        <v>28000000</v>
      </c>
      <c r="U30">
        <f t="shared" si="5"/>
        <v>28000000</v>
      </c>
      <c r="V30">
        <f t="shared" si="6"/>
        <v>28000000</v>
      </c>
      <c r="W30">
        <f t="shared" si="7"/>
        <v>28000000</v>
      </c>
    </row>
    <row r="31" spans="1:23">
      <c r="A31" s="909" t="s">
        <v>817</v>
      </c>
      <c r="B31" s="909" t="s">
        <v>818</v>
      </c>
      <c r="C31" s="909" t="s">
        <v>819</v>
      </c>
      <c r="D31" s="909"/>
      <c r="E31" s="909" t="s">
        <v>869</v>
      </c>
      <c r="F31" s="909" t="s">
        <v>870</v>
      </c>
      <c r="G31" s="909" t="s">
        <v>841</v>
      </c>
      <c r="H31" s="909" t="s">
        <v>782</v>
      </c>
      <c r="I31" s="910">
        <v>42090</v>
      </c>
      <c r="J31" s="912"/>
      <c r="K31" s="910">
        <v>42825</v>
      </c>
      <c r="L31" s="442">
        <v>15000000</v>
      </c>
      <c r="M31">
        <v>24.5</v>
      </c>
      <c r="O31" t="s">
        <v>783</v>
      </c>
      <c r="P31">
        <f t="shared" si="0"/>
        <v>15000000</v>
      </c>
      <c r="Q31">
        <f t="shared" si="1"/>
        <v>15000000</v>
      </c>
      <c r="R31">
        <f t="shared" si="2"/>
        <v>15000000</v>
      </c>
      <c r="S31">
        <f t="shared" si="3"/>
        <v>15000000</v>
      </c>
      <c r="T31">
        <f t="shared" si="4"/>
        <v>15000000</v>
      </c>
      <c r="U31">
        <f t="shared" si="5"/>
        <v>15000000</v>
      </c>
      <c r="V31">
        <f t="shared" si="6"/>
        <v>15000000</v>
      </c>
      <c r="W31">
        <f t="shared" si="7"/>
        <v>15000000</v>
      </c>
    </row>
    <row r="32" spans="1:23">
      <c r="A32" s="909" t="s">
        <v>784</v>
      </c>
      <c r="B32" s="909" t="s">
        <v>785</v>
      </c>
      <c r="C32" s="909" t="s">
        <v>871</v>
      </c>
      <c r="D32" s="909"/>
      <c r="E32" s="909" t="s">
        <v>872</v>
      </c>
      <c r="F32" s="909" t="s">
        <v>873</v>
      </c>
      <c r="G32" s="909" t="s">
        <v>628</v>
      </c>
      <c r="H32" s="909" t="s">
        <v>782</v>
      </c>
      <c r="I32" s="910">
        <v>42093</v>
      </c>
      <c r="J32" s="911"/>
      <c r="K32" s="910">
        <v>42825</v>
      </c>
      <c r="L32" s="442">
        <v>40000000</v>
      </c>
      <c r="M32">
        <v>24.4</v>
      </c>
      <c r="O32" t="s">
        <v>783</v>
      </c>
      <c r="P32">
        <f t="shared" si="0"/>
        <v>40000000</v>
      </c>
      <c r="Q32">
        <f t="shared" si="1"/>
        <v>40000000</v>
      </c>
      <c r="R32">
        <f t="shared" si="2"/>
        <v>40000000</v>
      </c>
      <c r="S32">
        <f t="shared" si="3"/>
        <v>40000000</v>
      </c>
      <c r="T32">
        <f t="shared" si="4"/>
        <v>40000000</v>
      </c>
      <c r="U32">
        <f t="shared" si="5"/>
        <v>40000000</v>
      </c>
      <c r="V32">
        <f t="shared" si="6"/>
        <v>40000000</v>
      </c>
      <c r="W32">
        <f t="shared" si="7"/>
        <v>40000000</v>
      </c>
    </row>
    <row r="33" spans="1:27">
      <c r="A33" s="909" t="s">
        <v>784</v>
      </c>
      <c r="B33" s="909" t="s">
        <v>865</v>
      </c>
      <c r="C33" s="909" t="s">
        <v>866</v>
      </c>
      <c r="D33" s="909"/>
      <c r="E33" s="909" t="s">
        <v>874</v>
      </c>
      <c r="F33" s="909" t="s">
        <v>875</v>
      </c>
      <c r="G33" s="909" t="s">
        <v>841</v>
      </c>
      <c r="H33" s="909" t="s">
        <v>782</v>
      </c>
      <c r="I33" s="910">
        <v>42094</v>
      </c>
      <c r="J33" s="912"/>
      <c r="K33" s="910">
        <v>42825</v>
      </c>
      <c r="L33" s="442">
        <v>15000000</v>
      </c>
      <c r="M33">
        <v>24.366666666666667</v>
      </c>
      <c r="O33" t="s">
        <v>783</v>
      </c>
      <c r="P33">
        <f t="shared" si="0"/>
        <v>15000000</v>
      </c>
      <c r="Q33">
        <f t="shared" si="1"/>
        <v>15000000</v>
      </c>
      <c r="R33">
        <f t="shared" si="2"/>
        <v>15000000</v>
      </c>
      <c r="S33">
        <f t="shared" si="3"/>
        <v>15000000</v>
      </c>
      <c r="T33">
        <f t="shared" si="4"/>
        <v>15000000</v>
      </c>
      <c r="U33">
        <f t="shared" si="5"/>
        <v>15000000</v>
      </c>
      <c r="V33">
        <f t="shared" si="6"/>
        <v>15000000</v>
      </c>
      <c r="W33">
        <f t="shared" si="7"/>
        <v>15000000</v>
      </c>
    </row>
    <row r="34" spans="1:27">
      <c r="A34" s="909" t="s">
        <v>817</v>
      </c>
      <c r="B34" s="909" t="s">
        <v>818</v>
      </c>
      <c r="C34" s="909" t="s">
        <v>819</v>
      </c>
      <c r="D34" s="909"/>
      <c r="E34" s="909" t="s">
        <v>876</v>
      </c>
      <c r="F34" s="909" t="s">
        <v>877</v>
      </c>
      <c r="G34" s="909" t="s">
        <v>506</v>
      </c>
      <c r="H34" s="909" t="s">
        <v>782</v>
      </c>
      <c r="I34" s="910">
        <v>42094</v>
      </c>
      <c r="J34" s="911"/>
      <c r="K34" s="910">
        <v>42825</v>
      </c>
      <c r="L34" s="442">
        <v>20000000</v>
      </c>
      <c r="M34">
        <v>24.366666666666667</v>
      </c>
      <c r="O34" t="s">
        <v>783</v>
      </c>
      <c r="P34">
        <f t="shared" si="0"/>
        <v>20000000</v>
      </c>
      <c r="Q34">
        <f t="shared" si="1"/>
        <v>20000000</v>
      </c>
      <c r="R34">
        <f t="shared" si="2"/>
        <v>20000000</v>
      </c>
      <c r="S34">
        <f t="shared" si="3"/>
        <v>20000000</v>
      </c>
      <c r="T34">
        <f t="shared" si="4"/>
        <v>20000000</v>
      </c>
      <c r="U34">
        <f t="shared" si="5"/>
        <v>20000000</v>
      </c>
      <c r="V34">
        <f t="shared" si="6"/>
        <v>20000000</v>
      </c>
      <c r="W34">
        <f t="shared" si="7"/>
        <v>20000000</v>
      </c>
    </row>
    <row r="35" spans="1:27">
      <c r="A35" s="909" t="s">
        <v>784</v>
      </c>
      <c r="B35" s="909" t="s">
        <v>785</v>
      </c>
      <c r="C35" s="909" t="s">
        <v>858</v>
      </c>
      <c r="D35" s="909"/>
      <c r="E35" s="909" t="s">
        <v>878</v>
      </c>
      <c r="F35" s="909" t="s">
        <v>879</v>
      </c>
      <c r="G35" s="909" t="s">
        <v>628</v>
      </c>
      <c r="H35" s="909" t="s">
        <v>782</v>
      </c>
      <c r="I35" s="910">
        <v>42097</v>
      </c>
      <c r="J35" s="913"/>
      <c r="K35" s="910">
        <v>42825</v>
      </c>
      <c r="L35" s="442">
        <v>20000000</v>
      </c>
      <c r="M35">
        <v>24.266666666666666</v>
      </c>
      <c r="O35" t="s">
        <v>783</v>
      </c>
      <c r="P35">
        <f t="shared" si="0"/>
        <v>20000000</v>
      </c>
      <c r="Q35">
        <f t="shared" si="1"/>
        <v>20000000</v>
      </c>
      <c r="R35">
        <f t="shared" si="2"/>
        <v>20000000</v>
      </c>
      <c r="S35">
        <f t="shared" si="3"/>
        <v>20000000</v>
      </c>
      <c r="T35">
        <f t="shared" si="4"/>
        <v>20000000</v>
      </c>
      <c r="U35">
        <f t="shared" si="5"/>
        <v>20000000</v>
      </c>
      <c r="V35">
        <f t="shared" si="6"/>
        <v>20000000</v>
      </c>
      <c r="W35">
        <f t="shared" si="7"/>
        <v>20000000</v>
      </c>
    </row>
    <row r="36" spans="1:27">
      <c r="A36" s="909" t="s">
        <v>784</v>
      </c>
      <c r="B36" s="909" t="s">
        <v>785</v>
      </c>
      <c r="C36" s="909" t="s">
        <v>858</v>
      </c>
      <c r="D36" s="909"/>
      <c r="E36" s="909" t="s">
        <v>880</v>
      </c>
      <c r="F36" s="909" t="s">
        <v>881</v>
      </c>
      <c r="G36" s="909" t="s">
        <v>629</v>
      </c>
      <c r="H36" s="909" t="s">
        <v>782</v>
      </c>
      <c r="I36" s="910">
        <v>42383</v>
      </c>
      <c r="J36" s="913"/>
      <c r="K36" s="910">
        <v>42825</v>
      </c>
      <c r="L36" s="442">
        <v>20000000</v>
      </c>
      <c r="M36">
        <v>14.733333333333333</v>
      </c>
      <c r="O36" t="s">
        <v>783</v>
      </c>
      <c r="P36">
        <f t="shared" si="0"/>
        <v>20000000</v>
      </c>
      <c r="Q36">
        <f t="shared" si="1"/>
        <v>20000000</v>
      </c>
      <c r="R36">
        <f t="shared" si="2"/>
        <v>20000000</v>
      </c>
      <c r="S36">
        <f t="shared" si="3"/>
        <v>20000000</v>
      </c>
      <c r="T36">
        <f t="shared" si="4"/>
        <v>20000000</v>
      </c>
      <c r="U36">
        <f t="shared" si="5"/>
        <v>20000000</v>
      </c>
      <c r="V36">
        <f t="shared" si="6"/>
        <v>20000000</v>
      </c>
      <c r="W36">
        <f t="shared" si="7"/>
        <v>20000000</v>
      </c>
    </row>
    <row r="37" spans="1:27">
      <c r="A37" s="909" t="s">
        <v>784</v>
      </c>
      <c r="B37" s="909" t="s">
        <v>809</v>
      </c>
      <c r="C37" s="909" t="s">
        <v>842</v>
      </c>
      <c r="D37" s="909"/>
      <c r="E37" s="909" t="s">
        <v>882</v>
      </c>
      <c r="F37" s="909" t="s">
        <v>883</v>
      </c>
      <c r="G37" s="909" t="s">
        <v>841</v>
      </c>
      <c r="H37" s="909" t="s">
        <v>782</v>
      </c>
      <c r="I37" s="910">
        <v>42109</v>
      </c>
      <c r="J37" s="913"/>
      <c r="K37" s="910">
        <v>42855</v>
      </c>
      <c r="L37" s="442">
        <v>18000000</v>
      </c>
      <c r="M37">
        <v>24.866666666666667</v>
      </c>
      <c r="O37" t="s">
        <v>783</v>
      </c>
      <c r="P37">
        <f t="shared" si="0"/>
        <v>18000000</v>
      </c>
      <c r="Q37">
        <f t="shared" si="1"/>
        <v>18000000</v>
      </c>
      <c r="R37">
        <f t="shared" si="2"/>
        <v>18000000</v>
      </c>
      <c r="S37">
        <f t="shared" si="3"/>
        <v>18000000</v>
      </c>
      <c r="T37">
        <f t="shared" si="4"/>
        <v>18000000</v>
      </c>
      <c r="U37">
        <f t="shared" si="5"/>
        <v>18000000</v>
      </c>
      <c r="V37">
        <f t="shared" si="6"/>
        <v>18000000</v>
      </c>
      <c r="W37">
        <f t="shared" si="7"/>
        <v>18000000</v>
      </c>
      <c r="X37">
        <f>L37</f>
        <v>18000000</v>
      </c>
    </row>
    <row r="38" spans="1:27">
      <c r="A38" s="909" t="s">
        <v>828</v>
      </c>
      <c r="B38" s="909" t="s">
        <v>829</v>
      </c>
      <c r="C38" s="909" t="s">
        <v>884</v>
      </c>
      <c r="D38" s="909"/>
      <c r="E38" s="909" t="s">
        <v>885</v>
      </c>
      <c r="F38" s="909" t="s">
        <v>886</v>
      </c>
      <c r="G38" s="909" t="s">
        <v>506</v>
      </c>
      <c r="H38" s="909" t="s">
        <v>782</v>
      </c>
      <c r="I38" s="910">
        <v>42111</v>
      </c>
      <c r="J38" s="911"/>
      <c r="K38" s="910">
        <v>42855</v>
      </c>
      <c r="L38" s="442">
        <v>10000000</v>
      </c>
      <c r="M38">
        <v>24.8</v>
      </c>
      <c r="O38" t="s">
        <v>783</v>
      </c>
      <c r="P38">
        <f t="shared" si="0"/>
        <v>10000000</v>
      </c>
      <c r="Q38">
        <f t="shared" si="1"/>
        <v>10000000</v>
      </c>
      <c r="R38">
        <f t="shared" si="2"/>
        <v>10000000</v>
      </c>
      <c r="S38">
        <f t="shared" si="3"/>
        <v>10000000</v>
      </c>
      <c r="T38">
        <f t="shared" si="4"/>
        <v>10000000</v>
      </c>
      <c r="U38">
        <f t="shared" si="5"/>
        <v>10000000</v>
      </c>
      <c r="V38">
        <f t="shared" si="6"/>
        <v>10000000</v>
      </c>
      <c r="W38">
        <f t="shared" si="7"/>
        <v>10000000</v>
      </c>
      <c r="X38">
        <f t="shared" ref="X38:X98" si="8">L38</f>
        <v>10000000</v>
      </c>
    </row>
    <row r="39" spans="1:27">
      <c r="A39" s="909" t="s">
        <v>804</v>
      </c>
      <c r="B39" s="909" t="s">
        <v>805</v>
      </c>
      <c r="C39" s="909" t="s">
        <v>806</v>
      </c>
      <c r="D39" s="909"/>
      <c r="E39" s="909" t="s">
        <v>887</v>
      </c>
      <c r="F39" s="909" t="s">
        <v>888</v>
      </c>
      <c r="G39" s="909" t="s">
        <v>630</v>
      </c>
      <c r="H39" s="909" t="s">
        <v>782</v>
      </c>
      <c r="I39" s="910">
        <v>42156</v>
      </c>
      <c r="J39" s="912"/>
      <c r="K39" s="910">
        <v>42886</v>
      </c>
      <c r="L39" s="442">
        <v>30000000</v>
      </c>
      <c r="M39">
        <v>24.333333333333332</v>
      </c>
      <c r="O39" t="s">
        <v>783</v>
      </c>
      <c r="P39">
        <f t="shared" si="0"/>
        <v>30000000</v>
      </c>
      <c r="Q39">
        <f t="shared" si="1"/>
        <v>30000000</v>
      </c>
      <c r="R39">
        <f t="shared" si="2"/>
        <v>30000000</v>
      </c>
      <c r="S39">
        <f t="shared" si="3"/>
        <v>30000000</v>
      </c>
      <c r="T39">
        <f t="shared" si="4"/>
        <v>30000000</v>
      </c>
      <c r="U39">
        <f t="shared" si="5"/>
        <v>30000000</v>
      </c>
      <c r="V39">
        <f t="shared" si="6"/>
        <v>30000000</v>
      </c>
      <c r="W39">
        <f t="shared" si="7"/>
        <v>30000000</v>
      </c>
      <c r="X39">
        <f t="shared" si="8"/>
        <v>30000000</v>
      </c>
      <c r="Y39">
        <f>L39</f>
        <v>30000000</v>
      </c>
    </row>
    <row r="40" spans="1:27">
      <c r="A40" s="909" t="s">
        <v>784</v>
      </c>
      <c r="B40" s="909" t="s">
        <v>785</v>
      </c>
      <c r="C40" s="909" t="s">
        <v>786</v>
      </c>
      <c r="D40" s="909"/>
      <c r="E40" s="909" t="s">
        <v>889</v>
      </c>
      <c r="F40" s="909" t="s">
        <v>890</v>
      </c>
      <c r="G40" s="909" t="s">
        <v>506</v>
      </c>
      <c r="H40" s="909" t="s">
        <v>782</v>
      </c>
      <c r="I40" s="910">
        <v>42144</v>
      </c>
      <c r="J40" s="911"/>
      <c r="K40" s="910">
        <v>42886</v>
      </c>
      <c r="L40" s="442">
        <v>40000000</v>
      </c>
      <c r="M40">
        <v>24.733333333333334</v>
      </c>
      <c r="O40" t="s">
        <v>783</v>
      </c>
      <c r="P40">
        <f t="shared" si="0"/>
        <v>40000000</v>
      </c>
      <c r="Q40">
        <f t="shared" si="1"/>
        <v>40000000</v>
      </c>
      <c r="R40">
        <f t="shared" si="2"/>
        <v>40000000</v>
      </c>
      <c r="S40">
        <f t="shared" si="3"/>
        <v>40000000</v>
      </c>
      <c r="T40">
        <f t="shared" si="4"/>
        <v>40000000</v>
      </c>
      <c r="U40">
        <f t="shared" si="5"/>
        <v>40000000</v>
      </c>
      <c r="V40">
        <f t="shared" si="6"/>
        <v>40000000</v>
      </c>
      <c r="W40">
        <f t="shared" si="7"/>
        <v>40000000</v>
      </c>
      <c r="X40">
        <f t="shared" si="8"/>
        <v>40000000</v>
      </c>
      <c r="Y40">
        <f t="shared" ref="Y40:Y98" si="9">L40</f>
        <v>40000000</v>
      </c>
    </row>
    <row r="41" spans="1:27">
      <c r="A41" s="909" t="s">
        <v>777</v>
      </c>
      <c r="B41" s="909" t="s">
        <v>778</v>
      </c>
      <c r="C41" s="909" t="s">
        <v>891</v>
      </c>
      <c r="D41" s="909"/>
      <c r="E41" s="909" t="s">
        <v>892</v>
      </c>
      <c r="F41" s="909" t="s">
        <v>893</v>
      </c>
      <c r="G41" s="909" t="s">
        <v>630</v>
      </c>
      <c r="H41" s="909" t="s">
        <v>782</v>
      </c>
      <c r="I41" s="910">
        <v>42149</v>
      </c>
      <c r="J41" s="911"/>
      <c r="K41" s="910">
        <v>42886</v>
      </c>
      <c r="L41" s="442">
        <v>40000000</v>
      </c>
      <c r="M41">
        <v>24.566666666666666</v>
      </c>
      <c r="O41" t="s">
        <v>783</v>
      </c>
      <c r="P41">
        <f t="shared" si="0"/>
        <v>40000000</v>
      </c>
      <c r="Q41">
        <f t="shared" si="1"/>
        <v>40000000</v>
      </c>
      <c r="R41">
        <f t="shared" si="2"/>
        <v>40000000</v>
      </c>
      <c r="S41">
        <f t="shared" si="3"/>
        <v>40000000</v>
      </c>
      <c r="T41">
        <f t="shared" si="4"/>
        <v>40000000</v>
      </c>
      <c r="U41">
        <f t="shared" si="5"/>
        <v>40000000</v>
      </c>
      <c r="V41">
        <f t="shared" si="6"/>
        <v>40000000</v>
      </c>
      <c r="W41">
        <f t="shared" si="7"/>
        <v>40000000</v>
      </c>
      <c r="X41">
        <f t="shared" si="8"/>
        <v>40000000</v>
      </c>
      <c r="Y41">
        <f t="shared" si="9"/>
        <v>40000000</v>
      </c>
    </row>
    <row r="42" spans="1:27">
      <c r="A42" s="909" t="s">
        <v>784</v>
      </c>
      <c r="B42" s="909" t="s">
        <v>785</v>
      </c>
      <c r="C42" s="909" t="s">
        <v>871</v>
      </c>
      <c r="D42" s="909"/>
      <c r="E42" s="909" t="s">
        <v>894</v>
      </c>
      <c r="F42" s="909" t="s">
        <v>895</v>
      </c>
      <c r="G42" s="909" t="s">
        <v>841</v>
      </c>
      <c r="H42" s="909" t="s">
        <v>782</v>
      </c>
      <c r="I42" s="910">
        <v>42151</v>
      </c>
      <c r="J42" s="913"/>
      <c r="K42" s="910">
        <v>42886</v>
      </c>
      <c r="L42" s="442">
        <v>30000000</v>
      </c>
      <c r="M42">
        <v>24.5</v>
      </c>
      <c r="O42" t="s">
        <v>783</v>
      </c>
      <c r="P42">
        <f t="shared" si="0"/>
        <v>30000000</v>
      </c>
      <c r="Q42">
        <f t="shared" si="1"/>
        <v>30000000</v>
      </c>
      <c r="R42">
        <f t="shared" si="2"/>
        <v>30000000</v>
      </c>
      <c r="S42">
        <f t="shared" si="3"/>
        <v>30000000</v>
      </c>
      <c r="T42">
        <f t="shared" si="4"/>
        <v>30000000</v>
      </c>
      <c r="U42">
        <f t="shared" si="5"/>
        <v>30000000</v>
      </c>
      <c r="V42">
        <f t="shared" si="6"/>
        <v>30000000</v>
      </c>
      <c r="W42">
        <f t="shared" si="7"/>
        <v>30000000</v>
      </c>
      <c r="X42">
        <f t="shared" si="8"/>
        <v>30000000</v>
      </c>
      <c r="Y42">
        <f t="shared" si="9"/>
        <v>30000000</v>
      </c>
    </row>
    <row r="43" spans="1:27">
      <c r="A43" s="909" t="s">
        <v>784</v>
      </c>
      <c r="B43" s="909" t="s">
        <v>809</v>
      </c>
      <c r="C43" s="909" t="s">
        <v>842</v>
      </c>
      <c r="D43" s="909"/>
      <c r="E43" s="909" t="s">
        <v>896</v>
      </c>
      <c r="F43" s="909" t="s">
        <v>897</v>
      </c>
      <c r="G43" s="909" t="s">
        <v>841</v>
      </c>
      <c r="H43" s="909" t="s">
        <v>782</v>
      </c>
      <c r="I43" s="910">
        <v>42173</v>
      </c>
      <c r="J43" s="911"/>
      <c r="K43" s="910">
        <v>42916</v>
      </c>
      <c r="L43" s="442">
        <v>25000000</v>
      </c>
      <c r="M43">
        <v>24.766666666666666</v>
      </c>
      <c r="O43" t="s">
        <v>783</v>
      </c>
      <c r="P43">
        <f t="shared" si="0"/>
        <v>25000000</v>
      </c>
      <c r="Q43">
        <f t="shared" si="1"/>
        <v>25000000</v>
      </c>
      <c r="R43">
        <f t="shared" si="2"/>
        <v>25000000</v>
      </c>
      <c r="S43">
        <f t="shared" si="3"/>
        <v>25000000</v>
      </c>
      <c r="T43">
        <f t="shared" si="4"/>
        <v>25000000</v>
      </c>
      <c r="U43">
        <f t="shared" si="5"/>
        <v>25000000</v>
      </c>
      <c r="V43">
        <f t="shared" si="6"/>
        <v>25000000</v>
      </c>
      <c r="W43">
        <f t="shared" si="7"/>
        <v>25000000</v>
      </c>
      <c r="X43">
        <f t="shared" si="8"/>
        <v>25000000</v>
      </c>
      <c r="Y43">
        <f t="shared" si="9"/>
        <v>25000000</v>
      </c>
      <c r="Z43">
        <f>L43</f>
        <v>25000000</v>
      </c>
    </row>
    <row r="44" spans="1:27">
      <c r="A44" s="909" t="s">
        <v>784</v>
      </c>
      <c r="B44" s="909" t="s">
        <v>785</v>
      </c>
      <c r="C44" s="909" t="s">
        <v>871</v>
      </c>
      <c r="D44" s="909"/>
      <c r="E44" s="909" t="s">
        <v>898</v>
      </c>
      <c r="F44" s="909" t="s">
        <v>899</v>
      </c>
      <c r="G44" s="909" t="s">
        <v>841</v>
      </c>
      <c r="H44" s="909" t="s">
        <v>782</v>
      </c>
      <c r="I44" s="910">
        <v>42159</v>
      </c>
      <c r="J44" s="912"/>
      <c r="K44" s="910">
        <v>42947</v>
      </c>
      <c r="L44" s="442">
        <v>25000000</v>
      </c>
      <c r="M44">
        <v>26.266666666666666</v>
      </c>
      <c r="O44" t="s">
        <v>783</v>
      </c>
      <c r="P44">
        <f t="shared" si="0"/>
        <v>25000000</v>
      </c>
      <c r="Q44">
        <f t="shared" si="1"/>
        <v>25000000</v>
      </c>
      <c r="R44">
        <f t="shared" si="2"/>
        <v>25000000</v>
      </c>
      <c r="S44">
        <f t="shared" si="3"/>
        <v>25000000</v>
      </c>
      <c r="T44">
        <f t="shared" si="4"/>
        <v>25000000</v>
      </c>
      <c r="U44">
        <f t="shared" si="5"/>
        <v>25000000</v>
      </c>
      <c r="V44">
        <f t="shared" si="6"/>
        <v>25000000</v>
      </c>
      <c r="W44">
        <f t="shared" si="7"/>
        <v>25000000</v>
      </c>
      <c r="X44">
        <f t="shared" si="8"/>
        <v>25000000</v>
      </c>
      <c r="Y44">
        <f t="shared" si="9"/>
        <v>25000000</v>
      </c>
      <c r="Z44">
        <f t="shared" ref="Z44:Z98" si="10">L44</f>
        <v>25000000</v>
      </c>
      <c r="AA44">
        <f>L44</f>
        <v>25000000</v>
      </c>
    </row>
    <row r="45" spans="1:27">
      <c r="A45" s="909" t="s">
        <v>777</v>
      </c>
      <c r="B45" s="909" t="s">
        <v>800</v>
      </c>
      <c r="C45" s="909" t="s">
        <v>900</v>
      </c>
      <c r="D45" s="909"/>
      <c r="E45" s="909" t="s">
        <v>901</v>
      </c>
      <c r="F45" s="909" t="s">
        <v>902</v>
      </c>
      <c r="G45" s="909" t="s">
        <v>506</v>
      </c>
      <c r="H45" s="909" t="s">
        <v>782</v>
      </c>
      <c r="I45" s="910">
        <v>42201</v>
      </c>
      <c r="J45" s="912"/>
      <c r="K45" s="910">
        <v>42947</v>
      </c>
      <c r="L45" s="442">
        <v>50000000</v>
      </c>
      <c r="M45">
        <v>24.866666666666667</v>
      </c>
      <c r="O45" t="s">
        <v>783</v>
      </c>
      <c r="P45">
        <f t="shared" si="0"/>
        <v>50000000</v>
      </c>
      <c r="Q45">
        <f t="shared" si="1"/>
        <v>50000000</v>
      </c>
      <c r="R45">
        <f t="shared" si="2"/>
        <v>50000000</v>
      </c>
      <c r="S45">
        <f t="shared" si="3"/>
        <v>50000000</v>
      </c>
      <c r="T45">
        <f t="shared" si="4"/>
        <v>50000000</v>
      </c>
      <c r="U45">
        <f t="shared" si="5"/>
        <v>50000000</v>
      </c>
      <c r="V45">
        <f t="shared" si="6"/>
        <v>50000000</v>
      </c>
      <c r="W45">
        <f t="shared" si="7"/>
        <v>50000000</v>
      </c>
      <c r="X45">
        <f t="shared" si="8"/>
        <v>50000000</v>
      </c>
      <c r="Y45">
        <f t="shared" si="9"/>
        <v>50000000</v>
      </c>
      <c r="Z45">
        <f t="shared" si="10"/>
        <v>50000000</v>
      </c>
      <c r="AA45">
        <f t="shared" ref="AA45:AA98" si="11">L45</f>
        <v>50000000</v>
      </c>
    </row>
    <row r="46" spans="1:27">
      <c r="A46" s="909" t="s">
        <v>777</v>
      </c>
      <c r="B46" s="909" t="s">
        <v>800</v>
      </c>
      <c r="C46" s="909" t="s">
        <v>900</v>
      </c>
      <c r="D46" s="909"/>
      <c r="E46" s="909" t="s">
        <v>903</v>
      </c>
      <c r="F46" s="909" t="s">
        <v>904</v>
      </c>
      <c r="G46" s="909" t="s">
        <v>628</v>
      </c>
      <c r="H46" s="909" t="s">
        <v>782</v>
      </c>
      <c r="I46" s="910">
        <v>42201</v>
      </c>
      <c r="J46" s="911"/>
      <c r="K46" s="910">
        <v>42947</v>
      </c>
      <c r="L46" s="442">
        <v>18000000</v>
      </c>
      <c r="M46">
        <v>24.866666666666667</v>
      </c>
      <c r="O46" t="s">
        <v>783</v>
      </c>
      <c r="P46">
        <f t="shared" si="0"/>
        <v>18000000</v>
      </c>
      <c r="Q46">
        <f t="shared" si="1"/>
        <v>18000000</v>
      </c>
      <c r="R46">
        <f t="shared" si="2"/>
        <v>18000000</v>
      </c>
      <c r="S46">
        <f t="shared" si="3"/>
        <v>18000000</v>
      </c>
      <c r="T46">
        <f t="shared" si="4"/>
        <v>18000000</v>
      </c>
      <c r="U46">
        <f t="shared" si="5"/>
        <v>18000000</v>
      </c>
      <c r="V46">
        <f t="shared" si="6"/>
        <v>18000000</v>
      </c>
      <c r="W46">
        <f t="shared" si="7"/>
        <v>18000000</v>
      </c>
      <c r="X46">
        <f t="shared" si="8"/>
        <v>18000000</v>
      </c>
      <c r="Y46">
        <f t="shared" si="9"/>
        <v>18000000</v>
      </c>
      <c r="Z46">
        <f t="shared" si="10"/>
        <v>18000000</v>
      </c>
      <c r="AA46">
        <f t="shared" si="11"/>
        <v>18000000</v>
      </c>
    </row>
    <row r="47" spans="1:27">
      <c r="A47" s="909" t="s">
        <v>777</v>
      </c>
      <c r="B47" s="909" t="s">
        <v>800</v>
      </c>
      <c r="C47" s="909" t="s">
        <v>900</v>
      </c>
      <c r="D47" s="909"/>
      <c r="E47" s="909" t="s">
        <v>905</v>
      </c>
      <c r="F47" s="909" t="s">
        <v>906</v>
      </c>
      <c r="G47" s="909" t="s">
        <v>628</v>
      </c>
      <c r="H47" s="909" t="s">
        <v>782</v>
      </c>
      <c r="I47" s="910">
        <v>42201</v>
      </c>
      <c r="J47" s="912"/>
      <c r="K47" s="910">
        <v>42947</v>
      </c>
      <c r="L47" s="442">
        <v>25000000</v>
      </c>
      <c r="M47">
        <v>24.866666666666667</v>
      </c>
      <c r="O47" t="s">
        <v>783</v>
      </c>
      <c r="P47">
        <f t="shared" si="0"/>
        <v>25000000</v>
      </c>
      <c r="Q47">
        <f t="shared" si="1"/>
        <v>25000000</v>
      </c>
      <c r="R47">
        <f t="shared" si="2"/>
        <v>25000000</v>
      </c>
      <c r="S47">
        <f t="shared" si="3"/>
        <v>25000000</v>
      </c>
      <c r="T47">
        <f t="shared" si="4"/>
        <v>25000000</v>
      </c>
      <c r="U47">
        <f t="shared" si="5"/>
        <v>25000000</v>
      </c>
      <c r="V47">
        <f t="shared" si="6"/>
        <v>25000000</v>
      </c>
      <c r="W47">
        <f t="shared" si="7"/>
        <v>25000000</v>
      </c>
      <c r="X47">
        <f t="shared" si="8"/>
        <v>25000000</v>
      </c>
      <c r="Y47">
        <f t="shared" si="9"/>
        <v>25000000</v>
      </c>
      <c r="Z47">
        <f t="shared" si="10"/>
        <v>25000000</v>
      </c>
      <c r="AA47">
        <f t="shared" si="11"/>
        <v>25000000</v>
      </c>
    </row>
    <row r="48" spans="1:27">
      <c r="A48" s="909" t="s">
        <v>777</v>
      </c>
      <c r="B48" s="909" t="s">
        <v>800</v>
      </c>
      <c r="C48" s="909" t="s">
        <v>907</v>
      </c>
      <c r="D48" s="909"/>
      <c r="E48" s="909" t="s">
        <v>908</v>
      </c>
      <c r="F48" s="909" t="s">
        <v>909</v>
      </c>
      <c r="G48" s="909" t="s">
        <v>841</v>
      </c>
      <c r="H48" s="909" t="s">
        <v>782</v>
      </c>
      <c r="I48" s="910">
        <v>42209</v>
      </c>
      <c r="J48" s="912"/>
      <c r="K48" s="910">
        <v>42947</v>
      </c>
      <c r="L48" s="442">
        <v>35000000</v>
      </c>
      <c r="M48">
        <v>24.6</v>
      </c>
      <c r="O48" t="s">
        <v>783</v>
      </c>
      <c r="P48">
        <f t="shared" si="0"/>
        <v>35000000</v>
      </c>
      <c r="Q48">
        <f t="shared" si="1"/>
        <v>35000000</v>
      </c>
      <c r="R48">
        <f t="shared" si="2"/>
        <v>35000000</v>
      </c>
      <c r="S48">
        <f t="shared" si="3"/>
        <v>35000000</v>
      </c>
      <c r="T48">
        <f t="shared" si="4"/>
        <v>35000000</v>
      </c>
      <c r="U48">
        <f t="shared" si="5"/>
        <v>35000000</v>
      </c>
      <c r="V48">
        <f t="shared" si="6"/>
        <v>35000000</v>
      </c>
      <c r="W48">
        <f t="shared" si="7"/>
        <v>35000000</v>
      </c>
      <c r="X48">
        <f t="shared" si="8"/>
        <v>35000000</v>
      </c>
      <c r="Y48">
        <f t="shared" si="9"/>
        <v>35000000</v>
      </c>
      <c r="Z48">
        <f t="shared" si="10"/>
        <v>35000000</v>
      </c>
      <c r="AA48">
        <f t="shared" si="11"/>
        <v>35000000</v>
      </c>
    </row>
    <row r="49" spans="1:29">
      <c r="A49" s="909" t="s">
        <v>777</v>
      </c>
      <c r="B49" s="909" t="s">
        <v>800</v>
      </c>
      <c r="C49" s="909" t="s">
        <v>907</v>
      </c>
      <c r="D49" s="909"/>
      <c r="E49" s="909" t="s">
        <v>910</v>
      </c>
      <c r="F49" s="909" t="s">
        <v>911</v>
      </c>
      <c r="G49" s="909" t="s">
        <v>628</v>
      </c>
      <c r="H49" s="909" t="s">
        <v>782</v>
      </c>
      <c r="I49" s="910">
        <v>42209</v>
      </c>
      <c r="J49" s="912"/>
      <c r="K49" s="910">
        <v>42947</v>
      </c>
      <c r="L49" s="442">
        <v>40000000</v>
      </c>
      <c r="M49">
        <v>24.6</v>
      </c>
      <c r="O49" t="s">
        <v>783</v>
      </c>
      <c r="P49">
        <f t="shared" si="0"/>
        <v>40000000</v>
      </c>
      <c r="Q49">
        <f t="shared" si="1"/>
        <v>40000000</v>
      </c>
      <c r="R49">
        <f t="shared" si="2"/>
        <v>40000000</v>
      </c>
      <c r="S49">
        <f t="shared" si="3"/>
        <v>40000000</v>
      </c>
      <c r="T49">
        <f t="shared" si="4"/>
        <v>40000000</v>
      </c>
      <c r="U49">
        <f t="shared" si="5"/>
        <v>40000000</v>
      </c>
      <c r="V49">
        <f t="shared" si="6"/>
        <v>40000000</v>
      </c>
      <c r="W49">
        <f t="shared" si="7"/>
        <v>40000000</v>
      </c>
      <c r="X49">
        <f t="shared" si="8"/>
        <v>40000000</v>
      </c>
      <c r="Y49">
        <f t="shared" si="9"/>
        <v>40000000</v>
      </c>
      <c r="Z49">
        <f t="shared" si="10"/>
        <v>40000000</v>
      </c>
      <c r="AA49">
        <f t="shared" si="11"/>
        <v>40000000</v>
      </c>
    </row>
    <row r="50" spans="1:29">
      <c r="A50" s="909" t="s">
        <v>777</v>
      </c>
      <c r="B50" s="909" t="s">
        <v>778</v>
      </c>
      <c r="C50" s="909" t="s">
        <v>779</v>
      </c>
      <c r="D50" s="909"/>
      <c r="E50" s="909" t="s">
        <v>912</v>
      </c>
      <c r="F50" s="909" t="s">
        <v>913</v>
      </c>
      <c r="G50" s="909" t="s">
        <v>914</v>
      </c>
      <c r="H50" s="909" t="s">
        <v>782</v>
      </c>
      <c r="I50" s="910">
        <v>42213</v>
      </c>
      <c r="J50" s="912"/>
      <c r="K50" s="910">
        <v>42947</v>
      </c>
      <c r="L50" s="442">
        <v>40000000</v>
      </c>
      <c r="M50">
        <v>24.466666666666665</v>
      </c>
      <c r="O50" t="s">
        <v>783</v>
      </c>
      <c r="P50">
        <f t="shared" si="0"/>
        <v>40000000</v>
      </c>
      <c r="Q50">
        <f t="shared" si="1"/>
        <v>40000000</v>
      </c>
      <c r="R50">
        <f t="shared" si="2"/>
        <v>40000000</v>
      </c>
      <c r="S50">
        <f t="shared" si="3"/>
        <v>40000000</v>
      </c>
      <c r="T50">
        <f t="shared" si="4"/>
        <v>40000000</v>
      </c>
      <c r="U50">
        <f t="shared" si="5"/>
        <v>40000000</v>
      </c>
      <c r="V50">
        <f t="shared" si="6"/>
        <v>40000000</v>
      </c>
      <c r="W50">
        <f t="shared" si="7"/>
        <v>40000000</v>
      </c>
      <c r="X50">
        <f t="shared" si="8"/>
        <v>40000000</v>
      </c>
      <c r="Y50">
        <f t="shared" si="9"/>
        <v>40000000</v>
      </c>
      <c r="Z50">
        <f t="shared" si="10"/>
        <v>40000000</v>
      </c>
      <c r="AA50">
        <f t="shared" si="11"/>
        <v>40000000</v>
      </c>
    </row>
    <row r="51" spans="1:29">
      <c r="A51" s="909" t="s">
        <v>777</v>
      </c>
      <c r="B51" s="909" t="s">
        <v>778</v>
      </c>
      <c r="C51" s="909" t="s">
        <v>779</v>
      </c>
      <c r="D51" s="909"/>
      <c r="E51" s="909" t="s">
        <v>915</v>
      </c>
      <c r="F51" s="909" t="s">
        <v>916</v>
      </c>
      <c r="G51" s="909" t="s">
        <v>628</v>
      </c>
      <c r="H51" s="909" t="s">
        <v>782</v>
      </c>
      <c r="I51" s="910">
        <v>42213</v>
      </c>
      <c r="J51" s="912"/>
      <c r="K51" s="910">
        <v>42947</v>
      </c>
      <c r="L51" s="442">
        <v>40000000</v>
      </c>
      <c r="M51">
        <v>24.466666666666665</v>
      </c>
      <c r="O51" t="s">
        <v>783</v>
      </c>
      <c r="P51">
        <f t="shared" si="0"/>
        <v>40000000</v>
      </c>
      <c r="Q51">
        <f t="shared" si="1"/>
        <v>40000000</v>
      </c>
      <c r="R51">
        <f t="shared" si="2"/>
        <v>40000000</v>
      </c>
      <c r="S51">
        <f t="shared" si="3"/>
        <v>40000000</v>
      </c>
      <c r="T51">
        <f t="shared" si="4"/>
        <v>40000000</v>
      </c>
      <c r="U51">
        <f t="shared" si="5"/>
        <v>40000000</v>
      </c>
      <c r="V51">
        <f t="shared" si="6"/>
        <v>40000000</v>
      </c>
      <c r="W51">
        <f t="shared" si="7"/>
        <v>40000000</v>
      </c>
      <c r="X51">
        <f t="shared" si="8"/>
        <v>40000000</v>
      </c>
      <c r="Y51">
        <f t="shared" si="9"/>
        <v>40000000</v>
      </c>
      <c r="Z51">
        <f t="shared" si="10"/>
        <v>40000000</v>
      </c>
      <c r="AA51">
        <f t="shared" si="11"/>
        <v>40000000</v>
      </c>
    </row>
    <row r="52" spans="1:29">
      <c r="A52" s="909" t="s">
        <v>804</v>
      </c>
      <c r="B52" s="909" t="s">
        <v>917</v>
      </c>
      <c r="C52" s="909" t="s">
        <v>918</v>
      </c>
      <c r="D52" s="909"/>
      <c r="E52" s="909" t="s">
        <v>919</v>
      </c>
      <c r="F52" s="909" t="s">
        <v>920</v>
      </c>
      <c r="G52" s="909" t="s">
        <v>841</v>
      </c>
      <c r="H52" s="909" t="s">
        <v>782</v>
      </c>
      <c r="I52" s="910">
        <v>42387</v>
      </c>
      <c r="J52" s="911"/>
      <c r="K52" s="910">
        <v>42947</v>
      </c>
      <c r="L52" s="442">
        <v>15000000</v>
      </c>
      <c r="M52">
        <v>18.666666666666668</v>
      </c>
      <c r="O52" t="s">
        <v>799</v>
      </c>
      <c r="P52">
        <f t="shared" si="0"/>
        <v>15000000</v>
      </c>
      <c r="Q52">
        <f t="shared" si="1"/>
        <v>15000000</v>
      </c>
      <c r="R52">
        <f t="shared" si="2"/>
        <v>15000000</v>
      </c>
      <c r="S52">
        <f t="shared" si="3"/>
        <v>15000000</v>
      </c>
      <c r="T52">
        <f t="shared" si="4"/>
        <v>15000000</v>
      </c>
      <c r="U52">
        <f t="shared" si="5"/>
        <v>15000000</v>
      </c>
      <c r="V52">
        <f t="shared" si="6"/>
        <v>15000000</v>
      </c>
      <c r="W52">
        <f t="shared" si="7"/>
        <v>15000000</v>
      </c>
      <c r="X52">
        <f t="shared" si="8"/>
        <v>15000000</v>
      </c>
      <c r="Y52">
        <f t="shared" si="9"/>
        <v>15000000</v>
      </c>
      <c r="Z52">
        <f t="shared" si="10"/>
        <v>15000000</v>
      </c>
      <c r="AA52">
        <f t="shared" si="11"/>
        <v>15000000</v>
      </c>
    </row>
    <row r="53" spans="1:29">
      <c r="A53" s="909" t="s">
        <v>777</v>
      </c>
      <c r="B53" s="909" t="s">
        <v>800</v>
      </c>
      <c r="C53" s="909" t="s">
        <v>801</v>
      </c>
      <c r="D53" s="909"/>
      <c r="E53" s="909" t="s">
        <v>921</v>
      </c>
      <c r="F53" s="909" t="s">
        <v>922</v>
      </c>
      <c r="G53" s="909" t="s">
        <v>841</v>
      </c>
      <c r="H53" s="909" t="s">
        <v>782</v>
      </c>
      <c r="I53" s="910">
        <v>42396</v>
      </c>
      <c r="J53" s="911"/>
      <c r="K53" s="910">
        <v>42947</v>
      </c>
      <c r="L53" s="442">
        <v>15000000</v>
      </c>
      <c r="M53">
        <v>18.366666666666667</v>
      </c>
      <c r="O53" t="s">
        <v>799</v>
      </c>
      <c r="P53">
        <f t="shared" si="0"/>
        <v>15000000</v>
      </c>
      <c r="Q53">
        <f t="shared" si="1"/>
        <v>15000000</v>
      </c>
      <c r="R53">
        <f t="shared" si="2"/>
        <v>15000000</v>
      </c>
      <c r="S53">
        <f t="shared" si="3"/>
        <v>15000000</v>
      </c>
      <c r="T53">
        <f t="shared" si="4"/>
        <v>15000000</v>
      </c>
      <c r="U53">
        <f t="shared" si="5"/>
        <v>15000000</v>
      </c>
      <c r="V53">
        <f t="shared" si="6"/>
        <v>15000000</v>
      </c>
      <c r="W53">
        <f t="shared" si="7"/>
        <v>15000000</v>
      </c>
      <c r="X53">
        <f t="shared" si="8"/>
        <v>15000000</v>
      </c>
      <c r="Y53">
        <f t="shared" si="9"/>
        <v>15000000</v>
      </c>
      <c r="Z53">
        <f t="shared" si="10"/>
        <v>15000000</v>
      </c>
      <c r="AA53">
        <f t="shared" si="11"/>
        <v>15000000</v>
      </c>
    </row>
    <row r="54" spans="1:29">
      <c r="A54" s="909" t="s">
        <v>828</v>
      </c>
      <c r="B54" s="909" t="s">
        <v>829</v>
      </c>
      <c r="C54" s="909" t="s">
        <v>830</v>
      </c>
      <c r="D54" s="909"/>
      <c r="E54" s="909" t="s">
        <v>923</v>
      </c>
      <c r="F54" s="909" t="s">
        <v>924</v>
      </c>
      <c r="G54" s="909" t="s">
        <v>841</v>
      </c>
      <c r="H54" s="909" t="s">
        <v>782</v>
      </c>
      <c r="I54" s="910">
        <v>42401</v>
      </c>
      <c r="J54" s="913"/>
      <c r="K54" s="910">
        <v>42947</v>
      </c>
      <c r="L54" s="442">
        <v>25000000</v>
      </c>
      <c r="M54">
        <v>18.2</v>
      </c>
      <c r="O54" t="s">
        <v>799</v>
      </c>
      <c r="P54">
        <f t="shared" si="0"/>
        <v>25000000</v>
      </c>
      <c r="Q54">
        <f t="shared" si="1"/>
        <v>25000000</v>
      </c>
      <c r="R54">
        <f t="shared" si="2"/>
        <v>25000000</v>
      </c>
      <c r="S54">
        <f t="shared" si="3"/>
        <v>25000000</v>
      </c>
      <c r="T54">
        <f t="shared" si="4"/>
        <v>25000000</v>
      </c>
      <c r="U54">
        <f t="shared" si="5"/>
        <v>25000000</v>
      </c>
      <c r="V54">
        <f t="shared" si="6"/>
        <v>25000000</v>
      </c>
      <c r="W54">
        <f t="shared" si="7"/>
        <v>25000000</v>
      </c>
      <c r="X54">
        <f t="shared" si="8"/>
        <v>25000000</v>
      </c>
      <c r="Y54">
        <f t="shared" si="9"/>
        <v>25000000</v>
      </c>
      <c r="Z54">
        <f t="shared" si="10"/>
        <v>25000000</v>
      </c>
      <c r="AA54">
        <f t="shared" si="11"/>
        <v>25000000</v>
      </c>
    </row>
    <row r="55" spans="1:29">
      <c r="A55" s="909" t="s">
        <v>777</v>
      </c>
      <c r="B55" s="909" t="s">
        <v>800</v>
      </c>
      <c r="C55" s="909" t="s">
        <v>907</v>
      </c>
      <c r="D55" s="909"/>
      <c r="E55" s="909" t="s">
        <v>925</v>
      </c>
      <c r="F55" s="909" t="s">
        <v>926</v>
      </c>
      <c r="G55" s="909" t="s">
        <v>628</v>
      </c>
      <c r="H55" s="909" t="s">
        <v>782</v>
      </c>
      <c r="I55" s="910">
        <v>42243</v>
      </c>
      <c r="J55" s="912"/>
      <c r="K55" s="910">
        <v>42978</v>
      </c>
      <c r="L55" s="442">
        <v>25000000</v>
      </c>
      <c r="M55">
        <v>24.5</v>
      </c>
      <c r="O55" t="s">
        <v>783</v>
      </c>
      <c r="P55">
        <f t="shared" si="0"/>
        <v>25000000</v>
      </c>
      <c r="Q55">
        <f t="shared" si="1"/>
        <v>25000000</v>
      </c>
      <c r="R55">
        <f t="shared" si="2"/>
        <v>25000000</v>
      </c>
      <c r="S55">
        <f t="shared" si="3"/>
        <v>25000000</v>
      </c>
      <c r="T55">
        <f t="shared" si="4"/>
        <v>25000000</v>
      </c>
      <c r="U55">
        <f t="shared" si="5"/>
        <v>25000000</v>
      </c>
      <c r="V55">
        <f t="shared" si="6"/>
        <v>25000000</v>
      </c>
      <c r="W55">
        <f t="shared" si="7"/>
        <v>25000000</v>
      </c>
      <c r="X55">
        <f t="shared" si="8"/>
        <v>25000000</v>
      </c>
      <c r="Y55">
        <f t="shared" si="9"/>
        <v>25000000</v>
      </c>
      <c r="Z55">
        <f t="shared" si="10"/>
        <v>25000000</v>
      </c>
      <c r="AA55">
        <f t="shared" si="11"/>
        <v>25000000</v>
      </c>
      <c r="AB55">
        <f>L55</f>
        <v>25000000</v>
      </c>
    </row>
    <row r="56" spans="1:29">
      <c r="A56" s="909" t="s">
        <v>804</v>
      </c>
      <c r="B56" s="909" t="s">
        <v>917</v>
      </c>
      <c r="C56" s="909" t="s">
        <v>927</v>
      </c>
      <c r="D56" s="909"/>
      <c r="E56" s="909" t="s">
        <v>928</v>
      </c>
      <c r="F56" s="909" t="s">
        <v>929</v>
      </c>
      <c r="G56" s="909" t="s">
        <v>841</v>
      </c>
      <c r="H56" s="909" t="s">
        <v>782</v>
      </c>
      <c r="I56" s="910">
        <v>42443</v>
      </c>
      <c r="J56" s="912"/>
      <c r="K56" s="910">
        <v>42978</v>
      </c>
      <c r="L56" s="442">
        <v>15000000</v>
      </c>
      <c r="M56">
        <v>17.833333333333332</v>
      </c>
      <c r="O56" t="s">
        <v>799</v>
      </c>
      <c r="P56">
        <f t="shared" si="0"/>
        <v>15000000</v>
      </c>
      <c r="Q56">
        <f t="shared" si="1"/>
        <v>15000000</v>
      </c>
      <c r="R56">
        <f t="shared" si="2"/>
        <v>15000000</v>
      </c>
      <c r="S56">
        <f t="shared" si="3"/>
        <v>15000000</v>
      </c>
      <c r="T56">
        <f t="shared" si="4"/>
        <v>15000000</v>
      </c>
      <c r="U56">
        <f t="shared" si="5"/>
        <v>15000000</v>
      </c>
      <c r="V56">
        <f t="shared" si="6"/>
        <v>15000000</v>
      </c>
      <c r="W56">
        <f t="shared" si="7"/>
        <v>15000000</v>
      </c>
      <c r="X56">
        <f t="shared" si="8"/>
        <v>15000000</v>
      </c>
      <c r="Y56">
        <f t="shared" si="9"/>
        <v>15000000</v>
      </c>
      <c r="Z56">
        <f t="shared" si="10"/>
        <v>15000000</v>
      </c>
      <c r="AA56">
        <f t="shared" si="11"/>
        <v>15000000</v>
      </c>
      <c r="AB56">
        <f t="shared" ref="AB56:AB98" si="12">L56</f>
        <v>15000000</v>
      </c>
    </row>
    <row r="57" spans="1:29">
      <c r="A57" s="909" t="s">
        <v>804</v>
      </c>
      <c r="B57" s="909" t="s">
        <v>930</v>
      </c>
      <c r="C57" s="909" t="s">
        <v>931</v>
      </c>
      <c r="D57" s="909"/>
      <c r="E57" s="909" t="s">
        <v>932</v>
      </c>
      <c r="F57" s="909" t="s">
        <v>933</v>
      </c>
      <c r="G57" s="909" t="s">
        <v>841</v>
      </c>
      <c r="H57" s="909" t="s">
        <v>782</v>
      </c>
      <c r="I57" s="910">
        <v>42474</v>
      </c>
      <c r="J57" s="911"/>
      <c r="K57" s="910">
        <v>43008</v>
      </c>
      <c r="L57" s="442">
        <v>15000000</v>
      </c>
      <c r="M57">
        <v>17.8</v>
      </c>
      <c r="O57" t="s">
        <v>799</v>
      </c>
      <c r="P57">
        <f t="shared" si="0"/>
        <v>15000000</v>
      </c>
      <c r="Q57">
        <f t="shared" si="1"/>
        <v>15000000</v>
      </c>
      <c r="R57">
        <f t="shared" si="2"/>
        <v>15000000</v>
      </c>
      <c r="S57">
        <f t="shared" si="3"/>
        <v>15000000</v>
      </c>
      <c r="T57">
        <f t="shared" si="4"/>
        <v>15000000</v>
      </c>
      <c r="U57">
        <f t="shared" si="5"/>
        <v>15000000</v>
      </c>
      <c r="V57">
        <f t="shared" si="6"/>
        <v>15000000</v>
      </c>
      <c r="W57">
        <f t="shared" si="7"/>
        <v>15000000</v>
      </c>
      <c r="X57">
        <f t="shared" si="8"/>
        <v>15000000</v>
      </c>
      <c r="Y57">
        <f t="shared" si="9"/>
        <v>15000000</v>
      </c>
      <c r="Z57">
        <f t="shared" si="10"/>
        <v>15000000</v>
      </c>
      <c r="AA57">
        <f t="shared" si="11"/>
        <v>15000000</v>
      </c>
      <c r="AB57">
        <f t="shared" si="12"/>
        <v>15000000</v>
      </c>
      <c r="AC57">
        <f>L57</f>
        <v>15000000</v>
      </c>
    </row>
    <row r="58" spans="1:29">
      <c r="A58" s="909" t="s">
        <v>784</v>
      </c>
      <c r="B58" s="909" t="s">
        <v>785</v>
      </c>
      <c r="C58" s="909" t="s">
        <v>786</v>
      </c>
      <c r="D58" s="909"/>
      <c r="E58" s="909" t="s">
        <v>934</v>
      </c>
      <c r="F58" s="909" t="s">
        <v>935</v>
      </c>
      <c r="G58" s="909" t="s">
        <v>841</v>
      </c>
      <c r="H58" s="909" t="s">
        <v>782</v>
      </c>
      <c r="I58" s="910">
        <v>42263</v>
      </c>
      <c r="J58" s="912"/>
      <c r="K58" s="910">
        <v>43008</v>
      </c>
      <c r="L58" s="442">
        <v>20000000</v>
      </c>
      <c r="M58">
        <v>24.833333333333332</v>
      </c>
      <c r="O58" t="s">
        <v>783</v>
      </c>
      <c r="P58">
        <f t="shared" si="0"/>
        <v>20000000</v>
      </c>
      <c r="Q58">
        <f t="shared" si="1"/>
        <v>20000000</v>
      </c>
      <c r="R58">
        <f t="shared" si="2"/>
        <v>20000000</v>
      </c>
      <c r="S58">
        <f t="shared" si="3"/>
        <v>20000000</v>
      </c>
      <c r="T58">
        <f t="shared" si="4"/>
        <v>20000000</v>
      </c>
      <c r="U58">
        <f t="shared" si="5"/>
        <v>20000000</v>
      </c>
      <c r="V58">
        <f t="shared" si="6"/>
        <v>20000000</v>
      </c>
      <c r="W58">
        <f t="shared" si="7"/>
        <v>20000000</v>
      </c>
      <c r="X58">
        <f t="shared" si="8"/>
        <v>20000000</v>
      </c>
      <c r="Y58">
        <f t="shared" si="9"/>
        <v>20000000</v>
      </c>
      <c r="Z58">
        <f t="shared" si="10"/>
        <v>20000000</v>
      </c>
      <c r="AA58">
        <f t="shared" si="11"/>
        <v>20000000</v>
      </c>
      <c r="AB58">
        <f t="shared" si="12"/>
        <v>20000000</v>
      </c>
      <c r="AC58">
        <f t="shared" ref="AC58:AC98" si="13">L58</f>
        <v>20000000</v>
      </c>
    </row>
    <row r="59" spans="1:29">
      <c r="A59" s="909" t="s">
        <v>784</v>
      </c>
      <c r="B59" s="909" t="s">
        <v>785</v>
      </c>
      <c r="C59" s="909" t="s">
        <v>786</v>
      </c>
      <c r="D59" s="909"/>
      <c r="E59" s="909" t="s">
        <v>936</v>
      </c>
      <c r="F59" s="909" t="s">
        <v>937</v>
      </c>
      <c r="G59" s="909" t="s">
        <v>841</v>
      </c>
      <c r="H59" s="909" t="s">
        <v>782</v>
      </c>
      <c r="I59" s="910">
        <v>42263</v>
      </c>
      <c r="J59" s="912"/>
      <c r="K59" s="910">
        <v>43008</v>
      </c>
      <c r="L59" s="442">
        <v>20000000</v>
      </c>
      <c r="M59">
        <v>24.833333333333332</v>
      </c>
      <c r="O59" t="s">
        <v>783</v>
      </c>
      <c r="P59">
        <f t="shared" si="0"/>
        <v>20000000</v>
      </c>
      <c r="Q59">
        <f t="shared" si="1"/>
        <v>20000000</v>
      </c>
      <c r="R59">
        <f t="shared" si="2"/>
        <v>20000000</v>
      </c>
      <c r="S59">
        <f t="shared" si="3"/>
        <v>20000000</v>
      </c>
      <c r="T59">
        <f t="shared" si="4"/>
        <v>20000000</v>
      </c>
      <c r="U59">
        <f t="shared" si="5"/>
        <v>20000000</v>
      </c>
      <c r="V59">
        <f t="shared" si="6"/>
        <v>20000000</v>
      </c>
      <c r="W59">
        <f t="shared" si="7"/>
        <v>20000000</v>
      </c>
      <c r="X59">
        <f t="shared" si="8"/>
        <v>20000000</v>
      </c>
      <c r="Y59">
        <f t="shared" si="9"/>
        <v>20000000</v>
      </c>
      <c r="Z59">
        <f t="shared" si="10"/>
        <v>20000000</v>
      </c>
      <c r="AA59">
        <f t="shared" si="11"/>
        <v>20000000</v>
      </c>
      <c r="AB59">
        <f t="shared" si="12"/>
        <v>20000000</v>
      </c>
      <c r="AC59">
        <f t="shared" si="13"/>
        <v>20000000</v>
      </c>
    </row>
    <row r="60" spans="1:29">
      <c r="A60" s="909" t="s">
        <v>784</v>
      </c>
      <c r="B60" s="909" t="s">
        <v>785</v>
      </c>
      <c r="C60" s="909" t="s">
        <v>786</v>
      </c>
      <c r="D60" s="909"/>
      <c r="E60" s="909" t="s">
        <v>938</v>
      </c>
      <c r="F60" s="909" t="s">
        <v>939</v>
      </c>
      <c r="G60" s="909" t="s">
        <v>841</v>
      </c>
      <c r="H60" s="909" t="s">
        <v>782</v>
      </c>
      <c r="I60" s="910">
        <v>42263</v>
      </c>
      <c r="J60" s="912"/>
      <c r="K60" s="910">
        <v>43008</v>
      </c>
      <c r="L60" s="442">
        <v>20000000</v>
      </c>
      <c r="M60">
        <v>24.833333333333332</v>
      </c>
      <c r="O60" t="s">
        <v>783</v>
      </c>
      <c r="P60">
        <f t="shared" si="0"/>
        <v>20000000</v>
      </c>
      <c r="Q60">
        <f t="shared" si="1"/>
        <v>20000000</v>
      </c>
      <c r="R60">
        <f t="shared" si="2"/>
        <v>20000000</v>
      </c>
      <c r="S60">
        <f t="shared" si="3"/>
        <v>20000000</v>
      </c>
      <c r="T60">
        <f t="shared" si="4"/>
        <v>20000000</v>
      </c>
      <c r="U60">
        <f t="shared" si="5"/>
        <v>20000000</v>
      </c>
      <c r="V60">
        <f t="shared" si="6"/>
        <v>20000000</v>
      </c>
      <c r="W60">
        <f t="shared" si="7"/>
        <v>20000000</v>
      </c>
      <c r="X60">
        <f t="shared" si="8"/>
        <v>20000000</v>
      </c>
      <c r="Y60">
        <f t="shared" si="9"/>
        <v>20000000</v>
      </c>
      <c r="Z60">
        <f t="shared" si="10"/>
        <v>20000000</v>
      </c>
      <c r="AA60">
        <f t="shared" si="11"/>
        <v>20000000</v>
      </c>
      <c r="AB60">
        <f t="shared" si="12"/>
        <v>20000000</v>
      </c>
      <c r="AC60">
        <f t="shared" si="13"/>
        <v>20000000</v>
      </c>
    </row>
    <row r="61" spans="1:29">
      <c r="A61" s="909" t="s">
        <v>828</v>
      </c>
      <c r="B61" s="909" t="s">
        <v>829</v>
      </c>
      <c r="C61" s="909" t="s">
        <v>884</v>
      </c>
      <c r="D61" s="909"/>
      <c r="E61" s="909" t="s">
        <v>940</v>
      </c>
      <c r="F61" s="909" t="s">
        <v>941</v>
      </c>
      <c r="G61" s="909" t="s">
        <v>841</v>
      </c>
      <c r="H61" s="909" t="s">
        <v>782</v>
      </c>
      <c r="I61" s="910">
        <v>42445</v>
      </c>
      <c r="J61" s="913"/>
      <c r="K61" s="910">
        <v>43008</v>
      </c>
      <c r="L61" s="442">
        <v>15000000</v>
      </c>
      <c r="M61">
        <v>18.766666666666666</v>
      </c>
      <c r="O61" t="s">
        <v>799</v>
      </c>
      <c r="P61">
        <f t="shared" si="0"/>
        <v>15000000</v>
      </c>
      <c r="Q61">
        <f t="shared" si="1"/>
        <v>15000000</v>
      </c>
      <c r="R61">
        <f t="shared" si="2"/>
        <v>15000000</v>
      </c>
      <c r="S61">
        <f t="shared" si="3"/>
        <v>15000000</v>
      </c>
      <c r="T61">
        <f t="shared" si="4"/>
        <v>15000000</v>
      </c>
      <c r="U61">
        <f t="shared" si="5"/>
        <v>15000000</v>
      </c>
      <c r="V61">
        <f t="shared" si="6"/>
        <v>15000000</v>
      </c>
      <c r="W61">
        <f t="shared" si="7"/>
        <v>15000000</v>
      </c>
      <c r="X61">
        <f t="shared" si="8"/>
        <v>15000000</v>
      </c>
      <c r="Y61">
        <f t="shared" si="9"/>
        <v>15000000</v>
      </c>
      <c r="Z61">
        <f t="shared" si="10"/>
        <v>15000000</v>
      </c>
      <c r="AA61">
        <f t="shared" si="11"/>
        <v>15000000</v>
      </c>
      <c r="AB61">
        <f t="shared" si="12"/>
        <v>15000000</v>
      </c>
      <c r="AC61">
        <f t="shared" si="13"/>
        <v>15000000</v>
      </c>
    </row>
    <row r="62" spans="1:29">
      <c r="A62" s="909" t="s">
        <v>784</v>
      </c>
      <c r="B62" s="909" t="s">
        <v>865</v>
      </c>
      <c r="C62" s="909" t="s">
        <v>866</v>
      </c>
      <c r="D62" s="909"/>
      <c r="E62" s="909" t="s">
        <v>942</v>
      </c>
      <c r="F62" s="909" t="s">
        <v>943</v>
      </c>
      <c r="G62" s="909" t="s">
        <v>841</v>
      </c>
      <c r="H62" s="909" t="s">
        <v>782</v>
      </c>
      <c r="I62" s="910">
        <v>42445</v>
      </c>
      <c r="J62" s="911"/>
      <c r="K62" s="910">
        <v>43008</v>
      </c>
      <c r="L62" s="442">
        <v>20000000</v>
      </c>
      <c r="M62">
        <v>18.766666666666666</v>
      </c>
      <c r="O62" t="s">
        <v>799</v>
      </c>
      <c r="P62">
        <f t="shared" si="0"/>
        <v>20000000</v>
      </c>
      <c r="Q62">
        <f t="shared" si="1"/>
        <v>20000000</v>
      </c>
      <c r="R62">
        <f t="shared" si="2"/>
        <v>20000000</v>
      </c>
      <c r="S62">
        <f t="shared" si="3"/>
        <v>20000000</v>
      </c>
      <c r="T62">
        <f t="shared" si="4"/>
        <v>20000000</v>
      </c>
      <c r="U62">
        <f t="shared" si="5"/>
        <v>20000000</v>
      </c>
      <c r="V62">
        <f t="shared" si="6"/>
        <v>20000000</v>
      </c>
      <c r="W62">
        <f t="shared" si="7"/>
        <v>20000000</v>
      </c>
      <c r="X62">
        <f t="shared" si="8"/>
        <v>20000000</v>
      </c>
      <c r="Y62">
        <f t="shared" si="9"/>
        <v>20000000</v>
      </c>
      <c r="Z62">
        <f t="shared" si="10"/>
        <v>20000000</v>
      </c>
      <c r="AA62">
        <f t="shared" si="11"/>
        <v>20000000</v>
      </c>
      <c r="AB62">
        <f t="shared" si="12"/>
        <v>20000000</v>
      </c>
      <c r="AC62">
        <f t="shared" si="13"/>
        <v>20000000</v>
      </c>
    </row>
    <row r="63" spans="1:29">
      <c r="A63" s="909" t="s">
        <v>804</v>
      </c>
      <c r="B63" s="909" t="s">
        <v>930</v>
      </c>
      <c r="C63" s="909" t="s">
        <v>944</v>
      </c>
      <c r="D63" s="909"/>
      <c r="E63" s="909" t="s">
        <v>945</v>
      </c>
      <c r="F63" s="909" t="s">
        <v>946</v>
      </c>
      <c r="G63" s="909" t="s">
        <v>841</v>
      </c>
      <c r="H63" s="909" t="s">
        <v>782</v>
      </c>
      <c r="I63" s="910">
        <v>42452</v>
      </c>
      <c r="J63" s="911"/>
      <c r="K63" s="910">
        <v>43008</v>
      </c>
      <c r="L63" s="442">
        <v>15000000</v>
      </c>
      <c r="M63">
        <v>18.533333333333335</v>
      </c>
      <c r="O63" t="s">
        <v>799</v>
      </c>
      <c r="P63">
        <f t="shared" si="0"/>
        <v>15000000</v>
      </c>
      <c r="Q63">
        <f t="shared" si="1"/>
        <v>15000000</v>
      </c>
      <c r="R63">
        <f t="shared" si="2"/>
        <v>15000000</v>
      </c>
      <c r="S63">
        <f t="shared" si="3"/>
        <v>15000000</v>
      </c>
      <c r="T63">
        <f t="shared" si="4"/>
        <v>15000000</v>
      </c>
      <c r="U63">
        <f t="shared" si="5"/>
        <v>15000000</v>
      </c>
      <c r="V63">
        <f t="shared" si="6"/>
        <v>15000000</v>
      </c>
      <c r="W63">
        <f t="shared" si="7"/>
        <v>15000000</v>
      </c>
      <c r="X63">
        <f t="shared" si="8"/>
        <v>15000000</v>
      </c>
      <c r="Y63">
        <f t="shared" si="9"/>
        <v>15000000</v>
      </c>
      <c r="Z63">
        <f t="shared" si="10"/>
        <v>15000000</v>
      </c>
      <c r="AA63">
        <f t="shared" si="11"/>
        <v>15000000</v>
      </c>
      <c r="AB63">
        <f t="shared" si="12"/>
        <v>15000000</v>
      </c>
      <c r="AC63">
        <f t="shared" si="13"/>
        <v>15000000</v>
      </c>
    </row>
    <row r="64" spans="1:29">
      <c r="A64" s="909" t="s">
        <v>784</v>
      </c>
      <c r="B64" s="909" t="s">
        <v>865</v>
      </c>
      <c r="C64" s="909" t="s">
        <v>866</v>
      </c>
      <c r="D64" s="909"/>
      <c r="E64" s="909" t="s">
        <v>947</v>
      </c>
      <c r="F64" s="909" t="s">
        <v>948</v>
      </c>
      <c r="G64" s="909" t="s">
        <v>841</v>
      </c>
      <c r="H64" s="909" t="s">
        <v>782</v>
      </c>
      <c r="I64" s="910">
        <v>42454</v>
      </c>
      <c r="J64" s="913"/>
      <c r="K64" s="910">
        <v>43008</v>
      </c>
      <c r="L64" s="442">
        <v>20000000</v>
      </c>
      <c r="M64">
        <v>18.466666666666665</v>
      </c>
      <c r="O64" t="s">
        <v>799</v>
      </c>
      <c r="P64">
        <f t="shared" si="0"/>
        <v>20000000</v>
      </c>
      <c r="Q64">
        <f t="shared" si="1"/>
        <v>20000000</v>
      </c>
      <c r="R64">
        <f t="shared" si="2"/>
        <v>20000000</v>
      </c>
      <c r="S64">
        <f t="shared" si="3"/>
        <v>20000000</v>
      </c>
      <c r="T64">
        <f t="shared" si="4"/>
        <v>20000000</v>
      </c>
      <c r="U64">
        <f t="shared" si="5"/>
        <v>20000000</v>
      </c>
      <c r="V64">
        <f t="shared" si="6"/>
        <v>20000000</v>
      </c>
      <c r="W64">
        <f t="shared" si="7"/>
        <v>20000000</v>
      </c>
      <c r="X64">
        <f t="shared" si="8"/>
        <v>20000000</v>
      </c>
      <c r="Y64">
        <f t="shared" si="9"/>
        <v>20000000</v>
      </c>
      <c r="Z64">
        <f t="shared" si="10"/>
        <v>20000000</v>
      </c>
      <c r="AA64">
        <f t="shared" si="11"/>
        <v>20000000</v>
      </c>
      <c r="AB64">
        <f t="shared" si="12"/>
        <v>20000000</v>
      </c>
      <c r="AC64">
        <f t="shared" si="13"/>
        <v>20000000</v>
      </c>
    </row>
    <row r="65" spans="1:31">
      <c r="A65" s="909" t="s">
        <v>784</v>
      </c>
      <c r="B65" s="909" t="s">
        <v>809</v>
      </c>
      <c r="C65" s="909" t="s">
        <v>810</v>
      </c>
      <c r="D65" s="909"/>
      <c r="E65" s="909" t="s">
        <v>949</v>
      </c>
      <c r="F65" s="909" t="s">
        <v>950</v>
      </c>
      <c r="G65" s="909" t="s">
        <v>841</v>
      </c>
      <c r="H65" s="909" t="s">
        <v>782</v>
      </c>
      <c r="I65" s="910">
        <v>42454</v>
      </c>
      <c r="J65" s="911"/>
      <c r="K65" s="910">
        <v>43008</v>
      </c>
      <c r="L65" s="442">
        <v>15000000</v>
      </c>
      <c r="M65">
        <v>18.466666666666665</v>
      </c>
      <c r="O65" t="s">
        <v>799</v>
      </c>
      <c r="P65">
        <f t="shared" si="0"/>
        <v>15000000</v>
      </c>
      <c r="Q65">
        <f t="shared" si="1"/>
        <v>15000000</v>
      </c>
      <c r="R65">
        <f t="shared" si="2"/>
        <v>15000000</v>
      </c>
      <c r="S65">
        <f t="shared" si="3"/>
        <v>15000000</v>
      </c>
      <c r="T65">
        <f t="shared" si="4"/>
        <v>15000000</v>
      </c>
      <c r="U65">
        <f t="shared" si="5"/>
        <v>15000000</v>
      </c>
      <c r="V65">
        <f t="shared" si="6"/>
        <v>15000000</v>
      </c>
      <c r="W65">
        <f t="shared" si="7"/>
        <v>15000000</v>
      </c>
      <c r="X65">
        <f t="shared" si="8"/>
        <v>15000000</v>
      </c>
      <c r="Y65">
        <f t="shared" si="9"/>
        <v>15000000</v>
      </c>
      <c r="Z65">
        <f t="shared" si="10"/>
        <v>15000000</v>
      </c>
      <c r="AA65">
        <f t="shared" si="11"/>
        <v>15000000</v>
      </c>
      <c r="AB65">
        <f t="shared" si="12"/>
        <v>15000000</v>
      </c>
      <c r="AC65">
        <f t="shared" si="13"/>
        <v>15000000</v>
      </c>
    </row>
    <row r="66" spans="1:31">
      <c r="A66" s="909" t="s">
        <v>817</v>
      </c>
      <c r="B66" s="909" t="s">
        <v>818</v>
      </c>
      <c r="C66" s="909" t="s">
        <v>819</v>
      </c>
      <c r="D66" s="909"/>
      <c r="E66" s="909" t="s">
        <v>951</v>
      </c>
      <c r="F66" s="909" t="s">
        <v>952</v>
      </c>
      <c r="G66" s="909" t="s">
        <v>841</v>
      </c>
      <c r="H66" s="909" t="s">
        <v>782</v>
      </c>
      <c r="I66" s="910">
        <v>42465</v>
      </c>
      <c r="J66" s="913"/>
      <c r="K66" s="910">
        <v>43008</v>
      </c>
      <c r="L66" s="442">
        <v>15000000</v>
      </c>
      <c r="M66">
        <v>18.100000000000001</v>
      </c>
      <c r="O66" t="s">
        <v>799</v>
      </c>
      <c r="P66">
        <f t="shared" ref="P66:P98" si="14">L66</f>
        <v>15000000</v>
      </c>
      <c r="Q66">
        <f t="shared" si="1"/>
        <v>15000000</v>
      </c>
      <c r="R66">
        <f t="shared" si="2"/>
        <v>15000000</v>
      </c>
      <c r="S66">
        <f t="shared" si="3"/>
        <v>15000000</v>
      </c>
      <c r="T66">
        <f t="shared" si="4"/>
        <v>15000000</v>
      </c>
      <c r="U66">
        <f t="shared" si="5"/>
        <v>15000000</v>
      </c>
      <c r="V66">
        <f t="shared" si="6"/>
        <v>15000000</v>
      </c>
      <c r="W66">
        <f t="shared" si="7"/>
        <v>15000000</v>
      </c>
      <c r="X66">
        <f t="shared" si="8"/>
        <v>15000000</v>
      </c>
      <c r="Y66">
        <f t="shared" si="9"/>
        <v>15000000</v>
      </c>
      <c r="Z66">
        <f t="shared" si="10"/>
        <v>15000000</v>
      </c>
      <c r="AA66">
        <f t="shared" si="11"/>
        <v>15000000</v>
      </c>
      <c r="AB66">
        <f t="shared" si="12"/>
        <v>15000000</v>
      </c>
      <c r="AC66">
        <f t="shared" si="13"/>
        <v>15000000</v>
      </c>
    </row>
    <row r="67" spans="1:31">
      <c r="A67" s="909" t="s">
        <v>777</v>
      </c>
      <c r="B67" s="909" t="s">
        <v>800</v>
      </c>
      <c r="C67" s="909" t="s">
        <v>907</v>
      </c>
      <c r="D67" s="909"/>
      <c r="E67" s="909" t="s">
        <v>953</v>
      </c>
      <c r="F67" s="909" t="s">
        <v>954</v>
      </c>
      <c r="G67" s="909" t="s">
        <v>628</v>
      </c>
      <c r="H67" s="909" t="s">
        <v>782</v>
      </c>
      <c r="I67" s="910">
        <v>42488</v>
      </c>
      <c r="J67" s="912"/>
      <c r="K67" s="910">
        <v>43039</v>
      </c>
      <c r="L67" s="442">
        <v>30000000</v>
      </c>
      <c r="M67">
        <v>18.366666666666667</v>
      </c>
      <c r="O67" t="s">
        <v>799</v>
      </c>
      <c r="P67">
        <f t="shared" si="14"/>
        <v>30000000</v>
      </c>
      <c r="Q67">
        <f t="shared" si="1"/>
        <v>30000000</v>
      </c>
      <c r="R67">
        <f t="shared" si="2"/>
        <v>30000000</v>
      </c>
      <c r="S67">
        <f t="shared" si="3"/>
        <v>30000000</v>
      </c>
      <c r="T67">
        <f t="shared" si="4"/>
        <v>30000000</v>
      </c>
      <c r="U67">
        <f t="shared" si="5"/>
        <v>30000000</v>
      </c>
      <c r="V67">
        <f t="shared" si="6"/>
        <v>30000000</v>
      </c>
      <c r="W67">
        <f t="shared" si="7"/>
        <v>30000000</v>
      </c>
      <c r="X67">
        <f t="shared" si="8"/>
        <v>30000000</v>
      </c>
      <c r="Y67">
        <f t="shared" si="9"/>
        <v>30000000</v>
      </c>
      <c r="Z67">
        <f t="shared" si="10"/>
        <v>30000000</v>
      </c>
      <c r="AA67">
        <f t="shared" si="11"/>
        <v>30000000</v>
      </c>
      <c r="AB67">
        <f t="shared" si="12"/>
        <v>30000000</v>
      </c>
      <c r="AC67">
        <f t="shared" si="13"/>
        <v>30000000</v>
      </c>
      <c r="AD67">
        <f>L67</f>
        <v>30000000</v>
      </c>
    </row>
    <row r="68" spans="1:31">
      <c r="A68" s="909" t="s">
        <v>784</v>
      </c>
      <c r="B68" s="909" t="s">
        <v>785</v>
      </c>
      <c r="C68" s="909" t="s">
        <v>858</v>
      </c>
      <c r="D68" s="909"/>
      <c r="E68" s="909" t="s">
        <v>955</v>
      </c>
      <c r="F68" s="909" t="s">
        <v>956</v>
      </c>
      <c r="G68" s="909" t="s">
        <v>914</v>
      </c>
      <c r="H68" s="909" t="s">
        <v>782</v>
      </c>
      <c r="I68" s="910">
        <v>42305</v>
      </c>
      <c r="J68" s="911"/>
      <c r="K68" s="910">
        <v>43039</v>
      </c>
      <c r="L68" s="442">
        <v>20000000</v>
      </c>
      <c r="M68">
        <v>24.466666666666665</v>
      </c>
      <c r="O68" t="s">
        <v>783</v>
      </c>
      <c r="P68">
        <f t="shared" si="14"/>
        <v>20000000</v>
      </c>
      <c r="Q68">
        <f t="shared" si="1"/>
        <v>20000000</v>
      </c>
      <c r="R68">
        <f t="shared" si="2"/>
        <v>20000000</v>
      </c>
      <c r="S68">
        <f t="shared" si="3"/>
        <v>20000000</v>
      </c>
      <c r="T68">
        <f t="shared" si="4"/>
        <v>20000000</v>
      </c>
      <c r="U68">
        <f t="shared" si="5"/>
        <v>20000000</v>
      </c>
      <c r="V68">
        <f t="shared" si="6"/>
        <v>20000000</v>
      </c>
      <c r="W68">
        <f t="shared" si="7"/>
        <v>20000000</v>
      </c>
      <c r="X68">
        <f t="shared" si="8"/>
        <v>20000000</v>
      </c>
      <c r="Y68">
        <f t="shared" si="9"/>
        <v>20000000</v>
      </c>
      <c r="Z68">
        <f t="shared" si="10"/>
        <v>20000000</v>
      </c>
      <c r="AA68">
        <f t="shared" si="11"/>
        <v>20000000</v>
      </c>
      <c r="AB68">
        <f t="shared" si="12"/>
        <v>20000000</v>
      </c>
      <c r="AC68">
        <f t="shared" si="13"/>
        <v>20000000</v>
      </c>
      <c r="AD68">
        <f t="shared" ref="AD68:AD98" si="15">L68</f>
        <v>20000000</v>
      </c>
    </row>
    <row r="69" spans="1:31">
      <c r="A69" s="909" t="s">
        <v>784</v>
      </c>
      <c r="B69" s="909" t="s">
        <v>809</v>
      </c>
      <c r="C69" s="909" t="s">
        <v>842</v>
      </c>
      <c r="D69" s="909"/>
      <c r="E69" s="909" t="s">
        <v>957</v>
      </c>
      <c r="F69" s="909" t="s">
        <v>958</v>
      </c>
      <c r="G69" s="909" t="s">
        <v>841</v>
      </c>
      <c r="H69" s="909" t="s">
        <v>782</v>
      </c>
      <c r="I69" s="910">
        <v>42479</v>
      </c>
      <c r="J69" s="912"/>
      <c r="K69" s="910">
        <v>43039</v>
      </c>
      <c r="L69" s="442">
        <v>15000000</v>
      </c>
      <c r="M69">
        <v>18.666666666666668</v>
      </c>
      <c r="O69" t="s">
        <v>799</v>
      </c>
      <c r="P69">
        <f t="shared" si="14"/>
        <v>15000000</v>
      </c>
      <c r="Q69">
        <f t="shared" ref="Q69:Q98" si="16">L69</f>
        <v>15000000</v>
      </c>
      <c r="R69">
        <f t="shared" si="2"/>
        <v>15000000</v>
      </c>
      <c r="S69">
        <f t="shared" si="3"/>
        <v>15000000</v>
      </c>
      <c r="T69">
        <f t="shared" si="4"/>
        <v>15000000</v>
      </c>
      <c r="U69">
        <f t="shared" si="5"/>
        <v>15000000</v>
      </c>
      <c r="V69">
        <f t="shared" si="6"/>
        <v>15000000</v>
      </c>
      <c r="W69">
        <f t="shared" si="7"/>
        <v>15000000</v>
      </c>
      <c r="X69">
        <f t="shared" si="8"/>
        <v>15000000</v>
      </c>
      <c r="Y69">
        <f t="shared" si="9"/>
        <v>15000000</v>
      </c>
      <c r="Z69">
        <f t="shared" si="10"/>
        <v>15000000</v>
      </c>
      <c r="AA69">
        <f t="shared" si="11"/>
        <v>15000000</v>
      </c>
      <c r="AB69">
        <f t="shared" si="12"/>
        <v>15000000</v>
      </c>
      <c r="AC69">
        <f t="shared" si="13"/>
        <v>15000000</v>
      </c>
      <c r="AD69">
        <f t="shared" si="15"/>
        <v>15000000</v>
      </c>
    </row>
    <row r="70" spans="1:31">
      <c r="A70" s="909" t="s">
        <v>959</v>
      </c>
      <c r="B70" s="909" t="s">
        <v>960</v>
      </c>
      <c r="C70" s="909" t="s">
        <v>961</v>
      </c>
      <c r="D70" s="909"/>
      <c r="E70" s="909" t="s">
        <v>962</v>
      </c>
      <c r="F70" s="909" t="s">
        <v>963</v>
      </c>
      <c r="G70" s="909" t="s">
        <v>841</v>
      </c>
      <c r="H70" s="909" t="s">
        <v>782</v>
      </c>
      <c r="I70" s="910">
        <v>42480</v>
      </c>
      <c r="J70" s="912"/>
      <c r="K70" s="910">
        <v>43039</v>
      </c>
      <c r="L70" s="442">
        <v>15000000</v>
      </c>
      <c r="M70">
        <v>18.633333333333333</v>
      </c>
      <c r="O70" t="s">
        <v>799</v>
      </c>
      <c r="P70">
        <f t="shared" si="14"/>
        <v>15000000</v>
      </c>
      <c r="Q70">
        <f t="shared" si="16"/>
        <v>15000000</v>
      </c>
      <c r="R70">
        <f t="shared" si="2"/>
        <v>15000000</v>
      </c>
      <c r="S70">
        <f t="shared" si="3"/>
        <v>15000000</v>
      </c>
      <c r="T70">
        <f t="shared" si="4"/>
        <v>15000000</v>
      </c>
      <c r="U70">
        <f t="shared" si="5"/>
        <v>15000000</v>
      </c>
      <c r="V70">
        <f t="shared" si="6"/>
        <v>15000000</v>
      </c>
      <c r="W70">
        <f t="shared" si="7"/>
        <v>15000000</v>
      </c>
      <c r="X70">
        <f t="shared" si="8"/>
        <v>15000000</v>
      </c>
      <c r="Y70">
        <f t="shared" si="9"/>
        <v>15000000</v>
      </c>
      <c r="Z70">
        <f t="shared" si="10"/>
        <v>15000000</v>
      </c>
      <c r="AA70">
        <f t="shared" si="11"/>
        <v>15000000</v>
      </c>
      <c r="AB70">
        <f t="shared" si="12"/>
        <v>15000000</v>
      </c>
      <c r="AC70">
        <f t="shared" si="13"/>
        <v>15000000</v>
      </c>
      <c r="AD70">
        <f t="shared" si="15"/>
        <v>15000000</v>
      </c>
    </row>
    <row r="71" spans="1:31">
      <c r="A71" s="909" t="s">
        <v>777</v>
      </c>
      <c r="B71" s="909" t="s">
        <v>800</v>
      </c>
      <c r="C71" s="909" t="s">
        <v>900</v>
      </c>
      <c r="D71" s="909"/>
      <c r="E71" s="909" t="s">
        <v>964</v>
      </c>
      <c r="F71" s="909" t="s">
        <v>965</v>
      </c>
      <c r="G71" s="909" t="s">
        <v>841</v>
      </c>
      <c r="H71" s="909" t="s">
        <v>782</v>
      </c>
      <c r="I71" s="910">
        <v>42480</v>
      </c>
      <c r="J71" s="913"/>
      <c r="K71" s="910">
        <v>43039</v>
      </c>
      <c r="L71" s="442">
        <v>15000000</v>
      </c>
      <c r="M71">
        <v>18.633333333333333</v>
      </c>
      <c r="O71" t="s">
        <v>799</v>
      </c>
      <c r="P71">
        <f t="shared" si="14"/>
        <v>15000000</v>
      </c>
      <c r="Q71">
        <f t="shared" si="16"/>
        <v>15000000</v>
      </c>
      <c r="R71">
        <f t="shared" si="2"/>
        <v>15000000</v>
      </c>
      <c r="S71">
        <f t="shared" si="3"/>
        <v>15000000</v>
      </c>
      <c r="T71">
        <f t="shared" si="4"/>
        <v>15000000</v>
      </c>
      <c r="U71">
        <f t="shared" si="5"/>
        <v>15000000</v>
      </c>
      <c r="V71">
        <f t="shared" si="6"/>
        <v>15000000</v>
      </c>
      <c r="W71">
        <f t="shared" si="7"/>
        <v>15000000</v>
      </c>
      <c r="X71">
        <f t="shared" si="8"/>
        <v>15000000</v>
      </c>
      <c r="Y71">
        <f t="shared" si="9"/>
        <v>15000000</v>
      </c>
      <c r="Z71">
        <f t="shared" si="10"/>
        <v>15000000</v>
      </c>
      <c r="AA71">
        <f t="shared" si="11"/>
        <v>15000000</v>
      </c>
      <c r="AB71">
        <f t="shared" si="12"/>
        <v>15000000</v>
      </c>
      <c r="AC71">
        <f t="shared" si="13"/>
        <v>15000000</v>
      </c>
      <c r="AD71">
        <f t="shared" si="15"/>
        <v>15000000</v>
      </c>
    </row>
    <row r="72" spans="1:31">
      <c r="A72" s="909" t="s">
        <v>777</v>
      </c>
      <c r="B72" s="909" t="s">
        <v>800</v>
      </c>
      <c r="C72" s="909" t="s">
        <v>900</v>
      </c>
      <c r="D72" s="909"/>
      <c r="E72" s="909" t="s">
        <v>966</v>
      </c>
      <c r="F72" s="909" t="s">
        <v>967</v>
      </c>
      <c r="G72" s="909" t="s">
        <v>841</v>
      </c>
      <c r="H72" s="909" t="s">
        <v>782</v>
      </c>
      <c r="I72" s="910">
        <v>42480</v>
      </c>
      <c r="J72" s="912"/>
      <c r="K72" s="910">
        <v>43039</v>
      </c>
      <c r="L72" s="442">
        <v>15000000</v>
      </c>
      <c r="M72">
        <v>18.633333333333333</v>
      </c>
      <c r="O72" t="s">
        <v>799</v>
      </c>
      <c r="P72">
        <f t="shared" si="14"/>
        <v>15000000</v>
      </c>
      <c r="Q72">
        <f t="shared" si="16"/>
        <v>15000000</v>
      </c>
      <c r="R72">
        <f t="shared" ref="R72:R98" si="17">L72</f>
        <v>15000000</v>
      </c>
      <c r="S72">
        <f t="shared" si="3"/>
        <v>15000000</v>
      </c>
      <c r="T72">
        <f t="shared" si="4"/>
        <v>15000000</v>
      </c>
      <c r="U72">
        <f t="shared" si="5"/>
        <v>15000000</v>
      </c>
      <c r="V72">
        <f t="shared" si="6"/>
        <v>15000000</v>
      </c>
      <c r="W72">
        <f t="shared" si="7"/>
        <v>15000000</v>
      </c>
      <c r="X72">
        <f t="shared" si="8"/>
        <v>15000000</v>
      </c>
      <c r="Y72">
        <f t="shared" si="9"/>
        <v>15000000</v>
      </c>
      <c r="Z72">
        <f t="shared" si="10"/>
        <v>15000000</v>
      </c>
      <c r="AA72">
        <f t="shared" si="11"/>
        <v>15000000</v>
      </c>
      <c r="AB72">
        <f t="shared" si="12"/>
        <v>15000000</v>
      </c>
      <c r="AC72">
        <f t="shared" si="13"/>
        <v>15000000</v>
      </c>
      <c r="AD72">
        <f t="shared" si="15"/>
        <v>15000000</v>
      </c>
    </row>
    <row r="73" spans="1:31">
      <c r="A73" s="909" t="s">
        <v>784</v>
      </c>
      <c r="B73" s="909" t="s">
        <v>865</v>
      </c>
      <c r="C73" s="909" t="s">
        <v>866</v>
      </c>
      <c r="D73" s="909"/>
      <c r="E73" s="909" t="s">
        <v>968</v>
      </c>
      <c r="F73" s="909" t="s">
        <v>969</v>
      </c>
      <c r="G73" s="909" t="s">
        <v>628</v>
      </c>
      <c r="H73" s="909" t="s">
        <v>782</v>
      </c>
      <c r="I73" s="910">
        <v>42496</v>
      </c>
      <c r="J73" s="913"/>
      <c r="K73" s="910">
        <v>43039</v>
      </c>
      <c r="L73" s="442">
        <v>28000000</v>
      </c>
      <c r="M73">
        <v>18.100000000000001</v>
      </c>
      <c r="O73" t="s">
        <v>783</v>
      </c>
      <c r="P73">
        <f t="shared" si="14"/>
        <v>28000000</v>
      </c>
      <c r="Q73">
        <f t="shared" si="16"/>
        <v>28000000</v>
      </c>
      <c r="R73">
        <f t="shared" si="17"/>
        <v>28000000</v>
      </c>
      <c r="S73">
        <f t="shared" ref="S73:S98" si="18">L73</f>
        <v>28000000</v>
      </c>
      <c r="T73">
        <f t="shared" si="4"/>
        <v>28000000</v>
      </c>
      <c r="U73">
        <f t="shared" si="5"/>
        <v>28000000</v>
      </c>
      <c r="V73">
        <f t="shared" si="6"/>
        <v>28000000</v>
      </c>
      <c r="W73">
        <f t="shared" si="7"/>
        <v>28000000</v>
      </c>
      <c r="X73">
        <f t="shared" si="8"/>
        <v>28000000</v>
      </c>
      <c r="Y73">
        <f t="shared" si="9"/>
        <v>28000000</v>
      </c>
      <c r="Z73">
        <f t="shared" si="10"/>
        <v>28000000</v>
      </c>
      <c r="AA73">
        <f t="shared" si="11"/>
        <v>28000000</v>
      </c>
      <c r="AB73">
        <f t="shared" si="12"/>
        <v>28000000</v>
      </c>
      <c r="AC73">
        <f t="shared" si="13"/>
        <v>28000000</v>
      </c>
      <c r="AD73">
        <f t="shared" si="15"/>
        <v>28000000</v>
      </c>
    </row>
    <row r="74" spans="1:31">
      <c r="A74" s="909" t="s">
        <v>784</v>
      </c>
      <c r="B74" s="909" t="s">
        <v>785</v>
      </c>
      <c r="C74" s="909" t="s">
        <v>786</v>
      </c>
      <c r="D74" s="909"/>
      <c r="E74" s="909" t="s">
        <v>970</v>
      </c>
      <c r="F74" s="909" t="s">
        <v>971</v>
      </c>
      <c r="G74" s="909" t="s">
        <v>841</v>
      </c>
      <c r="H74" s="909" t="s">
        <v>782</v>
      </c>
      <c r="I74" s="910">
        <v>42496</v>
      </c>
      <c r="J74" s="912"/>
      <c r="K74" s="910">
        <v>43039</v>
      </c>
      <c r="L74" s="442">
        <v>15000000</v>
      </c>
      <c r="M74">
        <v>18.100000000000001</v>
      </c>
      <c r="O74" t="s">
        <v>799</v>
      </c>
      <c r="P74">
        <f t="shared" si="14"/>
        <v>15000000</v>
      </c>
      <c r="Q74">
        <f t="shared" si="16"/>
        <v>15000000</v>
      </c>
      <c r="R74">
        <f t="shared" si="17"/>
        <v>15000000</v>
      </c>
      <c r="S74">
        <f t="shared" si="18"/>
        <v>15000000</v>
      </c>
      <c r="T74">
        <f t="shared" si="4"/>
        <v>15000000</v>
      </c>
      <c r="U74">
        <f t="shared" si="5"/>
        <v>15000000</v>
      </c>
      <c r="V74">
        <f t="shared" si="6"/>
        <v>15000000</v>
      </c>
      <c r="W74">
        <f t="shared" si="7"/>
        <v>15000000</v>
      </c>
      <c r="X74">
        <f t="shared" si="8"/>
        <v>15000000</v>
      </c>
      <c r="Y74">
        <f t="shared" si="9"/>
        <v>15000000</v>
      </c>
      <c r="Z74">
        <f t="shared" si="10"/>
        <v>15000000</v>
      </c>
      <c r="AA74">
        <f t="shared" si="11"/>
        <v>15000000</v>
      </c>
      <c r="AB74">
        <f t="shared" si="12"/>
        <v>15000000</v>
      </c>
      <c r="AC74">
        <f t="shared" si="13"/>
        <v>15000000</v>
      </c>
      <c r="AD74">
        <f t="shared" si="15"/>
        <v>15000000</v>
      </c>
    </row>
    <row r="75" spans="1:31">
      <c r="A75" s="909" t="s">
        <v>784</v>
      </c>
      <c r="B75" s="909" t="s">
        <v>809</v>
      </c>
      <c r="C75" s="909" t="s">
        <v>810</v>
      </c>
      <c r="D75" s="909"/>
      <c r="E75" s="909" t="s">
        <v>972</v>
      </c>
      <c r="F75" s="909" t="s">
        <v>973</v>
      </c>
      <c r="G75" s="909" t="s">
        <v>841</v>
      </c>
      <c r="H75" s="909" t="s">
        <v>782</v>
      </c>
      <c r="I75" s="910">
        <v>42324</v>
      </c>
      <c r="J75" s="911"/>
      <c r="K75" s="910">
        <v>43069</v>
      </c>
      <c r="L75" s="442">
        <v>15000000</v>
      </c>
      <c r="M75">
        <v>24.833333333333332</v>
      </c>
      <c r="O75" t="s">
        <v>783</v>
      </c>
      <c r="P75">
        <f t="shared" si="14"/>
        <v>15000000</v>
      </c>
      <c r="Q75">
        <f t="shared" si="16"/>
        <v>15000000</v>
      </c>
      <c r="R75">
        <f t="shared" si="17"/>
        <v>15000000</v>
      </c>
      <c r="S75">
        <f t="shared" si="18"/>
        <v>15000000</v>
      </c>
      <c r="T75">
        <f t="shared" si="4"/>
        <v>15000000</v>
      </c>
      <c r="U75">
        <f t="shared" si="5"/>
        <v>15000000</v>
      </c>
      <c r="V75">
        <f t="shared" si="6"/>
        <v>15000000</v>
      </c>
      <c r="W75">
        <f t="shared" si="7"/>
        <v>15000000</v>
      </c>
      <c r="X75">
        <f t="shared" si="8"/>
        <v>15000000</v>
      </c>
      <c r="Y75">
        <f t="shared" si="9"/>
        <v>15000000</v>
      </c>
      <c r="Z75">
        <f t="shared" si="10"/>
        <v>15000000</v>
      </c>
      <c r="AA75">
        <f t="shared" si="11"/>
        <v>15000000</v>
      </c>
      <c r="AB75">
        <f t="shared" si="12"/>
        <v>15000000</v>
      </c>
      <c r="AC75">
        <f t="shared" si="13"/>
        <v>15000000</v>
      </c>
      <c r="AD75">
        <f t="shared" si="15"/>
        <v>15000000</v>
      </c>
      <c r="AE75">
        <f>L75</f>
        <v>15000000</v>
      </c>
    </row>
    <row r="76" spans="1:31">
      <c r="A76" s="909" t="s">
        <v>817</v>
      </c>
      <c r="B76" s="909" t="s">
        <v>818</v>
      </c>
      <c r="C76" s="909" t="s">
        <v>819</v>
      </c>
      <c r="D76" s="909"/>
      <c r="E76" s="909" t="s">
        <v>974</v>
      </c>
      <c r="F76" s="909" t="s">
        <v>975</v>
      </c>
      <c r="G76" s="909" t="s">
        <v>841</v>
      </c>
      <c r="H76" s="909" t="s">
        <v>782</v>
      </c>
      <c r="I76" s="910">
        <v>42328</v>
      </c>
      <c r="J76" s="912"/>
      <c r="K76" s="910">
        <v>43069</v>
      </c>
      <c r="L76" s="442">
        <v>30000000</v>
      </c>
      <c r="M76">
        <v>24.7</v>
      </c>
      <c r="O76" t="s">
        <v>783</v>
      </c>
      <c r="P76">
        <f t="shared" si="14"/>
        <v>30000000</v>
      </c>
      <c r="Q76">
        <f t="shared" si="16"/>
        <v>30000000</v>
      </c>
      <c r="R76">
        <f t="shared" si="17"/>
        <v>30000000</v>
      </c>
      <c r="S76">
        <f t="shared" si="18"/>
        <v>30000000</v>
      </c>
      <c r="T76">
        <f t="shared" si="4"/>
        <v>30000000</v>
      </c>
      <c r="U76">
        <f t="shared" si="5"/>
        <v>30000000</v>
      </c>
      <c r="V76">
        <f t="shared" si="6"/>
        <v>30000000</v>
      </c>
      <c r="W76">
        <f t="shared" si="7"/>
        <v>30000000</v>
      </c>
      <c r="X76">
        <f t="shared" si="8"/>
        <v>30000000</v>
      </c>
      <c r="Y76">
        <f t="shared" si="9"/>
        <v>30000000</v>
      </c>
      <c r="Z76">
        <f t="shared" si="10"/>
        <v>30000000</v>
      </c>
      <c r="AA76">
        <f t="shared" si="11"/>
        <v>30000000</v>
      </c>
      <c r="AB76">
        <f t="shared" si="12"/>
        <v>30000000</v>
      </c>
      <c r="AC76">
        <f t="shared" si="13"/>
        <v>30000000</v>
      </c>
      <c r="AD76">
        <f t="shared" si="15"/>
        <v>30000000</v>
      </c>
      <c r="AE76">
        <f t="shared" ref="AE76:AE98" si="19">L76</f>
        <v>30000000</v>
      </c>
    </row>
    <row r="77" spans="1:31">
      <c r="A77" s="909" t="s">
        <v>784</v>
      </c>
      <c r="B77" s="909" t="s">
        <v>865</v>
      </c>
      <c r="C77" s="909" t="s">
        <v>976</v>
      </c>
      <c r="D77" s="909"/>
      <c r="E77" s="909" t="s">
        <v>977</v>
      </c>
      <c r="F77" s="909" t="s">
        <v>978</v>
      </c>
      <c r="G77" s="909" t="s">
        <v>914</v>
      </c>
      <c r="H77" s="909" t="s">
        <v>782</v>
      </c>
      <c r="I77" s="910">
        <v>42332</v>
      </c>
      <c r="J77" s="912"/>
      <c r="K77" s="910">
        <v>43069</v>
      </c>
      <c r="L77" s="442">
        <v>20000000</v>
      </c>
      <c r="M77">
        <v>24.566666666666666</v>
      </c>
      <c r="O77" t="s">
        <v>783</v>
      </c>
      <c r="P77">
        <f t="shared" si="14"/>
        <v>20000000</v>
      </c>
      <c r="Q77">
        <f t="shared" si="16"/>
        <v>20000000</v>
      </c>
      <c r="R77">
        <f t="shared" si="17"/>
        <v>20000000</v>
      </c>
      <c r="S77">
        <f t="shared" si="18"/>
        <v>20000000</v>
      </c>
      <c r="T77">
        <f t="shared" si="4"/>
        <v>20000000</v>
      </c>
      <c r="U77">
        <f t="shared" si="5"/>
        <v>20000000</v>
      </c>
      <c r="V77">
        <f t="shared" si="6"/>
        <v>20000000</v>
      </c>
      <c r="W77">
        <f t="shared" si="7"/>
        <v>20000000</v>
      </c>
      <c r="X77">
        <f t="shared" si="8"/>
        <v>20000000</v>
      </c>
      <c r="Y77">
        <f t="shared" si="9"/>
        <v>20000000</v>
      </c>
      <c r="Z77">
        <f t="shared" si="10"/>
        <v>20000000</v>
      </c>
      <c r="AA77">
        <f t="shared" si="11"/>
        <v>20000000</v>
      </c>
      <c r="AB77">
        <f t="shared" si="12"/>
        <v>20000000</v>
      </c>
      <c r="AC77">
        <f t="shared" si="13"/>
        <v>20000000</v>
      </c>
      <c r="AD77">
        <f t="shared" si="15"/>
        <v>20000000</v>
      </c>
      <c r="AE77">
        <f t="shared" si="19"/>
        <v>20000000</v>
      </c>
    </row>
    <row r="78" spans="1:31">
      <c r="A78" s="909" t="s">
        <v>804</v>
      </c>
      <c r="B78" s="909" t="s">
        <v>930</v>
      </c>
      <c r="C78" s="909" t="s">
        <v>944</v>
      </c>
      <c r="D78" s="909"/>
      <c r="E78" s="909" t="s">
        <v>979</v>
      </c>
      <c r="F78" s="909" t="s">
        <v>980</v>
      </c>
      <c r="G78" s="909" t="s">
        <v>841</v>
      </c>
      <c r="H78" s="909" t="s">
        <v>782</v>
      </c>
      <c r="I78" s="910">
        <v>42333</v>
      </c>
      <c r="J78" s="912"/>
      <c r="K78" s="910">
        <v>43069</v>
      </c>
      <c r="L78" s="442">
        <v>20000000</v>
      </c>
      <c r="M78">
        <v>24.533333333333335</v>
      </c>
      <c r="O78" t="s">
        <v>783</v>
      </c>
      <c r="P78">
        <f t="shared" si="14"/>
        <v>20000000</v>
      </c>
      <c r="Q78">
        <f t="shared" si="16"/>
        <v>20000000</v>
      </c>
      <c r="R78">
        <f t="shared" si="17"/>
        <v>20000000</v>
      </c>
      <c r="S78">
        <f t="shared" si="18"/>
        <v>20000000</v>
      </c>
      <c r="T78">
        <f t="shared" ref="T78:T98" si="20">L78</f>
        <v>20000000</v>
      </c>
      <c r="U78">
        <f t="shared" si="5"/>
        <v>20000000</v>
      </c>
      <c r="V78">
        <f t="shared" si="6"/>
        <v>20000000</v>
      </c>
      <c r="W78">
        <f t="shared" si="7"/>
        <v>20000000</v>
      </c>
      <c r="X78">
        <f t="shared" si="8"/>
        <v>20000000</v>
      </c>
      <c r="Y78">
        <f t="shared" si="9"/>
        <v>20000000</v>
      </c>
      <c r="Z78">
        <f t="shared" si="10"/>
        <v>20000000</v>
      </c>
      <c r="AA78">
        <f t="shared" si="11"/>
        <v>20000000</v>
      </c>
      <c r="AB78">
        <f t="shared" si="12"/>
        <v>20000000</v>
      </c>
      <c r="AC78">
        <f t="shared" si="13"/>
        <v>20000000</v>
      </c>
      <c r="AD78">
        <f t="shared" si="15"/>
        <v>20000000</v>
      </c>
      <c r="AE78">
        <f t="shared" si="19"/>
        <v>20000000</v>
      </c>
    </row>
    <row r="79" spans="1:31">
      <c r="A79" s="909" t="s">
        <v>828</v>
      </c>
      <c r="B79" s="909" t="s">
        <v>829</v>
      </c>
      <c r="C79" s="909" t="s">
        <v>884</v>
      </c>
      <c r="D79" s="909"/>
      <c r="E79" s="909" t="s">
        <v>981</v>
      </c>
      <c r="F79" s="909" t="s">
        <v>982</v>
      </c>
      <c r="G79" s="909" t="s">
        <v>841</v>
      </c>
      <c r="H79" s="909" t="s">
        <v>782</v>
      </c>
      <c r="I79" s="910">
        <v>42349</v>
      </c>
      <c r="J79" s="913"/>
      <c r="K79" s="910">
        <v>43069</v>
      </c>
      <c r="L79" s="442">
        <v>20000000</v>
      </c>
      <c r="M79">
        <v>24</v>
      </c>
      <c r="O79" t="s">
        <v>783</v>
      </c>
      <c r="P79">
        <f t="shared" si="14"/>
        <v>20000000</v>
      </c>
      <c r="Q79">
        <f t="shared" si="16"/>
        <v>20000000</v>
      </c>
      <c r="R79">
        <f t="shared" si="17"/>
        <v>20000000</v>
      </c>
      <c r="S79">
        <f t="shared" si="18"/>
        <v>20000000</v>
      </c>
      <c r="T79">
        <f t="shared" si="20"/>
        <v>20000000</v>
      </c>
      <c r="U79">
        <f t="shared" si="5"/>
        <v>20000000</v>
      </c>
      <c r="V79">
        <f t="shared" si="6"/>
        <v>20000000</v>
      </c>
      <c r="W79">
        <f t="shared" si="7"/>
        <v>20000000</v>
      </c>
      <c r="X79">
        <f t="shared" si="8"/>
        <v>20000000</v>
      </c>
      <c r="Y79">
        <f t="shared" si="9"/>
        <v>20000000</v>
      </c>
      <c r="Z79">
        <f t="shared" si="10"/>
        <v>20000000</v>
      </c>
      <c r="AA79">
        <f t="shared" si="11"/>
        <v>20000000</v>
      </c>
      <c r="AB79">
        <f t="shared" si="12"/>
        <v>20000000</v>
      </c>
      <c r="AC79">
        <f t="shared" si="13"/>
        <v>20000000</v>
      </c>
      <c r="AD79">
        <f t="shared" si="15"/>
        <v>20000000</v>
      </c>
      <c r="AE79">
        <f t="shared" si="19"/>
        <v>20000000</v>
      </c>
    </row>
    <row r="80" spans="1:31">
      <c r="A80" s="909" t="s">
        <v>784</v>
      </c>
      <c r="B80" s="909" t="s">
        <v>809</v>
      </c>
      <c r="C80" s="909" t="s">
        <v>983</v>
      </c>
      <c r="D80" s="909"/>
      <c r="E80" s="909" t="s">
        <v>984</v>
      </c>
      <c r="F80" s="909" t="s">
        <v>985</v>
      </c>
      <c r="G80" s="909" t="s">
        <v>914</v>
      </c>
      <c r="H80" s="909" t="s">
        <v>782</v>
      </c>
      <c r="I80" s="910">
        <v>42349</v>
      </c>
      <c r="J80" s="911"/>
      <c r="K80" s="910">
        <v>43069</v>
      </c>
      <c r="L80" s="442">
        <v>25000000</v>
      </c>
      <c r="M80">
        <v>24</v>
      </c>
      <c r="O80" t="s">
        <v>783</v>
      </c>
      <c r="P80">
        <f t="shared" si="14"/>
        <v>25000000</v>
      </c>
      <c r="Q80">
        <f t="shared" si="16"/>
        <v>25000000</v>
      </c>
      <c r="R80">
        <f t="shared" si="17"/>
        <v>25000000</v>
      </c>
      <c r="S80">
        <f t="shared" si="18"/>
        <v>25000000</v>
      </c>
      <c r="T80">
        <f t="shared" si="20"/>
        <v>25000000</v>
      </c>
      <c r="U80">
        <f t="shared" si="5"/>
        <v>25000000</v>
      </c>
      <c r="V80">
        <f t="shared" si="6"/>
        <v>25000000</v>
      </c>
      <c r="W80">
        <f t="shared" si="7"/>
        <v>25000000</v>
      </c>
      <c r="X80">
        <f t="shared" si="8"/>
        <v>25000000</v>
      </c>
      <c r="Y80">
        <f t="shared" si="9"/>
        <v>25000000</v>
      </c>
      <c r="Z80">
        <f t="shared" si="10"/>
        <v>25000000</v>
      </c>
      <c r="AA80">
        <f t="shared" si="11"/>
        <v>25000000</v>
      </c>
      <c r="AB80">
        <f t="shared" si="12"/>
        <v>25000000</v>
      </c>
      <c r="AC80">
        <f t="shared" si="13"/>
        <v>25000000</v>
      </c>
      <c r="AD80">
        <f t="shared" si="15"/>
        <v>25000000</v>
      </c>
      <c r="AE80">
        <f t="shared" si="19"/>
        <v>25000000</v>
      </c>
    </row>
    <row r="81" spans="1:32">
      <c r="A81" s="909" t="s">
        <v>784</v>
      </c>
      <c r="B81" s="909" t="s">
        <v>865</v>
      </c>
      <c r="C81" s="909" t="s">
        <v>976</v>
      </c>
      <c r="D81" s="909"/>
      <c r="E81" s="909" t="s">
        <v>986</v>
      </c>
      <c r="F81" s="909" t="s">
        <v>987</v>
      </c>
      <c r="G81" s="909" t="s">
        <v>914</v>
      </c>
      <c r="H81" s="909" t="s">
        <v>782</v>
      </c>
      <c r="I81" s="910">
        <v>42352</v>
      </c>
      <c r="J81" s="911"/>
      <c r="K81" s="910">
        <v>43069</v>
      </c>
      <c r="L81" s="442">
        <v>20000000</v>
      </c>
      <c r="M81">
        <v>23.9</v>
      </c>
      <c r="O81" t="s">
        <v>783</v>
      </c>
      <c r="P81">
        <f t="shared" si="14"/>
        <v>20000000</v>
      </c>
      <c r="Q81">
        <f t="shared" si="16"/>
        <v>20000000</v>
      </c>
      <c r="R81">
        <f t="shared" si="17"/>
        <v>20000000</v>
      </c>
      <c r="S81">
        <f t="shared" si="18"/>
        <v>20000000</v>
      </c>
      <c r="T81">
        <f t="shared" si="20"/>
        <v>20000000</v>
      </c>
      <c r="U81">
        <f t="shared" ref="U81:U98" si="21">L81</f>
        <v>20000000</v>
      </c>
      <c r="V81">
        <f t="shared" si="6"/>
        <v>20000000</v>
      </c>
      <c r="W81">
        <f t="shared" si="7"/>
        <v>20000000</v>
      </c>
      <c r="X81">
        <f t="shared" si="8"/>
        <v>20000000</v>
      </c>
      <c r="Y81">
        <f t="shared" si="9"/>
        <v>20000000</v>
      </c>
      <c r="Z81">
        <f t="shared" si="10"/>
        <v>20000000</v>
      </c>
      <c r="AA81">
        <f t="shared" si="11"/>
        <v>20000000</v>
      </c>
      <c r="AB81">
        <f t="shared" si="12"/>
        <v>20000000</v>
      </c>
      <c r="AC81">
        <f t="shared" si="13"/>
        <v>20000000</v>
      </c>
      <c r="AD81">
        <f t="shared" si="15"/>
        <v>20000000</v>
      </c>
      <c r="AE81">
        <f t="shared" si="19"/>
        <v>20000000</v>
      </c>
    </row>
    <row r="82" spans="1:32">
      <c r="A82" s="909" t="s">
        <v>777</v>
      </c>
      <c r="B82" s="909" t="s">
        <v>800</v>
      </c>
      <c r="C82" s="909" t="s">
        <v>801</v>
      </c>
      <c r="D82" s="909"/>
      <c r="E82" s="909" t="s">
        <v>988</v>
      </c>
      <c r="F82" s="909" t="s">
        <v>989</v>
      </c>
      <c r="G82" s="909" t="s">
        <v>841</v>
      </c>
      <c r="H82" s="909" t="s">
        <v>782</v>
      </c>
      <c r="I82" s="910">
        <v>42509</v>
      </c>
      <c r="J82" s="913"/>
      <c r="K82" s="910">
        <v>43069</v>
      </c>
      <c r="L82" s="442">
        <v>15000000</v>
      </c>
      <c r="M82">
        <v>18.666666666666668</v>
      </c>
      <c r="O82" t="s">
        <v>799</v>
      </c>
      <c r="P82">
        <f t="shared" si="14"/>
        <v>15000000</v>
      </c>
      <c r="Q82">
        <f t="shared" si="16"/>
        <v>15000000</v>
      </c>
      <c r="R82">
        <f t="shared" si="17"/>
        <v>15000000</v>
      </c>
      <c r="S82">
        <f t="shared" si="18"/>
        <v>15000000</v>
      </c>
      <c r="T82">
        <f t="shared" si="20"/>
        <v>15000000</v>
      </c>
      <c r="U82">
        <f t="shared" si="21"/>
        <v>15000000</v>
      </c>
      <c r="V82">
        <f t="shared" si="6"/>
        <v>15000000</v>
      </c>
      <c r="W82">
        <f t="shared" si="7"/>
        <v>15000000</v>
      </c>
      <c r="X82">
        <f t="shared" si="8"/>
        <v>15000000</v>
      </c>
      <c r="Y82">
        <f t="shared" si="9"/>
        <v>15000000</v>
      </c>
      <c r="Z82">
        <f t="shared" si="10"/>
        <v>15000000</v>
      </c>
      <c r="AA82">
        <f t="shared" si="11"/>
        <v>15000000</v>
      </c>
      <c r="AB82">
        <f t="shared" si="12"/>
        <v>15000000</v>
      </c>
      <c r="AC82">
        <f t="shared" si="13"/>
        <v>15000000</v>
      </c>
      <c r="AD82">
        <f t="shared" si="15"/>
        <v>15000000</v>
      </c>
      <c r="AE82">
        <f t="shared" si="19"/>
        <v>15000000</v>
      </c>
    </row>
    <row r="83" spans="1:32">
      <c r="A83" s="909" t="s">
        <v>784</v>
      </c>
      <c r="B83" s="909" t="s">
        <v>785</v>
      </c>
      <c r="C83" s="909" t="s">
        <v>786</v>
      </c>
      <c r="D83" s="909"/>
      <c r="E83" s="909" t="s">
        <v>990</v>
      </c>
      <c r="F83" s="909" t="s">
        <v>991</v>
      </c>
      <c r="G83" s="909" t="s">
        <v>841</v>
      </c>
      <c r="H83" s="909" t="s">
        <v>782</v>
      </c>
      <c r="I83" s="910">
        <v>42513</v>
      </c>
      <c r="J83" s="912"/>
      <c r="K83" s="910">
        <v>43069</v>
      </c>
      <c r="L83" s="442">
        <v>15000000</v>
      </c>
      <c r="M83">
        <v>18.533333333333335</v>
      </c>
      <c r="O83" t="s">
        <v>799</v>
      </c>
      <c r="P83">
        <f t="shared" si="14"/>
        <v>15000000</v>
      </c>
      <c r="Q83">
        <f t="shared" si="16"/>
        <v>15000000</v>
      </c>
      <c r="R83">
        <f t="shared" si="17"/>
        <v>15000000</v>
      </c>
      <c r="S83">
        <f t="shared" si="18"/>
        <v>15000000</v>
      </c>
      <c r="T83">
        <f t="shared" si="20"/>
        <v>15000000</v>
      </c>
      <c r="U83">
        <f t="shared" si="21"/>
        <v>15000000</v>
      </c>
      <c r="V83">
        <f t="shared" si="6"/>
        <v>15000000</v>
      </c>
      <c r="W83">
        <f t="shared" si="7"/>
        <v>15000000</v>
      </c>
      <c r="X83">
        <f t="shared" si="8"/>
        <v>15000000</v>
      </c>
      <c r="Y83">
        <f t="shared" si="9"/>
        <v>15000000</v>
      </c>
      <c r="Z83">
        <f t="shared" si="10"/>
        <v>15000000</v>
      </c>
      <c r="AA83">
        <f t="shared" si="11"/>
        <v>15000000</v>
      </c>
      <c r="AB83">
        <f t="shared" si="12"/>
        <v>15000000</v>
      </c>
      <c r="AC83">
        <f t="shared" si="13"/>
        <v>15000000</v>
      </c>
      <c r="AD83">
        <f t="shared" si="15"/>
        <v>15000000</v>
      </c>
      <c r="AE83">
        <f t="shared" si="19"/>
        <v>15000000</v>
      </c>
    </row>
    <row r="84" spans="1:32">
      <c r="A84" s="909" t="s">
        <v>784</v>
      </c>
      <c r="B84" s="909" t="s">
        <v>785</v>
      </c>
      <c r="C84" s="909" t="s">
        <v>992</v>
      </c>
      <c r="D84" s="909"/>
      <c r="E84" s="909" t="s">
        <v>993</v>
      </c>
      <c r="F84" s="909" t="s">
        <v>994</v>
      </c>
      <c r="G84" s="909" t="s">
        <v>841</v>
      </c>
      <c r="H84" s="909" t="s">
        <v>782</v>
      </c>
      <c r="I84" s="910">
        <v>42513</v>
      </c>
      <c r="J84" s="912"/>
      <c r="K84" s="910">
        <v>43069</v>
      </c>
      <c r="L84" s="442">
        <v>15000000</v>
      </c>
      <c r="M84">
        <v>18.533333333333335</v>
      </c>
      <c r="O84" t="s">
        <v>799</v>
      </c>
      <c r="P84">
        <f t="shared" si="14"/>
        <v>15000000</v>
      </c>
      <c r="Q84">
        <f t="shared" si="16"/>
        <v>15000000</v>
      </c>
      <c r="R84">
        <f t="shared" si="17"/>
        <v>15000000</v>
      </c>
      <c r="S84">
        <f t="shared" si="18"/>
        <v>15000000</v>
      </c>
      <c r="T84">
        <f t="shared" si="20"/>
        <v>15000000</v>
      </c>
      <c r="U84">
        <f t="shared" si="21"/>
        <v>15000000</v>
      </c>
      <c r="V84">
        <f t="shared" si="6"/>
        <v>15000000</v>
      </c>
      <c r="W84">
        <f t="shared" si="7"/>
        <v>15000000</v>
      </c>
      <c r="X84">
        <f t="shared" si="8"/>
        <v>15000000</v>
      </c>
      <c r="Y84">
        <f t="shared" si="9"/>
        <v>15000000</v>
      </c>
      <c r="Z84">
        <f t="shared" si="10"/>
        <v>15000000</v>
      </c>
      <c r="AA84">
        <f t="shared" si="11"/>
        <v>15000000</v>
      </c>
      <c r="AB84">
        <f t="shared" si="12"/>
        <v>15000000</v>
      </c>
      <c r="AC84">
        <f t="shared" si="13"/>
        <v>15000000</v>
      </c>
      <c r="AD84">
        <f t="shared" si="15"/>
        <v>15000000</v>
      </c>
      <c r="AE84">
        <f t="shared" si="19"/>
        <v>15000000</v>
      </c>
    </row>
    <row r="85" spans="1:32">
      <c r="A85" s="909" t="s">
        <v>804</v>
      </c>
      <c r="B85" s="909" t="s">
        <v>917</v>
      </c>
      <c r="C85" s="909" t="s">
        <v>995</v>
      </c>
      <c r="D85" s="909"/>
      <c r="E85" s="909" t="s">
        <v>996</v>
      </c>
      <c r="F85" s="909" t="s">
        <v>997</v>
      </c>
      <c r="G85" s="909" t="s">
        <v>841</v>
      </c>
      <c r="H85" s="909" t="s">
        <v>782</v>
      </c>
      <c r="I85" s="910">
        <v>42513</v>
      </c>
      <c r="J85" s="911"/>
      <c r="K85" s="910">
        <v>43069</v>
      </c>
      <c r="L85" s="442">
        <v>15000000</v>
      </c>
      <c r="M85">
        <v>18.533333333333335</v>
      </c>
      <c r="O85" t="s">
        <v>799</v>
      </c>
      <c r="P85">
        <f t="shared" si="14"/>
        <v>15000000</v>
      </c>
      <c r="Q85">
        <f t="shared" si="16"/>
        <v>15000000</v>
      </c>
      <c r="R85">
        <f t="shared" si="17"/>
        <v>15000000</v>
      </c>
      <c r="S85">
        <f t="shared" si="18"/>
        <v>15000000</v>
      </c>
      <c r="T85">
        <f t="shared" si="20"/>
        <v>15000000</v>
      </c>
      <c r="U85">
        <f t="shared" si="21"/>
        <v>15000000</v>
      </c>
      <c r="V85">
        <f t="shared" ref="V85:V98" si="22">L85</f>
        <v>15000000</v>
      </c>
      <c r="W85">
        <f t="shared" si="7"/>
        <v>15000000</v>
      </c>
      <c r="X85">
        <f t="shared" si="8"/>
        <v>15000000</v>
      </c>
      <c r="Y85">
        <f t="shared" si="9"/>
        <v>15000000</v>
      </c>
      <c r="Z85">
        <f t="shared" si="10"/>
        <v>15000000</v>
      </c>
      <c r="AA85">
        <f t="shared" si="11"/>
        <v>15000000</v>
      </c>
      <c r="AB85">
        <f t="shared" si="12"/>
        <v>15000000</v>
      </c>
      <c r="AC85">
        <f t="shared" si="13"/>
        <v>15000000</v>
      </c>
      <c r="AD85">
        <f t="shared" si="15"/>
        <v>15000000</v>
      </c>
      <c r="AE85">
        <f t="shared" si="19"/>
        <v>15000000</v>
      </c>
    </row>
    <row r="86" spans="1:32">
      <c r="A86" s="909" t="s">
        <v>777</v>
      </c>
      <c r="B86" s="909" t="s">
        <v>800</v>
      </c>
      <c r="C86" s="909" t="s">
        <v>907</v>
      </c>
      <c r="D86" s="909"/>
      <c r="E86" s="909" t="s">
        <v>998</v>
      </c>
      <c r="F86" s="909" t="s">
        <v>999</v>
      </c>
      <c r="G86" s="909" t="s">
        <v>841</v>
      </c>
      <c r="H86" s="909" t="s">
        <v>782</v>
      </c>
      <c r="I86" s="910">
        <v>42531</v>
      </c>
      <c r="J86" s="912"/>
      <c r="K86" s="910">
        <v>43069</v>
      </c>
      <c r="L86" s="442">
        <v>30000000</v>
      </c>
      <c r="M86">
        <v>17.933333333333334</v>
      </c>
      <c r="O86" t="s">
        <v>799</v>
      </c>
      <c r="P86">
        <f t="shared" si="14"/>
        <v>30000000</v>
      </c>
      <c r="Q86">
        <f t="shared" si="16"/>
        <v>30000000</v>
      </c>
      <c r="R86">
        <f t="shared" si="17"/>
        <v>30000000</v>
      </c>
      <c r="S86">
        <f t="shared" si="18"/>
        <v>30000000</v>
      </c>
      <c r="T86">
        <f t="shared" si="20"/>
        <v>30000000</v>
      </c>
      <c r="U86">
        <f t="shared" si="21"/>
        <v>30000000</v>
      </c>
      <c r="V86">
        <f t="shared" si="22"/>
        <v>30000000</v>
      </c>
      <c r="W86">
        <f t="shared" si="7"/>
        <v>30000000</v>
      </c>
      <c r="X86">
        <f t="shared" si="8"/>
        <v>30000000</v>
      </c>
      <c r="Y86">
        <f t="shared" si="9"/>
        <v>30000000</v>
      </c>
      <c r="Z86">
        <f t="shared" si="10"/>
        <v>30000000</v>
      </c>
      <c r="AA86">
        <f t="shared" si="11"/>
        <v>30000000</v>
      </c>
      <c r="AB86">
        <f t="shared" si="12"/>
        <v>30000000</v>
      </c>
      <c r="AC86">
        <f t="shared" si="13"/>
        <v>30000000</v>
      </c>
      <c r="AD86">
        <f t="shared" si="15"/>
        <v>30000000</v>
      </c>
      <c r="AE86">
        <f t="shared" si="19"/>
        <v>30000000</v>
      </c>
    </row>
    <row r="87" spans="1:32">
      <c r="A87" s="909" t="s">
        <v>784</v>
      </c>
      <c r="B87" s="909" t="s">
        <v>1000</v>
      </c>
      <c r="C87" s="909" t="s">
        <v>1001</v>
      </c>
      <c r="D87" s="909"/>
      <c r="E87" s="909" t="s">
        <v>1002</v>
      </c>
      <c r="F87" s="909" t="s">
        <v>1003</v>
      </c>
      <c r="G87" s="909" t="s">
        <v>628</v>
      </c>
      <c r="H87" s="909" t="s">
        <v>782</v>
      </c>
      <c r="I87" s="910">
        <v>42356</v>
      </c>
      <c r="J87" s="912"/>
      <c r="K87" s="910">
        <v>43100</v>
      </c>
      <c r="L87" s="442">
        <v>25000000</v>
      </c>
      <c r="M87">
        <v>24.8</v>
      </c>
      <c r="O87" t="s">
        <v>783</v>
      </c>
      <c r="P87">
        <f t="shared" si="14"/>
        <v>25000000</v>
      </c>
      <c r="Q87">
        <f t="shared" si="16"/>
        <v>25000000</v>
      </c>
      <c r="R87">
        <f t="shared" si="17"/>
        <v>25000000</v>
      </c>
      <c r="S87">
        <f t="shared" si="18"/>
        <v>25000000</v>
      </c>
      <c r="T87">
        <f t="shared" si="20"/>
        <v>25000000</v>
      </c>
      <c r="U87">
        <f t="shared" si="21"/>
        <v>25000000</v>
      </c>
      <c r="V87">
        <f t="shared" si="22"/>
        <v>25000000</v>
      </c>
      <c r="W87">
        <f t="shared" si="7"/>
        <v>25000000</v>
      </c>
      <c r="X87">
        <f t="shared" si="8"/>
        <v>25000000</v>
      </c>
      <c r="Y87">
        <f t="shared" si="9"/>
        <v>25000000</v>
      </c>
      <c r="Z87">
        <f t="shared" si="10"/>
        <v>25000000</v>
      </c>
      <c r="AA87">
        <f t="shared" si="11"/>
        <v>25000000</v>
      </c>
      <c r="AB87">
        <f t="shared" si="12"/>
        <v>25000000</v>
      </c>
      <c r="AC87">
        <f t="shared" si="13"/>
        <v>25000000</v>
      </c>
      <c r="AD87">
        <f t="shared" si="15"/>
        <v>25000000</v>
      </c>
      <c r="AE87">
        <f t="shared" si="19"/>
        <v>25000000</v>
      </c>
      <c r="AF87">
        <f>L87</f>
        <v>25000000</v>
      </c>
    </row>
    <row r="88" spans="1:32">
      <c r="A88" s="909" t="s">
        <v>784</v>
      </c>
      <c r="B88" s="909" t="s">
        <v>809</v>
      </c>
      <c r="C88" s="909" t="s">
        <v>810</v>
      </c>
      <c r="D88" s="909"/>
      <c r="E88" s="909" t="s">
        <v>1004</v>
      </c>
      <c r="F88" s="909" t="s">
        <v>1005</v>
      </c>
      <c r="G88" s="909" t="s">
        <v>914</v>
      </c>
      <c r="H88" s="909" t="s">
        <v>782</v>
      </c>
      <c r="I88" s="910">
        <v>42360</v>
      </c>
      <c r="J88" s="911"/>
      <c r="K88" s="910">
        <v>43100</v>
      </c>
      <c r="L88" s="442">
        <v>20000000</v>
      </c>
      <c r="M88">
        <v>24.666666666666668</v>
      </c>
      <c r="O88" t="s">
        <v>783</v>
      </c>
      <c r="P88">
        <f t="shared" si="14"/>
        <v>20000000</v>
      </c>
      <c r="Q88">
        <f t="shared" si="16"/>
        <v>20000000</v>
      </c>
      <c r="R88">
        <f t="shared" si="17"/>
        <v>20000000</v>
      </c>
      <c r="S88">
        <f t="shared" si="18"/>
        <v>20000000</v>
      </c>
      <c r="T88">
        <f t="shared" si="20"/>
        <v>20000000</v>
      </c>
      <c r="U88">
        <f t="shared" si="21"/>
        <v>20000000</v>
      </c>
      <c r="V88">
        <f t="shared" si="22"/>
        <v>20000000</v>
      </c>
      <c r="W88">
        <f t="shared" si="7"/>
        <v>20000000</v>
      </c>
      <c r="X88">
        <f t="shared" si="8"/>
        <v>20000000</v>
      </c>
      <c r="Y88">
        <f t="shared" si="9"/>
        <v>20000000</v>
      </c>
      <c r="Z88">
        <f t="shared" si="10"/>
        <v>20000000</v>
      </c>
      <c r="AA88">
        <f t="shared" si="11"/>
        <v>20000000</v>
      </c>
      <c r="AB88">
        <f t="shared" si="12"/>
        <v>20000000</v>
      </c>
      <c r="AC88">
        <f t="shared" si="13"/>
        <v>20000000</v>
      </c>
      <c r="AD88">
        <f t="shared" si="15"/>
        <v>20000000</v>
      </c>
      <c r="AE88">
        <f t="shared" si="19"/>
        <v>20000000</v>
      </c>
      <c r="AF88">
        <f t="shared" ref="AF88:AF98" si="23">L88</f>
        <v>20000000</v>
      </c>
    </row>
    <row r="89" spans="1:32">
      <c r="A89" s="909" t="s">
        <v>784</v>
      </c>
      <c r="B89" s="909" t="s">
        <v>809</v>
      </c>
      <c r="C89" s="909" t="s">
        <v>810</v>
      </c>
      <c r="D89" s="909"/>
      <c r="E89" s="909" t="s">
        <v>1006</v>
      </c>
      <c r="F89" s="909" t="s">
        <v>1007</v>
      </c>
      <c r="G89" s="909" t="s">
        <v>628</v>
      </c>
      <c r="H89" s="909" t="s">
        <v>782</v>
      </c>
      <c r="I89" s="910">
        <v>42360</v>
      </c>
      <c r="J89" s="911"/>
      <c r="K89" s="910">
        <v>43100</v>
      </c>
      <c r="L89" s="442">
        <v>25000000</v>
      </c>
      <c r="M89">
        <v>24.666666666666668</v>
      </c>
      <c r="O89" t="s">
        <v>783</v>
      </c>
      <c r="P89">
        <f t="shared" si="14"/>
        <v>25000000</v>
      </c>
      <c r="Q89">
        <f t="shared" si="16"/>
        <v>25000000</v>
      </c>
      <c r="R89">
        <f t="shared" si="17"/>
        <v>25000000</v>
      </c>
      <c r="S89">
        <f t="shared" si="18"/>
        <v>25000000</v>
      </c>
      <c r="T89">
        <f t="shared" si="20"/>
        <v>25000000</v>
      </c>
      <c r="U89">
        <f t="shared" si="21"/>
        <v>25000000</v>
      </c>
      <c r="V89">
        <f t="shared" si="22"/>
        <v>25000000</v>
      </c>
      <c r="W89">
        <f t="shared" si="7"/>
        <v>25000000</v>
      </c>
      <c r="X89">
        <f t="shared" si="8"/>
        <v>25000000</v>
      </c>
      <c r="Y89">
        <f t="shared" si="9"/>
        <v>25000000</v>
      </c>
      <c r="Z89">
        <f t="shared" si="10"/>
        <v>25000000</v>
      </c>
      <c r="AA89">
        <f t="shared" si="11"/>
        <v>25000000</v>
      </c>
      <c r="AB89">
        <f t="shared" si="12"/>
        <v>25000000</v>
      </c>
      <c r="AC89">
        <f t="shared" si="13"/>
        <v>25000000</v>
      </c>
      <c r="AD89">
        <f t="shared" si="15"/>
        <v>25000000</v>
      </c>
      <c r="AE89">
        <f t="shared" si="19"/>
        <v>25000000</v>
      </c>
      <c r="AF89">
        <f t="shared" si="23"/>
        <v>25000000</v>
      </c>
    </row>
    <row r="90" spans="1:32">
      <c r="A90" s="909" t="s">
        <v>784</v>
      </c>
      <c r="B90" s="909" t="s">
        <v>785</v>
      </c>
      <c r="C90" s="909" t="s">
        <v>858</v>
      </c>
      <c r="D90" s="909"/>
      <c r="E90" s="909" t="s">
        <v>1008</v>
      </c>
      <c r="F90" s="909" t="s">
        <v>1009</v>
      </c>
      <c r="G90" s="909" t="s">
        <v>841</v>
      </c>
      <c r="H90" s="909" t="s">
        <v>782</v>
      </c>
      <c r="I90" s="910">
        <v>42545</v>
      </c>
      <c r="J90" s="912"/>
      <c r="K90" s="910">
        <v>43100</v>
      </c>
      <c r="L90" s="442">
        <v>25000000</v>
      </c>
      <c r="M90">
        <v>18.5</v>
      </c>
      <c r="O90" t="s">
        <v>799</v>
      </c>
      <c r="P90">
        <f t="shared" si="14"/>
        <v>25000000</v>
      </c>
      <c r="Q90">
        <f t="shared" si="16"/>
        <v>25000000</v>
      </c>
      <c r="R90">
        <f t="shared" si="17"/>
        <v>25000000</v>
      </c>
      <c r="S90">
        <f t="shared" si="18"/>
        <v>25000000</v>
      </c>
      <c r="T90">
        <f t="shared" si="20"/>
        <v>25000000</v>
      </c>
      <c r="U90">
        <f t="shared" si="21"/>
        <v>25000000</v>
      </c>
      <c r="V90">
        <f t="shared" si="22"/>
        <v>25000000</v>
      </c>
      <c r="W90">
        <f t="shared" si="7"/>
        <v>25000000</v>
      </c>
      <c r="X90">
        <f t="shared" si="8"/>
        <v>25000000</v>
      </c>
      <c r="Y90">
        <f t="shared" si="9"/>
        <v>25000000</v>
      </c>
      <c r="Z90">
        <f t="shared" si="10"/>
        <v>25000000</v>
      </c>
      <c r="AA90">
        <f t="shared" si="11"/>
        <v>25000000</v>
      </c>
      <c r="AB90">
        <f t="shared" si="12"/>
        <v>25000000</v>
      </c>
      <c r="AC90">
        <f t="shared" si="13"/>
        <v>25000000</v>
      </c>
      <c r="AD90">
        <f t="shared" si="15"/>
        <v>25000000</v>
      </c>
      <c r="AE90">
        <f t="shared" si="19"/>
        <v>25000000</v>
      </c>
      <c r="AF90">
        <f t="shared" si="23"/>
        <v>25000000</v>
      </c>
    </row>
    <row r="91" spans="1:32">
      <c r="A91" s="909" t="s">
        <v>777</v>
      </c>
      <c r="B91" s="909" t="s">
        <v>800</v>
      </c>
      <c r="C91" s="909" t="s">
        <v>907</v>
      </c>
      <c r="D91" s="909"/>
      <c r="E91" s="909" t="s">
        <v>1010</v>
      </c>
      <c r="F91" s="909" t="s">
        <v>1011</v>
      </c>
      <c r="G91" s="909" t="s">
        <v>841</v>
      </c>
      <c r="H91" s="909" t="s">
        <v>782</v>
      </c>
      <c r="I91" s="910">
        <v>42549</v>
      </c>
      <c r="J91" s="911"/>
      <c r="K91" s="910">
        <v>43100</v>
      </c>
      <c r="L91" s="442">
        <v>20000000</v>
      </c>
      <c r="M91">
        <v>18.366666666666667</v>
      </c>
      <c r="O91" t="s">
        <v>799</v>
      </c>
      <c r="P91">
        <f t="shared" si="14"/>
        <v>20000000</v>
      </c>
      <c r="Q91">
        <f t="shared" si="16"/>
        <v>20000000</v>
      </c>
      <c r="R91">
        <f t="shared" si="17"/>
        <v>20000000</v>
      </c>
      <c r="S91">
        <f t="shared" si="18"/>
        <v>20000000</v>
      </c>
      <c r="T91">
        <f t="shared" si="20"/>
        <v>20000000</v>
      </c>
      <c r="U91">
        <f t="shared" si="21"/>
        <v>20000000</v>
      </c>
      <c r="V91">
        <f t="shared" si="22"/>
        <v>20000000</v>
      </c>
      <c r="W91">
        <f t="shared" si="7"/>
        <v>20000000</v>
      </c>
      <c r="X91">
        <f t="shared" si="8"/>
        <v>20000000</v>
      </c>
      <c r="Y91">
        <f t="shared" si="9"/>
        <v>20000000</v>
      </c>
      <c r="Z91">
        <f t="shared" si="10"/>
        <v>20000000</v>
      </c>
      <c r="AA91">
        <f t="shared" si="11"/>
        <v>20000000</v>
      </c>
      <c r="AB91">
        <f t="shared" si="12"/>
        <v>20000000</v>
      </c>
      <c r="AC91">
        <f t="shared" si="13"/>
        <v>20000000</v>
      </c>
      <c r="AD91">
        <f t="shared" si="15"/>
        <v>20000000</v>
      </c>
      <c r="AE91">
        <f t="shared" si="19"/>
        <v>20000000</v>
      </c>
      <c r="AF91">
        <f t="shared" si="23"/>
        <v>20000000</v>
      </c>
    </row>
    <row r="92" spans="1:32">
      <c r="A92" s="909" t="s">
        <v>784</v>
      </c>
      <c r="B92" s="909" t="s">
        <v>785</v>
      </c>
      <c r="C92" s="909" t="s">
        <v>786</v>
      </c>
      <c r="D92" s="909"/>
      <c r="E92" s="909" t="s">
        <v>1012</v>
      </c>
      <c r="F92" s="909" t="s">
        <v>1013</v>
      </c>
      <c r="G92" s="909" t="s">
        <v>841</v>
      </c>
      <c r="H92" s="909" t="s">
        <v>782</v>
      </c>
      <c r="I92" s="910">
        <v>42592</v>
      </c>
      <c r="J92" s="913"/>
      <c r="K92" s="910">
        <v>43131</v>
      </c>
      <c r="L92" s="442">
        <v>15000000</v>
      </c>
      <c r="M92">
        <v>17.966666666666665</v>
      </c>
      <c r="O92" t="s">
        <v>799</v>
      </c>
      <c r="P92">
        <f t="shared" si="14"/>
        <v>15000000</v>
      </c>
      <c r="Q92">
        <f t="shared" si="16"/>
        <v>15000000</v>
      </c>
      <c r="R92">
        <f t="shared" si="17"/>
        <v>15000000</v>
      </c>
      <c r="S92">
        <f t="shared" si="18"/>
        <v>15000000</v>
      </c>
      <c r="T92">
        <f t="shared" si="20"/>
        <v>15000000</v>
      </c>
      <c r="U92">
        <f t="shared" si="21"/>
        <v>15000000</v>
      </c>
      <c r="V92">
        <f t="shared" si="22"/>
        <v>15000000</v>
      </c>
      <c r="W92">
        <f t="shared" si="7"/>
        <v>15000000</v>
      </c>
      <c r="X92">
        <f t="shared" si="8"/>
        <v>15000000</v>
      </c>
      <c r="Y92">
        <f t="shared" si="9"/>
        <v>15000000</v>
      </c>
      <c r="Z92">
        <f t="shared" si="10"/>
        <v>15000000</v>
      </c>
      <c r="AA92">
        <f t="shared" si="11"/>
        <v>15000000</v>
      </c>
      <c r="AB92">
        <f t="shared" si="12"/>
        <v>15000000</v>
      </c>
      <c r="AC92">
        <f t="shared" si="13"/>
        <v>15000000</v>
      </c>
      <c r="AD92">
        <f t="shared" si="15"/>
        <v>15000000</v>
      </c>
      <c r="AE92">
        <f t="shared" si="19"/>
        <v>15000000</v>
      </c>
      <c r="AF92">
        <f t="shared" si="23"/>
        <v>15000000</v>
      </c>
    </row>
    <row r="93" spans="1:32">
      <c r="A93" s="909" t="s">
        <v>804</v>
      </c>
      <c r="B93" s="909" t="s">
        <v>805</v>
      </c>
      <c r="C93" s="909" t="s">
        <v>806</v>
      </c>
      <c r="D93" s="909"/>
      <c r="E93" s="909" t="s">
        <v>1014</v>
      </c>
      <c r="F93" s="909" t="s">
        <v>1015</v>
      </c>
      <c r="G93" s="909" t="s">
        <v>629</v>
      </c>
      <c r="H93" s="909" t="s">
        <v>782</v>
      </c>
      <c r="I93" s="910">
        <v>42424</v>
      </c>
      <c r="J93" s="912"/>
      <c r="K93" s="910">
        <v>43159</v>
      </c>
      <c r="L93" s="442">
        <v>20000000</v>
      </c>
      <c r="M93">
        <v>24.5</v>
      </c>
      <c r="O93" t="s">
        <v>783</v>
      </c>
      <c r="P93">
        <f t="shared" si="14"/>
        <v>20000000</v>
      </c>
      <c r="Q93">
        <f t="shared" si="16"/>
        <v>20000000</v>
      </c>
      <c r="R93">
        <f t="shared" si="17"/>
        <v>20000000</v>
      </c>
      <c r="S93">
        <f t="shared" si="18"/>
        <v>20000000</v>
      </c>
      <c r="T93">
        <f t="shared" si="20"/>
        <v>20000000</v>
      </c>
      <c r="U93">
        <f t="shared" si="21"/>
        <v>20000000</v>
      </c>
      <c r="V93">
        <f t="shared" si="22"/>
        <v>20000000</v>
      </c>
      <c r="W93">
        <f t="shared" ref="W93:W98" si="24">L93</f>
        <v>20000000</v>
      </c>
      <c r="X93">
        <f t="shared" si="8"/>
        <v>20000000</v>
      </c>
      <c r="Y93">
        <f t="shared" si="9"/>
        <v>20000000</v>
      </c>
      <c r="Z93">
        <f t="shared" si="10"/>
        <v>20000000</v>
      </c>
      <c r="AA93">
        <f t="shared" si="11"/>
        <v>20000000</v>
      </c>
      <c r="AB93">
        <f t="shared" si="12"/>
        <v>20000000</v>
      </c>
      <c r="AC93">
        <f t="shared" si="13"/>
        <v>20000000</v>
      </c>
      <c r="AD93">
        <f t="shared" si="15"/>
        <v>20000000</v>
      </c>
      <c r="AE93">
        <f t="shared" si="19"/>
        <v>20000000</v>
      </c>
      <c r="AF93">
        <f t="shared" si="23"/>
        <v>20000000</v>
      </c>
    </row>
    <row r="94" spans="1:32">
      <c r="A94" s="909" t="s">
        <v>784</v>
      </c>
      <c r="B94" s="909" t="s">
        <v>865</v>
      </c>
      <c r="C94" s="909" t="s">
        <v>866</v>
      </c>
      <c r="D94" s="909"/>
      <c r="E94" s="909" t="s">
        <v>1016</v>
      </c>
      <c r="F94" s="909" t="s">
        <v>1017</v>
      </c>
      <c r="G94" s="909" t="s">
        <v>628</v>
      </c>
      <c r="H94" s="909" t="s">
        <v>782</v>
      </c>
      <c r="I94" s="910">
        <v>42466</v>
      </c>
      <c r="J94" s="911"/>
      <c r="K94" s="910">
        <v>43190</v>
      </c>
      <c r="L94" s="442">
        <v>25000000</v>
      </c>
      <c r="M94">
        <v>24.133333333333333</v>
      </c>
      <c r="O94" t="s">
        <v>783</v>
      </c>
      <c r="P94">
        <f t="shared" si="14"/>
        <v>25000000</v>
      </c>
      <c r="Q94">
        <f t="shared" si="16"/>
        <v>25000000</v>
      </c>
      <c r="R94">
        <f t="shared" si="17"/>
        <v>25000000</v>
      </c>
      <c r="S94">
        <f t="shared" si="18"/>
        <v>25000000</v>
      </c>
      <c r="T94">
        <f t="shared" si="20"/>
        <v>25000000</v>
      </c>
      <c r="U94">
        <f t="shared" si="21"/>
        <v>25000000</v>
      </c>
      <c r="V94">
        <f t="shared" si="22"/>
        <v>25000000</v>
      </c>
      <c r="W94">
        <f t="shared" si="24"/>
        <v>25000000</v>
      </c>
      <c r="X94">
        <f t="shared" si="8"/>
        <v>25000000</v>
      </c>
      <c r="Y94">
        <f t="shared" si="9"/>
        <v>25000000</v>
      </c>
      <c r="Z94">
        <f t="shared" si="10"/>
        <v>25000000</v>
      </c>
      <c r="AA94">
        <f t="shared" si="11"/>
        <v>25000000</v>
      </c>
      <c r="AB94">
        <f t="shared" si="12"/>
        <v>25000000</v>
      </c>
      <c r="AC94">
        <f t="shared" si="13"/>
        <v>25000000</v>
      </c>
      <c r="AD94">
        <f t="shared" si="15"/>
        <v>25000000</v>
      </c>
      <c r="AE94">
        <f t="shared" si="19"/>
        <v>25000000</v>
      </c>
      <c r="AF94">
        <f t="shared" si="23"/>
        <v>25000000</v>
      </c>
    </row>
    <row r="95" spans="1:32">
      <c r="A95" s="909" t="s">
        <v>784</v>
      </c>
      <c r="B95" s="909" t="s">
        <v>809</v>
      </c>
      <c r="C95" s="909" t="s">
        <v>842</v>
      </c>
      <c r="D95" s="909"/>
      <c r="E95" s="909" t="s">
        <v>1018</v>
      </c>
      <c r="F95" s="909" t="s">
        <v>1019</v>
      </c>
      <c r="G95" s="909" t="s">
        <v>628</v>
      </c>
      <c r="H95" s="909" t="s">
        <v>782</v>
      </c>
      <c r="I95" s="910">
        <v>42367</v>
      </c>
      <c r="J95" s="912"/>
      <c r="K95" s="910">
        <v>43465</v>
      </c>
      <c r="L95" s="442">
        <v>22000000</v>
      </c>
      <c r="M95">
        <v>36.6</v>
      </c>
      <c r="O95" t="s">
        <v>783</v>
      </c>
      <c r="P95">
        <f t="shared" si="14"/>
        <v>22000000</v>
      </c>
      <c r="Q95">
        <f t="shared" si="16"/>
        <v>22000000</v>
      </c>
      <c r="R95">
        <f t="shared" si="17"/>
        <v>22000000</v>
      </c>
      <c r="S95">
        <f t="shared" si="18"/>
        <v>22000000</v>
      </c>
      <c r="T95">
        <f t="shared" si="20"/>
        <v>22000000</v>
      </c>
      <c r="U95">
        <f t="shared" si="21"/>
        <v>22000000</v>
      </c>
      <c r="V95">
        <f t="shared" si="22"/>
        <v>22000000</v>
      </c>
      <c r="W95">
        <f t="shared" si="24"/>
        <v>22000000</v>
      </c>
      <c r="X95">
        <f t="shared" si="8"/>
        <v>22000000</v>
      </c>
      <c r="Y95">
        <f t="shared" si="9"/>
        <v>22000000</v>
      </c>
      <c r="Z95">
        <f t="shared" si="10"/>
        <v>22000000</v>
      </c>
      <c r="AA95">
        <f t="shared" si="11"/>
        <v>22000000</v>
      </c>
      <c r="AB95">
        <f t="shared" si="12"/>
        <v>22000000</v>
      </c>
      <c r="AC95">
        <f t="shared" si="13"/>
        <v>22000000</v>
      </c>
      <c r="AD95">
        <f t="shared" si="15"/>
        <v>22000000</v>
      </c>
      <c r="AE95">
        <f t="shared" si="19"/>
        <v>22000000</v>
      </c>
      <c r="AF95">
        <f t="shared" si="23"/>
        <v>22000000</v>
      </c>
    </row>
    <row r="96" spans="1:32">
      <c r="A96" s="909" t="s">
        <v>784</v>
      </c>
      <c r="B96" s="909" t="s">
        <v>809</v>
      </c>
      <c r="C96" s="909" t="s">
        <v>842</v>
      </c>
      <c r="D96" s="909"/>
      <c r="E96" s="909" t="s">
        <v>1020</v>
      </c>
      <c r="F96" s="909" t="s">
        <v>1021</v>
      </c>
      <c r="G96" s="909" t="s">
        <v>841</v>
      </c>
      <c r="H96" s="909" t="s">
        <v>782</v>
      </c>
      <c r="I96" s="910">
        <v>42367</v>
      </c>
      <c r="J96" s="911"/>
      <c r="K96" s="910">
        <v>43465</v>
      </c>
      <c r="L96" s="442">
        <v>22000000</v>
      </c>
      <c r="M96">
        <v>36.6</v>
      </c>
      <c r="O96" t="s">
        <v>783</v>
      </c>
      <c r="P96">
        <f t="shared" si="14"/>
        <v>22000000</v>
      </c>
      <c r="Q96">
        <f t="shared" si="16"/>
        <v>22000000</v>
      </c>
      <c r="R96">
        <f t="shared" si="17"/>
        <v>22000000</v>
      </c>
      <c r="S96">
        <f t="shared" si="18"/>
        <v>22000000</v>
      </c>
      <c r="T96">
        <f t="shared" si="20"/>
        <v>22000000</v>
      </c>
      <c r="U96">
        <f t="shared" si="21"/>
        <v>22000000</v>
      </c>
      <c r="V96">
        <f t="shared" si="22"/>
        <v>22000000</v>
      </c>
      <c r="W96">
        <f t="shared" si="24"/>
        <v>22000000</v>
      </c>
      <c r="X96">
        <f t="shared" si="8"/>
        <v>22000000</v>
      </c>
      <c r="Y96">
        <f t="shared" si="9"/>
        <v>22000000</v>
      </c>
      <c r="Z96">
        <f t="shared" si="10"/>
        <v>22000000</v>
      </c>
      <c r="AA96">
        <f t="shared" si="11"/>
        <v>22000000</v>
      </c>
      <c r="AB96">
        <f t="shared" si="12"/>
        <v>22000000</v>
      </c>
      <c r="AC96">
        <f t="shared" si="13"/>
        <v>22000000</v>
      </c>
      <c r="AD96">
        <f t="shared" si="15"/>
        <v>22000000</v>
      </c>
      <c r="AE96">
        <f t="shared" si="19"/>
        <v>22000000</v>
      </c>
      <c r="AF96">
        <f t="shared" si="23"/>
        <v>22000000</v>
      </c>
    </row>
    <row r="97" spans="1:34">
      <c r="A97" s="909" t="s">
        <v>784</v>
      </c>
      <c r="B97" s="909" t="s">
        <v>809</v>
      </c>
      <c r="C97" s="909" t="s">
        <v>842</v>
      </c>
      <c r="D97" s="909"/>
      <c r="E97" s="909" t="s">
        <v>1022</v>
      </c>
      <c r="F97" s="909" t="s">
        <v>1023</v>
      </c>
      <c r="G97" s="909" t="s">
        <v>841</v>
      </c>
      <c r="H97" s="909" t="s">
        <v>782</v>
      </c>
      <c r="I97" s="910">
        <v>42367</v>
      </c>
      <c r="J97" s="913"/>
      <c r="K97" s="910">
        <v>43465</v>
      </c>
      <c r="L97" s="442">
        <v>22000000</v>
      </c>
      <c r="M97">
        <v>36.6</v>
      </c>
      <c r="O97" t="s">
        <v>783</v>
      </c>
      <c r="P97">
        <f t="shared" si="14"/>
        <v>22000000</v>
      </c>
      <c r="Q97">
        <f t="shared" si="16"/>
        <v>22000000</v>
      </c>
      <c r="R97">
        <f t="shared" si="17"/>
        <v>22000000</v>
      </c>
      <c r="S97">
        <f t="shared" si="18"/>
        <v>22000000</v>
      </c>
      <c r="T97">
        <f t="shared" si="20"/>
        <v>22000000</v>
      </c>
      <c r="U97">
        <f t="shared" si="21"/>
        <v>22000000</v>
      </c>
      <c r="V97">
        <f t="shared" si="22"/>
        <v>22000000</v>
      </c>
      <c r="W97">
        <f t="shared" si="24"/>
        <v>22000000</v>
      </c>
      <c r="X97">
        <f t="shared" si="8"/>
        <v>22000000</v>
      </c>
      <c r="Y97">
        <f t="shared" si="9"/>
        <v>22000000</v>
      </c>
      <c r="Z97">
        <f t="shared" si="10"/>
        <v>22000000</v>
      </c>
      <c r="AA97">
        <f t="shared" si="11"/>
        <v>22000000</v>
      </c>
      <c r="AB97">
        <f t="shared" si="12"/>
        <v>22000000</v>
      </c>
      <c r="AC97">
        <f t="shared" si="13"/>
        <v>22000000</v>
      </c>
      <c r="AD97">
        <f t="shared" si="15"/>
        <v>22000000</v>
      </c>
      <c r="AE97">
        <f t="shared" si="19"/>
        <v>22000000</v>
      </c>
      <c r="AF97">
        <f t="shared" si="23"/>
        <v>22000000</v>
      </c>
    </row>
    <row r="98" spans="1:34">
      <c r="A98" s="909" t="s">
        <v>784</v>
      </c>
      <c r="B98" s="909" t="s">
        <v>809</v>
      </c>
      <c r="C98" s="909" t="s">
        <v>842</v>
      </c>
      <c r="D98" s="909"/>
      <c r="E98" s="909" t="s">
        <v>1024</v>
      </c>
      <c r="F98" s="909" t="s">
        <v>1025</v>
      </c>
      <c r="G98" s="909" t="s">
        <v>841</v>
      </c>
      <c r="H98" s="909" t="s">
        <v>782</v>
      </c>
      <c r="I98" s="910">
        <v>42367</v>
      </c>
      <c r="J98" s="912"/>
      <c r="K98" s="910">
        <v>43465</v>
      </c>
      <c r="L98" s="442">
        <v>22000000</v>
      </c>
      <c r="M98">
        <v>36.6</v>
      </c>
      <c r="O98" t="s">
        <v>783</v>
      </c>
      <c r="P98">
        <f t="shared" si="14"/>
        <v>22000000</v>
      </c>
      <c r="Q98">
        <f t="shared" si="16"/>
        <v>22000000</v>
      </c>
      <c r="R98">
        <f t="shared" si="17"/>
        <v>22000000</v>
      </c>
      <c r="S98">
        <f t="shared" si="18"/>
        <v>22000000</v>
      </c>
      <c r="T98">
        <f t="shared" si="20"/>
        <v>22000000</v>
      </c>
      <c r="U98">
        <f t="shared" si="21"/>
        <v>22000000</v>
      </c>
      <c r="V98">
        <f t="shared" si="22"/>
        <v>22000000</v>
      </c>
      <c r="W98">
        <f t="shared" si="24"/>
        <v>22000000</v>
      </c>
      <c r="X98">
        <f t="shared" si="8"/>
        <v>22000000</v>
      </c>
      <c r="Y98">
        <f t="shared" si="9"/>
        <v>22000000</v>
      </c>
      <c r="Z98">
        <f t="shared" si="10"/>
        <v>22000000</v>
      </c>
      <c r="AA98">
        <f t="shared" si="11"/>
        <v>22000000</v>
      </c>
      <c r="AB98">
        <f t="shared" si="12"/>
        <v>22000000</v>
      </c>
      <c r="AC98">
        <f t="shared" si="13"/>
        <v>22000000</v>
      </c>
      <c r="AD98">
        <f t="shared" si="15"/>
        <v>22000000</v>
      </c>
      <c r="AE98">
        <f t="shared" si="19"/>
        <v>22000000</v>
      </c>
      <c r="AF98">
        <f t="shared" si="23"/>
        <v>22000000</v>
      </c>
    </row>
    <row r="99" spans="1:34" s="919" customFormat="1">
      <c r="A99" s="916"/>
      <c r="B99" s="916"/>
      <c r="C99" s="916"/>
      <c r="D99" s="916">
        <v>201609</v>
      </c>
      <c r="E99" s="916"/>
      <c r="F99" s="916"/>
      <c r="G99" s="916"/>
      <c r="H99" s="916"/>
      <c r="I99" s="917">
        <v>42614</v>
      </c>
      <c r="J99" s="918"/>
      <c r="K99" s="917">
        <v>43132</v>
      </c>
      <c r="L99" s="920"/>
      <c r="N99" s="920">
        <v>20000000</v>
      </c>
      <c r="O99" s="919" t="s">
        <v>799</v>
      </c>
      <c r="Q99" s="929">
        <f>N99</f>
        <v>20000000</v>
      </c>
      <c r="R99" s="929">
        <f>Q99</f>
        <v>20000000</v>
      </c>
      <c r="S99" s="929">
        <f t="shared" ref="S99:AH113" si="25">R99</f>
        <v>20000000</v>
      </c>
      <c r="T99" s="929">
        <f t="shared" si="25"/>
        <v>20000000</v>
      </c>
      <c r="U99" s="929">
        <f t="shared" si="25"/>
        <v>20000000</v>
      </c>
      <c r="V99" s="929">
        <f t="shared" si="25"/>
        <v>20000000</v>
      </c>
      <c r="W99" s="929">
        <f t="shared" si="25"/>
        <v>20000000</v>
      </c>
      <c r="X99" s="929">
        <f t="shared" si="25"/>
        <v>20000000</v>
      </c>
      <c r="Y99" s="929">
        <f t="shared" si="25"/>
        <v>20000000</v>
      </c>
      <c r="Z99" s="929">
        <f t="shared" si="25"/>
        <v>20000000</v>
      </c>
      <c r="AA99" s="929">
        <f t="shared" si="25"/>
        <v>20000000</v>
      </c>
      <c r="AB99" s="929">
        <f t="shared" si="25"/>
        <v>20000000</v>
      </c>
      <c r="AC99" s="929">
        <f t="shared" si="25"/>
        <v>20000000</v>
      </c>
      <c r="AD99" s="929">
        <f t="shared" si="25"/>
        <v>20000000</v>
      </c>
      <c r="AE99" s="929">
        <f t="shared" si="25"/>
        <v>20000000</v>
      </c>
      <c r="AF99" s="929">
        <f t="shared" si="25"/>
        <v>20000000</v>
      </c>
      <c r="AG99" s="929">
        <f t="shared" si="25"/>
        <v>20000000</v>
      </c>
      <c r="AH99" s="929">
        <f t="shared" si="25"/>
        <v>20000000</v>
      </c>
    </row>
    <row r="100" spans="1:34" s="919" customFormat="1">
      <c r="A100" s="916"/>
      <c r="B100" s="916"/>
      <c r="C100" s="916"/>
      <c r="D100" s="916">
        <v>201609</v>
      </c>
      <c r="E100" s="916"/>
      <c r="F100" s="916"/>
      <c r="G100" s="916"/>
      <c r="H100" s="916"/>
      <c r="I100" s="917">
        <v>42614</v>
      </c>
      <c r="J100" s="918"/>
      <c r="K100" s="917">
        <v>43132</v>
      </c>
      <c r="L100" s="920"/>
      <c r="N100" s="920">
        <v>30000000</v>
      </c>
      <c r="O100" s="919" t="s">
        <v>799</v>
      </c>
      <c r="Q100" s="929">
        <f t="shared" ref="Q100:Q113" si="26">N100</f>
        <v>30000000</v>
      </c>
      <c r="R100" s="929">
        <f t="shared" ref="R100:AG113" si="27">Q100</f>
        <v>30000000</v>
      </c>
      <c r="S100" s="929">
        <f t="shared" si="27"/>
        <v>30000000</v>
      </c>
      <c r="T100" s="929">
        <f t="shared" si="27"/>
        <v>30000000</v>
      </c>
      <c r="U100" s="929">
        <f t="shared" si="27"/>
        <v>30000000</v>
      </c>
      <c r="V100" s="929">
        <f t="shared" si="27"/>
        <v>30000000</v>
      </c>
      <c r="W100" s="929">
        <f t="shared" si="27"/>
        <v>30000000</v>
      </c>
      <c r="X100" s="929">
        <f t="shared" si="27"/>
        <v>30000000</v>
      </c>
      <c r="Y100" s="929">
        <f t="shared" si="27"/>
        <v>30000000</v>
      </c>
      <c r="Z100" s="929">
        <f t="shared" si="27"/>
        <v>30000000</v>
      </c>
      <c r="AA100" s="929">
        <f t="shared" si="27"/>
        <v>30000000</v>
      </c>
      <c r="AB100" s="929">
        <f t="shared" si="27"/>
        <v>30000000</v>
      </c>
      <c r="AC100" s="929">
        <f t="shared" si="27"/>
        <v>30000000</v>
      </c>
      <c r="AD100" s="929">
        <f t="shared" si="27"/>
        <v>30000000</v>
      </c>
      <c r="AE100" s="929">
        <f t="shared" si="27"/>
        <v>30000000</v>
      </c>
      <c r="AF100" s="929">
        <f t="shared" si="27"/>
        <v>30000000</v>
      </c>
      <c r="AG100" s="929">
        <f t="shared" si="27"/>
        <v>30000000</v>
      </c>
      <c r="AH100" s="929">
        <f t="shared" si="25"/>
        <v>30000000</v>
      </c>
    </row>
    <row r="101" spans="1:34" s="919" customFormat="1">
      <c r="A101" s="916"/>
      <c r="B101" s="916"/>
      <c r="C101" s="916"/>
      <c r="D101" s="916">
        <v>201609</v>
      </c>
      <c r="E101" s="916"/>
      <c r="F101" s="916"/>
      <c r="G101" s="916"/>
      <c r="H101" s="916"/>
      <c r="I101" s="917">
        <v>42614</v>
      </c>
      <c r="J101" s="918"/>
      <c r="K101" s="917">
        <v>43132</v>
      </c>
      <c r="L101" s="920"/>
      <c r="N101" s="920">
        <v>15000000</v>
      </c>
      <c r="O101" s="919" t="s">
        <v>799</v>
      </c>
      <c r="Q101" s="929">
        <f t="shared" si="26"/>
        <v>15000000</v>
      </c>
      <c r="R101" s="929">
        <f t="shared" si="27"/>
        <v>15000000</v>
      </c>
      <c r="S101" s="929">
        <f t="shared" si="25"/>
        <v>15000000</v>
      </c>
      <c r="T101" s="929">
        <f t="shared" si="25"/>
        <v>15000000</v>
      </c>
      <c r="U101" s="929">
        <f t="shared" si="25"/>
        <v>15000000</v>
      </c>
      <c r="V101" s="929">
        <f t="shared" si="25"/>
        <v>15000000</v>
      </c>
      <c r="W101" s="929">
        <f t="shared" si="25"/>
        <v>15000000</v>
      </c>
      <c r="X101" s="929">
        <f t="shared" si="25"/>
        <v>15000000</v>
      </c>
      <c r="Y101" s="929">
        <f t="shared" si="25"/>
        <v>15000000</v>
      </c>
      <c r="Z101" s="929">
        <f t="shared" si="25"/>
        <v>15000000</v>
      </c>
      <c r="AA101" s="929">
        <f t="shared" si="25"/>
        <v>15000000</v>
      </c>
      <c r="AB101" s="929">
        <f t="shared" si="25"/>
        <v>15000000</v>
      </c>
      <c r="AC101" s="929">
        <f t="shared" si="25"/>
        <v>15000000</v>
      </c>
      <c r="AD101" s="929">
        <f t="shared" si="25"/>
        <v>15000000</v>
      </c>
      <c r="AE101" s="929">
        <f t="shared" si="25"/>
        <v>15000000</v>
      </c>
      <c r="AF101" s="929">
        <f t="shared" si="25"/>
        <v>15000000</v>
      </c>
      <c r="AG101" s="929">
        <f t="shared" si="25"/>
        <v>15000000</v>
      </c>
      <c r="AH101" s="929">
        <f t="shared" si="25"/>
        <v>15000000</v>
      </c>
    </row>
    <row r="102" spans="1:34" s="919" customFormat="1">
      <c r="A102" s="916"/>
      <c r="B102" s="916"/>
      <c r="C102" s="916"/>
      <c r="D102" s="916">
        <v>201609</v>
      </c>
      <c r="E102" s="916"/>
      <c r="F102" s="916"/>
      <c r="G102" s="916"/>
      <c r="H102" s="916"/>
      <c r="I102" s="917">
        <v>42614</v>
      </c>
      <c r="J102" s="918"/>
      <c r="K102" s="917">
        <v>43132</v>
      </c>
      <c r="L102" s="920"/>
      <c r="N102" s="920">
        <v>15000000</v>
      </c>
      <c r="O102" s="919" t="s">
        <v>799</v>
      </c>
      <c r="Q102" s="929">
        <f t="shared" si="26"/>
        <v>15000000</v>
      </c>
      <c r="R102" s="929">
        <f t="shared" si="27"/>
        <v>15000000</v>
      </c>
      <c r="S102" s="929">
        <f t="shared" si="25"/>
        <v>15000000</v>
      </c>
      <c r="T102" s="929">
        <f t="shared" si="25"/>
        <v>15000000</v>
      </c>
      <c r="U102" s="929">
        <f t="shared" si="25"/>
        <v>15000000</v>
      </c>
      <c r="V102" s="929">
        <f t="shared" si="25"/>
        <v>15000000</v>
      </c>
      <c r="W102" s="929">
        <f t="shared" si="25"/>
        <v>15000000</v>
      </c>
      <c r="X102" s="929">
        <f t="shared" si="25"/>
        <v>15000000</v>
      </c>
      <c r="Y102" s="929">
        <f t="shared" si="25"/>
        <v>15000000</v>
      </c>
      <c r="Z102" s="929">
        <f t="shared" si="25"/>
        <v>15000000</v>
      </c>
      <c r="AA102" s="929">
        <f t="shared" si="25"/>
        <v>15000000</v>
      </c>
      <c r="AB102" s="929">
        <f t="shared" si="25"/>
        <v>15000000</v>
      </c>
      <c r="AC102" s="929">
        <f t="shared" si="25"/>
        <v>15000000</v>
      </c>
      <c r="AD102" s="929">
        <f t="shared" si="25"/>
        <v>15000000</v>
      </c>
      <c r="AE102" s="929">
        <f t="shared" si="25"/>
        <v>15000000</v>
      </c>
      <c r="AF102" s="929">
        <f t="shared" si="25"/>
        <v>15000000</v>
      </c>
      <c r="AG102" s="929">
        <f t="shared" si="25"/>
        <v>15000000</v>
      </c>
      <c r="AH102" s="929">
        <f t="shared" si="25"/>
        <v>15000000</v>
      </c>
    </row>
    <row r="103" spans="1:34" s="919" customFormat="1">
      <c r="A103" s="916"/>
      <c r="B103" s="916"/>
      <c r="C103" s="916"/>
      <c r="D103" s="916">
        <v>201609</v>
      </c>
      <c r="E103" s="916"/>
      <c r="F103" s="916"/>
      <c r="G103" s="916"/>
      <c r="H103" s="916"/>
      <c r="I103" s="917">
        <v>42614</v>
      </c>
      <c r="J103" s="918"/>
      <c r="K103" s="917">
        <v>43132</v>
      </c>
      <c r="L103" s="920"/>
      <c r="N103" s="920">
        <v>15000000</v>
      </c>
      <c r="O103" s="919" t="s">
        <v>799</v>
      </c>
      <c r="Q103" s="929">
        <f t="shared" si="26"/>
        <v>15000000</v>
      </c>
      <c r="R103" s="929">
        <f t="shared" si="27"/>
        <v>15000000</v>
      </c>
      <c r="S103" s="929">
        <f t="shared" si="25"/>
        <v>15000000</v>
      </c>
      <c r="T103" s="929">
        <f t="shared" si="25"/>
        <v>15000000</v>
      </c>
      <c r="U103" s="929">
        <f t="shared" si="25"/>
        <v>15000000</v>
      </c>
      <c r="V103" s="929">
        <f t="shared" si="25"/>
        <v>15000000</v>
      </c>
      <c r="W103" s="929">
        <f t="shared" si="25"/>
        <v>15000000</v>
      </c>
      <c r="X103" s="929">
        <f t="shared" si="25"/>
        <v>15000000</v>
      </c>
      <c r="Y103" s="929">
        <f t="shared" si="25"/>
        <v>15000000</v>
      </c>
      <c r="Z103" s="929">
        <f t="shared" si="25"/>
        <v>15000000</v>
      </c>
      <c r="AA103" s="929">
        <f t="shared" si="25"/>
        <v>15000000</v>
      </c>
      <c r="AB103" s="929">
        <f t="shared" si="25"/>
        <v>15000000</v>
      </c>
      <c r="AC103" s="929">
        <f t="shared" si="25"/>
        <v>15000000</v>
      </c>
      <c r="AD103" s="929">
        <f t="shared" si="25"/>
        <v>15000000</v>
      </c>
      <c r="AE103" s="929">
        <f t="shared" si="25"/>
        <v>15000000</v>
      </c>
      <c r="AF103" s="929">
        <f t="shared" si="25"/>
        <v>15000000</v>
      </c>
      <c r="AG103" s="929">
        <f t="shared" si="25"/>
        <v>15000000</v>
      </c>
      <c r="AH103" s="929">
        <f t="shared" si="25"/>
        <v>15000000</v>
      </c>
    </row>
    <row r="104" spans="1:34" s="919" customFormat="1">
      <c r="A104" s="916"/>
      <c r="B104" s="916"/>
      <c r="C104" s="916"/>
      <c r="D104" s="916">
        <v>201609</v>
      </c>
      <c r="E104" s="916"/>
      <c r="F104" s="916"/>
      <c r="G104" s="916"/>
      <c r="H104" s="916"/>
      <c r="I104" s="917">
        <v>42614</v>
      </c>
      <c r="J104" s="918"/>
      <c r="K104" s="917">
        <v>43132</v>
      </c>
      <c r="L104" s="920"/>
      <c r="N104" s="920">
        <v>15000000</v>
      </c>
      <c r="O104" s="919" t="s">
        <v>799</v>
      </c>
      <c r="Q104" s="929">
        <f t="shared" si="26"/>
        <v>15000000</v>
      </c>
      <c r="R104" s="929">
        <f t="shared" si="27"/>
        <v>15000000</v>
      </c>
      <c r="S104" s="929">
        <f t="shared" si="25"/>
        <v>15000000</v>
      </c>
      <c r="T104" s="929">
        <f t="shared" si="25"/>
        <v>15000000</v>
      </c>
      <c r="U104" s="929">
        <f t="shared" si="25"/>
        <v>15000000</v>
      </c>
      <c r="V104" s="929">
        <f t="shared" si="25"/>
        <v>15000000</v>
      </c>
      <c r="W104" s="929">
        <f t="shared" si="25"/>
        <v>15000000</v>
      </c>
      <c r="X104" s="929">
        <f t="shared" si="25"/>
        <v>15000000</v>
      </c>
      <c r="Y104" s="929">
        <f t="shared" si="25"/>
        <v>15000000</v>
      </c>
      <c r="Z104" s="929">
        <f t="shared" si="25"/>
        <v>15000000</v>
      </c>
      <c r="AA104" s="929">
        <f t="shared" si="25"/>
        <v>15000000</v>
      </c>
      <c r="AB104" s="929">
        <f t="shared" si="25"/>
        <v>15000000</v>
      </c>
      <c r="AC104" s="929">
        <f t="shared" si="25"/>
        <v>15000000</v>
      </c>
      <c r="AD104" s="929">
        <f t="shared" si="25"/>
        <v>15000000</v>
      </c>
      <c r="AE104" s="929">
        <f t="shared" si="25"/>
        <v>15000000</v>
      </c>
      <c r="AF104" s="929">
        <f t="shared" si="25"/>
        <v>15000000</v>
      </c>
      <c r="AG104" s="929">
        <f t="shared" si="25"/>
        <v>15000000</v>
      </c>
      <c r="AH104" s="929">
        <f t="shared" si="25"/>
        <v>15000000</v>
      </c>
    </row>
    <row r="105" spans="1:34" s="919" customFormat="1">
      <c r="A105" s="916"/>
      <c r="B105" s="916"/>
      <c r="C105" s="916"/>
      <c r="D105" s="916">
        <v>201609</v>
      </c>
      <c r="E105" s="916"/>
      <c r="F105" s="916"/>
      <c r="G105" s="916"/>
      <c r="H105" s="916"/>
      <c r="I105" s="917">
        <v>42614</v>
      </c>
      <c r="J105" s="918"/>
      <c r="K105" s="917">
        <v>43132</v>
      </c>
      <c r="L105" s="920"/>
      <c r="N105" s="920">
        <v>15000000</v>
      </c>
      <c r="O105" s="919" t="s">
        <v>799</v>
      </c>
      <c r="Q105" s="929">
        <f t="shared" si="26"/>
        <v>15000000</v>
      </c>
      <c r="R105" s="929">
        <f t="shared" si="27"/>
        <v>15000000</v>
      </c>
      <c r="S105" s="929">
        <f t="shared" si="25"/>
        <v>15000000</v>
      </c>
      <c r="T105" s="929">
        <f t="shared" si="25"/>
        <v>15000000</v>
      </c>
      <c r="U105" s="929">
        <f t="shared" si="25"/>
        <v>15000000</v>
      </c>
      <c r="V105" s="929">
        <f t="shared" si="25"/>
        <v>15000000</v>
      </c>
      <c r="W105" s="929">
        <f t="shared" si="25"/>
        <v>15000000</v>
      </c>
      <c r="X105" s="929">
        <f t="shared" si="25"/>
        <v>15000000</v>
      </c>
      <c r="Y105" s="929">
        <f t="shared" si="25"/>
        <v>15000000</v>
      </c>
      <c r="Z105" s="929">
        <f t="shared" si="25"/>
        <v>15000000</v>
      </c>
      <c r="AA105" s="929">
        <f t="shared" si="25"/>
        <v>15000000</v>
      </c>
      <c r="AB105" s="929">
        <f t="shared" si="25"/>
        <v>15000000</v>
      </c>
      <c r="AC105" s="929">
        <f t="shared" si="25"/>
        <v>15000000</v>
      </c>
      <c r="AD105" s="929">
        <f t="shared" si="25"/>
        <v>15000000</v>
      </c>
      <c r="AE105" s="929">
        <f t="shared" si="25"/>
        <v>15000000</v>
      </c>
      <c r="AF105" s="929">
        <f t="shared" si="25"/>
        <v>15000000</v>
      </c>
      <c r="AG105" s="929">
        <f t="shared" si="25"/>
        <v>15000000</v>
      </c>
      <c r="AH105" s="929">
        <f t="shared" si="25"/>
        <v>15000000</v>
      </c>
    </row>
    <row r="106" spans="1:34" s="919" customFormat="1">
      <c r="A106" s="916"/>
      <c r="B106" s="916"/>
      <c r="C106" s="916"/>
      <c r="D106" s="916">
        <v>201609</v>
      </c>
      <c r="E106" s="916"/>
      <c r="F106" s="916"/>
      <c r="G106" s="916"/>
      <c r="H106" s="916"/>
      <c r="I106" s="917">
        <v>42614</v>
      </c>
      <c r="J106" s="918"/>
      <c r="K106" s="917">
        <v>43132</v>
      </c>
      <c r="L106" s="920"/>
      <c r="N106" s="920">
        <v>15000000</v>
      </c>
      <c r="O106" s="919" t="s">
        <v>799</v>
      </c>
      <c r="Q106" s="929">
        <f t="shared" si="26"/>
        <v>15000000</v>
      </c>
      <c r="R106" s="929">
        <f t="shared" si="27"/>
        <v>15000000</v>
      </c>
      <c r="S106" s="929">
        <f t="shared" si="25"/>
        <v>15000000</v>
      </c>
      <c r="T106" s="929">
        <f t="shared" si="25"/>
        <v>15000000</v>
      </c>
      <c r="U106" s="929">
        <f t="shared" si="25"/>
        <v>15000000</v>
      </c>
      <c r="V106" s="929">
        <f t="shared" si="25"/>
        <v>15000000</v>
      </c>
      <c r="W106" s="929">
        <f t="shared" si="25"/>
        <v>15000000</v>
      </c>
      <c r="X106" s="929">
        <f t="shared" si="25"/>
        <v>15000000</v>
      </c>
      <c r="Y106" s="929">
        <f t="shared" si="25"/>
        <v>15000000</v>
      </c>
      <c r="Z106" s="929">
        <f t="shared" si="25"/>
        <v>15000000</v>
      </c>
      <c r="AA106" s="929">
        <f t="shared" si="25"/>
        <v>15000000</v>
      </c>
      <c r="AB106" s="929">
        <f t="shared" si="25"/>
        <v>15000000</v>
      </c>
      <c r="AC106" s="929">
        <f t="shared" si="25"/>
        <v>15000000</v>
      </c>
      <c r="AD106" s="929">
        <f t="shared" si="25"/>
        <v>15000000</v>
      </c>
      <c r="AE106" s="929">
        <f t="shared" si="25"/>
        <v>15000000</v>
      </c>
      <c r="AF106" s="929">
        <f t="shared" si="25"/>
        <v>15000000</v>
      </c>
      <c r="AG106" s="929">
        <f t="shared" si="25"/>
        <v>15000000</v>
      </c>
      <c r="AH106" s="929">
        <f t="shared" si="25"/>
        <v>15000000</v>
      </c>
    </row>
    <row r="107" spans="1:34" s="919" customFormat="1">
      <c r="A107" s="916"/>
      <c r="B107" s="916"/>
      <c r="C107" s="916"/>
      <c r="D107" s="916">
        <v>201609</v>
      </c>
      <c r="E107" s="916"/>
      <c r="F107" s="916"/>
      <c r="G107" s="916"/>
      <c r="H107" s="916"/>
      <c r="I107" s="917">
        <v>42614</v>
      </c>
      <c r="J107" s="918"/>
      <c r="K107" s="917">
        <v>43132</v>
      </c>
      <c r="L107" s="920"/>
      <c r="N107" s="920">
        <v>15000000</v>
      </c>
      <c r="O107" s="919" t="s">
        <v>799</v>
      </c>
      <c r="Q107" s="929">
        <f t="shared" si="26"/>
        <v>15000000</v>
      </c>
      <c r="R107" s="929">
        <f t="shared" si="27"/>
        <v>15000000</v>
      </c>
      <c r="S107" s="929">
        <f t="shared" si="25"/>
        <v>15000000</v>
      </c>
      <c r="T107" s="929">
        <f t="shared" si="25"/>
        <v>15000000</v>
      </c>
      <c r="U107" s="929">
        <f t="shared" si="25"/>
        <v>15000000</v>
      </c>
      <c r="V107" s="929">
        <f t="shared" si="25"/>
        <v>15000000</v>
      </c>
      <c r="W107" s="929">
        <f t="shared" si="25"/>
        <v>15000000</v>
      </c>
      <c r="X107" s="929">
        <f t="shared" si="25"/>
        <v>15000000</v>
      </c>
      <c r="Y107" s="929">
        <f t="shared" si="25"/>
        <v>15000000</v>
      </c>
      <c r="Z107" s="929">
        <f t="shared" si="25"/>
        <v>15000000</v>
      </c>
      <c r="AA107" s="929">
        <f t="shared" si="25"/>
        <v>15000000</v>
      </c>
      <c r="AB107" s="929">
        <f t="shared" si="25"/>
        <v>15000000</v>
      </c>
      <c r="AC107" s="929">
        <f t="shared" si="25"/>
        <v>15000000</v>
      </c>
      <c r="AD107" s="929">
        <f t="shared" si="25"/>
        <v>15000000</v>
      </c>
      <c r="AE107" s="929">
        <f t="shared" si="25"/>
        <v>15000000</v>
      </c>
      <c r="AF107" s="929">
        <f t="shared" si="25"/>
        <v>15000000</v>
      </c>
      <c r="AG107" s="929">
        <f t="shared" si="25"/>
        <v>15000000</v>
      </c>
      <c r="AH107" s="929">
        <f t="shared" si="25"/>
        <v>15000000</v>
      </c>
    </row>
    <row r="108" spans="1:34" s="919" customFormat="1">
      <c r="D108" s="916">
        <v>201609</v>
      </c>
      <c r="I108" s="917">
        <v>42614</v>
      </c>
      <c r="J108" s="918"/>
      <c r="K108" s="917">
        <v>43132</v>
      </c>
      <c r="L108" s="920"/>
      <c r="N108" s="920">
        <v>15000000</v>
      </c>
      <c r="O108" s="919" t="s">
        <v>799</v>
      </c>
      <c r="Q108" s="929">
        <f t="shared" si="26"/>
        <v>15000000</v>
      </c>
      <c r="R108" s="929">
        <f t="shared" si="27"/>
        <v>15000000</v>
      </c>
      <c r="S108" s="929">
        <f t="shared" si="25"/>
        <v>15000000</v>
      </c>
      <c r="T108" s="929">
        <f t="shared" si="25"/>
        <v>15000000</v>
      </c>
      <c r="U108" s="929">
        <f t="shared" si="25"/>
        <v>15000000</v>
      </c>
      <c r="V108" s="929">
        <f t="shared" si="25"/>
        <v>15000000</v>
      </c>
      <c r="W108" s="929">
        <f t="shared" si="25"/>
        <v>15000000</v>
      </c>
      <c r="X108" s="929">
        <f t="shared" si="25"/>
        <v>15000000</v>
      </c>
      <c r="Y108" s="929">
        <f t="shared" si="25"/>
        <v>15000000</v>
      </c>
      <c r="Z108" s="929">
        <f t="shared" si="25"/>
        <v>15000000</v>
      </c>
      <c r="AA108" s="929">
        <f t="shared" si="25"/>
        <v>15000000</v>
      </c>
      <c r="AB108" s="929">
        <f t="shared" si="25"/>
        <v>15000000</v>
      </c>
      <c r="AC108" s="929">
        <f t="shared" si="25"/>
        <v>15000000</v>
      </c>
      <c r="AD108" s="929">
        <f t="shared" si="25"/>
        <v>15000000</v>
      </c>
      <c r="AE108" s="929">
        <f t="shared" si="25"/>
        <v>15000000</v>
      </c>
      <c r="AF108" s="929">
        <f t="shared" si="25"/>
        <v>15000000</v>
      </c>
      <c r="AG108" s="929">
        <f t="shared" si="25"/>
        <v>15000000</v>
      </c>
      <c r="AH108" s="929">
        <f t="shared" si="25"/>
        <v>15000000</v>
      </c>
    </row>
    <row r="109" spans="1:34" s="919" customFormat="1">
      <c r="D109" s="916">
        <v>201609</v>
      </c>
      <c r="I109" s="917">
        <v>42614</v>
      </c>
      <c r="J109" s="918"/>
      <c r="K109" s="917">
        <v>43132</v>
      </c>
      <c r="L109" s="920"/>
      <c r="N109" s="920">
        <v>15000000</v>
      </c>
      <c r="O109" s="919" t="s">
        <v>799</v>
      </c>
      <c r="Q109" s="929">
        <f t="shared" si="26"/>
        <v>15000000</v>
      </c>
      <c r="R109" s="929">
        <f t="shared" si="27"/>
        <v>15000000</v>
      </c>
      <c r="S109" s="929">
        <f t="shared" si="25"/>
        <v>15000000</v>
      </c>
      <c r="T109" s="929">
        <f t="shared" si="25"/>
        <v>15000000</v>
      </c>
      <c r="U109" s="929">
        <f t="shared" si="25"/>
        <v>15000000</v>
      </c>
      <c r="V109" s="929">
        <f t="shared" si="25"/>
        <v>15000000</v>
      </c>
      <c r="W109" s="929">
        <f t="shared" si="25"/>
        <v>15000000</v>
      </c>
      <c r="X109" s="929">
        <f t="shared" si="25"/>
        <v>15000000</v>
      </c>
      <c r="Y109" s="929">
        <f t="shared" si="25"/>
        <v>15000000</v>
      </c>
      <c r="Z109" s="929">
        <f t="shared" si="25"/>
        <v>15000000</v>
      </c>
      <c r="AA109" s="929">
        <f t="shared" si="25"/>
        <v>15000000</v>
      </c>
      <c r="AB109" s="929">
        <f t="shared" si="25"/>
        <v>15000000</v>
      </c>
      <c r="AC109" s="929">
        <f t="shared" si="25"/>
        <v>15000000</v>
      </c>
      <c r="AD109" s="929">
        <f t="shared" si="25"/>
        <v>15000000</v>
      </c>
      <c r="AE109" s="929">
        <f t="shared" si="25"/>
        <v>15000000</v>
      </c>
      <c r="AF109" s="929">
        <f t="shared" si="25"/>
        <v>15000000</v>
      </c>
      <c r="AG109" s="929">
        <f t="shared" si="25"/>
        <v>15000000</v>
      </c>
      <c r="AH109" s="929">
        <f t="shared" si="25"/>
        <v>15000000</v>
      </c>
    </row>
    <row r="110" spans="1:34" s="919" customFormat="1">
      <c r="D110" s="916">
        <v>201609</v>
      </c>
      <c r="I110" s="917">
        <v>42614</v>
      </c>
      <c r="J110" s="918"/>
      <c r="K110" s="917">
        <v>43132</v>
      </c>
      <c r="L110" s="920"/>
      <c r="N110" s="920">
        <v>20000000</v>
      </c>
      <c r="O110" s="919" t="s">
        <v>799</v>
      </c>
      <c r="Q110" s="929">
        <f t="shared" si="26"/>
        <v>20000000</v>
      </c>
      <c r="R110" s="929">
        <f t="shared" si="27"/>
        <v>20000000</v>
      </c>
      <c r="S110" s="929">
        <f t="shared" si="25"/>
        <v>20000000</v>
      </c>
      <c r="T110" s="929">
        <f t="shared" si="25"/>
        <v>20000000</v>
      </c>
      <c r="U110" s="929">
        <f t="shared" si="25"/>
        <v>20000000</v>
      </c>
      <c r="V110" s="929">
        <f t="shared" si="25"/>
        <v>20000000</v>
      </c>
      <c r="W110" s="929">
        <f t="shared" si="25"/>
        <v>20000000</v>
      </c>
      <c r="X110" s="929">
        <f t="shared" si="25"/>
        <v>20000000</v>
      </c>
      <c r="Y110" s="929">
        <f t="shared" si="25"/>
        <v>20000000</v>
      </c>
      <c r="Z110" s="929">
        <f t="shared" si="25"/>
        <v>20000000</v>
      </c>
      <c r="AA110" s="929">
        <f t="shared" si="25"/>
        <v>20000000</v>
      </c>
      <c r="AB110" s="929">
        <f t="shared" si="25"/>
        <v>20000000</v>
      </c>
      <c r="AC110" s="929">
        <f t="shared" si="25"/>
        <v>20000000</v>
      </c>
      <c r="AD110" s="929">
        <f t="shared" si="25"/>
        <v>20000000</v>
      </c>
      <c r="AE110" s="929">
        <f t="shared" si="25"/>
        <v>20000000</v>
      </c>
      <c r="AF110" s="929">
        <f t="shared" si="25"/>
        <v>20000000</v>
      </c>
      <c r="AG110" s="929">
        <f t="shared" si="25"/>
        <v>20000000</v>
      </c>
      <c r="AH110" s="929">
        <f t="shared" si="25"/>
        <v>20000000</v>
      </c>
    </row>
    <row r="111" spans="1:34" s="919" customFormat="1">
      <c r="D111" s="916">
        <v>201609</v>
      </c>
      <c r="I111" s="917">
        <v>42614</v>
      </c>
      <c r="J111" s="918"/>
      <c r="K111" s="917">
        <v>43132</v>
      </c>
      <c r="L111" s="920"/>
      <c r="N111" s="920">
        <v>20000000</v>
      </c>
      <c r="O111" s="919" t="s">
        <v>799</v>
      </c>
      <c r="Q111" s="929">
        <f t="shared" si="26"/>
        <v>20000000</v>
      </c>
      <c r="R111" s="929">
        <f t="shared" si="27"/>
        <v>20000000</v>
      </c>
      <c r="S111" s="929">
        <f t="shared" si="25"/>
        <v>20000000</v>
      </c>
      <c r="T111" s="929">
        <f t="shared" si="25"/>
        <v>20000000</v>
      </c>
      <c r="U111" s="929">
        <f t="shared" si="25"/>
        <v>20000000</v>
      </c>
      <c r="V111" s="929">
        <f t="shared" si="25"/>
        <v>20000000</v>
      </c>
      <c r="W111" s="929">
        <f t="shared" si="25"/>
        <v>20000000</v>
      </c>
      <c r="X111" s="929">
        <f t="shared" si="25"/>
        <v>20000000</v>
      </c>
      <c r="Y111" s="929">
        <f t="shared" si="25"/>
        <v>20000000</v>
      </c>
      <c r="Z111" s="929">
        <f t="shared" si="25"/>
        <v>20000000</v>
      </c>
      <c r="AA111" s="929">
        <f t="shared" si="25"/>
        <v>20000000</v>
      </c>
      <c r="AB111" s="929">
        <f t="shared" si="25"/>
        <v>20000000</v>
      </c>
      <c r="AC111" s="929">
        <f t="shared" si="25"/>
        <v>20000000</v>
      </c>
      <c r="AD111" s="929">
        <f t="shared" si="25"/>
        <v>20000000</v>
      </c>
      <c r="AE111" s="929">
        <f t="shared" si="25"/>
        <v>20000000</v>
      </c>
      <c r="AF111" s="929">
        <f t="shared" si="25"/>
        <v>20000000</v>
      </c>
      <c r="AG111" s="929">
        <f t="shared" si="25"/>
        <v>20000000</v>
      </c>
      <c r="AH111" s="929">
        <f t="shared" si="25"/>
        <v>20000000</v>
      </c>
    </row>
    <row r="112" spans="1:34" s="919" customFormat="1">
      <c r="D112" s="916">
        <v>201609</v>
      </c>
      <c r="I112" s="917">
        <v>42614</v>
      </c>
      <c r="J112" s="918"/>
      <c r="K112" s="917">
        <v>43132</v>
      </c>
      <c r="L112" s="920"/>
      <c r="N112" s="920">
        <v>20000000</v>
      </c>
      <c r="O112" s="919" t="s">
        <v>799</v>
      </c>
      <c r="Q112" s="929">
        <f t="shared" si="26"/>
        <v>20000000</v>
      </c>
      <c r="R112" s="929">
        <f t="shared" si="27"/>
        <v>20000000</v>
      </c>
      <c r="S112" s="929">
        <f t="shared" si="25"/>
        <v>20000000</v>
      </c>
      <c r="T112" s="929">
        <f t="shared" si="25"/>
        <v>20000000</v>
      </c>
      <c r="U112" s="929">
        <f t="shared" si="25"/>
        <v>20000000</v>
      </c>
      <c r="V112" s="929">
        <f t="shared" si="25"/>
        <v>20000000</v>
      </c>
      <c r="W112" s="929">
        <f t="shared" si="25"/>
        <v>20000000</v>
      </c>
      <c r="X112" s="929">
        <f t="shared" si="25"/>
        <v>20000000</v>
      </c>
      <c r="Y112" s="929">
        <f t="shared" si="25"/>
        <v>20000000</v>
      </c>
      <c r="Z112" s="929">
        <f t="shared" si="25"/>
        <v>20000000</v>
      </c>
      <c r="AA112" s="929">
        <f t="shared" si="25"/>
        <v>20000000</v>
      </c>
      <c r="AB112" s="929">
        <f t="shared" si="25"/>
        <v>20000000</v>
      </c>
      <c r="AC112" s="929">
        <f t="shared" si="25"/>
        <v>20000000</v>
      </c>
      <c r="AD112" s="929">
        <f t="shared" si="25"/>
        <v>20000000</v>
      </c>
      <c r="AE112" s="929">
        <f t="shared" si="25"/>
        <v>20000000</v>
      </c>
      <c r="AF112" s="929">
        <f t="shared" si="25"/>
        <v>20000000</v>
      </c>
      <c r="AG112" s="929">
        <f t="shared" si="25"/>
        <v>20000000</v>
      </c>
      <c r="AH112" s="929">
        <f t="shared" si="25"/>
        <v>20000000</v>
      </c>
    </row>
    <row r="113" spans="4:47" s="919" customFormat="1">
      <c r="D113" s="916">
        <v>201609</v>
      </c>
      <c r="I113" s="917">
        <v>42614</v>
      </c>
      <c r="J113" s="918"/>
      <c r="K113" s="917">
        <v>43132</v>
      </c>
      <c r="L113" s="920"/>
      <c r="N113" s="920">
        <v>25000000</v>
      </c>
      <c r="O113" s="919" t="s">
        <v>799</v>
      </c>
      <c r="Q113" s="929">
        <f t="shared" si="26"/>
        <v>25000000</v>
      </c>
      <c r="R113" s="929">
        <f t="shared" si="27"/>
        <v>25000000</v>
      </c>
      <c r="S113" s="929">
        <f t="shared" si="25"/>
        <v>25000000</v>
      </c>
      <c r="T113" s="929">
        <f t="shared" si="25"/>
        <v>25000000</v>
      </c>
      <c r="U113" s="929">
        <f t="shared" si="25"/>
        <v>25000000</v>
      </c>
      <c r="V113" s="929">
        <f t="shared" si="25"/>
        <v>25000000</v>
      </c>
      <c r="W113" s="929">
        <f t="shared" si="25"/>
        <v>25000000</v>
      </c>
      <c r="X113" s="929">
        <f t="shared" si="25"/>
        <v>25000000</v>
      </c>
      <c r="Y113" s="929">
        <f t="shared" si="25"/>
        <v>25000000</v>
      </c>
      <c r="Z113" s="929">
        <f t="shared" si="25"/>
        <v>25000000</v>
      </c>
      <c r="AA113" s="929">
        <f t="shared" si="25"/>
        <v>25000000</v>
      </c>
      <c r="AB113" s="929">
        <f t="shared" si="25"/>
        <v>25000000</v>
      </c>
      <c r="AC113" s="929">
        <f t="shared" si="25"/>
        <v>25000000</v>
      </c>
      <c r="AD113" s="929">
        <f t="shared" si="25"/>
        <v>25000000</v>
      </c>
      <c r="AE113" s="929">
        <f t="shared" si="25"/>
        <v>25000000</v>
      </c>
      <c r="AF113" s="929">
        <f t="shared" si="25"/>
        <v>25000000</v>
      </c>
      <c r="AG113" s="929">
        <f t="shared" si="25"/>
        <v>25000000</v>
      </c>
      <c r="AH113" s="929">
        <f t="shared" si="25"/>
        <v>25000000</v>
      </c>
    </row>
    <row r="114" spans="4:47" s="923" customFormat="1">
      <c r="D114" s="923">
        <v>201611</v>
      </c>
      <c r="I114" s="917">
        <v>42380</v>
      </c>
      <c r="J114" s="924"/>
      <c r="K114" s="917">
        <v>43160</v>
      </c>
      <c r="L114" s="925"/>
      <c r="N114" s="925">
        <v>15000000</v>
      </c>
      <c r="O114" s="919" t="s">
        <v>799</v>
      </c>
      <c r="S114" s="930">
        <f>N114</f>
        <v>15000000</v>
      </c>
      <c r="T114" s="930">
        <f>S114</f>
        <v>15000000</v>
      </c>
      <c r="U114" s="930">
        <f t="shared" ref="U114:AI114" si="28">T114</f>
        <v>15000000</v>
      </c>
      <c r="V114" s="930">
        <f t="shared" si="28"/>
        <v>15000000</v>
      </c>
      <c r="W114" s="930">
        <f t="shared" si="28"/>
        <v>15000000</v>
      </c>
      <c r="X114" s="930">
        <f t="shared" si="28"/>
        <v>15000000</v>
      </c>
      <c r="Y114" s="930">
        <f t="shared" si="28"/>
        <v>15000000</v>
      </c>
      <c r="Z114" s="930">
        <f t="shared" si="28"/>
        <v>15000000</v>
      </c>
      <c r="AA114" s="930">
        <f t="shared" si="28"/>
        <v>15000000</v>
      </c>
      <c r="AB114" s="930">
        <f t="shared" si="28"/>
        <v>15000000</v>
      </c>
      <c r="AC114" s="930">
        <f t="shared" si="28"/>
        <v>15000000</v>
      </c>
      <c r="AD114" s="930">
        <f t="shared" si="28"/>
        <v>15000000</v>
      </c>
      <c r="AE114" s="930">
        <f t="shared" si="28"/>
        <v>15000000</v>
      </c>
      <c r="AF114" s="930">
        <f t="shared" si="28"/>
        <v>15000000</v>
      </c>
      <c r="AG114" s="930">
        <f t="shared" si="28"/>
        <v>15000000</v>
      </c>
      <c r="AH114" s="930">
        <f t="shared" si="28"/>
        <v>15000000</v>
      </c>
      <c r="AI114" s="930">
        <f t="shared" si="28"/>
        <v>15000000</v>
      </c>
      <c r="AJ114" s="930"/>
      <c r="AK114" s="930"/>
      <c r="AL114" s="930"/>
      <c r="AM114" s="930"/>
      <c r="AN114" s="930"/>
      <c r="AO114" s="930"/>
      <c r="AP114" s="930"/>
      <c r="AQ114" s="930"/>
      <c r="AR114" s="930"/>
      <c r="AS114" s="930"/>
      <c r="AT114" s="930"/>
      <c r="AU114" s="930"/>
    </row>
    <row r="115" spans="4:47" s="923" customFormat="1">
      <c r="D115" s="923">
        <v>201611</v>
      </c>
      <c r="I115" s="917">
        <v>42380</v>
      </c>
      <c r="J115" s="924"/>
      <c r="K115" s="917">
        <v>43160</v>
      </c>
      <c r="L115" s="925"/>
      <c r="N115" s="925">
        <v>15000000</v>
      </c>
      <c r="O115" s="919" t="s">
        <v>799</v>
      </c>
      <c r="S115" s="930">
        <f t="shared" ref="S115:S117" si="29">N115</f>
        <v>15000000</v>
      </c>
      <c r="T115" s="930">
        <f t="shared" ref="T115:AI117" si="30">S115</f>
        <v>15000000</v>
      </c>
      <c r="U115" s="930">
        <f t="shared" si="30"/>
        <v>15000000</v>
      </c>
      <c r="V115" s="930">
        <f t="shared" si="30"/>
        <v>15000000</v>
      </c>
      <c r="W115" s="930">
        <f t="shared" si="30"/>
        <v>15000000</v>
      </c>
      <c r="X115" s="930">
        <f t="shared" si="30"/>
        <v>15000000</v>
      </c>
      <c r="Y115" s="930">
        <f t="shared" si="30"/>
        <v>15000000</v>
      </c>
      <c r="Z115" s="930">
        <f t="shared" si="30"/>
        <v>15000000</v>
      </c>
      <c r="AA115" s="930">
        <f t="shared" si="30"/>
        <v>15000000</v>
      </c>
      <c r="AB115" s="930">
        <f t="shared" si="30"/>
        <v>15000000</v>
      </c>
      <c r="AC115" s="930">
        <f t="shared" si="30"/>
        <v>15000000</v>
      </c>
      <c r="AD115" s="930">
        <f t="shared" si="30"/>
        <v>15000000</v>
      </c>
      <c r="AE115" s="930">
        <f t="shared" si="30"/>
        <v>15000000</v>
      </c>
      <c r="AF115" s="930">
        <f t="shared" si="30"/>
        <v>15000000</v>
      </c>
      <c r="AG115" s="930">
        <f t="shared" si="30"/>
        <v>15000000</v>
      </c>
      <c r="AH115" s="930">
        <f t="shared" si="30"/>
        <v>15000000</v>
      </c>
      <c r="AI115" s="930">
        <f t="shared" si="30"/>
        <v>15000000</v>
      </c>
      <c r="AJ115" s="930"/>
      <c r="AK115" s="930"/>
      <c r="AL115" s="930"/>
      <c r="AM115" s="930"/>
      <c r="AN115" s="930"/>
      <c r="AO115" s="930"/>
      <c r="AP115" s="930"/>
      <c r="AQ115" s="930"/>
      <c r="AR115" s="930"/>
      <c r="AS115" s="930"/>
      <c r="AT115" s="930"/>
      <c r="AU115" s="930"/>
    </row>
    <row r="116" spans="4:47" s="923" customFormat="1">
      <c r="D116" s="923">
        <v>201611</v>
      </c>
      <c r="I116" s="917">
        <v>42380</v>
      </c>
      <c r="J116" s="924"/>
      <c r="K116" s="917">
        <v>43160</v>
      </c>
      <c r="L116" s="925"/>
      <c r="N116" s="925">
        <v>15000000</v>
      </c>
      <c r="O116" s="919" t="s">
        <v>799</v>
      </c>
      <c r="S116" s="930">
        <f t="shared" si="29"/>
        <v>15000000</v>
      </c>
      <c r="T116" s="930">
        <f t="shared" si="30"/>
        <v>15000000</v>
      </c>
      <c r="U116" s="930">
        <f t="shared" si="30"/>
        <v>15000000</v>
      </c>
      <c r="V116" s="930">
        <f t="shared" si="30"/>
        <v>15000000</v>
      </c>
      <c r="W116" s="930">
        <f t="shared" si="30"/>
        <v>15000000</v>
      </c>
      <c r="X116" s="930">
        <f t="shared" si="30"/>
        <v>15000000</v>
      </c>
      <c r="Y116" s="930">
        <f t="shared" si="30"/>
        <v>15000000</v>
      </c>
      <c r="Z116" s="930">
        <f t="shared" si="30"/>
        <v>15000000</v>
      </c>
      <c r="AA116" s="930">
        <f t="shared" si="30"/>
        <v>15000000</v>
      </c>
      <c r="AB116" s="930">
        <f t="shared" si="30"/>
        <v>15000000</v>
      </c>
      <c r="AC116" s="930">
        <f t="shared" si="30"/>
        <v>15000000</v>
      </c>
      <c r="AD116" s="930">
        <f t="shared" si="30"/>
        <v>15000000</v>
      </c>
      <c r="AE116" s="930">
        <f t="shared" si="30"/>
        <v>15000000</v>
      </c>
      <c r="AF116" s="930">
        <f t="shared" si="30"/>
        <v>15000000</v>
      </c>
      <c r="AG116" s="930">
        <f t="shared" si="30"/>
        <v>15000000</v>
      </c>
      <c r="AH116" s="930">
        <f t="shared" si="30"/>
        <v>15000000</v>
      </c>
      <c r="AI116" s="930">
        <f t="shared" si="30"/>
        <v>15000000</v>
      </c>
      <c r="AJ116" s="930"/>
      <c r="AK116" s="930"/>
      <c r="AL116" s="930"/>
      <c r="AM116" s="930"/>
      <c r="AN116" s="930"/>
      <c r="AO116" s="930"/>
      <c r="AP116" s="930"/>
      <c r="AQ116" s="930"/>
      <c r="AR116" s="930"/>
      <c r="AS116" s="930"/>
      <c r="AT116" s="930"/>
      <c r="AU116" s="930"/>
    </row>
    <row r="117" spans="4:47" s="923" customFormat="1">
      <c r="D117" s="923">
        <v>201611</v>
      </c>
      <c r="I117" s="917">
        <v>42380</v>
      </c>
      <c r="J117" s="924"/>
      <c r="K117" s="917">
        <v>43160</v>
      </c>
      <c r="L117" s="925"/>
      <c r="N117" s="925">
        <v>20000000</v>
      </c>
      <c r="O117" s="919" t="s">
        <v>799</v>
      </c>
      <c r="S117" s="930">
        <f t="shared" si="29"/>
        <v>20000000</v>
      </c>
      <c r="T117" s="930">
        <f t="shared" si="30"/>
        <v>20000000</v>
      </c>
      <c r="U117" s="930">
        <f t="shared" si="30"/>
        <v>20000000</v>
      </c>
      <c r="V117" s="930">
        <f t="shared" si="30"/>
        <v>20000000</v>
      </c>
      <c r="W117" s="930">
        <f t="shared" si="30"/>
        <v>20000000</v>
      </c>
      <c r="X117" s="930">
        <f t="shared" si="30"/>
        <v>20000000</v>
      </c>
      <c r="Y117" s="930">
        <f t="shared" si="30"/>
        <v>20000000</v>
      </c>
      <c r="Z117" s="930">
        <f t="shared" si="30"/>
        <v>20000000</v>
      </c>
      <c r="AA117" s="930">
        <f t="shared" si="30"/>
        <v>20000000</v>
      </c>
      <c r="AB117" s="930">
        <f t="shared" si="30"/>
        <v>20000000</v>
      </c>
      <c r="AC117" s="930">
        <f t="shared" si="30"/>
        <v>20000000</v>
      </c>
      <c r="AD117" s="930">
        <f t="shared" si="30"/>
        <v>20000000</v>
      </c>
      <c r="AE117" s="930">
        <f t="shared" si="30"/>
        <v>20000000</v>
      </c>
      <c r="AF117" s="930">
        <f t="shared" si="30"/>
        <v>20000000</v>
      </c>
      <c r="AG117" s="930">
        <f t="shared" si="30"/>
        <v>20000000</v>
      </c>
      <c r="AH117" s="930">
        <f t="shared" si="30"/>
        <v>20000000</v>
      </c>
      <c r="AI117" s="930">
        <f t="shared" si="30"/>
        <v>20000000</v>
      </c>
      <c r="AJ117" s="930"/>
      <c r="AK117" s="930"/>
      <c r="AL117" s="930"/>
      <c r="AM117" s="930"/>
      <c r="AN117" s="930"/>
      <c r="AO117" s="930"/>
      <c r="AP117" s="930"/>
      <c r="AQ117" s="930"/>
      <c r="AR117" s="930"/>
      <c r="AS117" s="930"/>
      <c r="AT117" s="930"/>
      <c r="AU117" s="930"/>
    </row>
    <row r="118" spans="4:47" s="923" customFormat="1">
      <c r="D118" s="923">
        <v>201612</v>
      </c>
      <c r="I118" s="917">
        <v>42381</v>
      </c>
      <c r="J118" s="924"/>
      <c r="K118" s="917">
        <v>43191</v>
      </c>
      <c r="L118" s="925"/>
      <c r="N118" s="925">
        <v>20000000</v>
      </c>
      <c r="O118" s="919" t="s">
        <v>799</v>
      </c>
      <c r="T118" s="930">
        <f>N118</f>
        <v>20000000</v>
      </c>
      <c r="U118" s="930">
        <f>T118</f>
        <v>20000000</v>
      </c>
      <c r="V118" s="930">
        <f t="shared" ref="V118:AJ118" si="31">U118</f>
        <v>20000000</v>
      </c>
      <c r="W118" s="930">
        <f t="shared" si="31"/>
        <v>20000000</v>
      </c>
      <c r="X118" s="930">
        <f t="shared" si="31"/>
        <v>20000000</v>
      </c>
      <c r="Y118" s="930">
        <f t="shared" si="31"/>
        <v>20000000</v>
      </c>
      <c r="Z118" s="930">
        <f t="shared" si="31"/>
        <v>20000000</v>
      </c>
      <c r="AA118" s="930">
        <f t="shared" si="31"/>
        <v>20000000</v>
      </c>
      <c r="AB118" s="930">
        <f t="shared" si="31"/>
        <v>20000000</v>
      </c>
      <c r="AC118" s="930">
        <f t="shared" si="31"/>
        <v>20000000</v>
      </c>
      <c r="AD118" s="930">
        <f t="shared" si="31"/>
        <v>20000000</v>
      </c>
      <c r="AE118" s="930">
        <f t="shared" si="31"/>
        <v>20000000</v>
      </c>
      <c r="AF118" s="930">
        <f t="shared" si="31"/>
        <v>20000000</v>
      </c>
      <c r="AG118" s="930">
        <f t="shared" si="31"/>
        <v>20000000</v>
      </c>
      <c r="AH118" s="930">
        <f t="shared" si="31"/>
        <v>20000000</v>
      </c>
      <c r="AI118" s="930">
        <f t="shared" si="31"/>
        <v>20000000</v>
      </c>
      <c r="AJ118" s="930">
        <f t="shared" si="31"/>
        <v>20000000</v>
      </c>
    </row>
    <row r="119" spans="4:47" s="923" customFormat="1">
      <c r="D119" s="923">
        <v>201612</v>
      </c>
      <c r="I119" s="917">
        <v>42381</v>
      </c>
      <c r="J119" s="924"/>
      <c r="K119" s="917">
        <v>43191</v>
      </c>
      <c r="L119" s="925"/>
      <c r="N119" s="925">
        <v>20000000</v>
      </c>
      <c r="O119" s="919" t="s">
        <v>799</v>
      </c>
      <c r="T119" s="930">
        <f t="shared" ref="T119:T120" si="32">N119</f>
        <v>20000000</v>
      </c>
      <c r="U119" s="930">
        <f t="shared" ref="U119:AJ120" si="33">T119</f>
        <v>20000000</v>
      </c>
      <c r="V119" s="930">
        <f t="shared" si="33"/>
        <v>20000000</v>
      </c>
      <c r="W119" s="930">
        <f t="shared" si="33"/>
        <v>20000000</v>
      </c>
      <c r="X119" s="930">
        <f t="shared" si="33"/>
        <v>20000000</v>
      </c>
      <c r="Y119" s="930">
        <f t="shared" si="33"/>
        <v>20000000</v>
      </c>
      <c r="Z119" s="930">
        <f t="shared" si="33"/>
        <v>20000000</v>
      </c>
      <c r="AA119" s="930">
        <f t="shared" si="33"/>
        <v>20000000</v>
      </c>
      <c r="AB119" s="930">
        <f t="shared" si="33"/>
        <v>20000000</v>
      </c>
      <c r="AC119" s="930">
        <f t="shared" si="33"/>
        <v>20000000</v>
      </c>
      <c r="AD119" s="930">
        <f t="shared" si="33"/>
        <v>20000000</v>
      </c>
      <c r="AE119" s="930">
        <f t="shared" si="33"/>
        <v>20000000</v>
      </c>
      <c r="AF119" s="930">
        <f t="shared" si="33"/>
        <v>20000000</v>
      </c>
      <c r="AG119" s="930">
        <f t="shared" si="33"/>
        <v>20000000</v>
      </c>
      <c r="AH119" s="930">
        <f t="shared" si="33"/>
        <v>20000000</v>
      </c>
      <c r="AI119" s="930">
        <f t="shared" si="33"/>
        <v>20000000</v>
      </c>
      <c r="AJ119" s="930">
        <f t="shared" si="33"/>
        <v>20000000</v>
      </c>
    </row>
    <row r="120" spans="4:47" s="923" customFormat="1">
      <c r="D120" s="923">
        <v>201612</v>
      </c>
      <c r="I120" s="917">
        <v>42381</v>
      </c>
      <c r="J120" s="924"/>
      <c r="K120" s="917">
        <v>43191</v>
      </c>
      <c r="L120" s="925"/>
      <c r="N120" s="925">
        <v>15000000</v>
      </c>
      <c r="O120" s="919" t="s">
        <v>799</v>
      </c>
      <c r="T120" s="930">
        <f t="shared" si="32"/>
        <v>15000000</v>
      </c>
      <c r="U120" s="930">
        <f t="shared" si="33"/>
        <v>15000000</v>
      </c>
      <c r="V120" s="930">
        <f t="shared" si="33"/>
        <v>15000000</v>
      </c>
      <c r="W120" s="930">
        <f t="shared" si="33"/>
        <v>15000000</v>
      </c>
      <c r="X120" s="930">
        <f t="shared" si="33"/>
        <v>15000000</v>
      </c>
      <c r="Y120" s="930">
        <f t="shared" si="33"/>
        <v>15000000</v>
      </c>
      <c r="Z120" s="930">
        <f t="shared" si="33"/>
        <v>15000000</v>
      </c>
      <c r="AA120" s="930">
        <f t="shared" si="33"/>
        <v>15000000</v>
      </c>
      <c r="AB120" s="930">
        <f t="shared" si="33"/>
        <v>15000000</v>
      </c>
      <c r="AC120" s="930">
        <f t="shared" si="33"/>
        <v>15000000</v>
      </c>
      <c r="AD120" s="930">
        <f t="shared" si="33"/>
        <v>15000000</v>
      </c>
      <c r="AE120" s="930">
        <f t="shared" si="33"/>
        <v>15000000</v>
      </c>
      <c r="AF120" s="930">
        <f t="shared" si="33"/>
        <v>15000000</v>
      </c>
      <c r="AG120" s="930">
        <f t="shared" si="33"/>
        <v>15000000</v>
      </c>
      <c r="AH120" s="930">
        <f t="shared" si="33"/>
        <v>15000000</v>
      </c>
      <c r="AI120" s="930">
        <f t="shared" si="33"/>
        <v>15000000</v>
      </c>
      <c r="AJ120" s="930">
        <f t="shared" si="33"/>
        <v>15000000</v>
      </c>
    </row>
    <row r="121" spans="4:47" s="923" customFormat="1">
      <c r="D121" s="923">
        <v>201703</v>
      </c>
      <c r="I121" s="917">
        <v>42795</v>
      </c>
      <c r="J121" s="924"/>
      <c r="K121" s="917">
        <v>43313</v>
      </c>
      <c r="L121" s="925">
        <v>15000000</v>
      </c>
      <c r="N121" s="925"/>
      <c r="O121" s="919"/>
      <c r="W121" s="930">
        <f>L121</f>
        <v>15000000</v>
      </c>
      <c r="X121" s="930">
        <f>W121</f>
        <v>15000000</v>
      </c>
      <c r="Y121" s="930">
        <f t="shared" ref="Y121:AN123" si="34">X121</f>
        <v>15000000</v>
      </c>
      <c r="Z121" s="930">
        <f t="shared" si="34"/>
        <v>15000000</v>
      </c>
      <c r="AA121" s="930">
        <f t="shared" si="34"/>
        <v>15000000</v>
      </c>
      <c r="AB121" s="930">
        <f t="shared" si="34"/>
        <v>15000000</v>
      </c>
      <c r="AC121" s="930">
        <f t="shared" si="34"/>
        <v>15000000</v>
      </c>
      <c r="AD121" s="930">
        <f t="shared" si="34"/>
        <v>15000000</v>
      </c>
      <c r="AE121" s="930">
        <f t="shared" si="34"/>
        <v>15000000</v>
      </c>
      <c r="AF121" s="930">
        <f t="shared" si="34"/>
        <v>15000000</v>
      </c>
      <c r="AG121" s="930">
        <f t="shared" si="34"/>
        <v>15000000</v>
      </c>
      <c r="AH121" s="930">
        <f t="shared" si="34"/>
        <v>15000000</v>
      </c>
      <c r="AI121" s="930">
        <f t="shared" si="34"/>
        <v>15000000</v>
      </c>
      <c r="AJ121" s="930">
        <f t="shared" si="34"/>
        <v>15000000</v>
      </c>
      <c r="AK121" s="930">
        <f t="shared" si="34"/>
        <v>15000000</v>
      </c>
      <c r="AL121" s="930">
        <f t="shared" si="34"/>
        <v>15000000</v>
      </c>
      <c r="AM121" s="930">
        <f t="shared" si="34"/>
        <v>15000000</v>
      </c>
      <c r="AN121" s="930">
        <f t="shared" si="34"/>
        <v>15000000</v>
      </c>
    </row>
    <row r="122" spans="4:47" s="923" customFormat="1">
      <c r="D122" s="923">
        <v>201703</v>
      </c>
      <c r="I122" s="917">
        <v>42795</v>
      </c>
      <c r="J122" s="924"/>
      <c r="K122" s="917">
        <v>43313</v>
      </c>
      <c r="L122" s="925">
        <v>15000000</v>
      </c>
      <c r="N122" s="925"/>
      <c r="O122" s="919"/>
      <c r="W122" s="930">
        <f t="shared" ref="W122:W123" si="35">L122</f>
        <v>15000000</v>
      </c>
      <c r="X122" s="930">
        <f t="shared" ref="X122:AM123" si="36">W122</f>
        <v>15000000</v>
      </c>
      <c r="Y122" s="930">
        <f t="shared" si="36"/>
        <v>15000000</v>
      </c>
      <c r="Z122" s="930">
        <f t="shared" si="36"/>
        <v>15000000</v>
      </c>
      <c r="AA122" s="930">
        <f t="shared" si="36"/>
        <v>15000000</v>
      </c>
      <c r="AB122" s="930">
        <f t="shared" si="36"/>
        <v>15000000</v>
      </c>
      <c r="AC122" s="930">
        <f t="shared" si="36"/>
        <v>15000000</v>
      </c>
      <c r="AD122" s="930">
        <f t="shared" si="36"/>
        <v>15000000</v>
      </c>
      <c r="AE122" s="930">
        <f t="shared" si="36"/>
        <v>15000000</v>
      </c>
      <c r="AF122" s="930">
        <f t="shared" si="36"/>
        <v>15000000</v>
      </c>
      <c r="AG122" s="930">
        <f t="shared" si="36"/>
        <v>15000000</v>
      </c>
      <c r="AH122" s="930">
        <f t="shared" si="36"/>
        <v>15000000</v>
      </c>
      <c r="AI122" s="930">
        <f t="shared" si="36"/>
        <v>15000000</v>
      </c>
      <c r="AJ122" s="930">
        <f t="shared" si="36"/>
        <v>15000000</v>
      </c>
      <c r="AK122" s="930">
        <f t="shared" si="36"/>
        <v>15000000</v>
      </c>
      <c r="AL122" s="930">
        <f t="shared" si="36"/>
        <v>15000000</v>
      </c>
      <c r="AM122" s="930">
        <f t="shared" si="36"/>
        <v>15000000</v>
      </c>
      <c r="AN122" s="930">
        <f t="shared" si="34"/>
        <v>15000000</v>
      </c>
    </row>
    <row r="123" spans="4:47" s="923" customFormat="1">
      <c r="D123" s="923">
        <v>201703</v>
      </c>
      <c r="I123" s="917">
        <v>42795</v>
      </c>
      <c r="J123" s="924"/>
      <c r="K123" s="917">
        <v>43313</v>
      </c>
      <c r="L123" s="925">
        <v>20000000</v>
      </c>
      <c r="N123" s="925"/>
      <c r="O123" s="919"/>
      <c r="W123" s="930">
        <f t="shared" si="35"/>
        <v>20000000</v>
      </c>
      <c r="X123" s="930">
        <f t="shared" si="36"/>
        <v>20000000</v>
      </c>
      <c r="Y123" s="930">
        <f t="shared" si="34"/>
        <v>20000000</v>
      </c>
      <c r="Z123" s="930">
        <f t="shared" si="34"/>
        <v>20000000</v>
      </c>
      <c r="AA123" s="930">
        <f t="shared" si="34"/>
        <v>20000000</v>
      </c>
      <c r="AB123" s="930">
        <f t="shared" si="34"/>
        <v>20000000</v>
      </c>
      <c r="AC123" s="930">
        <f t="shared" si="34"/>
        <v>20000000</v>
      </c>
      <c r="AD123" s="930">
        <f t="shared" si="34"/>
        <v>20000000</v>
      </c>
      <c r="AE123" s="930">
        <f t="shared" si="34"/>
        <v>20000000</v>
      </c>
      <c r="AF123" s="930">
        <f t="shared" si="34"/>
        <v>20000000</v>
      </c>
      <c r="AG123" s="930">
        <f t="shared" si="34"/>
        <v>20000000</v>
      </c>
      <c r="AH123" s="930">
        <f t="shared" si="34"/>
        <v>20000000</v>
      </c>
      <c r="AI123" s="930">
        <f t="shared" si="34"/>
        <v>20000000</v>
      </c>
      <c r="AJ123" s="930">
        <f t="shared" si="34"/>
        <v>20000000</v>
      </c>
      <c r="AK123" s="930">
        <f t="shared" si="34"/>
        <v>20000000</v>
      </c>
      <c r="AL123" s="930">
        <f t="shared" si="34"/>
        <v>20000000</v>
      </c>
      <c r="AM123" s="930">
        <f t="shared" si="34"/>
        <v>20000000</v>
      </c>
      <c r="AN123" s="930">
        <f t="shared" si="34"/>
        <v>20000000</v>
      </c>
    </row>
    <row r="124" spans="4:47" s="923" customFormat="1">
      <c r="D124" s="923">
        <v>201704</v>
      </c>
      <c r="I124" s="917">
        <v>42826</v>
      </c>
      <c r="J124" s="924"/>
      <c r="K124" s="917">
        <v>43344</v>
      </c>
      <c r="L124" s="925">
        <v>15000000</v>
      </c>
      <c r="N124" s="925"/>
      <c r="O124" s="919"/>
      <c r="X124" s="930">
        <f>L124</f>
        <v>15000000</v>
      </c>
      <c r="Y124" s="930">
        <f>X124</f>
        <v>15000000</v>
      </c>
      <c r="Z124" s="930">
        <f t="shared" ref="Z124:AO126" si="37">Y124</f>
        <v>15000000</v>
      </c>
      <c r="AA124" s="930">
        <f t="shared" si="37"/>
        <v>15000000</v>
      </c>
      <c r="AB124" s="930">
        <f t="shared" si="37"/>
        <v>15000000</v>
      </c>
      <c r="AC124" s="930">
        <f t="shared" si="37"/>
        <v>15000000</v>
      </c>
      <c r="AD124" s="930">
        <f t="shared" si="37"/>
        <v>15000000</v>
      </c>
      <c r="AE124" s="930">
        <f t="shared" si="37"/>
        <v>15000000</v>
      </c>
      <c r="AF124" s="930">
        <f t="shared" si="37"/>
        <v>15000000</v>
      </c>
      <c r="AG124" s="930">
        <f t="shared" si="37"/>
        <v>15000000</v>
      </c>
      <c r="AH124" s="930">
        <f t="shared" si="37"/>
        <v>15000000</v>
      </c>
      <c r="AI124" s="930">
        <f t="shared" si="37"/>
        <v>15000000</v>
      </c>
      <c r="AJ124" s="930">
        <f t="shared" si="37"/>
        <v>15000000</v>
      </c>
      <c r="AK124" s="930">
        <f t="shared" si="37"/>
        <v>15000000</v>
      </c>
      <c r="AL124" s="930">
        <f t="shared" si="37"/>
        <v>15000000</v>
      </c>
      <c r="AM124" s="930">
        <f t="shared" si="37"/>
        <v>15000000</v>
      </c>
      <c r="AN124" s="930">
        <f t="shared" si="37"/>
        <v>15000000</v>
      </c>
      <c r="AO124" s="930">
        <f t="shared" si="37"/>
        <v>15000000</v>
      </c>
    </row>
    <row r="125" spans="4:47" s="923" customFormat="1">
      <c r="D125" s="923">
        <v>201704</v>
      </c>
      <c r="I125" s="917">
        <v>42826</v>
      </c>
      <c r="J125" s="924"/>
      <c r="K125" s="917">
        <v>43344</v>
      </c>
      <c r="L125" s="925">
        <v>15000000</v>
      </c>
      <c r="N125" s="925"/>
      <c r="O125" s="919"/>
      <c r="X125" s="930">
        <f t="shared" ref="X125:X126" si="38">L125</f>
        <v>15000000</v>
      </c>
      <c r="Y125" s="930">
        <f t="shared" ref="Y125:AN126" si="39">X125</f>
        <v>15000000</v>
      </c>
      <c r="Z125" s="930">
        <f t="shared" si="39"/>
        <v>15000000</v>
      </c>
      <c r="AA125" s="930">
        <f t="shared" si="39"/>
        <v>15000000</v>
      </c>
      <c r="AB125" s="930">
        <f t="shared" si="39"/>
        <v>15000000</v>
      </c>
      <c r="AC125" s="930">
        <f t="shared" si="39"/>
        <v>15000000</v>
      </c>
      <c r="AD125" s="930">
        <f t="shared" si="39"/>
        <v>15000000</v>
      </c>
      <c r="AE125" s="930">
        <f t="shared" si="39"/>
        <v>15000000</v>
      </c>
      <c r="AF125" s="930">
        <f t="shared" si="39"/>
        <v>15000000</v>
      </c>
      <c r="AG125" s="930">
        <f t="shared" si="39"/>
        <v>15000000</v>
      </c>
      <c r="AH125" s="930">
        <f t="shared" si="39"/>
        <v>15000000</v>
      </c>
      <c r="AI125" s="930">
        <f t="shared" si="39"/>
        <v>15000000</v>
      </c>
      <c r="AJ125" s="930">
        <f t="shared" si="39"/>
        <v>15000000</v>
      </c>
      <c r="AK125" s="930">
        <f t="shared" si="39"/>
        <v>15000000</v>
      </c>
      <c r="AL125" s="930">
        <f t="shared" si="39"/>
        <v>15000000</v>
      </c>
      <c r="AM125" s="930">
        <f t="shared" si="39"/>
        <v>15000000</v>
      </c>
      <c r="AN125" s="930">
        <f t="shared" si="39"/>
        <v>15000000</v>
      </c>
      <c r="AO125" s="930">
        <f t="shared" si="37"/>
        <v>15000000</v>
      </c>
    </row>
    <row r="126" spans="4:47" s="923" customFormat="1">
      <c r="D126" s="923">
        <v>201704</v>
      </c>
      <c r="I126" s="917">
        <v>42826</v>
      </c>
      <c r="J126" s="924"/>
      <c r="K126" s="917">
        <v>43344</v>
      </c>
      <c r="L126" s="925">
        <v>20000000</v>
      </c>
      <c r="N126" s="925"/>
      <c r="O126" s="919"/>
      <c r="X126" s="930">
        <f t="shared" si="38"/>
        <v>20000000</v>
      </c>
      <c r="Y126" s="930">
        <f t="shared" si="39"/>
        <v>20000000</v>
      </c>
      <c r="Z126" s="930">
        <f t="shared" si="37"/>
        <v>20000000</v>
      </c>
      <c r="AA126" s="930">
        <f t="shared" si="37"/>
        <v>20000000</v>
      </c>
      <c r="AB126" s="930">
        <f t="shared" si="37"/>
        <v>20000000</v>
      </c>
      <c r="AC126" s="930">
        <f t="shared" si="37"/>
        <v>20000000</v>
      </c>
      <c r="AD126" s="930">
        <f t="shared" si="37"/>
        <v>20000000</v>
      </c>
      <c r="AE126" s="930">
        <f t="shared" si="37"/>
        <v>20000000</v>
      </c>
      <c r="AF126" s="930">
        <f t="shared" si="37"/>
        <v>20000000</v>
      </c>
      <c r="AG126" s="930">
        <f t="shared" si="37"/>
        <v>20000000</v>
      </c>
      <c r="AH126" s="930">
        <f t="shared" si="37"/>
        <v>20000000</v>
      </c>
      <c r="AI126" s="930">
        <f t="shared" si="37"/>
        <v>20000000</v>
      </c>
      <c r="AJ126" s="930">
        <f t="shared" si="37"/>
        <v>20000000</v>
      </c>
      <c r="AK126" s="930">
        <f t="shared" si="37"/>
        <v>20000000</v>
      </c>
      <c r="AL126" s="930">
        <f t="shared" si="37"/>
        <v>20000000</v>
      </c>
      <c r="AM126" s="930">
        <f t="shared" si="37"/>
        <v>20000000</v>
      </c>
      <c r="AN126" s="930">
        <f t="shared" si="37"/>
        <v>20000000</v>
      </c>
      <c r="AO126" s="930">
        <f t="shared" si="37"/>
        <v>20000000</v>
      </c>
    </row>
    <row r="127" spans="4:47" s="923" customFormat="1">
      <c r="D127" s="923">
        <v>201705</v>
      </c>
      <c r="I127" s="917">
        <v>42856</v>
      </c>
      <c r="J127" s="924"/>
      <c r="K127" s="917">
        <v>43374</v>
      </c>
      <c r="L127" s="925">
        <v>15000000</v>
      </c>
      <c r="N127" s="925"/>
      <c r="O127" s="919"/>
      <c r="Y127" s="930">
        <f>L127</f>
        <v>15000000</v>
      </c>
      <c r="Z127" s="930">
        <f>Y127</f>
        <v>15000000</v>
      </c>
      <c r="AA127" s="930">
        <f t="shared" ref="AA127:AP129" si="40">Z127</f>
        <v>15000000</v>
      </c>
      <c r="AB127" s="930">
        <f t="shared" si="40"/>
        <v>15000000</v>
      </c>
      <c r="AC127" s="930">
        <f t="shared" si="40"/>
        <v>15000000</v>
      </c>
      <c r="AD127" s="930">
        <f t="shared" si="40"/>
        <v>15000000</v>
      </c>
      <c r="AE127" s="930">
        <f t="shared" si="40"/>
        <v>15000000</v>
      </c>
      <c r="AF127" s="930">
        <f t="shared" si="40"/>
        <v>15000000</v>
      </c>
      <c r="AG127" s="930">
        <f t="shared" si="40"/>
        <v>15000000</v>
      </c>
      <c r="AH127" s="930">
        <f t="shared" si="40"/>
        <v>15000000</v>
      </c>
      <c r="AI127" s="930">
        <f t="shared" si="40"/>
        <v>15000000</v>
      </c>
      <c r="AJ127" s="930">
        <f t="shared" si="40"/>
        <v>15000000</v>
      </c>
      <c r="AK127" s="930">
        <f t="shared" si="40"/>
        <v>15000000</v>
      </c>
      <c r="AL127" s="930">
        <f t="shared" si="40"/>
        <v>15000000</v>
      </c>
      <c r="AM127" s="930">
        <f t="shared" si="40"/>
        <v>15000000</v>
      </c>
      <c r="AN127" s="930">
        <f t="shared" si="40"/>
        <v>15000000</v>
      </c>
      <c r="AO127" s="930">
        <f t="shared" si="40"/>
        <v>15000000</v>
      </c>
      <c r="AP127" s="930">
        <f t="shared" si="40"/>
        <v>15000000</v>
      </c>
    </row>
    <row r="128" spans="4:47" s="923" customFormat="1">
      <c r="D128" s="923">
        <v>201705</v>
      </c>
      <c r="I128" s="917">
        <v>42856</v>
      </c>
      <c r="J128" s="924"/>
      <c r="K128" s="917">
        <v>43374</v>
      </c>
      <c r="L128" s="925">
        <v>20000000</v>
      </c>
      <c r="N128" s="925"/>
      <c r="O128" s="919"/>
      <c r="Y128" s="930">
        <f t="shared" ref="Y128:Y129" si="41">L128</f>
        <v>20000000</v>
      </c>
      <c r="Z128" s="930">
        <f t="shared" ref="Z128:AO129" si="42">Y128</f>
        <v>20000000</v>
      </c>
      <c r="AA128" s="930">
        <f t="shared" si="42"/>
        <v>20000000</v>
      </c>
      <c r="AB128" s="930">
        <f t="shared" si="42"/>
        <v>20000000</v>
      </c>
      <c r="AC128" s="930">
        <f t="shared" si="42"/>
        <v>20000000</v>
      </c>
      <c r="AD128" s="930">
        <f t="shared" si="42"/>
        <v>20000000</v>
      </c>
      <c r="AE128" s="930">
        <f t="shared" si="42"/>
        <v>20000000</v>
      </c>
      <c r="AF128" s="930">
        <f t="shared" si="42"/>
        <v>20000000</v>
      </c>
      <c r="AG128" s="930">
        <f t="shared" si="42"/>
        <v>20000000</v>
      </c>
      <c r="AH128" s="930">
        <f t="shared" si="42"/>
        <v>20000000</v>
      </c>
      <c r="AI128" s="930">
        <f t="shared" si="42"/>
        <v>20000000</v>
      </c>
      <c r="AJ128" s="930">
        <f t="shared" si="42"/>
        <v>20000000</v>
      </c>
      <c r="AK128" s="930">
        <f t="shared" si="42"/>
        <v>20000000</v>
      </c>
      <c r="AL128" s="930">
        <f t="shared" si="42"/>
        <v>20000000</v>
      </c>
      <c r="AM128" s="930">
        <f t="shared" si="42"/>
        <v>20000000</v>
      </c>
      <c r="AN128" s="930">
        <f t="shared" si="42"/>
        <v>20000000</v>
      </c>
      <c r="AO128" s="930">
        <f t="shared" si="42"/>
        <v>20000000</v>
      </c>
      <c r="AP128" s="930">
        <f t="shared" si="40"/>
        <v>20000000</v>
      </c>
    </row>
    <row r="129" spans="4:47" s="923" customFormat="1">
      <c r="D129" s="923">
        <v>201705</v>
      </c>
      <c r="I129" s="917">
        <v>42856</v>
      </c>
      <c r="J129" s="924"/>
      <c r="K129" s="917">
        <v>43374</v>
      </c>
      <c r="L129" s="925">
        <v>20000000</v>
      </c>
      <c r="N129" s="925"/>
      <c r="O129" s="919"/>
      <c r="Y129" s="930">
        <f t="shared" si="41"/>
        <v>20000000</v>
      </c>
      <c r="Z129" s="930">
        <f t="shared" si="42"/>
        <v>20000000</v>
      </c>
      <c r="AA129" s="930">
        <f t="shared" si="40"/>
        <v>20000000</v>
      </c>
      <c r="AB129" s="930">
        <f t="shared" si="40"/>
        <v>20000000</v>
      </c>
      <c r="AC129" s="930">
        <f t="shared" si="40"/>
        <v>20000000</v>
      </c>
      <c r="AD129" s="930">
        <f t="shared" si="40"/>
        <v>20000000</v>
      </c>
      <c r="AE129" s="930">
        <f t="shared" si="40"/>
        <v>20000000</v>
      </c>
      <c r="AF129" s="930">
        <f t="shared" si="40"/>
        <v>20000000</v>
      </c>
      <c r="AG129" s="930">
        <f t="shared" si="40"/>
        <v>20000000</v>
      </c>
      <c r="AH129" s="930">
        <f t="shared" si="40"/>
        <v>20000000</v>
      </c>
      <c r="AI129" s="930">
        <f t="shared" si="40"/>
        <v>20000000</v>
      </c>
      <c r="AJ129" s="930">
        <f t="shared" si="40"/>
        <v>20000000</v>
      </c>
      <c r="AK129" s="930">
        <f t="shared" si="40"/>
        <v>20000000</v>
      </c>
      <c r="AL129" s="930">
        <f t="shared" si="40"/>
        <v>20000000</v>
      </c>
      <c r="AM129" s="930">
        <f t="shared" si="40"/>
        <v>20000000</v>
      </c>
      <c r="AN129" s="930">
        <f t="shared" si="40"/>
        <v>20000000</v>
      </c>
      <c r="AO129" s="930">
        <f t="shared" si="40"/>
        <v>20000000</v>
      </c>
      <c r="AP129" s="930">
        <f t="shared" si="40"/>
        <v>20000000</v>
      </c>
    </row>
    <row r="130" spans="4:47" s="923" customFormat="1">
      <c r="D130" s="923">
        <v>201706</v>
      </c>
      <c r="I130" s="917">
        <v>42887</v>
      </c>
      <c r="J130" s="924"/>
      <c r="K130" s="917">
        <v>43405</v>
      </c>
      <c r="L130" s="925">
        <v>15000000</v>
      </c>
      <c r="N130" s="925"/>
      <c r="O130" s="919"/>
      <c r="Z130" s="930">
        <f>L130</f>
        <v>15000000</v>
      </c>
      <c r="AA130" s="930">
        <f>Z130</f>
        <v>15000000</v>
      </c>
      <c r="AB130" s="930">
        <f t="shared" ref="AB130:AQ132" si="43">AA130</f>
        <v>15000000</v>
      </c>
      <c r="AC130" s="930">
        <f t="shared" si="43"/>
        <v>15000000</v>
      </c>
      <c r="AD130" s="930">
        <f t="shared" si="43"/>
        <v>15000000</v>
      </c>
      <c r="AE130" s="930">
        <f t="shared" si="43"/>
        <v>15000000</v>
      </c>
      <c r="AF130" s="930">
        <f t="shared" si="43"/>
        <v>15000000</v>
      </c>
      <c r="AG130" s="930">
        <f t="shared" si="43"/>
        <v>15000000</v>
      </c>
      <c r="AH130" s="930">
        <f t="shared" si="43"/>
        <v>15000000</v>
      </c>
      <c r="AI130" s="930">
        <f t="shared" si="43"/>
        <v>15000000</v>
      </c>
      <c r="AJ130" s="930">
        <f t="shared" si="43"/>
        <v>15000000</v>
      </c>
      <c r="AK130" s="930">
        <f t="shared" si="43"/>
        <v>15000000</v>
      </c>
      <c r="AL130" s="930">
        <f t="shared" si="43"/>
        <v>15000000</v>
      </c>
      <c r="AM130" s="930">
        <f t="shared" si="43"/>
        <v>15000000</v>
      </c>
      <c r="AN130" s="930">
        <f t="shared" si="43"/>
        <v>15000000</v>
      </c>
      <c r="AO130" s="930">
        <f t="shared" si="43"/>
        <v>15000000</v>
      </c>
      <c r="AP130" s="930">
        <f t="shared" si="43"/>
        <v>15000000</v>
      </c>
      <c r="AQ130" s="930">
        <f t="shared" si="43"/>
        <v>15000000</v>
      </c>
    </row>
    <row r="131" spans="4:47" s="923" customFormat="1">
      <c r="D131" s="923">
        <v>201706</v>
      </c>
      <c r="I131" s="917">
        <v>42887</v>
      </c>
      <c r="J131" s="924"/>
      <c r="K131" s="917">
        <v>43405</v>
      </c>
      <c r="L131" s="925">
        <v>15000000</v>
      </c>
      <c r="N131" s="925"/>
      <c r="O131" s="919"/>
      <c r="Z131" s="930">
        <f t="shared" ref="Z131:Z132" si="44">L131</f>
        <v>15000000</v>
      </c>
      <c r="AA131" s="930">
        <f t="shared" ref="AA131:AP132" si="45">Z131</f>
        <v>15000000</v>
      </c>
      <c r="AB131" s="930">
        <f t="shared" si="45"/>
        <v>15000000</v>
      </c>
      <c r="AC131" s="930">
        <f t="shared" si="45"/>
        <v>15000000</v>
      </c>
      <c r="AD131" s="930">
        <f t="shared" si="45"/>
        <v>15000000</v>
      </c>
      <c r="AE131" s="930">
        <f t="shared" si="45"/>
        <v>15000000</v>
      </c>
      <c r="AF131" s="930">
        <f t="shared" si="45"/>
        <v>15000000</v>
      </c>
      <c r="AG131" s="930">
        <f t="shared" si="45"/>
        <v>15000000</v>
      </c>
      <c r="AH131" s="930">
        <f t="shared" si="45"/>
        <v>15000000</v>
      </c>
      <c r="AI131" s="930">
        <f t="shared" si="45"/>
        <v>15000000</v>
      </c>
      <c r="AJ131" s="930">
        <f t="shared" si="45"/>
        <v>15000000</v>
      </c>
      <c r="AK131" s="930">
        <f t="shared" si="45"/>
        <v>15000000</v>
      </c>
      <c r="AL131" s="930">
        <f t="shared" si="45"/>
        <v>15000000</v>
      </c>
      <c r="AM131" s="930">
        <f t="shared" si="45"/>
        <v>15000000</v>
      </c>
      <c r="AN131" s="930">
        <f t="shared" si="45"/>
        <v>15000000</v>
      </c>
      <c r="AO131" s="930">
        <f t="shared" si="45"/>
        <v>15000000</v>
      </c>
      <c r="AP131" s="930">
        <f t="shared" si="45"/>
        <v>15000000</v>
      </c>
      <c r="AQ131" s="930">
        <f t="shared" si="43"/>
        <v>15000000</v>
      </c>
    </row>
    <row r="132" spans="4:47" s="923" customFormat="1">
      <c r="D132" s="923">
        <v>201706</v>
      </c>
      <c r="I132" s="917">
        <v>42887</v>
      </c>
      <c r="J132" s="924"/>
      <c r="K132" s="917">
        <v>43405</v>
      </c>
      <c r="L132" s="925">
        <v>20000000</v>
      </c>
      <c r="N132" s="925"/>
      <c r="O132" s="919"/>
      <c r="Z132" s="930">
        <f t="shared" si="44"/>
        <v>20000000</v>
      </c>
      <c r="AA132" s="930">
        <f t="shared" si="45"/>
        <v>20000000</v>
      </c>
      <c r="AB132" s="930">
        <f t="shared" si="43"/>
        <v>20000000</v>
      </c>
      <c r="AC132" s="930">
        <f t="shared" si="43"/>
        <v>20000000</v>
      </c>
      <c r="AD132" s="930">
        <f t="shared" si="43"/>
        <v>20000000</v>
      </c>
      <c r="AE132" s="930">
        <f t="shared" si="43"/>
        <v>20000000</v>
      </c>
      <c r="AF132" s="930">
        <f t="shared" si="43"/>
        <v>20000000</v>
      </c>
      <c r="AG132" s="930">
        <f t="shared" si="43"/>
        <v>20000000</v>
      </c>
      <c r="AH132" s="930">
        <f t="shared" si="43"/>
        <v>20000000</v>
      </c>
      <c r="AI132" s="930">
        <f t="shared" si="43"/>
        <v>20000000</v>
      </c>
      <c r="AJ132" s="930">
        <f t="shared" si="43"/>
        <v>20000000</v>
      </c>
      <c r="AK132" s="930">
        <f t="shared" si="43"/>
        <v>20000000</v>
      </c>
      <c r="AL132" s="930">
        <f t="shared" si="43"/>
        <v>20000000</v>
      </c>
      <c r="AM132" s="930">
        <f t="shared" si="43"/>
        <v>20000000</v>
      </c>
      <c r="AN132" s="930">
        <f t="shared" si="43"/>
        <v>20000000</v>
      </c>
      <c r="AO132" s="930">
        <f t="shared" si="43"/>
        <v>20000000</v>
      </c>
      <c r="AP132" s="930">
        <f t="shared" si="43"/>
        <v>20000000</v>
      </c>
      <c r="AQ132" s="930">
        <f t="shared" si="43"/>
        <v>20000000</v>
      </c>
    </row>
    <row r="133" spans="4:47" s="923" customFormat="1">
      <c r="D133" s="923">
        <v>201707</v>
      </c>
      <c r="I133" s="917">
        <v>42917</v>
      </c>
      <c r="J133" s="924"/>
      <c r="K133" s="917">
        <v>43435</v>
      </c>
      <c r="L133" s="925">
        <v>15000000</v>
      </c>
      <c r="N133" s="925"/>
      <c r="O133" s="919"/>
      <c r="AA133" s="930">
        <f>L133</f>
        <v>15000000</v>
      </c>
      <c r="AB133" s="930">
        <f>AA133</f>
        <v>15000000</v>
      </c>
      <c r="AC133" s="930">
        <f t="shared" ref="AC133:AR135" si="46">AB133</f>
        <v>15000000</v>
      </c>
      <c r="AD133" s="930">
        <f t="shared" si="46"/>
        <v>15000000</v>
      </c>
      <c r="AE133" s="930">
        <f t="shared" si="46"/>
        <v>15000000</v>
      </c>
      <c r="AF133" s="930">
        <f t="shared" si="46"/>
        <v>15000000</v>
      </c>
      <c r="AG133" s="930">
        <f t="shared" si="46"/>
        <v>15000000</v>
      </c>
      <c r="AH133" s="930">
        <f t="shared" si="46"/>
        <v>15000000</v>
      </c>
      <c r="AI133" s="930">
        <f t="shared" si="46"/>
        <v>15000000</v>
      </c>
      <c r="AJ133" s="930">
        <f t="shared" si="46"/>
        <v>15000000</v>
      </c>
      <c r="AK133" s="930">
        <f t="shared" si="46"/>
        <v>15000000</v>
      </c>
      <c r="AL133" s="930">
        <f t="shared" si="46"/>
        <v>15000000</v>
      </c>
      <c r="AM133" s="930">
        <f t="shared" si="46"/>
        <v>15000000</v>
      </c>
      <c r="AN133" s="930">
        <f t="shared" si="46"/>
        <v>15000000</v>
      </c>
      <c r="AO133" s="930">
        <f t="shared" si="46"/>
        <v>15000000</v>
      </c>
      <c r="AP133" s="930">
        <f t="shared" si="46"/>
        <v>15000000</v>
      </c>
      <c r="AQ133" s="930">
        <f t="shared" si="46"/>
        <v>15000000</v>
      </c>
      <c r="AR133" s="930">
        <f t="shared" si="46"/>
        <v>15000000</v>
      </c>
    </row>
    <row r="134" spans="4:47" s="923" customFormat="1">
      <c r="D134" s="923">
        <v>201707</v>
      </c>
      <c r="I134" s="917">
        <v>42917</v>
      </c>
      <c r="J134" s="924"/>
      <c r="K134" s="917">
        <v>43435</v>
      </c>
      <c r="L134" s="925">
        <v>20000000</v>
      </c>
      <c r="N134" s="925"/>
      <c r="O134" s="919"/>
      <c r="AA134" s="930">
        <f t="shared" ref="AA134:AA135" si="47">L134</f>
        <v>20000000</v>
      </c>
      <c r="AB134" s="930">
        <f t="shared" ref="AB134:AQ135" si="48">AA134</f>
        <v>20000000</v>
      </c>
      <c r="AC134" s="930">
        <f t="shared" si="48"/>
        <v>20000000</v>
      </c>
      <c r="AD134" s="930">
        <f t="shared" si="48"/>
        <v>20000000</v>
      </c>
      <c r="AE134" s="930">
        <f t="shared" si="48"/>
        <v>20000000</v>
      </c>
      <c r="AF134" s="930">
        <f t="shared" si="48"/>
        <v>20000000</v>
      </c>
      <c r="AG134" s="930">
        <f t="shared" si="48"/>
        <v>20000000</v>
      </c>
      <c r="AH134" s="930">
        <f t="shared" si="48"/>
        <v>20000000</v>
      </c>
      <c r="AI134" s="930">
        <f t="shared" si="48"/>
        <v>20000000</v>
      </c>
      <c r="AJ134" s="930">
        <f t="shared" si="48"/>
        <v>20000000</v>
      </c>
      <c r="AK134" s="930">
        <f t="shared" si="48"/>
        <v>20000000</v>
      </c>
      <c r="AL134" s="930">
        <f t="shared" si="48"/>
        <v>20000000</v>
      </c>
      <c r="AM134" s="930">
        <f t="shared" si="48"/>
        <v>20000000</v>
      </c>
      <c r="AN134" s="930">
        <f t="shared" si="48"/>
        <v>20000000</v>
      </c>
      <c r="AO134" s="930">
        <f t="shared" si="48"/>
        <v>20000000</v>
      </c>
      <c r="AP134" s="930">
        <f t="shared" si="48"/>
        <v>20000000</v>
      </c>
      <c r="AQ134" s="930">
        <f t="shared" si="48"/>
        <v>20000000</v>
      </c>
      <c r="AR134" s="930">
        <f t="shared" si="46"/>
        <v>20000000</v>
      </c>
    </row>
    <row r="135" spans="4:47" s="923" customFormat="1">
      <c r="D135" s="923">
        <v>201707</v>
      </c>
      <c r="I135" s="917">
        <v>42917</v>
      </c>
      <c r="J135" s="924"/>
      <c r="K135" s="917">
        <v>43435</v>
      </c>
      <c r="L135" s="925">
        <v>15000000</v>
      </c>
      <c r="N135" s="925"/>
      <c r="O135" s="919"/>
      <c r="AA135" s="930">
        <f t="shared" si="47"/>
        <v>15000000</v>
      </c>
      <c r="AB135" s="930">
        <f t="shared" si="48"/>
        <v>15000000</v>
      </c>
      <c r="AC135" s="930">
        <f t="shared" si="46"/>
        <v>15000000</v>
      </c>
      <c r="AD135" s="930">
        <f t="shared" si="46"/>
        <v>15000000</v>
      </c>
      <c r="AE135" s="930">
        <f t="shared" si="46"/>
        <v>15000000</v>
      </c>
      <c r="AF135" s="930">
        <f t="shared" si="46"/>
        <v>15000000</v>
      </c>
      <c r="AG135" s="930">
        <f t="shared" si="46"/>
        <v>15000000</v>
      </c>
      <c r="AH135" s="930">
        <f t="shared" si="46"/>
        <v>15000000</v>
      </c>
      <c r="AI135" s="930">
        <f t="shared" si="46"/>
        <v>15000000</v>
      </c>
      <c r="AJ135" s="930">
        <f t="shared" si="46"/>
        <v>15000000</v>
      </c>
      <c r="AK135" s="930">
        <f t="shared" si="46"/>
        <v>15000000</v>
      </c>
      <c r="AL135" s="930">
        <f t="shared" si="46"/>
        <v>15000000</v>
      </c>
      <c r="AM135" s="930">
        <f t="shared" si="46"/>
        <v>15000000</v>
      </c>
      <c r="AN135" s="930">
        <f t="shared" si="46"/>
        <v>15000000</v>
      </c>
      <c r="AO135" s="930">
        <f t="shared" si="46"/>
        <v>15000000</v>
      </c>
      <c r="AP135" s="930">
        <f t="shared" si="46"/>
        <v>15000000</v>
      </c>
      <c r="AQ135" s="930">
        <f t="shared" si="46"/>
        <v>15000000</v>
      </c>
      <c r="AR135" s="930">
        <f t="shared" si="46"/>
        <v>15000000</v>
      </c>
    </row>
    <row r="136" spans="4:47" s="923" customFormat="1">
      <c r="D136" s="923">
        <v>201708</v>
      </c>
      <c r="I136" s="917">
        <v>42948</v>
      </c>
      <c r="J136" s="924"/>
      <c r="K136" s="917">
        <v>43466</v>
      </c>
      <c r="L136" s="925">
        <v>15000000</v>
      </c>
      <c r="N136" s="925"/>
      <c r="O136" s="919"/>
      <c r="AB136" s="930">
        <f>L136</f>
        <v>15000000</v>
      </c>
      <c r="AC136" s="930">
        <f>AB136</f>
        <v>15000000</v>
      </c>
      <c r="AD136" s="930">
        <f t="shared" ref="AD136:AS138" si="49">AC136</f>
        <v>15000000</v>
      </c>
      <c r="AE136" s="930">
        <f t="shared" si="49"/>
        <v>15000000</v>
      </c>
      <c r="AF136" s="930">
        <f t="shared" si="49"/>
        <v>15000000</v>
      </c>
      <c r="AG136" s="930">
        <f t="shared" si="49"/>
        <v>15000000</v>
      </c>
      <c r="AH136" s="930">
        <f t="shared" si="49"/>
        <v>15000000</v>
      </c>
      <c r="AI136" s="930">
        <f t="shared" si="49"/>
        <v>15000000</v>
      </c>
      <c r="AJ136" s="930">
        <f t="shared" si="49"/>
        <v>15000000</v>
      </c>
      <c r="AK136" s="930">
        <f t="shared" si="49"/>
        <v>15000000</v>
      </c>
      <c r="AL136" s="930">
        <f t="shared" si="49"/>
        <v>15000000</v>
      </c>
      <c r="AM136" s="930">
        <f t="shared" si="49"/>
        <v>15000000</v>
      </c>
      <c r="AN136" s="930">
        <f t="shared" si="49"/>
        <v>15000000</v>
      </c>
      <c r="AO136" s="930">
        <f t="shared" si="49"/>
        <v>15000000</v>
      </c>
      <c r="AP136" s="930">
        <f t="shared" si="49"/>
        <v>15000000</v>
      </c>
      <c r="AQ136" s="930">
        <f t="shared" si="49"/>
        <v>15000000</v>
      </c>
      <c r="AR136" s="930">
        <f t="shared" si="49"/>
        <v>15000000</v>
      </c>
      <c r="AS136" s="930">
        <f t="shared" si="49"/>
        <v>15000000</v>
      </c>
    </row>
    <row r="137" spans="4:47" s="923" customFormat="1">
      <c r="D137" s="923">
        <v>201708</v>
      </c>
      <c r="I137" s="917">
        <v>42948</v>
      </c>
      <c r="J137" s="924"/>
      <c r="K137" s="917">
        <v>43466</v>
      </c>
      <c r="L137" s="925">
        <v>15000000</v>
      </c>
      <c r="N137" s="925"/>
      <c r="O137" s="919"/>
      <c r="AB137" s="930">
        <f t="shared" ref="AB137:AB138" si="50">L137</f>
        <v>15000000</v>
      </c>
      <c r="AC137" s="930">
        <f t="shared" ref="AC137:AR138" si="51">AB137</f>
        <v>15000000</v>
      </c>
      <c r="AD137" s="930">
        <f t="shared" si="51"/>
        <v>15000000</v>
      </c>
      <c r="AE137" s="930">
        <f t="shared" si="51"/>
        <v>15000000</v>
      </c>
      <c r="AF137" s="930">
        <f t="shared" si="51"/>
        <v>15000000</v>
      </c>
      <c r="AG137" s="930">
        <f t="shared" si="51"/>
        <v>15000000</v>
      </c>
      <c r="AH137" s="930">
        <f t="shared" si="51"/>
        <v>15000000</v>
      </c>
      <c r="AI137" s="930">
        <f t="shared" si="51"/>
        <v>15000000</v>
      </c>
      <c r="AJ137" s="930">
        <f t="shared" si="51"/>
        <v>15000000</v>
      </c>
      <c r="AK137" s="930">
        <f t="shared" si="51"/>
        <v>15000000</v>
      </c>
      <c r="AL137" s="930">
        <f t="shared" si="51"/>
        <v>15000000</v>
      </c>
      <c r="AM137" s="930">
        <f t="shared" si="51"/>
        <v>15000000</v>
      </c>
      <c r="AN137" s="930">
        <f t="shared" si="51"/>
        <v>15000000</v>
      </c>
      <c r="AO137" s="930">
        <f t="shared" si="51"/>
        <v>15000000</v>
      </c>
      <c r="AP137" s="930">
        <f t="shared" si="51"/>
        <v>15000000</v>
      </c>
      <c r="AQ137" s="930">
        <f t="shared" si="51"/>
        <v>15000000</v>
      </c>
      <c r="AR137" s="930">
        <f t="shared" si="51"/>
        <v>15000000</v>
      </c>
      <c r="AS137" s="930">
        <f t="shared" si="49"/>
        <v>15000000</v>
      </c>
    </row>
    <row r="138" spans="4:47" s="923" customFormat="1">
      <c r="D138" s="923">
        <v>201708</v>
      </c>
      <c r="I138" s="917">
        <v>42948</v>
      </c>
      <c r="J138" s="924"/>
      <c r="K138" s="917">
        <v>43466</v>
      </c>
      <c r="L138" s="925">
        <v>20000000</v>
      </c>
      <c r="N138" s="925"/>
      <c r="O138" s="919"/>
      <c r="AB138" s="930">
        <f t="shared" si="50"/>
        <v>20000000</v>
      </c>
      <c r="AC138" s="930">
        <f t="shared" si="51"/>
        <v>20000000</v>
      </c>
      <c r="AD138" s="930">
        <f t="shared" si="49"/>
        <v>20000000</v>
      </c>
      <c r="AE138" s="930">
        <f t="shared" si="49"/>
        <v>20000000</v>
      </c>
      <c r="AF138" s="930">
        <f t="shared" si="49"/>
        <v>20000000</v>
      </c>
      <c r="AG138" s="930">
        <f t="shared" si="49"/>
        <v>20000000</v>
      </c>
      <c r="AH138" s="930">
        <f t="shared" si="49"/>
        <v>20000000</v>
      </c>
      <c r="AI138" s="930">
        <f t="shared" si="49"/>
        <v>20000000</v>
      </c>
      <c r="AJ138" s="930">
        <f t="shared" si="49"/>
        <v>20000000</v>
      </c>
      <c r="AK138" s="930">
        <f t="shared" si="49"/>
        <v>20000000</v>
      </c>
      <c r="AL138" s="930">
        <f t="shared" si="49"/>
        <v>20000000</v>
      </c>
      <c r="AM138" s="930">
        <f t="shared" si="49"/>
        <v>20000000</v>
      </c>
      <c r="AN138" s="930">
        <f t="shared" si="49"/>
        <v>20000000</v>
      </c>
      <c r="AO138" s="930">
        <f t="shared" si="49"/>
        <v>20000000</v>
      </c>
      <c r="AP138" s="930">
        <f t="shared" si="49"/>
        <v>20000000</v>
      </c>
      <c r="AQ138" s="930">
        <f t="shared" si="49"/>
        <v>20000000</v>
      </c>
      <c r="AR138" s="930">
        <f t="shared" si="49"/>
        <v>20000000</v>
      </c>
      <c r="AS138" s="930">
        <f t="shared" si="49"/>
        <v>20000000</v>
      </c>
    </row>
    <row r="139" spans="4:47" s="923" customFormat="1">
      <c r="D139" s="923">
        <v>201709</v>
      </c>
      <c r="I139" s="917">
        <v>42979</v>
      </c>
      <c r="J139" s="924"/>
      <c r="K139" s="917">
        <v>43497</v>
      </c>
      <c r="L139" s="925">
        <v>15000000</v>
      </c>
      <c r="N139" s="925"/>
      <c r="O139" s="919"/>
      <c r="AC139" s="930">
        <f>L139</f>
        <v>15000000</v>
      </c>
      <c r="AD139" s="930">
        <f>AC139</f>
        <v>15000000</v>
      </c>
      <c r="AE139" s="930">
        <f t="shared" ref="AE139:AT141" si="52">AD139</f>
        <v>15000000</v>
      </c>
      <c r="AF139" s="930">
        <f t="shared" si="52"/>
        <v>15000000</v>
      </c>
      <c r="AG139" s="930">
        <f t="shared" si="52"/>
        <v>15000000</v>
      </c>
      <c r="AH139" s="930">
        <f t="shared" si="52"/>
        <v>15000000</v>
      </c>
      <c r="AI139" s="930">
        <f t="shared" si="52"/>
        <v>15000000</v>
      </c>
      <c r="AJ139" s="930">
        <f t="shared" si="52"/>
        <v>15000000</v>
      </c>
      <c r="AK139" s="930">
        <f t="shared" si="52"/>
        <v>15000000</v>
      </c>
      <c r="AL139" s="930">
        <f t="shared" si="52"/>
        <v>15000000</v>
      </c>
      <c r="AM139" s="930">
        <f t="shared" si="52"/>
        <v>15000000</v>
      </c>
      <c r="AN139" s="930">
        <f t="shared" si="52"/>
        <v>15000000</v>
      </c>
      <c r="AO139" s="930">
        <f t="shared" si="52"/>
        <v>15000000</v>
      </c>
      <c r="AP139" s="930">
        <f t="shared" si="52"/>
        <v>15000000</v>
      </c>
      <c r="AQ139" s="930">
        <f t="shared" si="52"/>
        <v>15000000</v>
      </c>
      <c r="AR139" s="930">
        <f t="shared" si="52"/>
        <v>15000000</v>
      </c>
      <c r="AS139" s="930">
        <f t="shared" si="52"/>
        <v>15000000</v>
      </c>
      <c r="AT139" s="930">
        <f t="shared" si="52"/>
        <v>15000000</v>
      </c>
    </row>
    <row r="140" spans="4:47" s="923" customFormat="1">
      <c r="D140" s="923">
        <v>201709</v>
      </c>
      <c r="I140" s="917">
        <v>42979</v>
      </c>
      <c r="J140" s="924"/>
      <c r="K140" s="917">
        <v>43497</v>
      </c>
      <c r="L140" s="925">
        <v>20000000</v>
      </c>
      <c r="N140" s="925"/>
      <c r="O140" s="919"/>
      <c r="AC140" s="930">
        <f t="shared" ref="AC140:AC141" si="53">L140</f>
        <v>20000000</v>
      </c>
      <c r="AD140" s="930">
        <f t="shared" ref="AD140:AS141" si="54">AC140</f>
        <v>20000000</v>
      </c>
      <c r="AE140" s="930">
        <f t="shared" si="54"/>
        <v>20000000</v>
      </c>
      <c r="AF140" s="930">
        <f t="shared" si="54"/>
        <v>20000000</v>
      </c>
      <c r="AG140" s="930">
        <f t="shared" si="54"/>
        <v>20000000</v>
      </c>
      <c r="AH140" s="930">
        <f t="shared" si="54"/>
        <v>20000000</v>
      </c>
      <c r="AI140" s="930">
        <f t="shared" si="54"/>
        <v>20000000</v>
      </c>
      <c r="AJ140" s="930">
        <f t="shared" si="54"/>
        <v>20000000</v>
      </c>
      <c r="AK140" s="930">
        <f t="shared" si="54"/>
        <v>20000000</v>
      </c>
      <c r="AL140" s="930">
        <f t="shared" si="54"/>
        <v>20000000</v>
      </c>
      <c r="AM140" s="930">
        <f t="shared" si="54"/>
        <v>20000000</v>
      </c>
      <c r="AN140" s="930">
        <f t="shared" si="54"/>
        <v>20000000</v>
      </c>
      <c r="AO140" s="930">
        <f t="shared" si="54"/>
        <v>20000000</v>
      </c>
      <c r="AP140" s="930">
        <f t="shared" si="54"/>
        <v>20000000</v>
      </c>
      <c r="AQ140" s="930">
        <f t="shared" si="54"/>
        <v>20000000</v>
      </c>
      <c r="AR140" s="930">
        <f t="shared" si="54"/>
        <v>20000000</v>
      </c>
      <c r="AS140" s="930">
        <f t="shared" si="54"/>
        <v>20000000</v>
      </c>
      <c r="AT140" s="930">
        <f t="shared" si="52"/>
        <v>20000000</v>
      </c>
    </row>
    <row r="141" spans="4:47" s="923" customFormat="1">
      <c r="D141" s="923">
        <v>201709</v>
      </c>
      <c r="I141" s="917">
        <v>42979</v>
      </c>
      <c r="J141" s="924"/>
      <c r="K141" s="917">
        <v>43497</v>
      </c>
      <c r="L141" s="925">
        <v>20000000</v>
      </c>
      <c r="N141" s="925"/>
      <c r="O141" s="919"/>
      <c r="AC141" s="930">
        <f t="shared" si="53"/>
        <v>20000000</v>
      </c>
      <c r="AD141" s="930">
        <f t="shared" si="54"/>
        <v>20000000</v>
      </c>
      <c r="AE141" s="930">
        <f t="shared" si="52"/>
        <v>20000000</v>
      </c>
      <c r="AF141" s="930">
        <f t="shared" si="52"/>
        <v>20000000</v>
      </c>
      <c r="AG141" s="930">
        <f t="shared" si="52"/>
        <v>20000000</v>
      </c>
      <c r="AH141" s="930">
        <f t="shared" si="52"/>
        <v>20000000</v>
      </c>
      <c r="AI141" s="930">
        <f t="shared" si="52"/>
        <v>20000000</v>
      </c>
      <c r="AJ141" s="930">
        <f t="shared" si="52"/>
        <v>20000000</v>
      </c>
      <c r="AK141" s="930">
        <f t="shared" si="52"/>
        <v>20000000</v>
      </c>
      <c r="AL141" s="930">
        <f t="shared" si="52"/>
        <v>20000000</v>
      </c>
      <c r="AM141" s="930">
        <f t="shared" si="52"/>
        <v>20000000</v>
      </c>
      <c r="AN141" s="930">
        <f t="shared" si="52"/>
        <v>20000000</v>
      </c>
      <c r="AO141" s="930">
        <f t="shared" si="52"/>
        <v>20000000</v>
      </c>
      <c r="AP141" s="930">
        <f t="shared" si="52"/>
        <v>20000000</v>
      </c>
      <c r="AQ141" s="930">
        <f t="shared" si="52"/>
        <v>20000000</v>
      </c>
      <c r="AR141" s="930">
        <f t="shared" si="52"/>
        <v>20000000</v>
      </c>
      <c r="AS141" s="930">
        <f t="shared" si="52"/>
        <v>20000000</v>
      </c>
      <c r="AT141" s="930">
        <f t="shared" si="52"/>
        <v>20000000</v>
      </c>
    </row>
    <row r="142" spans="4:47" s="923" customFormat="1">
      <c r="D142" s="923">
        <v>201710</v>
      </c>
      <c r="I142" s="917">
        <v>43009</v>
      </c>
      <c r="J142" s="924"/>
      <c r="K142" s="917">
        <v>43525</v>
      </c>
      <c r="L142" s="925">
        <v>15000000</v>
      </c>
      <c r="N142" s="925"/>
      <c r="O142" s="919"/>
      <c r="AD142" s="930">
        <f>L142</f>
        <v>15000000</v>
      </c>
      <c r="AE142" s="930">
        <f>AD142</f>
        <v>15000000</v>
      </c>
      <c r="AF142" s="930">
        <f t="shared" ref="AF142:AG142" si="55">AE142</f>
        <v>15000000</v>
      </c>
      <c r="AG142" s="930">
        <f t="shared" si="55"/>
        <v>15000000</v>
      </c>
      <c r="AH142" s="930">
        <f t="shared" ref="AH142:AU142" si="56">AG142</f>
        <v>15000000</v>
      </c>
      <c r="AI142" s="930">
        <f t="shared" si="56"/>
        <v>15000000</v>
      </c>
      <c r="AJ142" s="930">
        <f t="shared" si="56"/>
        <v>15000000</v>
      </c>
      <c r="AK142" s="930">
        <f t="shared" si="56"/>
        <v>15000000</v>
      </c>
      <c r="AL142" s="930">
        <f t="shared" si="56"/>
        <v>15000000</v>
      </c>
      <c r="AM142" s="930">
        <f t="shared" si="56"/>
        <v>15000000</v>
      </c>
      <c r="AN142" s="930">
        <f t="shared" si="56"/>
        <v>15000000</v>
      </c>
      <c r="AO142" s="930">
        <f t="shared" si="56"/>
        <v>15000000</v>
      </c>
      <c r="AP142" s="930">
        <f t="shared" si="56"/>
        <v>15000000</v>
      </c>
      <c r="AQ142" s="930">
        <f t="shared" si="56"/>
        <v>15000000</v>
      </c>
      <c r="AR142" s="930">
        <f t="shared" si="56"/>
        <v>15000000</v>
      </c>
      <c r="AS142" s="930">
        <f t="shared" si="56"/>
        <v>15000000</v>
      </c>
      <c r="AT142" s="930">
        <f t="shared" si="56"/>
        <v>15000000</v>
      </c>
      <c r="AU142" s="930">
        <f t="shared" si="56"/>
        <v>15000000</v>
      </c>
    </row>
    <row r="143" spans="4:47" s="923" customFormat="1">
      <c r="D143" s="923">
        <v>201710</v>
      </c>
      <c r="I143" s="917">
        <v>43009</v>
      </c>
      <c r="J143" s="924"/>
      <c r="K143" s="917">
        <v>43525</v>
      </c>
      <c r="L143" s="925">
        <v>15000000</v>
      </c>
      <c r="N143" s="925"/>
      <c r="O143" s="919"/>
      <c r="AD143" s="930">
        <f t="shared" ref="AD143:AD144" si="57">L143</f>
        <v>15000000</v>
      </c>
      <c r="AE143" s="930">
        <f t="shared" ref="AE143:AG144" si="58">AD143</f>
        <v>15000000</v>
      </c>
      <c r="AF143" s="930">
        <f t="shared" si="58"/>
        <v>15000000</v>
      </c>
      <c r="AG143" s="930">
        <f t="shared" si="58"/>
        <v>15000000</v>
      </c>
      <c r="AH143" s="930">
        <f t="shared" ref="AH143:AU143" si="59">AG143</f>
        <v>15000000</v>
      </c>
      <c r="AI143" s="930">
        <f t="shared" si="59"/>
        <v>15000000</v>
      </c>
      <c r="AJ143" s="930">
        <f t="shared" si="59"/>
        <v>15000000</v>
      </c>
      <c r="AK143" s="930">
        <f t="shared" si="59"/>
        <v>15000000</v>
      </c>
      <c r="AL143" s="930">
        <f t="shared" si="59"/>
        <v>15000000</v>
      </c>
      <c r="AM143" s="930">
        <f t="shared" si="59"/>
        <v>15000000</v>
      </c>
      <c r="AN143" s="930">
        <f t="shared" si="59"/>
        <v>15000000</v>
      </c>
      <c r="AO143" s="930">
        <f t="shared" si="59"/>
        <v>15000000</v>
      </c>
      <c r="AP143" s="930">
        <f t="shared" si="59"/>
        <v>15000000</v>
      </c>
      <c r="AQ143" s="930">
        <f t="shared" si="59"/>
        <v>15000000</v>
      </c>
      <c r="AR143" s="930">
        <f t="shared" si="59"/>
        <v>15000000</v>
      </c>
      <c r="AS143" s="930">
        <f t="shared" si="59"/>
        <v>15000000</v>
      </c>
      <c r="AT143" s="930">
        <f t="shared" si="59"/>
        <v>15000000</v>
      </c>
      <c r="AU143" s="930">
        <f t="shared" si="59"/>
        <v>15000000</v>
      </c>
    </row>
    <row r="144" spans="4:47" s="923" customFormat="1">
      <c r="D144" s="923">
        <v>201710</v>
      </c>
      <c r="I144" s="917">
        <v>43009</v>
      </c>
      <c r="J144" s="924"/>
      <c r="K144" s="917">
        <v>43525</v>
      </c>
      <c r="L144" s="925">
        <v>20000000</v>
      </c>
      <c r="N144" s="925"/>
      <c r="O144" s="919"/>
      <c r="AD144" s="930">
        <f t="shared" si="57"/>
        <v>20000000</v>
      </c>
      <c r="AE144" s="930">
        <f t="shared" si="58"/>
        <v>20000000</v>
      </c>
      <c r="AF144" s="930">
        <f t="shared" si="58"/>
        <v>20000000</v>
      </c>
      <c r="AG144" s="930">
        <f t="shared" si="58"/>
        <v>20000000</v>
      </c>
      <c r="AH144" s="930">
        <f t="shared" ref="AH144:AU144" si="60">AG144</f>
        <v>20000000</v>
      </c>
      <c r="AI144" s="930">
        <f t="shared" si="60"/>
        <v>20000000</v>
      </c>
      <c r="AJ144" s="930">
        <f t="shared" si="60"/>
        <v>20000000</v>
      </c>
      <c r="AK144" s="930">
        <f t="shared" si="60"/>
        <v>20000000</v>
      </c>
      <c r="AL144" s="930">
        <f t="shared" si="60"/>
        <v>20000000</v>
      </c>
      <c r="AM144" s="930">
        <f t="shared" si="60"/>
        <v>20000000</v>
      </c>
      <c r="AN144" s="930">
        <f t="shared" si="60"/>
        <v>20000000</v>
      </c>
      <c r="AO144" s="930">
        <f t="shared" si="60"/>
        <v>20000000</v>
      </c>
      <c r="AP144" s="930">
        <f t="shared" si="60"/>
        <v>20000000</v>
      </c>
      <c r="AQ144" s="930">
        <f t="shared" si="60"/>
        <v>20000000</v>
      </c>
      <c r="AR144" s="930">
        <f t="shared" si="60"/>
        <v>20000000</v>
      </c>
      <c r="AS144" s="930">
        <f t="shared" si="60"/>
        <v>20000000</v>
      </c>
      <c r="AT144" s="930">
        <f t="shared" si="60"/>
        <v>20000000</v>
      </c>
      <c r="AU144" s="930">
        <f t="shared" si="60"/>
        <v>20000000</v>
      </c>
    </row>
    <row r="145" spans="4:56" s="923" customFormat="1">
      <c r="D145" s="923">
        <v>201711</v>
      </c>
      <c r="I145" s="917">
        <v>43040</v>
      </c>
      <c r="J145" s="924"/>
      <c r="K145" s="917">
        <v>43556</v>
      </c>
      <c r="L145" s="925">
        <v>15000000</v>
      </c>
      <c r="N145" s="925"/>
      <c r="O145" s="919"/>
      <c r="AE145" s="930">
        <f>L145</f>
        <v>15000000</v>
      </c>
      <c r="AF145" s="930">
        <f>AE145</f>
        <v>15000000</v>
      </c>
      <c r="AG145" s="930">
        <f t="shared" ref="AG145:AV147" si="61">AF145</f>
        <v>15000000</v>
      </c>
      <c r="AH145" s="930">
        <f t="shared" si="61"/>
        <v>15000000</v>
      </c>
      <c r="AI145" s="930">
        <f t="shared" si="61"/>
        <v>15000000</v>
      </c>
      <c r="AJ145" s="930">
        <f t="shared" si="61"/>
        <v>15000000</v>
      </c>
      <c r="AK145" s="930">
        <f t="shared" si="61"/>
        <v>15000000</v>
      </c>
      <c r="AL145" s="930">
        <f t="shared" si="61"/>
        <v>15000000</v>
      </c>
      <c r="AM145" s="930">
        <f t="shared" si="61"/>
        <v>15000000</v>
      </c>
      <c r="AN145" s="930">
        <f t="shared" si="61"/>
        <v>15000000</v>
      </c>
      <c r="AO145" s="930">
        <f t="shared" si="61"/>
        <v>15000000</v>
      </c>
      <c r="AP145" s="930">
        <f t="shared" si="61"/>
        <v>15000000</v>
      </c>
      <c r="AQ145" s="930">
        <f t="shared" si="61"/>
        <v>15000000</v>
      </c>
      <c r="AR145" s="930">
        <f t="shared" si="61"/>
        <v>15000000</v>
      </c>
      <c r="AS145" s="930">
        <f t="shared" si="61"/>
        <v>15000000</v>
      </c>
      <c r="AT145" s="930">
        <f t="shared" si="61"/>
        <v>15000000</v>
      </c>
      <c r="AU145" s="930">
        <f t="shared" si="61"/>
        <v>15000000</v>
      </c>
      <c r="AV145" s="930">
        <f t="shared" si="61"/>
        <v>15000000</v>
      </c>
    </row>
    <row r="146" spans="4:56" s="923" customFormat="1">
      <c r="D146" s="923">
        <v>201711</v>
      </c>
      <c r="I146" s="917">
        <v>43040</v>
      </c>
      <c r="J146" s="924"/>
      <c r="K146" s="917">
        <v>43556</v>
      </c>
      <c r="L146" s="925">
        <v>20000000</v>
      </c>
      <c r="N146" s="925"/>
      <c r="O146" s="919"/>
      <c r="AE146" s="930">
        <f t="shared" ref="AE146:AE147" si="62">L146</f>
        <v>20000000</v>
      </c>
      <c r="AF146" s="930">
        <f t="shared" ref="AF146:AU147" si="63">AE146</f>
        <v>20000000</v>
      </c>
      <c r="AG146" s="930">
        <f t="shared" si="63"/>
        <v>20000000</v>
      </c>
      <c r="AH146" s="930">
        <f t="shared" si="63"/>
        <v>20000000</v>
      </c>
      <c r="AI146" s="930">
        <f t="shared" si="63"/>
        <v>20000000</v>
      </c>
      <c r="AJ146" s="930">
        <f t="shared" si="63"/>
        <v>20000000</v>
      </c>
      <c r="AK146" s="930">
        <f t="shared" si="63"/>
        <v>20000000</v>
      </c>
      <c r="AL146" s="930">
        <f t="shared" si="63"/>
        <v>20000000</v>
      </c>
      <c r="AM146" s="930">
        <f t="shared" si="63"/>
        <v>20000000</v>
      </c>
      <c r="AN146" s="930">
        <f t="shared" si="63"/>
        <v>20000000</v>
      </c>
      <c r="AO146" s="930">
        <f t="shared" si="63"/>
        <v>20000000</v>
      </c>
      <c r="AP146" s="930">
        <f t="shared" si="63"/>
        <v>20000000</v>
      </c>
      <c r="AQ146" s="930">
        <f t="shared" si="63"/>
        <v>20000000</v>
      </c>
      <c r="AR146" s="930">
        <f t="shared" si="63"/>
        <v>20000000</v>
      </c>
      <c r="AS146" s="930">
        <f t="shared" si="63"/>
        <v>20000000</v>
      </c>
      <c r="AT146" s="930">
        <f t="shared" si="63"/>
        <v>20000000</v>
      </c>
      <c r="AU146" s="930">
        <f t="shared" si="63"/>
        <v>20000000</v>
      </c>
      <c r="AV146" s="930">
        <f t="shared" si="61"/>
        <v>20000000</v>
      </c>
    </row>
    <row r="147" spans="4:56" s="923" customFormat="1">
      <c r="D147" s="923">
        <v>201711</v>
      </c>
      <c r="I147" s="917">
        <v>43040</v>
      </c>
      <c r="J147" s="924"/>
      <c r="K147" s="917">
        <v>43556</v>
      </c>
      <c r="L147" s="925">
        <v>20000000</v>
      </c>
      <c r="N147" s="925"/>
      <c r="O147" s="919"/>
      <c r="AE147" s="930">
        <f t="shared" si="62"/>
        <v>20000000</v>
      </c>
      <c r="AF147" s="930">
        <f t="shared" si="63"/>
        <v>20000000</v>
      </c>
      <c r="AG147" s="930">
        <f t="shared" si="61"/>
        <v>20000000</v>
      </c>
      <c r="AH147" s="930">
        <f t="shared" si="61"/>
        <v>20000000</v>
      </c>
      <c r="AI147" s="930">
        <f t="shared" si="61"/>
        <v>20000000</v>
      </c>
      <c r="AJ147" s="930">
        <f t="shared" si="61"/>
        <v>20000000</v>
      </c>
      <c r="AK147" s="930">
        <f t="shared" si="61"/>
        <v>20000000</v>
      </c>
      <c r="AL147" s="930">
        <f t="shared" si="61"/>
        <v>20000000</v>
      </c>
      <c r="AM147" s="930">
        <f t="shared" si="61"/>
        <v>20000000</v>
      </c>
      <c r="AN147" s="930">
        <f t="shared" si="61"/>
        <v>20000000</v>
      </c>
      <c r="AO147" s="930">
        <f t="shared" si="61"/>
        <v>20000000</v>
      </c>
      <c r="AP147" s="930">
        <f t="shared" si="61"/>
        <v>20000000</v>
      </c>
      <c r="AQ147" s="930">
        <f t="shared" si="61"/>
        <v>20000000</v>
      </c>
      <c r="AR147" s="930">
        <f t="shared" si="61"/>
        <v>20000000</v>
      </c>
      <c r="AS147" s="930">
        <f t="shared" si="61"/>
        <v>20000000</v>
      </c>
      <c r="AT147" s="930">
        <f t="shared" si="61"/>
        <v>20000000</v>
      </c>
      <c r="AU147" s="930">
        <f t="shared" si="61"/>
        <v>20000000</v>
      </c>
      <c r="AV147" s="930">
        <f t="shared" si="61"/>
        <v>20000000</v>
      </c>
    </row>
    <row r="148" spans="4:56" s="923" customFormat="1">
      <c r="D148" s="923">
        <v>201712</v>
      </c>
      <c r="I148" s="917">
        <v>43070</v>
      </c>
      <c r="J148" s="924"/>
      <c r="K148" s="917">
        <v>43586</v>
      </c>
      <c r="L148" s="925">
        <v>15000000</v>
      </c>
      <c r="N148" s="925"/>
      <c r="O148" s="919"/>
      <c r="AF148" s="930">
        <f>L148</f>
        <v>15000000</v>
      </c>
      <c r="AG148" s="930">
        <f>AF148</f>
        <v>15000000</v>
      </c>
      <c r="AH148" s="930">
        <f t="shared" ref="AH148:AW150" si="64">AG148</f>
        <v>15000000</v>
      </c>
      <c r="AI148" s="930">
        <f t="shared" si="64"/>
        <v>15000000</v>
      </c>
      <c r="AJ148" s="930">
        <f t="shared" si="64"/>
        <v>15000000</v>
      </c>
      <c r="AK148" s="930">
        <f t="shared" si="64"/>
        <v>15000000</v>
      </c>
      <c r="AL148" s="930">
        <f t="shared" si="64"/>
        <v>15000000</v>
      </c>
      <c r="AM148" s="930">
        <f t="shared" si="64"/>
        <v>15000000</v>
      </c>
      <c r="AN148" s="930">
        <f t="shared" si="64"/>
        <v>15000000</v>
      </c>
      <c r="AO148" s="930">
        <f t="shared" si="64"/>
        <v>15000000</v>
      </c>
      <c r="AP148" s="930">
        <f t="shared" si="64"/>
        <v>15000000</v>
      </c>
      <c r="AQ148" s="930">
        <f t="shared" si="64"/>
        <v>15000000</v>
      </c>
      <c r="AR148" s="930">
        <f t="shared" si="64"/>
        <v>15000000</v>
      </c>
      <c r="AS148" s="930">
        <f t="shared" si="64"/>
        <v>15000000</v>
      </c>
      <c r="AT148" s="930">
        <f t="shared" si="64"/>
        <v>15000000</v>
      </c>
      <c r="AU148" s="930">
        <f t="shared" si="64"/>
        <v>15000000</v>
      </c>
      <c r="AV148" s="930">
        <f t="shared" si="64"/>
        <v>15000000</v>
      </c>
      <c r="AW148" s="930">
        <f t="shared" si="64"/>
        <v>15000000</v>
      </c>
    </row>
    <row r="149" spans="4:56" s="923" customFormat="1">
      <c r="D149" s="923">
        <v>201712</v>
      </c>
      <c r="I149" s="917">
        <v>43070</v>
      </c>
      <c r="J149" s="924"/>
      <c r="K149" s="917">
        <v>43586</v>
      </c>
      <c r="L149" s="925">
        <v>20000000</v>
      </c>
      <c r="N149" s="925"/>
      <c r="O149" s="919"/>
      <c r="AF149" s="930">
        <f t="shared" ref="AF149:AF150" si="65">L149</f>
        <v>20000000</v>
      </c>
      <c r="AG149" s="930">
        <f t="shared" ref="AG149:AV150" si="66">AF149</f>
        <v>20000000</v>
      </c>
      <c r="AH149" s="930">
        <f t="shared" si="66"/>
        <v>20000000</v>
      </c>
      <c r="AI149" s="930">
        <f t="shared" si="66"/>
        <v>20000000</v>
      </c>
      <c r="AJ149" s="930">
        <f t="shared" si="66"/>
        <v>20000000</v>
      </c>
      <c r="AK149" s="930">
        <f t="shared" si="66"/>
        <v>20000000</v>
      </c>
      <c r="AL149" s="930">
        <f t="shared" si="66"/>
        <v>20000000</v>
      </c>
      <c r="AM149" s="930">
        <f t="shared" si="66"/>
        <v>20000000</v>
      </c>
      <c r="AN149" s="930">
        <f t="shared" si="66"/>
        <v>20000000</v>
      </c>
      <c r="AO149" s="930">
        <f t="shared" si="66"/>
        <v>20000000</v>
      </c>
      <c r="AP149" s="930">
        <f t="shared" si="66"/>
        <v>20000000</v>
      </c>
      <c r="AQ149" s="930">
        <f t="shared" si="66"/>
        <v>20000000</v>
      </c>
      <c r="AR149" s="930">
        <f t="shared" si="66"/>
        <v>20000000</v>
      </c>
      <c r="AS149" s="930">
        <f t="shared" si="66"/>
        <v>20000000</v>
      </c>
      <c r="AT149" s="930">
        <f t="shared" si="66"/>
        <v>20000000</v>
      </c>
      <c r="AU149" s="930">
        <f t="shared" si="66"/>
        <v>20000000</v>
      </c>
      <c r="AV149" s="930">
        <f t="shared" si="66"/>
        <v>20000000</v>
      </c>
      <c r="AW149" s="930">
        <f t="shared" si="64"/>
        <v>20000000</v>
      </c>
    </row>
    <row r="150" spans="4:56" s="923" customFormat="1">
      <c r="D150" s="923">
        <v>201712</v>
      </c>
      <c r="I150" s="917">
        <v>43070</v>
      </c>
      <c r="J150" s="924"/>
      <c r="K150" s="917">
        <v>43586</v>
      </c>
      <c r="L150" s="925">
        <v>20000000</v>
      </c>
      <c r="N150" s="925"/>
      <c r="O150" s="919"/>
      <c r="AF150" s="930">
        <f t="shared" si="65"/>
        <v>20000000</v>
      </c>
      <c r="AG150" s="930">
        <f t="shared" si="66"/>
        <v>20000000</v>
      </c>
      <c r="AH150" s="930">
        <f t="shared" si="64"/>
        <v>20000000</v>
      </c>
      <c r="AI150" s="930">
        <f t="shared" si="64"/>
        <v>20000000</v>
      </c>
      <c r="AJ150" s="930">
        <f t="shared" si="64"/>
        <v>20000000</v>
      </c>
      <c r="AK150" s="930">
        <f t="shared" si="64"/>
        <v>20000000</v>
      </c>
      <c r="AL150" s="930">
        <f t="shared" si="64"/>
        <v>20000000</v>
      </c>
      <c r="AM150" s="930">
        <f t="shared" si="64"/>
        <v>20000000</v>
      </c>
      <c r="AN150" s="930">
        <f t="shared" si="64"/>
        <v>20000000</v>
      </c>
      <c r="AO150" s="930">
        <f t="shared" si="64"/>
        <v>20000000</v>
      </c>
      <c r="AP150" s="930">
        <f t="shared" si="64"/>
        <v>20000000</v>
      </c>
      <c r="AQ150" s="930">
        <f t="shared" si="64"/>
        <v>20000000</v>
      </c>
      <c r="AR150" s="930">
        <f t="shared" si="64"/>
        <v>20000000</v>
      </c>
      <c r="AS150" s="930">
        <f t="shared" si="64"/>
        <v>20000000</v>
      </c>
      <c r="AT150" s="930">
        <f t="shared" si="64"/>
        <v>20000000</v>
      </c>
      <c r="AU150" s="930">
        <f t="shared" si="64"/>
        <v>20000000</v>
      </c>
      <c r="AV150" s="930">
        <f t="shared" si="64"/>
        <v>20000000</v>
      </c>
      <c r="AW150" s="930">
        <f t="shared" si="64"/>
        <v>20000000</v>
      </c>
    </row>
    <row r="151" spans="4:56" s="923" customFormat="1">
      <c r="I151" s="917"/>
      <c r="J151" s="924"/>
      <c r="K151" s="917"/>
      <c r="L151" s="925"/>
      <c r="N151" s="925"/>
      <c r="O151" s="919"/>
    </row>
    <row r="152" spans="4:56" s="923" customFormat="1">
      <c r="I152" s="917"/>
      <c r="J152" s="924"/>
      <c r="K152" s="917"/>
      <c r="L152" s="925"/>
      <c r="N152" s="925"/>
      <c r="O152" s="919"/>
    </row>
    <row r="153" spans="4:56" s="923" customFormat="1">
      <c r="I153" s="917"/>
      <c r="J153" s="924"/>
      <c r="K153" s="917"/>
      <c r="L153" s="925"/>
      <c r="N153" s="925"/>
      <c r="O153" s="919"/>
    </row>
    <row r="154" spans="4:56" s="442" customFormat="1">
      <c r="F154" s="923"/>
      <c r="O154" s="442" t="s">
        <v>221</v>
      </c>
      <c r="P154" s="442">
        <f>SUM(P2:P153)/10^6</f>
        <v>2340</v>
      </c>
      <c r="Q154" s="442">
        <f t="shared" ref="Q154:BD154" si="67">SUM(Q2:Q153)/10^6</f>
        <v>2535</v>
      </c>
      <c r="R154" s="442">
        <f t="shared" si="67"/>
        <v>2455</v>
      </c>
      <c r="S154" s="442">
        <f t="shared" si="67"/>
        <v>2485</v>
      </c>
      <c r="T154" s="442">
        <f t="shared" si="67"/>
        <v>2427</v>
      </c>
      <c r="U154" s="442">
        <f t="shared" si="67"/>
        <v>2317</v>
      </c>
      <c r="V154" s="442">
        <f t="shared" si="67"/>
        <v>2202</v>
      </c>
      <c r="W154" s="442">
        <f t="shared" si="67"/>
        <v>2050</v>
      </c>
      <c r="X154" s="442">
        <f t="shared" si="67"/>
        <v>1882</v>
      </c>
      <c r="Y154" s="442">
        <f t="shared" si="67"/>
        <v>1909</v>
      </c>
      <c r="Z154" s="442">
        <f t="shared" si="67"/>
        <v>1819</v>
      </c>
      <c r="AA154" s="442">
        <f t="shared" si="67"/>
        <v>1844</v>
      </c>
      <c r="AB154" s="442">
        <f t="shared" si="67"/>
        <v>1566</v>
      </c>
      <c r="AC154" s="442">
        <f t="shared" si="67"/>
        <v>1581</v>
      </c>
      <c r="AD154" s="442">
        <f t="shared" si="67"/>
        <v>1456</v>
      </c>
      <c r="AE154" s="442">
        <f t="shared" si="67"/>
        <v>1358</v>
      </c>
      <c r="AF154" s="442">
        <f t="shared" si="67"/>
        <v>1173</v>
      </c>
      <c r="AG154" s="442">
        <f t="shared" si="67"/>
        <v>910</v>
      </c>
      <c r="AH154" s="442">
        <f t="shared" si="67"/>
        <v>910</v>
      </c>
      <c r="AI154" s="442">
        <f t="shared" si="67"/>
        <v>640</v>
      </c>
      <c r="AJ154" s="442">
        <f t="shared" si="67"/>
        <v>575</v>
      </c>
      <c r="AK154" s="442">
        <f t="shared" si="67"/>
        <v>520</v>
      </c>
      <c r="AL154" s="442">
        <f t="shared" si="67"/>
        <v>520</v>
      </c>
      <c r="AM154" s="442">
        <f t="shared" si="67"/>
        <v>520</v>
      </c>
      <c r="AN154" s="442">
        <f t="shared" si="67"/>
        <v>520</v>
      </c>
      <c r="AO154" s="442">
        <f t="shared" si="67"/>
        <v>470</v>
      </c>
      <c r="AP154" s="442">
        <f t="shared" si="67"/>
        <v>420</v>
      </c>
      <c r="AQ154" s="442">
        <f t="shared" si="67"/>
        <v>365</v>
      </c>
      <c r="AR154" s="442">
        <f t="shared" si="67"/>
        <v>315</v>
      </c>
      <c r="AS154" s="442">
        <f t="shared" si="67"/>
        <v>265</v>
      </c>
      <c r="AT154" s="442">
        <f t="shared" si="67"/>
        <v>215</v>
      </c>
      <c r="AU154" s="442">
        <f t="shared" si="67"/>
        <v>160</v>
      </c>
      <c r="AV154" s="442">
        <f t="shared" si="67"/>
        <v>110</v>
      </c>
      <c r="AW154" s="442">
        <f t="shared" si="67"/>
        <v>55</v>
      </c>
      <c r="AX154" s="442">
        <f t="shared" si="67"/>
        <v>0</v>
      </c>
      <c r="AY154" s="442">
        <f t="shared" si="67"/>
        <v>0</v>
      </c>
      <c r="AZ154" s="442">
        <f t="shared" si="67"/>
        <v>0</v>
      </c>
      <c r="BA154" s="442">
        <f t="shared" si="67"/>
        <v>0</v>
      </c>
      <c r="BB154" s="442">
        <f t="shared" si="67"/>
        <v>0</v>
      </c>
      <c r="BC154" s="442">
        <f t="shared" si="67"/>
        <v>0</v>
      </c>
      <c r="BD154" s="442">
        <f t="shared" si="67"/>
        <v>0</v>
      </c>
    </row>
    <row r="155" spans="4:56" s="442" customFormat="1">
      <c r="N155" s="921" t="s">
        <v>1028</v>
      </c>
      <c r="O155" s="464">
        <v>0.7</v>
      </c>
      <c r="P155" s="442">
        <f>P154*$O$155</f>
        <v>1638</v>
      </c>
      <c r="Q155" s="442">
        <f t="shared" ref="Q155:AW155" si="68">Q154*$O$155</f>
        <v>1774.5</v>
      </c>
      <c r="R155" s="442">
        <f t="shared" si="68"/>
        <v>1718.5</v>
      </c>
      <c r="S155" s="442">
        <f t="shared" si="68"/>
        <v>1739.5</v>
      </c>
      <c r="T155" s="442">
        <f t="shared" si="68"/>
        <v>1698.8999999999999</v>
      </c>
      <c r="U155" s="442">
        <f t="shared" si="68"/>
        <v>1621.8999999999999</v>
      </c>
      <c r="V155" s="442">
        <f t="shared" si="68"/>
        <v>1541.3999999999999</v>
      </c>
      <c r="W155" s="442">
        <f t="shared" si="68"/>
        <v>1435</v>
      </c>
      <c r="X155" s="442">
        <f t="shared" si="68"/>
        <v>1317.3999999999999</v>
      </c>
      <c r="Y155" s="442">
        <f t="shared" si="68"/>
        <v>1336.3</v>
      </c>
      <c r="Z155" s="442">
        <f t="shared" si="68"/>
        <v>1273.3</v>
      </c>
      <c r="AA155" s="442">
        <f t="shared" si="68"/>
        <v>1290.8</v>
      </c>
      <c r="AB155" s="442">
        <f t="shared" si="68"/>
        <v>1096.1999999999998</v>
      </c>
      <c r="AC155" s="442">
        <f t="shared" si="68"/>
        <v>1106.6999999999998</v>
      </c>
      <c r="AD155" s="442">
        <f t="shared" si="68"/>
        <v>1019.1999999999999</v>
      </c>
      <c r="AE155" s="442">
        <f t="shared" si="68"/>
        <v>950.59999999999991</v>
      </c>
      <c r="AF155" s="442">
        <f t="shared" si="68"/>
        <v>821.09999999999991</v>
      </c>
      <c r="AG155" s="442">
        <f t="shared" si="68"/>
        <v>637</v>
      </c>
      <c r="AH155" s="442">
        <f t="shared" si="68"/>
        <v>637</v>
      </c>
      <c r="AI155" s="442">
        <f t="shared" si="68"/>
        <v>448</v>
      </c>
      <c r="AJ155" s="442">
        <f t="shared" si="68"/>
        <v>402.5</v>
      </c>
      <c r="AK155" s="442">
        <f t="shared" si="68"/>
        <v>364</v>
      </c>
      <c r="AL155" s="442">
        <f t="shared" si="68"/>
        <v>364</v>
      </c>
      <c r="AM155" s="442">
        <f t="shared" si="68"/>
        <v>364</v>
      </c>
      <c r="AN155" s="442">
        <f t="shared" si="68"/>
        <v>364</v>
      </c>
      <c r="AO155" s="442">
        <f t="shared" si="68"/>
        <v>329</v>
      </c>
      <c r="AP155" s="442">
        <f t="shared" si="68"/>
        <v>294</v>
      </c>
      <c r="AQ155" s="442">
        <f t="shared" si="68"/>
        <v>255.49999999999997</v>
      </c>
      <c r="AR155" s="442">
        <f t="shared" si="68"/>
        <v>220.5</v>
      </c>
      <c r="AS155" s="442">
        <f t="shared" si="68"/>
        <v>185.5</v>
      </c>
      <c r="AT155" s="442">
        <f t="shared" si="68"/>
        <v>150.5</v>
      </c>
      <c r="AU155" s="442">
        <f t="shared" si="68"/>
        <v>112</v>
      </c>
      <c r="AV155" s="442">
        <f t="shared" si="68"/>
        <v>77</v>
      </c>
      <c r="AW155" s="442">
        <f t="shared" si="68"/>
        <v>38.5</v>
      </c>
    </row>
    <row r="157" spans="4:56">
      <c r="K157">
        <f>130*13</f>
        <v>1690</v>
      </c>
    </row>
    <row r="158" spans="4:56">
      <c r="K158">
        <v>2000</v>
      </c>
    </row>
    <row r="160" spans="4:56">
      <c r="N160" s="921" t="s">
        <v>1029</v>
      </c>
    </row>
    <row r="161" spans="13:14">
      <c r="M161">
        <v>2017</v>
      </c>
      <c r="N161" s="442">
        <f>SUM(U155:AF155)</f>
        <v>14809.900000000001</v>
      </c>
    </row>
    <row r="162" spans="13:14">
      <c r="M162">
        <v>2018</v>
      </c>
      <c r="N162" s="442">
        <f>SUM(AG155:AR155)</f>
        <v>4679.5</v>
      </c>
    </row>
    <row r="163" spans="13:14">
      <c r="M163">
        <v>2019</v>
      </c>
      <c r="N163" s="442">
        <f>SUM(AS155:BD155)</f>
        <v>563.5</v>
      </c>
    </row>
    <row r="165" spans="13:14">
      <c r="M165" s="490" t="s">
        <v>1209</v>
      </c>
      <c r="N165" s="442">
        <f>SUM(U121:AF150)/10^6</f>
        <v>2825</v>
      </c>
    </row>
  </sheetData>
  <autoFilter ref="A1:BD150"/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HG188"/>
  <sheetViews>
    <sheetView showGridLines="0" topLeftCell="L1" zoomScale="90" zoomScaleNormal="90" workbookViewId="0">
      <pane xSplit="4" ySplit="6" topLeftCell="EJ171" activePane="bottomRight" state="frozen"/>
      <selection activeCell="L1" sqref="L1"/>
      <selection pane="topRight" activeCell="P1" sqref="P1"/>
      <selection pane="bottomLeft" activeCell="L7" sqref="L7"/>
      <selection pane="bottomRight" activeCell="FF184" sqref="FF184"/>
    </sheetView>
  </sheetViews>
  <sheetFormatPr defaultColWidth="9.140625" defaultRowHeight="12.75"/>
  <cols>
    <col min="1" max="1" width="5" style="606" customWidth="1"/>
    <col min="2" max="2" width="14.7109375" style="606" customWidth="1"/>
    <col min="3" max="3" width="13.42578125" style="606" customWidth="1"/>
    <col min="4" max="4" width="14" style="606" customWidth="1"/>
    <col min="5" max="5" width="9.140625" style="606"/>
    <col min="6" max="6" width="15.42578125" style="606" customWidth="1"/>
    <col min="7" max="9" width="9.140625" style="606"/>
    <col min="10" max="10" width="4.7109375" style="606" customWidth="1"/>
    <col min="11" max="11" width="11" style="606" customWidth="1"/>
    <col min="12" max="12" width="11.5703125" style="606" customWidth="1"/>
    <col min="13" max="15" width="11.28515625" style="606" bestFit="1" customWidth="1"/>
    <col min="16" max="16" width="12.28515625" style="606" bestFit="1" customWidth="1"/>
    <col min="17" max="17" width="11.28515625" style="606" bestFit="1" customWidth="1"/>
    <col min="18" max="18" width="12.28515625" style="606" bestFit="1" customWidth="1"/>
    <col min="19" max="19" width="10.42578125" style="606" customWidth="1"/>
    <col min="20" max="21" width="10.7109375" style="606" customWidth="1"/>
    <col min="22" max="22" width="11.28515625" style="606" bestFit="1" customWidth="1"/>
    <col min="23" max="23" width="10.28515625" style="606" customWidth="1"/>
    <col min="24" max="24" width="11.85546875" style="606" customWidth="1"/>
    <col min="25" max="25" width="11" style="606" customWidth="1"/>
    <col min="26" max="28" width="11.28515625" style="606" bestFit="1" customWidth="1"/>
    <col min="29" max="29" width="9.7109375" style="606" customWidth="1"/>
    <col min="30" max="36" width="12" style="606" customWidth="1"/>
    <col min="37" max="37" width="10.7109375" style="606" customWidth="1"/>
    <col min="38" max="38" width="11.85546875" style="606" customWidth="1"/>
    <col min="39" max="41" width="10.42578125" style="606" customWidth="1"/>
    <col min="42" max="43" width="10.42578125" style="606" hidden="1" customWidth="1"/>
    <col min="44" max="44" width="0" style="606" hidden="1" customWidth="1"/>
    <col min="45" max="48" width="11.28515625" style="606" hidden="1" customWidth="1"/>
    <col min="49" max="49" width="9.140625" style="606" hidden="1" customWidth="1"/>
    <col min="50" max="53" width="0" style="606" hidden="1" customWidth="1"/>
    <col min="54" max="55" width="10.42578125" style="606" hidden="1" customWidth="1"/>
    <col min="56" max="56" width="0" style="606" hidden="1" customWidth="1"/>
    <col min="57" max="60" width="11.28515625" style="606" hidden="1" customWidth="1"/>
    <col min="61" max="61" width="9.140625" style="606" hidden="1" customWidth="1"/>
    <col min="62" max="65" width="0" style="606" hidden="1" customWidth="1"/>
    <col min="66" max="67" width="10.42578125" style="606" hidden="1" customWidth="1"/>
    <col min="68" max="68" width="9.140625" style="606" hidden="1" customWidth="1"/>
    <col min="69" max="72" width="11.28515625" style="606" hidden="1" customWidth="1"/>
    <col min="73" max="77" width="9.140625" style="606" hidden="1" customWidth="1"/>
    <col min="78" max="79" width="10.42578125" style="606" customWidth="1"/>
    <col min="80" max="80" width="9.140625" style="606" customWidth="1"/>
    <col min="81" max="84" width="11.28515625" style="606" customWidth="1"/>
    <col min="85" max="89" width="9.140625" style="606" customWidth="1"/>
    <col min="90" max="91" width="10.42578125" style="606" customWidth="1"/>
    <col min="92" max="92" width="9.140625" style="606" customWidth="1"/>
    <col min="93" max="96" width="11.28515625" style="606" customWidth="1"/>
    <col min="97" max="101" width="9.140625" style="606" customWidth="1"/>
    <col min="102" max="103" width="10.42578125" style="606" customWidth="1"/>
    <col min="104" max="104" width="9.140625" style="606" customWidth="1"/>
    <col min="105" max="108" width="11.28515625" style="606" customWidth="1"/>
    <col min="109" max="113" width="9.140625" style="606" customWidth="1"/>
    <col min="114" max="115" width="9.140625" style="606"/>
    <col min="116" max="116" width="10.140625" style="606" customWidth="1"/>
    <col min="117" max="117" width="9.140625" style="606"/>
    <col min="118" max="128" width="0" style="606" hidden="1" customWidth="1"/>
    <col min="129" max="135" width="9.140625" style="606"/>
    <col min="136" max="136" width="10.7109375" style="606" bestFit="1" customWidth="1"/>
    <col min="137" max="148" width="9.140625" style="606"/>
    <col min="149" max="149" width="10.7109375" style="606" customWidth="1"/>
    <col min="150" max="161" width="9.140625" style="606"/>
    <col min="162" max="162" width="10.7109375" style="606" customWidth="1"/>
    <col min="163" max="173" width="9.140625" style="606"/>
    <col min="174" max="174" width="11.140625" style="606" bestFit="1" customWidth="1"/>
    <col min="175" max="175" width="10.7109375" style="606" customWidth="1"/>
    <col min="176" max="186" width="9.140625" style="606"/>
    <col min="187" max="187" width="11.140625" style="606" bestFit="1" customWidth="1"/>
    <col min="188" max="188" width="10.7109375" style="606" customWidth="1"/>
    <col min="189" max="199" width="9.140625" style="606"/>
    <col min="200" max="200" width="11.140625" style="606" bestFit="1" customWidth="1"/>
    <col min="201" max="201" width="10.7109375" style="606" customWidth="1"/>
    <col min="202" max="212" width="9.140625" style="606"/>
    <col min="213" max="213" width="11.140625" style="606" bestFit="1" customWidth="1"/>
    <col min="214" max="16384" width="9.140625" style="606"/>
  </cols>
  <sheetData>
    <row r="1" spans="1:215" s="935" customFormat="1">
      <c r="A1" s="932"/>
      <c r="B1" s="933" t="s">
        <v>1049</v>
      </c>
      <c r="C1" s="934"/>
      <c r="D1" s="934"/>
      <c r="E1" s="934"/>
      <c r="F1" s="934"/>
      <c r="G1" s="934"/>
      <c r="H1" s="934"/>
      <c r="I1" s="934"/>
      <c r="J1" s="934"/>
      <c r="K1" s="934"/>
      <c r="L1" s="934"/>
      <c r="M1" s="934"/>
      <c r="N1" s="934"/>
      <c r="O1" s="934"/>
      <c r="P1" s="934"/>
      <c r="Q1" s="934"/>
      <c r="R1" s="934"/>
      <c r="S1" s="934"/>
      <c r="T1" s="934"/>
      <c r="U1" s="934"/>
      <c r="V1" s="934"/>
      <c r="W1" s="934"/>
      <c r="X1" s="934"/>
      <c r="Y1" s="934"/>
      <c r="Z1" s="934"/>
      <c r="AA1" s="934"/>
      <c r="AB1" s="934"/>
      <c r="AC1" s="934"/>
      <c r="AD1" s="934"/>
      <c r="AE1" s="934"/>
      <c r="AF1" s="934"/>
      <c r="AG1" s="934"/>
      <c r="AH1" s="934"/>
      <c r="AI1" s="934"/>
      <c r="AJ1" s="934"/>
      <c r="AK1" s="934"/>
      <c r="AL1" s="934"/>
      <c r="AM1" s="934"/>
      <c r="AN1" s="934"/>
      <c r="AO1" s="934"/>
      <c r="AP1" s="934"/>
      <c r="AQ1" s="934"/>
      <c r="AR1" s="934"/>
      <c r="AS1" s="934"/>
      <c r="AT1" s="934"/>
      <c r="AU1" s="934"/>
      <c r="AV1" s="934"/>
      <c r="AW1" s="934"/>
      <c r="AX1" s="934"/>
      <c r="AY1" s="934"/>
      <c r="AZ1" s="934"/>
      <c r="BA1" s="934"/>
      <c r="BB1" s="934"/>
      <c r="BC1" s="934"/>
      <c r="BD1" s="934"/>
      <c r="BE1" s="934"/>
      <c r="BF1" s="934"/>
      <c r="BG1" s="934"/>
      <c r="BH1" s="934"/>
      <c r="BI1" s="934"/>
      <c r="BJ1" s="934"/>
      <c r="BK1" s="934"/>
      <c r="BL1" s="934"/>
      <c r="BM1" s="934"/>
      <c r="BN1" s="934"/>
      <c r="BO1" s="934"/>
      <c r="BP1" s="934"/>
      <c r="BQ1" s="934"/>
      <c r="BR1" s="934"/>
      <c r="BS1" s="934"/>
      <c r="BT1" s="934"/>
      <c r="BU1" s="934"/>
      <c r="BV1" s="934"/>
      <c r="BW1" s="934"/>
      <c r="BX1" s="934"/>
      <c r="BY1" s="934"/>
      <c r="BZ1" s="934"/>
      <c r="CA1" s="934"/>
      <c r="CB1" s="934"/>
      <c r="CC1" s="934"/>
      <c r="CD1" s="934"/>
      <c r="CE1" s="934"/>
      <c r="CF1" s="934"/>
      <c r="CG1" s="934"/>
      <c r="CH1" s="934"/>
      <c r="CI1" s="934"/>
      <c r="CJ1" s="934"/>
      <c r="CK1" s="934"/>
      <c r="CL1" s="934"/>
      <c r="CM1" s="934"/>
      <c r="CN1" s="934"/>
      <c r="CO1" s="934"/>
      <c r="CP1" s="934"/>
      <c r="CQ1" s="934"/>
      <c r="CR1" s="934"/>
      <c r="CS1" s="934"/>
      <c r="CT1" s="934"/>
      <c r="CU1" s="934"/>
      <c r="CV1" s="934"/>
      <c r="CW1" s="934"/>
      <c r="CX1" s="934"/>
      <c r="CY1" s="934"/>
      <c r="CZ1" s="934"/>
      <c r="DA1" s="934"/>
      <c r="DB1" s="934"/>
      <c r="DC1" s="934"/>
      <c r="DD1" s="934"/>
      <c r="DE1" s="934"/>
      <c r="DF1" s="934"/>
      <c r="DG1" s="934"/>
      <c r="DH1" s="934"/>
      <c r="DI1" s="934"/>
      <c r="DJ1" s="934"/>
      <c r="DK1" s="934"/>
      <c r="DL1" s="934"/>
      <c r="DM1" s="934"/>
      <c r="DN1" s="934"/>
      <c r="DO1" s="934"/>
      <c r="DP1" s="934"/>
      <c r="DQ1" s="934"/>
      <c r="DR1" s="934"/>
      <c r="DS1" s="934"/>
      <c r="DT1" s="934"/>
      <c r="DU1" s="934"/>
      <c r="DV1" s="934"/>
      <c r="DW1" s="934"/>
      <c r="DX1" s="934"/>
      <c r="DY1" s="934"/>
      <c r="DZ1" s="934"/>
      <c r="EA1" s="934"/>
      <c r="EB1" s="934"/>
      <c r="EC1" s="934"/>
      <c r="ED1" s="934"/>
      <c r="EE1" s="934"/>
      <c r="EF1" s="934"/>
      <c r="EG1" s="934"/>
      <c r="EH1" s="934"/>
      <c r="EI1" s="934"/>
      <c r="EJ1" s="934"/>
      <c r="EK1" s="934"/>
      <c r="EL1" s="934"/>
      <c r="EM1" s="934"/>
      <c r="EN1" s="934"/>
      <c r="EO1" s="934"/>
      <c r="EP1" s="934"/>
      <c r="EQ1" s="934"/>
      <c r="ER1" s="934"/>
      <c r="ES1" s="934"/>
      <c r="ET1" s="934"/>
      <c r="EU1" s="934"/>
      <c r="EV1" s="934"/>
      <c r="EW1" s="934"/>
      <c r="EX1" s="934"/>
      <c r="EY1" s="934"/>
      <c r="EZ1" s="934"/>
      <c r="FA1" s="934"/>
      <c r="FB1" s="934"/>
      <c r="FC1" s="934"/>
      <c r="FD1" s="934"/>
      <c r="FE1" s="934"/>
      <c r="FF1" s="934"/>
      <c r="FG1" s="934"/>
      <c r="FH1" s="934"/>
      <c r="FI1" s="934"/>
      <c r="FJ1" s="934"/>
      <c r="FK1" s="934"/>
      <c r="FL1" s="934"/>
      <c r="FM1" s="934"/>
      <c r="FN1" s="934"/>
      <c r="FO1" s="934"/>
      <c r="FP1" s="934"/>
      <c r="FQ1" s="934"/>
      <c r="FR1" s="934"/>
      <c r="FS1" s="934"/>
      <c r="FT1" s="934"/>
      <c r="FU1" s="934"/>
      <c r="FV1" s="934"/>
      <c r="FW1" s="934"/>
      <c r="FX1" s="934"/>
      <c r="FY1" s="934"/>
      <c r="FZ1" s="934"/>
      <c r="GA1" s="934"/>
      <c r="GB1" s="934"/>
      <c r="GC1" s="934"/>
      <c r="GD1" s="934"/>
      <c r="GE1" s="934"/>
      <c r="GF1" s="934"/>
      <c r="GG1" s="934"/>
      <c r="GH1" s="934"/>
      <c r="GI1" s="934"/>
      <c r="GJ1" s="934"/>
      <c r="GK1" s="934"/>
      <c r="GL1" s="934"/>
      <c r="GM1" s="934"/>
      <c r="GN1" s="934"/>
      <c r="GO1" s="934"/>
      <c r="GP1" s="934"/>
      <c r="GQ1" s="934"/>
      <c r="GS1" s="934"/>
      <c r="GT1" s="934"/>
      <c r="GU1" s="934"/>
      <c r="GV1" s="934"/>
      <c r="GW1" s="934"/>
      <c r="GX1" s="934"/>
      <c r="GY1" s="934"/>
      <c r="GZ1" s="934"/>
      <c r="HA1" s="934"/>
      <c r="HB1" s="934"/>
      <c r="HC1" s="934"/>
      <c r="HD1" s="934"/>
    </row>
    <row r="3" spans="1:215">
      <c r="B3" s="936" t="s">
        <v>1030</v>
      </c>
      <c r="C3" s="937"/>
      <c r="D3" s="937"/>
      <c r="E3" s="937"/>
      <c r="F3" s="937"/>
      <c r="G3" s="937"/>
      <c r="H3" s="937"/>
      <c r="I3" s="937"/>
      <c r="J3" s="937"/>
      <c r="K3" s="937"/>
      <c r="L3" s="937"/>
      <c r="N3" s="938" t="s">
        <v>1031</v>
      </c>
      <c r="O3" s="939"/>
      <c r="P3" s="939"/>
      <c r="Q3" s="939"/>
      <c r="R3" s="939"/>
      <c r="S3" s="939"/>
      <c r="T3" s="939"/>
      <c r="U3" s="939"/>
      <c r="V3" s="939"/>
      <c r="W3" s="939"/>
      <c r="X3" s="939"/>
      <c r="Y3" s="939"/>
      <c r="AA3" s="940" t="s">
        <v>1032</v>
      </c>
      <c r="AB3" s="941"/>
      <c r="AC3" s="941"/>
      <c r="AD3" s="941"/>
      <c r="AE3" s="941"/>
      <c r="AF3" s="941"/>
      <c r="AG3" s="941"/>
      <c r="AH3" s="941"/>
      <c r="AI3" s="941"/>
      <c r="AJ3" s="941"/>
      <c r="AK3" s="941"/>
      <c r="AL3" s="941"/>
      <c r="AM3" s="941"/>
      <c r="AN3" s="941"/>
      <c r="AO3" s="941"/>
      <c r="AP3" s="941"/>
      <c r="AQ3" s="941"/>
      <c r="AR3" s="941"/>
      <c r="AS3" s="941"/>
      <c r="AT3" s="941"/>
      <c r="AU3" s="941"/>
      <c r="AV3" s="941"/>
      <c r="AW3" s="941"/>
      <c r="AX3" s="941"/>
      <c r="AY3" s="941"/>
      <c r="AZ3" s="941"/>
      <c r="BA3" s="941"/>
      <c r="BB3" s="941"/>
      <c r="BC3" s="941"/>
      <c r="BD3" s="941"/>
      <c r="BE3" s="941"/>
      <c r="BF3" s="941"/>
      <c r="BG3" s="941"/>
      <c r="BH3" s="941"/>
      <c r="BI3" s="941"/>
      <c r="BJ3" s="941"/>
      <c r="BK3" s="941"/>
      <c r="BL3" s="941"/>
      <c r="BM3" s="941"/>
      <c r="BN3" s="941"/>
      <c r="BO3" s="941"/>
      <c r="BP3" s="941"/>
      <c r="BQ3" s="941"/>
      <c r="BR3" s="941"/>
      <c r="BS3" s="941"/>
      <c r="BT3" s="941"/>
      <c r="BU3" s="941"/>
      <c r="BV3" s="941"/>
      <c r="BW3" s="941"/>
      <c r="BX3" s="941"/>
      <c r="BY3" s="941"/>
      <c r="BZ3" s="941"/>
      <c r="CA3" s="941"/>
      <c r="CB3" s="941"/>
      <c r="CC3" s="941"/>
      <c r="CD3" s="941"/>
      <c r="CE3" s="941"/>
      <c r="CF3" s="941"/>
      <c r="CG3" s="941"/>
      <c r="CH3" s="941"/>
      <c r="CI3" s="941"/>
      <c r="CJ3" s="941"/>
      <c r="CK3" s="941"/>
      <c r="CL3" s="941"/>
      <c r="CM3" s="941"/>
      <c r="CN3" s="941"/>
      <c r="CO3" s="941"/>
      <c r="CP3" s="941"/>
      <c r="CQ3" s="941"/>
      <c r="CR3" s="941"/>
      <c r="CS3" s="941"/>
      <c r="CT3" s="941"/>
      <c r="CU3" s="941"/>
      <c r="CV3" s="941"/>
      <c r="CW3" s="941"/>
      <c r="CX3" s="941"/>
      <c r="CY3" s="941"/>
      <c r="CZ3" s="941"/>
      <c r="DA3" s="941"/>
      <c r="DB3" s="941"/>
      <c r="DC3" s="941"/>
      <c r="DD3" s="941"/>
      <c r="DE3" s="941"/>
      <c r="DF3" s="941"/>
      <c r="DG3" s="941"/>
      <c r="DH3" s="941"/>
      <c r="DI3" s="941"/>
      <c r="DK3" s="942" t="s">
        <v>1033</v>
      </c>
      <c r="DL3" s="943"/>
      <c r="DM3" s="943"/>
      <c r="DN3" s="943"/>
      <c r="DO3" s="943"/>
      <c r="DP3" s="943"/>
      <c r="DQ3" s="943"/>
      <c r="DR3" s="943"/>
      <c r="DS3" s="943"/>
      <c r="DT3" s="943"/>
      <c r="DU3" s="943"/>
      <c r="DV3" s="943"/>
      <c r="DW3" s="943"/>
      <c r="DX3" s="943"/>
      <c r="DY3" s="943"/>
      <c r="DZ3" s="943"/>
      <c r="EA3" s="943"/>
      <c r="EB3" s="943"/>
      <c r="EC3" s="943"/>
      <c r="ED3" s="943"/>
      <c r="EE3" s="943"/>
      <c r="EF3" s="943"/>
      <c r="EG3" s="943"/>
      <c r="EH3" s="943"/>
      <c r="EI3" s="943"/>
      <c r="EJ3" s="943"/>
      <c r="EK3" s="943"/>
      <c r="EL3" s="943"/>
      <c r="EM3" s="943"/>
      <c r="EN3" s="943"/>
      <c r="EO3" s="943"/>
      <c r="EP3" s="943"/>
      <c r="EQ3" s="943"/>
      <c r="ER3" s="943"/>
      <c r="ES3" s="943"/>
      <c r="ET3" s="943"/>
      <c r="EU3" s="943"/>
      <c r="EV3" s="943"/>
      <c r="EW3" s="943"/>
      <c r="EX3" s="943"/>
      <c r="EY3" s="943"/>
      <c r="EZ3" s="943"/>
      <c r="FA3" s="943"/>
      <c r="FB3" s="943"/>
      <c r="FC3" s="943"/>
      <c r="FD3" s="943"/>
      <c r="FE3" s="943"/>
      <c r="FF3" s="943"/>
      <c r="FG3" s="943"/>
      <c r="FH3" s="943"/>
      <c r="FI3" s="943"/>
      <c r="FJ3" s="943"/>
      <c r="FK3" s="943"/>
      <c r="FL3" s="943"/>
      <c r="FM3" s="943"/>
      <c r="FN3" s="943"/>
      <c r="FO3" s="943"/>
      <c r="FP3" s="943"/>
      <c r="FQ3" s="943"/>
      <c r="FR3" s="943"/>
      <c r="FS3" s="943"/>
      <c r="FT3" s="943"/>
      <c r="FU3" s="943"/>
      <c r="FV3" s="943"/>
      <c r="FW3" s="943"/>
      <c r="FX3" s="943"/>
      <c r="FY3" s="943"/>
      <c r="FZ3" s="943"/>
      <c r="GA3" s="943"/>
      <c r="GB3" s="943"/>
      <c r="GC3" s="943"/>
      <c r="GD3" s="943"/>
      <c r="GE3" s="943"/>
      <c r="GF3" s="943"/>
      <c r="GG3" s="943"/>
      <c r="GH3" s="943"/>
      <c r="GI3" s="943"/>
      <c r="GJ3" s="943"/>
      <c r="GK3" s="943"/>
      <c r="GL3" s="943"/>
      <c r="GM3" s="943"/>
      <c r="GN3" s="943"/>
      <c r="GO3" s="943"/>
      <c r="GP3" s="943"/>
      <c r="GQ3" s="943"/>
      <c r="GS3" s="943"/>
      <c r="GT3" s="943"/>
      <c r="GU3" s="943"/>
      <c r="GV3" s="943"/>
      <c r="GW3" s="943"/>
      <c r="GX3" s="943"/>
      <c r="GY3" s="943"/>
      <c r="GZ3" s="943"/>
      <c r="HA3" s="943"/>
      <c r="HB3" s="943"/>
      <c r="HC3" s="943"/>
      <c r="HD3" s="943"/>
    </row>
    <row r="4" spans="1:215">
      <c r="ER4" s="606" t="s">
        <v>1460</v>
      </c>
      <c r="ES4" s="1505">
        <v>0.98</v>
      </c>
      <c r="FF4" s="1505"/>
      <c r="FS4" s="1505"/>
      <c r="GF4" s="1505"/>
      <c r="GS4" s="1505"/>
    </row>
    <row r="5" spans="1:215">
      <c r="B5" s="980"/>
      <c r="C5" s="946" t="s">
        <v>1050</v>
      </c>
      <c r="D5" s="980"/>
      <c r="E5" s="1010"/>
      <c r="F5" s="980"/>
      <c r="G5" s="980"/>
      <c r="H5" s="1010"/>
    </row>
    <row r="6" spans="1:215">
      <c r="B6" s="980"/>
      <c r="C6" s="980"/>
      <c r="D6" s="980"/>
      <c r="E6" s="1010"/>
      <c r="F6" s="980"/>
      <c r="G6" s="980"/>
      <c r="H6" s="1010"/>
      <c r="I6" s="1011"/>
      <c r="N6" s="961"/>
      <c r="O6" s="947"/>
      <c r="P6" s="962">
        <v>42370</v>
      </c>
      <c r="Q6" s="962">
        <v>42401</v>
      </c>
      <c r="R6" s="962">
        <v>42430</v>
      </c>
      <c r="S6" s="962">
        <v>42461</v>
      </c>
      <c r="T6" s="962">
        <v>42491</v>
      </c>
      <c r="U6" s="962">
        <v>42522</v>
      </c>
      <c r="V6" s="962">
        <v>42552</v>
      </c>
      <c r="W6" s="1012"/>
      <c r="X6" s="1012"/>
      <c r="Y6" s="1012"/>
      <c r="AA6" s="961"/>
      <c r="AB6" s="947"/>
      <c r="AC6" s="962">
        <v>42370</v>
      </c>
      <c r="AD6" s="962">
        <v>42401</v>
      </c>
      <c r="AE6" s="962">
        <v>42430</v>
      </c>
      <c r="AF6" s="962">
        <v>42461</v>
      </c>
      <c r="AG6" s="962">
        <v>42491</v>
      </c>
      <c r="AH6" s="962">
        <v>42522</v>
      </c>
      <c r="AI6" s="962">
        <v>42552</v>
      </c>
      <c r="AJ6" s="949" t="s">
        <v>1034</v>
      </c>
      <c r="AK6" s="963">
        <v>42583</v>
      </c>
      <c r="AL6" s="963">
        <v>42614</v>
      </c>
      <c r="AM6" s="963">
        <v>42644</v>
      </c>
      <c r="AN6" s="963">
        <v>42675</v>
      </c>
      <c r="AO6" s="963">
        <v>42705</v>
      </c>
      <c r="AP6" s="1013">
        <v>42736</v>
      </c>
      <c r="AQ6" s="1013">
        <v>42767</v>
      </c>
      <c r="AR6" s="1013">
        <v>42795</v>
      </c>
      <c r="AS6" s="1013">
        <v>42826</v>
      </c>
      <c r="AT6" s="1013">
        <v>42856</v>
      </c>
      <c r="AU6" s="1013">
        <v>42887</v>
      </c>
      <c r="AV6" s="1013">
        <v>42917</v>
      </c>
      <c r="AW6" s="1013">
        <v>42948</v>
      </c>
      <c r="AX6" s="1013">
        <v>42979</v>
      </c>
      <c r="AY6" s="1013">
        <v>43009</v>
      </c>
      <c r="AZ6" s="1013">
        <v>43040</v>
      </c>
      <c r="BA6" s="1013">
        <v>43070</v>
      </c>
      <c r="BB6" s="1013">
        <v>43101</v>
      </c>
      <c r="BC6" s="1013">
        <v>43132</v>
      </c>
      <c r="BD6" s="1013">
        <v>43160</v>
      </c>
      <c r="BE6" s="1013">
        <v>43191</v>
      </c>
      <c r="BF6" s="1013">
        <v>43221</v>
      </c>
      <c r="BG6" s="1013">
        <v>43252</v>
      </c>
      <c r="BH6" s="1013">
        <v>43282</v>
      </c>
      <c r="BI6" s="1013">
        <v>43313</v>
      </c>
      <c r="BJ6" s="1013">
        <v>43344</v>
      </c>
      <c r="BK6" s="1013">
        <v>43374</v>
      </c>
      <c r="BL6" s="1013">
        <v>43405</v>
      </c>
      <c r="BM6" s="1013">
        <v>43435</v>
      </c>
      <c r="BN6" s="1013">
        <v>43466</v>
      </c>
      <c r="BO6" s="1013">
        <v>43497</v>
      </c>
      <c r="BP6" s="1013">
        <v>43525</v>
      </c>
      <c r="BQ6" s="1013">
        <v>43556</v>
      </c>
      <c r="BR6" s="1013">
        <v>43586</v>
      </c>
      <c r="BS6" s="1013">
        <v>43617</v>
      </c>
      <c r="BT6" s="1013">
        <v>43647</v>
      </c>
      <c r="BU6" s="1013">
        <v>43678</v>
      </c>
      <c r="BV6" s="1013">
        <v>43709</v>
      </c>
      <c r="BW6" s="1013">
        <v>43739</v>
      </c>
      <c r="BX6" s="1013">
        <v>43770</v>
      </c>
      <c r="BY6" s="1013">
        <v>43800</v>
      </c>
      <c r="BZ6" s="1013">
        <v>43831</v>
      </c>
      <c r="CA6" s="1013">
        <v>43862</v>
      </c>
      <c r="CB6" s="1013">
        <v>43891</v>
      </c>
      <c r="CC6" s="1013">
        <v>43922</v>
      </c>
      <c r="CD6" s="1013">
        <v>43952</v>
      </c>
      <c r="CE6" s="1013">
        <v>43983</v>
      </c>
      <c r="CF6" s="1013">
        <v>44013</v>
      </c>
      <c r="CG6" s="1013">
        <v>44044</v>
      </c>
      <c r="CH6" s="1013">
        <v>44075</v>
      </c>
      <c r="CI6" s="1013">
        <v>44105</v>
      </c>
      <c r="CJ6" s="1013">
        <v>44136</v>
      </c>
      <c r="CK6" s="1013">
        <v>44166</v>
      </c>
      <c r="CL6" s="1013">
        <v>44197</v>
      </c>
      <c r="CM6" s="1013">
        <v>44228</v>
      </c>
      <c r="CN6" s="1013">
        <v>44256</v>
      </c>
      <c r="CO6" s="1013">
        <v>44287</v>
      </c>
      <c r="CP6" s="1013">
        <v>44317</v>
      </c>
      <c r="CQ6" s="1013">
        <v>44348</v>
      </c>
      <c r="CR6" s="1013">
        <v>44378</v>
      </c>
      <c r="CS6" s="1013">
        <v>44409</v>
      </c>
      <c r="CT6" s="1013">
        <v>44440</v>
      </c>
      <c r="CU6" s="1013">
        <v>44470</v>
      </c>
      <c r="CV6" s="1013">
        <v>44501</v>
      </c>
      <c r="CW6" s="1013">
        <v>44531</v>
      </c>
      <c r="CX6" s="1013">
        <v>44562</v>
      </c>
      <c r="CY6" s="1013">
        <v>44593</v>
      </c>
      <c r="CZ6" s="1013">
        <v>44621</v>
      </c>
      <c r="DA6" s="1013">
        <v>44652</v>
      </c>
      <c r="DB6" s="1013">
        <v>44682</v>
      </c>
      <c r="DC6" s="1013">
        <v>44713</v>
      </c>
      <c r="DD6" s="1013">
        <v>44743</v>
      </c>
      <c r="DE6" s="1013">
        <v>44774</v>
      </c>
      <c r="DF6" s="1013">
        <v>44805</v>
      </c>
      <c r="DG6" s="1013">
        <v>44835</v>
      </c>
      <c r="DH6" s="1013">
        <v>44866</v>
      </c>
      <c r="DI6" s="1013">
        <v>44896</v>
      </c>
      <c r="DK6" s="961"/>
      <c r="DL6" s="947"/>
      <c r="DN6" s="964">
        <v>42583</v>
      </c>
      <c r="DO6" s="965">
        <v>42614</v>
      </c>
      <c r="DP6" s="965">
        <v>42644</v>
      </c>
      <c r="DQ6" s="965">
        <v>42675</v>
      </c>
      <c r="DR6" s="966">
        <v>42705</v>
      </c>
      <c r="DT6" s="964">
        <v>42583</v>
      </c>
      <c r="DU6" s="965">
        <v>42614</v>
      </c>
      <c r="DV6" s="965">
        <v>42644</v>
      </c>
      <c r="DW6" s="965">
        <v>42675</v>
      </c>
      <c r="DX6" s="966">
        <v>42705</v>
      </c>
      <c r="DZ6" s="964">
        <v>42583</v>
      </c>
      <c r="EA6" s="965">
        <v>42614</v>
      </c>
      <c r="EB6" s="965">
        <v>42644</v>
      </c>
      <c r="EC6" s="965">
        <v>42675</v>
      </c>
      <c r="ED6" s="966">
        <v>42705</v>
      </c>
      <c r="EF6" s="964">
        <v>42736</v>
      </c>
      <c r="EG6" s="1122">
        <v>42767</v>
      </c>
      <c r="EH6" s="1122">
        <v>42795</v>
      </c>
      <c r="EI6" s="1122">
        <v>42826</v>
      </c>
      <c r="EJ6" s="1122">
        <v>42856</v>
      </c>
      <c r="EK6" s="1122">
        <v>42887</v>
      </c>
      <c r="EL6" s="1122">
        <v>42917</v>
      </c>
      <c r="EM6" s="1122">
        <v>42948</v>
      </c>
      <c r="EN6" s="1122">
        <v>42979</v>
      </c>
      <c r="EO6" s="1122">
        <v>43009</v>
      </c>
      <c r="EP6" s="1122">
        <v>43040</v>
      </c>
      <c r="EQ6" s="966">
        <v>43070</v>
      </c>
      <c r="ES6" s="964">
        <v>43101</v>
      </c>
      <c r="ET6" s="1122">
        <v>43132</v>
      </c>
      <c r="EU6" s="1122">
        <v>43160</v>
      </c>
      <c r="EV6" s="1122">
        <v>43191</v>
      </c>
      <c r="EW6" s="1122">
        <v>43221</v>
      </c>
      <c r="EX6" s="1122">
        <v>43252</v>
      </c>
      <c r="EY6" s="1122">
        <v>43282</v>
      </c>
      <c r="EZ6" s="1122">
        <v>43313</v>
      </c>
      <c r="FA6" s="1122">
        <v>43344</v>
      </c>
      <c r="FB6" s="1122">
        <v>43374</v>
      </c>
      <c r="FC6" s="1122">
        <v>43405</v>
      </c>
      <c r="FD6" s="966">
        <v>43435</v>
      </c>
      <c r="FF6" s="964">
        <v>43466</v>
      </c>
      <c r="FG6" s="1122">
        <v>43497</v>
      </c>
      <c r="FH6" s="1122">
        <v>43525</v>
      </c>
      <c r="FI6" s="1122">
        <v>43556</v>
      </c>
      <c r="FJ6" s="1122">
        <v>43586</v>
      </c>
      <c r="FK6" s="1122">
        <v>43617</v>
      </c>
      <c r="FL6" s="1122">
        <v>43647</v>
      </c>
      <c r="FM6" s="1122">
        <v>43678</v>
      </c>
      <c r="FN6" s="1122">
        <v>43709</v>
      </c>
      <c r="FO6" s="1122">
        <v>43739</v>
      </c>
      <c r="FP6" s="1122">
        <v>43770</v>
      </c>
      <c r="FQ6" s="966">
        <v>43800</v>
      </c>
      <c r="FS6" s="964">
        <v>43831</v>
      </c>
      <c r="FT6" s="1122">
        <v>43862</v>
      </c>
      <c r="FU6" s="1122">
        <v>43891</v>
      </c>
      <c r="FV6" s="1122">
        <v>43922</v>
      </c>
      <c r="FW6" s="1122">
        <v>43952</v>
      </c>
      <c r="FX6" s="1122">
        <v>43983</v>
      </c>
      <c r="FY6" s="1122">
        <v>44013</v>
      </c>
      <c r="FZ6" s="1122">
        <v>44044</v>
      </c>
      <c r="GA6" s="1122">
        <v>44075</v>
      </c>
      <c r="GB6" s="1122">
        <v>44105</v>
      </c>
      <c r="GC6" s="1122">
        <v>44136</v>
      </c>
      <c r="GD6" s="966">
        <v>44166</v>
      </c>
      <c r="GF6" s="964">
        <v>44197</v>
      </c>
      <c r="GG6" s="1122">
        <v>44228</v>
      </c>
      <c r="GH6" s="1122">
        <v>44256</v>
      </c>
      <c r="GI6" s="1122">
        <v>44287</v>
      </c>
      <c r="GJ6" s="1122">
        <v>44317</v>
      </c>
      <c r="GK6" s="1122">
        <v>44348</v>
      </c>
      <c r="GL6" s="1122">
        <v>44378</v>
      </c>
      <c r="GM6" s="1122">
        <v>44409</v>
      </c>
      <c r="GN6" s="1122">
        <v>44440</v>
      </c>
      <c r="GO6" s="1122">
        <v>44470</v>
      </c>
      <c r="GP6" s="1122">
        <v>44501</v>
      </c>
      <c r="GQ6" s="966">
        <v>44531</v>
      </c>
      <c r="GS6" s="964">
        <v>44562</v>
      </c>
      <c r="GT6" s="1122">
        <v>44593</v>
      </c>
      <c r="GU6" s="1122">
        <v>44621</v>
      </c>
      <c r="GV6" s="1122">
        <v>44652</v>
      </c>
      <c r="GW6" s="1122">
        <v>44682</v>
      </c>
      <c r="GX6" s="1122">
        <v>44713</v>
      </c>
      <c r="GY6" s="1122">
        <v>44743</v>
      </c>
      <c r="GZ6" s="1122">
        <v>44774</v>
      </c>
      <c r="HA6" s="1122">
        <v>44805</v>
      </c>
      <c r="HB6" s="1122">
        <v>44835</v>
      </c>
      <c r="HC6" s="1122">
        <v>44866</v>
      </c>
      <c r="HD6" s="966">
        <v>44896</v>
      </c>
    </row>
    <row r="7" spans="1:215" ht="14.25">
      <c r="B7" s="1014" t="s">
        <v>113</v>
      </c>
      <c r="C7" s="1015"/>
      <c r="D7" s="1016"/>
      <c r="E7" s="959"/>
      <c r="F7" s="1017"/>
      <c r="G7" s="1018"/>
      <c r="H7" s="1019"/>
      <c r="I7" s="31"/>
      <c r="N7" s="931" t="s">
        <v>206</v>
      </c>
      <c r="O7" s="950"/>
      <c r="P7" s="951">
        <f>[5]Assumption!D4</f>
        <v>13641.9247</v>
      </c>
      <c r="Q7" s="951">
        <f>[5]Assumption!E4</f>
        <v>13892.638999999999</v>
      </c>
      <c r="R7" s="951">
        <f>[5]Assumption!F4</f>
        <v>33141.966699999997</v>
      </c>
      <c r="S7" s="951">
        <f>[5]Assumption!G4</f>
        <v>30639.373500000002</v>
      </c>
      <c r="T7" s="951">
        <f>[5]Assumption!H4</f>
        <v>27458.014999999999</v>
      </c>
      <c r="U7" s="951">
        <f>[5]Assumption!I4</f>
        <v>41468.133600000001</v>
      </c>
      <c r="V7" s="951">
        <f>[5]Assumption!J4</f>
        <v>29747.920999999998</v>
      </c>
      <c r="W7" s="951"/>
      <c r="X7" s="951"/>
      <c r="Y7" s="951"/>
      <c r="AA7" s="931" t="s">
        <v>206</v>
      </c>
      <c r="AB7" s="950"/>
      <c r="AC7" s="951"/>
      <c r="AD7" s="951"/>
      <c r="AE7" s="951"/>
      <c r="AF7" s="951"/>
      <c r="AG7" s="951"/>
      <c r="AH7" s="951"/>
      <c r="AI7" s="951"/>
      <c r="DK7" s="931" t="s">
        <v>206</v>
      </c>
      <c r="DL7" s="950"/>
      <c r="DN7" s="985">
        <f>[5]Assumption!K4</f>
        <v>31024.388999999999</v>
      </c>
      <c r="DO7" s="992">
        <f>[5]Assumption!L4</f>
        <v>57115.435752778605</v>
      </c>
      <c r="DP7" s="992">
        <f>[5]Assumption!M4</f>
        <v>47631.558536618817</v>
      </c>
      <c r="DQ7" s="992">
        <f>[5]Assumption!N4</f>
        <v>53942.523858297791</v>
      </c>
      <c r="DR7" s="986">
        <f>[5]Assumption!O4</f>
        <v>70376.045614909744</v>
      </c>
      <c r="DT7" s="985">
        <f>[5]Assumption!K4</f>
        <v>31024.388999999999</v>
      </c>
      <c r="DU7" s="992">
        <f>[5]Assumption!L4</f>
        <v>57115.435752778605</v>
      </c>
      <c r="DV7" s="992">
        <f>[5]Assumption!M4</f>
        <v>47631.558536618817</v>
      </c>
      <c r="DW7" s="992">
        <f>[5]Assumption!N4</f>
        <v>53942.523858297791</v>
      </c>
      <c r="DX7" s="986">
        <f>[5]Assumption!O4</f>
        <v>70376.045614909744</v>
      </c>
      <c r="DZ7" s="985">
        <f>[5]Assumption!K4</f>
        <v>31024.388999999999</v>
      </c>
      <c r="EA7" s="992">
        <f>[5]Assumption!L4</f>
        <v>57115.435752778605</v>
      </c>
      <c r="EB7" s="992">
        <f>[5]Assumption!M4</f>
        <v>47631.558536618817</v>
      </c>
      <c r="EC7" s="992">
        <f>[5]Assumption!N4</f>
        <v>53942.523858297791</v>
      </c>
      <c r="ED7" s="986">
        <f>[5]Assumption!O4</f>
        <v>70376.045614909744</v>
      </c>
      <c r="EF7" s="985">
        <f>'Sale Plan &amp; KPIs'!B15</f>
        <v>20736.276566486489</v>
      </c>
      <c r="EG7" s="967">
        <f>'Sale Plan &amp; KPIs'!C15</f>
        <v>20450.289683551138</v>
      </c>
      <c r="EH7" s="967">
        <f>'Sale Plan &amp; KPIs'!D15</f>
        <v>48684.979787795397</v>
      </c>
      <c r="EI7" s="967">
        <f>'Sale Plan &amp; KPIs'!E15</f>
        <v>48320.230219621044</v>
      </c>
      <c r="EJ7" s="967">
        <f>'Sale Plan &amp; KPIs'!F15</f>
        <v>56564.783938693159</v>
      </c>
      <c r="EK7" s="967">
        <f>'Sale Plan &amp; KPIs'!G15</f>
        <v>63686.621018721395</v>
      </c>
      <c r="EL7" s="967">
        <f>'Sale Plan &amp; KPIs'!H15</f>
        <v>58694.06419691677</v>
      </c>
      <c r="EM7" s="967">
        <f>'Sale Plan &amp; KPIs'!I15</f>
        <v>65223.264761786886</v>
      </c>
      <c r="EN7" s="967">
        <f>'Sale Plan &amp; KPIs'!J15</f>
        <v>72867.135893726023</v>
      </c>
      <c r="EO7" s="967">
        <f>'Sale Plan &amp; KPIs'!K15</f>
        <v>68942.009470975565</v>
      </c>
      <c r="EP7" s="967">
        <f>'Sale Plan &amp; KPIs'!L15</f>
        <v>76422.789764412955</v>
      </c>
      <c r="EQ7" s="986">
        <f>'Sale Plan &amp; KPIs'!M15</f>
        <v>85561.107264922015</v>
      </c>
      <c r="ES7" s="985">
        <f>'[6]Yearly Summary'!$S45*$ES$4</f>
        <v>33634.87184066388</v>
      </c>
      <c r="ET7" s="967">
        <f>'[6]Yearly Summary'!$S46*$ES$4</f>
        <v>31605.909403366346</v>
      </c>
      <c r="EU7" s="967">
        <f>'[6]Yearly Summary'!$S47*$ES$4</f>
        <v>69270.736047451515</v>
      </c>
      <c r="EV7" s="967">
        <f>'[6]Yearly Summary'!$S48*$ES$4</f>
        <v>68993.157764707124</v>
      </c>
      <c r="EW7" s="967">
        <f>'[6]Yearly Summary'!$S49*$ES$4</f>
        <v>79757.509393595945</v>
      </c>
      <c r="EX7" s="967">
        <f>'[6]Yearly Summary'!$S50*$ES$4</f>
        <v>86426.017720658405</v>
      </c>
      <c r="EY7" s="967">
        <f>'[6]Yearly Summary'!$S51*$ES$4</f>
        <v>81303.597495043112</v>
      </c>
      <c r="EZ7" s="967">
        <f>'[6]Yearly Summary'!$S52*$ES$4</f>
        <v>90323.510560228984</v>
      </c>
      <c r="FA7" s="967">
        <f>'[6]Yearly Summary'!$S53*$ES$4</f>
        <v>99856.734877479015</v>
      </c>
      <c r="FB7" s="967">
        <f>'[6]Yearly Summary'!$S54*$ES$4</f>
        <v>94095.128673818224</v>
      </c>
      <c r="FC7" s="967">
        <f>'[6]Yearly Summary'!$S55*$ES$4</f>
        <v>102732.11183509197</v>
      </c>
      <c r="FD7" s="986">
        <f>'[6]Yearly Summary'!$S56*$ES$4</f>
        <v>110588.30482163659</v>
      </c>
      <c r="FE7" s="1506"/>
      <c r="FF7" s="985">
        <f>'[6]Yearly Summary'!$S60*$ES$4</f>
        <v>46318.349922487585</v>
      </c>
      <c r="FG7" s="967">
        <f>'[6]Yearly Summary'!$S61*$ES$4</f>
        <v>43005.179342212272</v>
      </c>
      <c r="FH7" s="967">
        <f>'[6]Yearly Summary'!$S62*$ES$4</f>
        <v>98133.872946411808</v>
      </c>
      <c r="FI7" s="967">
        <f>'[6]Yearly Summary'!$S63*$ES$4</f>
        <v>96299.872808433443</v>
      </c>
      <c r="FJ7" s="967">
        <f>'[6]Yearly Summary'!$S64*$ES$4</f>
        <v>111182.80365888127</v>
      </c>
      <c r="FK7" s="967">
        <f>'[6]Yearly Summary'!$S65*$ES$4</f>
        <v>119200.54428490785</v>
      </c>
      <c r="FL7" s="967">
        <f>'[6]Yearly Summary'!$S66*$ES$4</f>
        <v>113362.15964138735</v>
      </c>
      <c r="FM7" s="967">
        <f>'[6]Yearly Summary'!$S67*$ES$4</f>
        <v>125688.20032751787</v>
      </c>
      <c r="FN7" s="967">
        <f>'[6]Yearly Summary'!$S68*$ES$4</f>
        <v>138762.26956290167</v>
      </c>
      <c r="FO7" s="967">
        <f>'[6]Yearly Summary'!$S69*$ES$4</f>
        <v>132466.46696807331</v>
      </c>
      <c r="FP7" s="967">
        <f>'[6]Yearly Summary'!$S70*$ES$4</f>
        <v>143880.03889398318</v>
      </c>
      <c r="FQ7" s="986">
        <f>'[6]Yearly Summary'!$S71*$ES$4</f>
        <v>155348.77457851273</v>
      </c>
      <c r="FR7" s="1506"/>
      <c r="FS7" s="985">
        <f>'[6]Yearly Summary'!$S75*$ES$4</f>
        <v>61647.896999521479</v>
      </c>
      <c r="FT7" s="967">
        <f>'[6]Yearly Summary'!$S76*$ES$4</f>
        <v>57434.081744434043</v>
      </c>
      <c r="FU7" s="967">
        <f>'[6]Yearly Summary'!$S77*$ES$4</f>
        <v>129200.72136715053</v>
      </c>
      <c r="FV7" s="967">
        <f>'[6]Yearly Summary'!$S78*$ES$4</f>
        <v>128308.48034392958</v>
      </c>
      <c r="FW7" s="967">
        <f>'[6]Yearly Summary'!$S79*$ES$4</f>
        <v>146860.52938208671</v>
      </c>
      <c r="FX7" s="967">
        <f>'[6]Yearly Summary'!$S80*$ES$4</f>
        <v>155524.25254895756</v>
      </c>
      <c r="FY7" s="967">
        <f>'[6]Yearly Summary'!$S81*$ES$4</f>
        <v>148398.75353611138</v>
      </c>
      <c r="FZ7" s="967">
        <f>'[6]Yearly Summary'!$S82*$ES$4</f>
        <v>163072.75855433659</v>
      </c>
      <c r="GA7" s="967">
        <f>'[6]Yearly Summary'!$S83*$ES$4</f>
        <v>179474.28221131454</v>
      </c>
      <c r="GB7" s="967">
        <f>'[6]Yearly Summary'!$S84*$ES$4</f>
        <v>169825.29204644155</v>
      </c>
      <c r="GC7" s="967">
        <f>'[6]Yearly Summary'!$S85*$ES$4</f>
        <v>182638.97724914533</v>
      </c>
      <c r="GD7" s="986">
        <f>'[6]Yearly Summary'!$S86*$ES$4</f>
        <v>195891.76575396219</v>
      </c>
      <c r="GE7" s="1506"/>
      <c r="GF7" s="985">
        <f>'[6]Yearly Summary'!$S90*$ES$4</f>
        <v>79773.566176795241</v>
      </c>
      <c r="GG7" s="967">
        <f>'[6]Yearly Summary'!$S91*$ES$4</f>
        <v>73960.874577816241</v>
      </c>
      <c r="GH7" s="967">
        <f>'[6]Yearly Summary'!$S92*$ES$4</f>
        <v>166045.69701742672</v>
      </c>
      <c r="GI7" s="967">
        <f>'[6]Yearly Summary'!$S93*$ES$4</f>
        <v>165098.28269728503</v>
      </c>
      <c r="GJ7" s="967">
        <f>'[6]Yearly Summary'!$S94*$ES$4</f>
        <v>188943.1789052675</v>
      </c>
      <c r="GK7" s="967">
        <f>'[6]Yearly Summary'!$S95*$ES$4</f>
        <v>200169.61300769183</v>
      </c>
      <c r="GL7" s="967">
        <f>'[6]Yearly Summary'!$S96*$ES$4</f>
        <v>191093.14991266411</v>
      </c>
      <c r="GM7" s="967">
        <f>'[6]Yearly Summary'!$S97*$ES$4</f>
        <v>212241.04562907212</v>
      </c>
      <c r="GN7" s="967">
        <f>'[6]Yearly Summary'!$S98*$ES$4</f>
        <v>233831.69508343982</v>
      </c>
      <c r="GO7" s="967">
        <f>'[6]Yearly Summary'!$S99*$ES$4</f>
        <v>221837.58026768558</v>
      </c>
      <c r="GP7" s="967">
        <f>'[6]Yearly Summary'!$S100*$ES$4</f>
        <v>240114.07890424004</v>
      </c>
      <c r="GQ7" s="986">
        <f>'[6]Yearly Summary'!$S101*$ES$4</f>
        <v>258165.48648485605</v>
      </c>
      <c r="GR7" s="1506"/>
      <c r="GS7" s="985">
        <f>'[6]Yearly Summary'!$S105*$ES$4</f>
        <v>102243.17354613698</v>
      </c>
      <c r="GT7" s="967">
        <f>'[6]Yearly Summary'!$S106*$ES$4</f>
        <v>94914.436736920587</v>
      </c>
      <c r="GU7" s="967">
        <f>'[6]Yearly Summary'!$S107*$ES$4</f>
        <v>213376.11169026361</v>
      </c>
      <c r="GV7" s="967">
        <f>'[6]Yearly Summary'!$S108*$ES$4</f>
        <v>212686.06389340316</v>
      </c>
      <c r="GW7" s="967">
        <f>'[6]Yearly Summary'!$S109*$ES$4</f>
        <v>243766.73602706607</v>
      </c>
      <c r="GX7" s="967">
        <f>'[6]Yearly Summary'!$S110*$ES$4</f>
        <v>258677.59641993258</v>
      </c>
      <c r="GY7" s="967">
        <f>'[6]Yearly Summary'!$S111*$ES$4</f>
        <v>247325.83416245971</v>
      </c>
      <c r="GZ7" s="967">
        <f>'[6]Yearly Summary'!$S112*$ES$4</f>
        <v>274551.78277930809</v>
      </c>
      <c r="HA7" s="967">
        <f>'[6]Yearly Summary'!$S113*$ES$4</f>
        <v>302543.5324840942</v>
      </c>
      <c r="HB7" s="967">
        <f>'[6]Yearly Summary'!$S114*$ES$4</f>
        <v>290274.66133140703</v>
      </c>
      <c r="HC7" s="967">
        <f>'[6]Yearly Summary'!$S115*$ES$4</f>
        <v>317209.68443916366</v>
      </c>
      <c r="HD7" s="986">
        <f>'[6]Yearly Summary'!$S116*$ES$4</f>
        <v>341316.06647489819</v>
      </c>
      <c r="HE7" s="1506"/>
      <c r="HG7" s="1507"/>
    </row>
    <row r="8" spans="1:215" ht="14.25">
      <c r="B8" s="997" t="s">
        <v>114</v>
      </c>
      <c r="C8" s="1020" t="s">
        <v>1051</v>
      </c>
      <c r="D8" s="989" t="s">
        <v>1052</v>
      </c>
      <c r="E8" s="1021" t="s">
        <v>1053</v>
      </c>
      <c r="F8" s="990" t="s">
        <v>118</v>
      </c>
      <c r="G8" s="1022" t="s">
        <v>1040</v>
      </c>
      <c r="H8" s="1023"/>
      <c r="I8" s="31"/>
      <c r="N8" s="931" t="s">
        <v>1035</v>
      </c>
      <c r="O8" s="950"/>
      <c r="P8" s="951">
        <f>[5]Assumption!D5</f>
        <v>4254.7024700000002</v>
      </c>
      <c r="Q8" s="951">
        <f>[5]Assumption!E5</f>
        <v>4245.9432999999999</v>
      </c>
      <c r="R8" s="951">
        <f>[5]Assumption!F5</f>
        <v>10233.976975</v>
      </c>
      <c r="S8" s="951">
        <f>[5]Assumption!G5</f>
        <v>9777.6431200000006</v>
      </c>
      <c r="T8" s="951">
        <f>[5]Assumption!H5</f>
        <v>8583.7165700000005</v>
      </c>
      <c r="U8" s="951">
        <f>[5]Assumption!I5</f>
        <v>12969.911534999999</v>
      </c>
      <c r="V8" s="951">
        <f>[5]Assumption!J5</f>
        <v>9370.4067799999993</v>
      </c>
      <c r="W8" s="951"/>
      <c r="X8" s="951"/>
      <c r="Y8" s="951"/>
      <c r="AA8" s="931" t="s">
        <v>1035</v>
      </c>
      <c r="AB8" s="950"/>
      <c r="AC8" s="951"/>
      <c r="AD8" s="951"/>
      <c r="AE8" s="951"/>
      <c r="AF8" s="951"/>
      <c r="AG8" s="951"/>
      <c r="AH8" s="951"/>
      <c r="AI8" s="951"/>
      <c r="DK8" s="931" t="s">
        <v>1035</v>
      </c>
      <c r="DL8" s="950"/>
      <c r="DN8" s="953">
        <f>[5]Assumption!K5</f>
        <v>9881.3886650000004</v>
      </c>
      <c r="DO8" s="967">
        <f>[5]Assumption!L5</f>
        <v>18276.939440889153</v>
      </c>
      <c r="DP8" s="967">
        <f>[5]Assumption!M5</f>
        <v>15242.098731718022</v>
      </c>
      <c r="DQ8" s="967">
        <f>[5]Assumption!N5</f>
        <v>17261.607634655295</v>
      </c>
      <c r="DR8" s="954">
        <f>[5]Assumption!O5</f>
        <v>22520.334596771118</v>
      </c>
      <c r="DT8" s="953">
        <f>[5]Assumption!K5</f>
        <v>9881.3886650000004</v>
      </c>
      <c r="DU8" s="967">
        <f>[5]Assumption!L5</f>
        <v>18276.939440889153</v>
      </c>
      <c r="DV8" s="967">
        <f>[5]Assumption!M5</f>
        <v>15242.098731718022</v>
      </c>
      <c r="DW8" s="967">
        <f>[5]Assumption!N5</f>
        <v>17261.607634655295</v>
      </c>
      <c r="DX8" s="954">
        <f>[5]Assumption!O5</f>
        <v>22520.334596771118</v>
      </c>
      <c r="DZ8" s="953">
        <f>[5]Assumption!K5</f>
        <v>9881.3886650000004</v>
      </c>
      <c r="EA8" s="967">
        <f>[5]Assumption!L5</f>
        <v>18276.939440889153</v>
      </c>
      <c r="EB8" s="967">
        <f>[5]Assumption!M5</f>
        <v>15242.098731718022</v>
      </c>
      <c r="EC8" s="967">
        <f>[5]Assumption!N5</f>
        <v>17261.607634655295</v>
      </c>
      <c r="ED8" s="954">
        <f>[5]Assumption!O5</f>
        <v>22520.334596771118</v>
      </c>
      <c r="EF8" s="953">
        <f>EF7*'2017 Scheme &amp; cost projection'!$R$22</f>
        <v>6566.4125173686261</v>
      </c>
      <c r="EG8" s="967">
        <f>EG7*'2017 Scheme &amp; cost projection'!$R$22</f>
        <v>6475.8510396660695</v>
      </c>
      <c r="EH8" s="967">
        <f>EH7*'2017 Scheme &amp; cost projection'!$R$22</f>
        <v>15416.734034261828</v>
      </c>
      <c r="EI8" s="967">
        <f>EI7*'2017 Scheme &amp; cost projection'!$R$22</f>
        <v>15301.231324675296</v>
      </c>
      <c r="EJ8" s="967">
        <f>EJ7*'2017 Scheme &amp; cost projection'!$R$22</f>
        <v>17911.976825076679</v>
      </c>
      <c r="EK8" s="967">
        <f>EK7*'2017 Scheme &amp; cost projection'!$R$22</f>
        <v>20167.199453836263</v>
      </c>
      <c r="EL8" s="967">
        <f>EL7*'2017 Scheme &amp; cost projection'!$R$22</f>
        <v>18586.241199192056</v>
      </c>
      <c r="EM8" s="967">
        <f>EM7*'2017 Scheme &amp; cost projection'!$R$22</f>
        <v>20653.797743401374</v>
      </c>
      <c r="EN8" s="967">
        <f>EN7*'2017 Scheme &amp; cost projection'!$R$22</f>
        <v>23074.329265585948</v>
      </c>
      <c r="EO8" s="967">
        <f>EO7*'2017 Scheme &amp; cost projection'!$R$22</f>
        <v>21831.386773380847</v>
      </c>
      <c r="EP8" s="967">
        <f>EP7*'2017 Scheme &amp; cost projection'!$R$22</f>
        <v>24200.273453736063</v>
      </c>
      <c r="EQ8" s="954">
        <f>EQ7*'2017 Scheme &amp; cost projection'!$R$22</f>
        <v>27094.040916309925</v>
      </c>
      <c r="ES8" s="1508">
        <f>ES7*'2017 Scheme &amp; cost projection'!$R$22</f>
        <v>10650.920996664106</v>
      </c>
      <c r="ET8" s="967">
        <f>ET7*'2017 Scheme &amp; cost projection'!$R$22</f>
        <v>10008.423569374116</v>
      </c>
      <c r="EU8" s="967">
        <f>EU7*'2017 Scheme &amp; cost projection'!$R$22</f>
        <v>21935.482332660376</v>
      </c>
      <c r="EV8" s="967">
        <f>EV7*'2017 Scheme &amp; cost projection'!$R$22</f>
        <v>21847.58354791383</v>
      </c>
      <c r="EW8" s="967">
        <f>EW7*'2017 Scheme &amp; cost projection'!$R$22</f>
        <v>25256.255931823365</v>
      </c>
      <c r="EX8" s="967">
        <f>EX7*'2017 Scheme &amp; cost projection'!$R$22</f>
        <v>27367.926096455009</v>
      </c>
      <c r="EY8" s="967">
        <f>EY7*'2017 Scheme &amp; cost projection'!$R$22</f>
        <v>25745.844900688931</v>
      </c>
      <c r="EZ8" s="967">
        <f>EZ7*'2017 Scheme &amp; cost projection'!$R$22</f>
        <v>28602.118054015653</v>
      </c>
      <c r="FA8" s="967">
        <f>FA7*'2017 Scheme &amp; cost projection'!$R$22</f>
        <v>31620.937912391037</v>
      </c>
      <c r="FB8" s="967">
        <f>FB7*'2017 Scheme &amp; cost projection'!$R$22</f>
        <v>29796.450137328666</v>
      </c>
      <c r="FC8" s="967">
        <f>FC7*'2017 Scheme &amp; cost projection'!$R$22</f>
        <v>32531.463540561814</v>
      </c>
      <c r="FD8" s="954">
        <f>FD7*'2017 Scheme &amp; cost projection'!$R$22</f>
        <v>35019.229548133488</v>
      </c>
      <c r="FF8" s="1508">
        <f>FF7*'2017 Scheme &amp; cost projection'!$R$22</f>
        <v>14667.309810404229</v>
      </c>
      <c r="FG8" s="967">
        <f>FG7*'2017 Scheme &amp; cost projection'!$R$22</f>
        <v>13618.151119800234</v>
      </c>
      <c r="FH8" s="967">
        <f>FH7*'2017 Scheme &amp; cost projection'!$R$22</f>
        <v>31075.3712040389</v>
      </c>
      <c r="FI8" s="967">
        <f>FI7*'2017 Scheme &amp; cost projection'!$R$22</f>
        <v>30494.611132467508</v>
      </c>
      <c r="FJ8" s="967">
        <f>FJ7*'2017 Scheme &amp; cost projection'!$R$22</f>
        <v>35207.485361269857</v>
      </c>
      <c r="FK8" s="967">
        <f>FK7*'2017 Scheme &amp; cost projection'!$R$22</f>
        <v>37746.407536567429</v>
      </c>
      <c r="FL8" s="967">
        <f>FL7*'2017 Scheme &amp; cost projection'!$R$22</f>
        <v>35897.606866808535</v>
      </c>
      <c r="FM8" s="967">
        <f>FM7*'2017 Scheme &amp; cost projection'!$R$22</f>
        <v>39800.808465778937</v>
      </c>
      <c r="FN8" s="967">
        <f>FN7*'2017 Scheme &amp; cost projection'!$R$22</f>
        <v>43940.883064268652</v>
      </c>
      <c r="FO8" s="967">
        <f>FO7*'2017 Scheme &amp; cost projection'!$R$22</f>
        <v>41947.235032375742</v>
      </c>
      <c r="FP8" s="967">
        <f>FP7*'2017 Scheme &amp; cost projection'!$R$22</f>
        <v>45561.491493601192</v>
      </c>
      <c r="FQ8" s="954">
        <f>FQ7*'2017 Scheme &amp; cost projection'!$R$22</f>
        <v>49193.216278705528</v>
      </c>
      <c r="FS8" s="1508">
        <f>FS7*'2017 Scheme &amp; cost projection'!$R$22</f>
        <v>19521.610894279223</v>
      </c>
      <c r="FT8" s="967">
        <f>FT7*'2017 Scheme &amp; cost projection'!$R$22</f>
        <v>18187.251316841677</v>
      </c>
      <c r="FU8" s="967">
        <f>FU7*'2017 Scheme &amp; cost projection'!$R$22</f>
        <v>40913.094080229173</v>
      </c>
      <c r="FV8" s="967">
        <f>FV7*'2017 Scheme &amp; cost projection'!$R$22</f>
        <v>40630.554319312949</v>
      </c>
      <c r="FW8" s="967">
        <f>FW7*'2017 Scheme &amp; cost projection'!$R$22</f>
        <v>46505.30269259974</v>
      </c>
      <c r="FX8" s="967">
        <f>FX7*'2017 Scheme &amp; cost projection'!$R$22</f>
        <v>49248.783667477415</v>
      </c>
      <c r="FY8" s="967">
        <f>FY7*'2017 Scheme &amp; cost projection'!$R$22</f>
        <v>46992.401439914429</v>
      </c>
      <c r="FZ8" s="967">
        <f>FZ7*'2017 Scheme &amp; cost projection'!$R$22</f>
        <v>51639.116578124522</v>
      </c>
      <c r="GA8" s="967">
        <f>GA7*'2017 Scheme &amp; cost projection'!$R$22</f>
        <v>56832.873031930634</v>
      </c>
      <c r="GB8" s="967">
        <f>GB7*'2017 Scheme &amp; cost projection'!$R$22</f>
        <v>53777.394407528576</v>
      </c>
      <c r="GC8" s="967">
        <f>GC7*'2017 Scheme &amp; cost projection'!$R$22</f>
        <v>57835.015004885019</v>
      </c>
      <c r="GD8" s="954">
        <f>GD7*'2017 Scheme &amp; cost projection'!$R$22</f>
        <v>62031.683391759907</v>
      </c>
      <c r="GF8" s="1508">
        <f>GF7*'2017 Scheme &amp; cost projection'!$R$22</f>
        <v>25261.340521713475</v>
      </c>
      <c r="GG8" s="967">
        <f>GG7*'2017 Scheme &amp; cost projection'!$R$22</f>
        <v>23420.675889721333</v>
      </c>
      <c r="GH8" s="967">
        <f>GH7*'2017 Scheme &amp; cost projection'!$R$22</f>
        <v>52580.536329872622</v>
      </c>
      <c r="GI8" s="967">
        <f>GI7*'2017 Scheme &amp; cost projection'!$R$22</f>
        <v>52280.525224650046</v>
      </c>
      <c r="GJ8" s="967">
        <f>GJ7*'2017 Scheme &amp; cost projection'!$R$22</f>
        <v>59831.322709117703</v>
      </c>
      <c r="GK8" s="967">
        <f>GK7*'2017 Scheme &amp; cost projection'!$R$22</f>
        <v>63386.31953698185</v>
      </c>
      <c r="GL8" s="967">
        <f>GL7*'2017 Scheme &amp; cost projection'!$R$22</f>
        <v>60512.139078907312</v>
      </c>
      <c r="GM8" s="967">
        <f>GM7*'2017 Scheme &amp; cost projection'!$R$22</f>
        <v>67208.896170421984</v>
      </c>
      <c r="GN8" s="967">
        <f>GN7*'2017 Scheme &amp; cost projection'!$R$22</f>
        <v>74045.857009592539</v>
      </c>
      <c r="GO8" s="967">
        <f>GO7*'2017 Scheme &amp; cost projection'!$R$22</f>
        <v>70247.76406805584</v>
      </c>
      <c r="GP8" s="967">
        <f>GP7*'2017 Scheme &amp; cost projection'!$R$22</f>
        <v>76035.255811617026</v>
      </c>
      <c r="GQ8" s="954">
        <f>GQ7*'2017 Scheme &amp; cost projection'!$R$22</f>
        <v>81751.469535591474</v>
      </c>
      <c r="GS8" s="1508">
        <f>GS7*'2017 Scheme &amp; cost projection'!$R$22</f>
        <v>32376.634852271472</v>
      </c>
      <c r="GT8" s="967">
        <f>GT7*'2017 Scheme &amp; cost projection'!$R$22</f>
        <v>30055.894724879705</v>
      </c>
      <c r="GU8" s="967">
        <f>GU7*'2017 Scheme &amp; cost projection'!$R$22</f>
        <v>67568.329647707578</v>
      </c>
      <c r="GV8" s="967">
        <f>GV7*'2017 Scheme &amp; cost projection'!$R$22</f>
        <v>67349.817009898237</v>
      </c>
      <c r="GW8" s="967">
        <f>GW7*'2017 Scheme &amp; cost projection'!$R$22</f>
        <v>77191.917345141526</v>
      </c>
      <c r="GX8" s="967">
        <f>GX7*'2017 Scheme &amp; cost projection'!$R$22</f>
        <v>81913.635827942635</v>
      </c>
      <c r="GY8" s="967">
        <f>GY7*'2017 Scheme &amp; cost projection'!$R$22</f>
        <v>78318.95220464775</v>
      </c>
      <c r="GZ8" s="967">
        <f>GZ7*'2017 Scheme &amp; cost projection'!$R$22</f>
        <v>86940.404046385011</v>
      </c>
      <c r="HA8" s="967">
        <f>HA7*'2017 Scheme &amp; cost projection'!$R$22</f>
        <v>95804.356793891246</v>
      </c>
      <c r="HB8" s="967">
        <f>HB7*'2017 Scheme &amp; cost projection'!$R$22</f>
        <v>91919.258673566641</v>
      </c>
      <c r="HC8" s="967">
        <f>HC7*'2017 Scheme &amp; cost projection'!$R$22</f>
        <v>100448.58515719553</v>
      </c>
      <c r="HD8" s="954">
        <f>HD7*'2017 Scheme &amp; cost projection'!$R$22</f>
        <v>108082.18554058095</v>
      </c>
    </row>
    <row r="9" spans="1:215" ht="14.25">
      <c r="B9" s="984" t="s">
        <v>119</v>
      </c>
      <c r="C9" s="1024">
        <v>10</v>
      </c>
      <c r="D9" s="1025">
        <v>1</v>
      </c>
      <c r="E9" s="1026">
        <v>3</v>
      </c>
      <c r="F9" s="1027">
        <v>10</v>
      </c>
      <c r="G9" s="1028">
        <f>F9/C9</f>
        <v>1</v>
      </c>
      <c r="H9" s="1029"/>
      <c r="I9" s="31"/>
      <c r="N9" s="931" t="s">
        <v>1054</v>
      </c>
      <c r="O9" s="950"/>
      <c r="P9" s="951">
        <f>[5]Assumption!D14</f>
        <v>562</v>
      </c>
      <c r="Q9" s="951">
        <f>[5]Assumption!E14</f>
        <v>543</v>
      </c>
      <c r="R9" s="951">
        <f>[5]Assumption!F14</f>
        <v>565</v>
      </c>
      <c r="S9" s="951">
        <f>[5]Assumption!G14</f>
        <v>595</v>
      </c>
      <c r="T9" s="951">
        <f>[5]Assumption!H14</f>
        <v>651</v>
      </c>
      <c r="U9" s="951">
        <f>[5]Assumption!I14</f>
        <v>724</v>
      </c>
      <c r="V9" s="951">
        <f>[5]Assumption!J14</f>
        <v>719</v>
      </c>
      <c r="W9" s="951"/>
      <c r="X9" s="951"/>
      <c r="Y9" s="951"/>
      <c r="AA9" s="931" t="s">
        <v>1054</v>
      </c>
      <c r="AB9" s="950"/>
      <c r="AC9" s="951"/>
      <c r="AD9" s="951"/>
      <c r="AE9" s="951"/>
      <c r="AF9" s="951"/>
      <c r="AG9" s="951"/>
      <c r="AH9" s="951"/>
      <c r="AI9" s="951"/>
      <c r="DK9" s="931" t="s">
        <v>1054</v>
      </c>
      <c r="DL9" s="950"/>
      <c r="DN9" s="969">
        <f>[5]Assumption!K14</f>
        <v>784</v>
      </c>
      <c r="DO9" s="970">
        <f>[5]Assumption!L14</f>
        <v>944</v>
      </c>
      <c r="DP9" s="970">
        <f>[5]Assumption!M14</f>
        <v>1060</v>
      </c>
      <c r="DQ9" s="970">
        <f>[5]Assumption!N14</f>
        <v>1191</v>
      </c>
      <c r="DR9" s="950">
        <f>[5]Assumption!O14</f>
        <v>1317</v>
      </c>
      <c r="DT9" s="969">
        <f>[5]Assumption!K14</f>
        <v>784</v>
      </c>
      <c r="DU9" s="970">
        <f>[5]Assumption!L14</f>
        <v>944</v>
      </c>
      <c r="DV9" s="970">
        <f>[5]Assumption!M14</f>
        <v>1060</v>
      </c>
      <c r="DW9" s="970">
        <f>[5]Assumption!N14</f>
        <v>1191</v>
      </c>
      <c r="DX9" s="950">
        <f>[5]Assumption!O14</f>
        <v>1317</v>
      </c>
      <c r="DY9" s="606" t="s">
        <v>1054</v>
      </c>
      <c r="DZ9" s="969">
        <f>[5]Assumption!K14</f>
        <v>784</v>
      </c>
      <c r="EA9" s="970">
        <f>[5]Assumption!L14</f>
        <v>944</v>
      </c>
      <c r="EB9" s="970">
        <f>[5]Assumption!M14</f>
        <v>1060</v>
      </c>
      <c r="EC9" s="970">
        <f>[5]Assumption!N14</f>
        <v>1191</v>
      </c>
      <c r="ED9" s="950">
        <f>[5]Assumption!O14</f>
        <v>1317</v>
      </c>
      <c r="EF9" s="969"/>
      <c r="EG9" s="970"/>
      <c r="EH9" s="970"/>
      <c r="EI9" s="970"/>
      <c r="EJ9" s="970"/>
      <c r="EK9" s="970"/>
      <c r="EL9" s="970"/>
      <c r="EM9" s="970"/>
      <c r="EN9" s="970"/>
      <c r="EO9" s="970"/>
      <c r="EP9" s="970"/>
      <c r="EQ9" s="950"/>
      <c r="ES9" s="969"/>
      <c r="ET9" s="970"/>
      <c r="EU9" s="970"/>
      <c r="EV9" s="970"/>
      <c r="EW9" s="970"/>
      <c r="EX9" s="970"/>
      <c r="EY9" s="970"/>
      <c r="EZ9" s="970"/>
      <c r="FA9" s="970"/>
      <c r="FB9" s="970"/>
      <c r="FC9" s="970"/>
      <c r="FD9" s="950"/>
      <c r="FF9" s="969"/>
      <c r="FG9" s="970"/>
      <c r="FH9" s="970"/>
      <c r="FI9" s="970"/>
      <c r="FJ9" s="970"/>
      <c r="FK9" s="970"/>
      <c r="FL9" s="970"/>
      <c r="FM9" s="970"/>
      <c r="FN9" s="970"/>
      <c r="FO9" s="970"/>
      <c r="FP9" s="970"/>
      <c r="FQ9" s="950"/>
      <c r="FS9" s="969"/>
      <c r="FT9" s="970"/>
      <c r="FU9" s="970"/>
      <c r="FV9" s="970"/>
      <c r="FW9" s="970"/>
      <c r="FX9" s="970"/>
      <c r="FY9" s="970"/>
      <c r="FZ9" s="970"/>
      <c r="GA9" s="970"/>
      <c r="GB9" s="970"/>
      <c r="GC9" s="970"/>
      <c r="GD9" s="950"/>
      <c r="GF9" s="969"/>
      <c r="GG9" s="970"/>
      <c r="GH9" s="970"/>
      <c r="GI9" s="970"/>
      <c r="GJ9" s="970"/>
      <c r="GK9" s="970"/>
      <c r="GL9" s="970"/>
      <c r="GM9" s="970"/>
      <c r="GN9" s="970"/>
      <c r="GO9" s="970"/>
      <c r="GP9" s="970"/>
      <c r="GQ9" s="950"/>
      <c r="GS9" s="969"/>
      <c r="GT9" s="970"/>
      <c r="GU9" s="970"/>
      <c r="GV9" s="970"/>
      <c r="GW9" s="970"/>
      <c r="GX9" s="970"/>
      <c r="GY9" s="970"/>
      <c r="GZ9" s="970"/>
      <c r="HA9" s="970"/>
      <c r="HB9" s="970"/>
      <c r="HC9" s="970"/>
      <c r="HD9" s="950"/>
    </row>
    <row r="10" spans="1:215" ht="14.25">
      <c r="B10" s="984" t="s">
        <v>120</v>
      </c>
      <c r="C10" s="1024">
        <v>20</v>
      </c>
      <c r="D10" s="1025">
        <v>1</v>
      </c>
      <c r="E10" s="1030">
        <v>4</v>
      </c>
      <c r="F10" s="1027">
        <v>10</v>
      </c>
      <c r="G10" s="1028">
        <f t="shared" ref="G10:G15" si="0">F10/C10</f>
        <v>0.5</v>
      </c>
      <c r="H10" s="1029"/>
      <c r="I10" s="31"/>
      <c r="N10" s="931" t="s">
        <v>1055</v>
      </c>
      <c r="O10" s="950"/>
      <c r="P10" s="951">
        <f>SUM(P15:P23)</f>
        <v>407</v>
      </c>
      <c r="Q10" s="951">
        <f t="shared" ref="Q10:V10" si="1">SUM(Q15:Q23)</f>
        <v>355</v>
      </c>
      <c r="R10" s="951">
        <f t="shared" si="1"/>
        <v>316</v>
      </c>
      <c r="S10" s="951">
        <f t="shared" si="1"/>
        <v>326</v>
      </c>
      <c r="T10" s="951">
        <f t="shared" si="1"/>
        <v>325</v>
      </c>
      <c r="U10" s="951">
        <f t="shared" si="1"/>
        <v>359</v>
      </c>
      <c r="V10" s="951">
        <f t="shared" si="1"/>
        <v>398</v>
      </c>
      <c r="W10" s="951"/>
      <c r="X10" s="951"/>
      <c r="Y10" s="951"/>
      <c r="AA10" s="931" t="s">
        <v>1056</v>
      </c>
      <c r="AB10" s="950"/>
      <c r="AC10" s="610">
        <f t="shared" ref="AC10:AI10" si="2">P10/P9</f>
        <v>0.72419928825622781</v>
      </c>
      <c r="AD10" s="610">
        <f t="shared" si="2"/>
        <v>0.65377532228360957</v>
      </c>
      <c r="AE10" s="610">
        <f t="shared" si="2"/>
        <v>0.55929203539823014</v>
      </c>
      <c r="AF10" s="610">
        <f t="shared" si="2"/>
        <v>0.5478991596638656</v>
      </c>
      <c r="AG10" s="610">
        <f t="shared" si="2"/>
        <v>0.49923195084485406</v>
      </c>
      <c r="AH10" s="610">
        <f t="shared" si="2"/>
        <v>0.4958563535911602</v>
      </c>
      <c r="AI10" s="610">
        <f t="shared" si="2"/>
        <v>0.55354659248956883</v>
      </c>
      <c r="AJ10" s="952">
        <f>AVERAGE(AC10:AI10)</f>
        <v>0.57625724321821659</v>
      </c>
      <c r="AK10" s="952"/>
      <c r="AL10" s="952"/>
      <c r="AM10" s="952"/>
      <c r="AN10" s="952"/>
      <c r="AO10" s="952"/>
      <c r="AP10" s="952"/>
      <c r="AQ10" s="952"/>
      <c r="AR10" s="952"/>
      <c r="AS10" s="952"/>
      <c r="AT10" s="952"/>
      <c r="AU10" s="952"/>
      <c r="AV10" s="952"/>
      <c r="AW10" s="952"/>
      <c r="AX10" s="952"/>
      <c r="AY10" s="952"/>
      <c r="AZ10" s="952"/>
      <c r="BA10" s="952"/>
      <c r="BB10" s="952"/>
      <c r="BC10" s="952"/>
      <c r="BD10" s="952"/>
      <c r="BE10" s="952"/>
      <c r="BF10" s="952"/>
      <c r="BG10" s="952"/>
      <c r="BH10" s="952"/>
      <c r="BI10" s="952"/>
      <c r="BJ10" s="952"/>
      <c r="BK10" s="952"/>
      <c r="BL10" s="952"/>
      <c r="BM10" s="952"/>
      <c r="BN10" s="952"/>
      <c r="BO10" s="952"/>
      <c r="BP10" s="952"/>
      <c r="BQ10" s="952"/>
      <c r="BR10" s="952"/>
      <c r="BS10" s="952"/>
      <c r="BT10" s="952"/>
      <c r="BU10" s="952"/>
      <c r="BV10" s="952"/>
      <c r="BW10" s="952"/>
      <c r="BX10" s="952"/>
      <c r="BY10" s="952"/>
      <c r="BZ10" s="952"/>
      <c r="CA10" s="952"/>
      <c r="CB10" s="952"/>
      <c r="CC10" s="952"/>
      <c r="CD10" s="952"/>
      <c r="CE10" s="952"/>
      <c r="CF10" s="952"/>
      <c r="CG10" s="952"/>
      <c r="CH10" s="952"/>
      <c r="CI10" s="952"/>
      <c r="CJ10" s="952"/>
      <c r="CK10" s="952"/>
      <c r="CL10" s="952"/>
      <c r="CM10" s="952"/>
      <c r="CN10" s="952"/>
      <c r="CO10" s="952"/>
      <c r="CP10" s="952"/>
      <c r="CQ10" s="952"/>
      <c r="CR10" s="952"/>
      <c r="CS10" s="952"/>
      <c r="CT10" s="952"/>
      <c r="CU10" s="952"/>
      <c r="CV10" s="952"/>
      <c r="CW10" s="952"/>
      <c r="CX10" s="952"/>
      <c r="CY10" s="952"/>
      <c r="CZ10" s="952"/>
      <c r="DA10" s="952"/>
      <c r="DB10" s="952"/>
      <c r="DC10" s="952"/>
      <c r="DD10" s="952"/>
      <c r="DE10" s="952"/>
      <c r="DF10" s="952"/>
      <c r="DG10" s="952"/>
      <c r="DH10" s="952"/>
      <c r="DI10" s="952"/>
      <c r="DK10" s="931" t="s">
        <v>1056</v>
      </c>
      <c r="DL10" s="950"/>
      <c r="DN10" s="953">
        <f>SUM(DN15:DN23)</f>
        <v>432</v>
      </c>
      <c r="DO10" s="967">
        <f>SUM(DO15:DO23)</f>
        <v>520.5</v>
      </c>
      <c r="DP10" s="967">
        <f>SUM(DP15:DP23)</f>
        <v>615.04999999999995</v>
      </c>
      <c r="DQ10" s="967">
        <f>SUM(DQ15:DQ23)</f>
        <v>711.1</v>
      </c>
      <c r="DR10" s="954">
        <f>SUM(DR15:DR23)</f>
        <v>808.1</v>
      </c>
      <c r="DT10" s="953">
        <f>SUM(DT15:DT23)</f>
        <v>432</v>
      </c>
      <c r="DU10" s="967">
        <f>SUM(DU15:DU23)</f>
        <v>520.5</v>
      </c>
      <c r="DV10" s="967">
        <f>SUM(DV15:DV23)</f>
        <v>615.04999999999995</v>
      </c>
      <c r="DW10" s="967">
        <f>SUM(DW15:DW23)</f>
        <v>711.1</v>
      </c>
      <c r="DX10" s="954">
        <f>SUM(DX15:DX23)</f>
        <v>808.1</v>
      </c>
      <c r="DY10" s="606" t="s">
        <v>1055</v>
      </c>
      <c r="DZ10" s="953">
        <f>SUM(DZ15:DZ23)</f>
        <v>432</v>
      </c>
      <c r="EA10" s="967">
        <f>SUM(EA15:EA23)</f>
        <v>501.5</v>
      </c>
      <c r="EB10" s="967">
        <f>SUM(EB15:EB23)</f>
        <v>601.04999999999995</v>
      </c>
      <c r="EC10" s="967">
        <f>SUM(EC15:EC23)</f>
        <v>704.1</v>
      </c>
      <c r="ED10" s="954">
        <f>SUM(ED15:ED23)</f>
        <v>801.1</v>
      </c>
      <c r="EF10" s="953">
        <f>SUM(EF15:EF23)</f>
        <v>817.10000000000014</v>
      </c>
      <c r="EG10" s="967">
        <f t="shared" ref="EG10:EQ10" si="3">SUM(EG15:EG23)</f>
        <v>792.10000000000014</v>
      </c>
      <c r="EH10" s="967">
        <f>SUM(EH15:EH23)</f>
        <v>713.60000000000014</v>
      </c>
      <c r="EI10" s="967">
        <f t="shared" si="3"/>
        <v>650.60000000000014</v>
      </c>
      <c r="EJ10" s="967">
        <f t="shared" si="3"/>
        <v>613.60000000000014</v>
      </c>
      <c r="EK10" s="967">
        <f t="shared" si="3"/>
        <v>560.10000000000014</v>
      </c>
      <c r="EL10" s="967">
        <f t="shared" si="3"/>
        <v>488.55000000000013</v>
      </c>
      <c r="EM10" s="967">
        <f t="shared" si="3"/>
        <v>421.50000000000011</v>
      </c>
      <c r="EN10" s="967">
        <f t="shared" si="3"/>
        <v>358.50000000000011</v>
      </c>
      <c r="EO10" s="967">
        <f t="shared" si="3"/>
        <v>345.5</v>
      </c>
      <c r="EP10" s="967">
        <f t="shared" si="3"/>
        <v>370.5</v>
      </c>
      <c r="EQ10" s="954">
        <f t="shared" si="3"/>
        <v>383</v>
      </c>
      <c r="ES10" s="953">
        <f>SUM(ES15:ES23)</f>
        <v>372.5</v>
      </c>
      <c r="ET10" s="967">
        <f t="shared" ref="ET10" si="4">SUM(ET15:ET23)</f>
        <v>345.5</v>
      </c>
      <c r="EU10" s="967">
        <f>SUM(EU15:EU23)</f>
        <v>333</v>
      </c>
      <c r="EV10" s="967">
        <f t="shared" ref="EV10:FD10" si="5">SUM(EV15:EV23)</f>
        <v>337</v>
      </c>
      <c r="EW10" s="967">
        <f t="shared" si="5"/>
        <v>339</v>
      </c>
      <c r="EX10" s="967">
        <f t="shared" si="5"/>
        <v>339</v>
      </c>
      <c r="EY10" s="967">
        <f t="shared" si="5"/>
        <v>339</v>
      </c>
      <c r="EZ10" s="967">
        <f t="shared" si="5"/>
        <v>343</v>
      </c>
      <c r="FA10" s="967">
        <f t="shared" si="5"/>
        <v>351</v>
      </c>
      <c r="FB10" s="967">
        <f t="shared" si="5"/>
        <v>369.5</v>
      </c>
      <c r="FC10" s="967">
        <f t="shared" si="5"/>
        <v>398.5</v>
      </c>
      <c r="FD10" s="954">
        <f t="shared" si="5"/>
        <v>411</v>
      </c>
      <c r="FF10" s="953">
        <f>SUM(FF15:FF23)</f>
        <v>392.5</v>
      </c>
      <c r="FG10" s="967">
        <f t="shared" ref="FG10" si="6">SUM(FG15:FG23)</f>
        <v>361.5</v>
      </c>
      <c r="FH10" s="967">
        <f>SUM(FH15:FH23)</f>
        <v>349</v>
      </c>
      <c r="FI10" s="967">
        <f t="shared" ref="FI10:FQ10" si="7">SUM(FI15:FI23)</f>
        <v>345</v>
      </c>
      <c r="FJ10" s="967">
        <f t="shared" si="7"/>
        <v>333</v>
      </c>
      <c r="FK10" s="967">
        <f t="shared" si="7"/>
        <v>321</v>
      </c>
      <c r="FL10" s="967">
        <f t="shared" si="7"/>
        <v>309</v>
      </c>
      <c r="FM10" s="967">
        <f t="shared" si="7"/>
        <v>297</v>
      </c>
      <c r="FN10" s="967">
        <f t="shared" si="7"/>
        <v>285</v>
      </c>
      <c r="FO10" s="967">
        <f t="shared" si="7"/>
        <v>287.5</v>
      </c>
      <c r="FP10" s="967">
        <f t="shared" si="7"/>
        <v>304.5</v>
      </c>
      <c r="FQ10" s="954">
        <f t="shared" si="7"/>
        <v>305</v>
      </c>
      <c r="FS10" s="953">
        <f>SUM(FS15:FS23)</f>
        <v>288.5</v>
      </c>
      <c r="FT10" s="967">
        <f t="shared" ref="FT10" si="8">SUM(FT15:FT23)</f>
        <v>271.5</v>
      </c>
      <c r="FU10" s="967">
        <f>SUM(FU15:FU23)</f>
        <v>254.5</v>
      </c>
      <c r="FV10" s="967">
        <f t="shared" ref="FV10:GD10" si="9">SUM(FV15:FV23)</f>
        <v>237.5</v>
      </c>
      <c r="FW10" s="967">
        <f t="shared" si="9"/>
        <v>220.5</v>
      </c>
      <c r="FX10" s="967">
        <f t="shared" si="9"/>
        <v>203.5</v>
      </c>
      <c r="FY10" s="967">
        <f t="shared" si="9"/>
        <v>186.5</v>
      </c>
      <c r="FZ10" s="967">
        <f t="shared" si="9"/>
        <v>169.5</v>
      </c>
      <c r="GA10" s="967">
        <f t="shared" si="9"/>
        <v>152.5</v>
      </c>
      <c r="GB10" s="967">
        <f t="shared" si="9"/>
        <v>144</v>
      </c>
      <c r="GC10" s="967">
        <f t="shared" si="9"/>
        <v>144</v>
      </c>
      <c r="GD10" s="954">
        <f t="shared" si="9"/>
        <v>144</v>
      </c>
      <c r="GF10" s="953">
        <f>SUM(GF15:GF23)</f>
        <v>144</v>
      </c>
      <c r="GG10" s="967">
        <f t="shared" ref="GG10" si="10">SUM(GG15:GG23)</f>
        <v>144</v>
      </c>
      <c r="GH10" s="967">
        <f>SUM(GH15:GH23)</f>
        <v>144</v>
      </c>
      <c r="GI10" s="967">
        <f t="shared" ref="GI10:GQ10" si="11">SUM(GI15:GI23)</f>
        <v>144</v>
      </c>
      <c r="GJ10" s="967">
        <f t="shared" si="11"/>
        <v>144</v>
      </c>
      <c r="GK10" s="967">
        <f t="shared" si="11"/>
        <v>144</v>
      </c>
      <c r="GL10" s="967">
        <f t="shared" si="11"/>
        <v>144</v>
      </c>
      <c r="GM10" s="967">
        <f t="shared" si="11"/>
        <v>144</v>
      </c>
      <c r="GN10" s="967">
        <f t="shared" si="11"/>
        <v>144</v>
      </c>
      <c r="GO10" s="967">
        <f t="shared" si="11"/>
        <v>144</v>
      </c>
      <c r="GP10" s="967">
        <f t="shared" si="11"/>
        <v>144</v>
      </c>
      <c r="GQ10" s="954">
        <f t="shared" si="11"/>
        <v>144</v>
      </c>
      <c r="GS10" s="953">
        <f>SUM(GS15:GS23)</f>
        <v>144</v>
      </c>
      <c r="GT10" s="967">
        <f t="shared" ref="GT10" si="12">SUM(GT15:GT23)</f>
        <v>144</v>
      </c>
      <c r="GU10" s="967">
        <f>SUM(GU15:GU23)</f>
        <v>144</v>
      </c>
      <c r="GV10" s="967">
        <f t="shared" ref="GV10:HD10" si="13">SUM(GV15:GV23)</f>
        <v>144</v>
      </c>
      <c r="GW10" s="967">
        <f t="shared" si="13"/>
        <v>144</v>
      </c>
      <c r="GX10" s="967">
        <f t="shared" si="13"/>
        <v>144</v>
      </c>
      <c r="GY10" s="967">
        <f t="shared" si="13"/>
        <v>144</v>
      </c>
      <c r="GZ10" s="967">
        <f t="shared" si="13"/>
        <v>144</v>
      </c>
      <c r="HA10" s="967">
        <f t="shared" si="13"/>
        <v>144</v>
      </c>
      <c r="HB10" s="967">
        <f t="shared" si="13"/>
        <v>144</v>
      </c>
      <c r="HC10" s="967">
        <f t="shared" si="13"/>
        <v>144</v>
      </c>
      <c r="HD10" s="954">
        <f t="shared" si="13"/>
        <v>144</v>
      </c>
    </row>
    <row r="11" spans="1:215" ht="14.25">
      <c r="B11" s="984" t="s">
        <v>121</v>
      </c>
      <c r="C11" s="1024">
        <v>25</v>
      </c>
      <c r="D11" s="1025">
        <v>2</v>
      </c>
      <c r="E11" s="1030">
        <v>5</v>
      </c>
      <c r="F11" s="1027">
        <v>10</v>
      </c>
      <c r="G11" s="1028">
        <f t="shared" si="0"/>
        <v>0.4</v>
      </c>
      <c r="H11" s="1029"/>
      <c r="I11" s="31"/>
      <c r="N11" s="931" t="s">
        <v>1057</v>
      </c>
      <c r="O11" s="950"/>
      <c r="P11" s="606">
        <f>[5]Assumption!D31</f>
        <v>12</v>
      </c>
      <c r="Q11" s="606">
        <f>[5]Assumption!E31</f>
        <v>8</v>
      </c>
      <c r="R11" s="606">
        <f>[5]Assumption!F31</f>
        <v>40</v>
      </c>
      <c r="S11" s="606">
        <f>[5]Assumption!G31</f>
        <v>49</v>
      </c>
      <c r="T11" s="606">
        <f>[5]Assumption!H31</f>
        <v>88</v>
      </c>
      <c r="U11" s="606">
        <f>[5]Assumption!I31</f>
        <v>123</v>
      </c>
      <c r="V11" s="606">
        <f>[5]Assumption!J31</f>
        <v>73</v>
      </c>
      <c r="AA11" s="931" t="s">
        <v>1057</v>
      </c>
      <c r="AB11" s="950"/>
      <c r="DK11" s="931" t="s">
        <v>1057</v>
      </c>
      <c r="DL11" s="950"/>
      <c r="DN11" s="969">
        <f>[5]Assumption!K31</f>
        <v>80</v>
      </c>
      <c r="DO11" s="995">
        <f>[5]Assumption!L31</f>
        <v>117</v>
      </c>
      <c r="DP11" s="995">
        <f>[5]Assumption!M31</f>
        <v>116.10000000000001</v>
      </c>
      <c r="DQ11" s="995">
        <f>[5]Assumption!N31</f>
        <v>108</v>
      </c>
      <c r="DR11" s="996">
        <f>[5]Assumption!O31</f>
        <v>108</v>
      </c>
      <c r="DT11" s="969">
        <f>[5]Assumption!K31</f>
        <v>80</v>
      </c>
      <c r="DU11" s="970">
        <f>[5]Assumption!L31</f>
        <v>117</v>
      </c>
      <c r="DV11" s="970">
        <f>[5]Assumption!M31</f>
        <v>116.10000000000001</v>
      </c>
      <c r="DW11" s="970">
        <f>[5]Assumption!N31</f>
        <v>108</v>
      </c>
      <c r="DX11" s="950">
        <f>[5]Assumption!O31</f>
        <v>108</v>
      </c>
      <c r="DY11" s="606" t="s">
        <v>1057</v>
      </c>
      <c r="DZ11" s="969">
        <f>[5]Assumption!K31</f>
        <v>80</v>
      </c>
      <c r="EA11" s="970">
        <f>[5]Assumption!L31</f>
        <v>117</v>
      </c>
      <c r="EB11" s="970">
        <f>[5]Assumption!M31</f>
        <v>116.10000000000001</v>
      </c>
      <c r="EC11" s="970">
        <f>[5]Assumption!N31</f>
        <v>108</v>
      </c>
      <c r="ED11" s="950">
        <f>[5]Assumption!O31</f>
        <v>108</v>
      </c>
      <c r="EF11" s="994">
        <f>'[1]AL Promotion &amp; Recruited'!Z10</f>
        <v>16</v>
      </c>
      <c r="EG11" s="995">
        <f>'[1]AL Promotion &amp; Recruited'!AA10</f>
        <v>16</v>
      </c>
      <c r="EH11" s="995">
        <f>'[1]AL Promotion &amp; Recruited'!AB10</f>
        <v>33</v>
      </c>
      <c r="EI11" s="995">
        <f>'[1]AL Promotion &amp; Recruited'!AC10</f>
        <v>41</v>
      </c>
      <c r="EJ11" s="995">
        <f>'[1]AL Promotion &amp; Recruited'!AD10</f>
        <v>45</v>
      </c>
      <c r="EK11" s="995">
        <f>'[1]AL Promotion &amp; Recruited'!AE10</f>
        <v>45</v>
      </c>
      <c r="EL11" s="995">
        <f>'[1]AL Promotion &amp; Recruited'!AF10</f>
        <v>45</v>
      </c>
      <c r="EM11" s="995">
        <f>'[1]AL Promotion &amp; Recruited'!AG10</f>
        <v>45</v>
      </c>
      <c r="EN11" s="995">
        <f>'[1]AL Promotion &amp; Recruited'!AH10</f>
        <v>45</v>
      </c>
      <c r="EO11" s="995">
        <f>'[1]AL Promotion &amp; Recruited'!AI10</f>
        <v>45</v>
      </c>
      <c r="EP11" s="995">
        <f>'[1]AL Promotion &amp; Recruited'!AJ10</f>
        <v>37</v>
      </c>
      <c r="EQ11" s="996">
        <f>'[1]AL Promotion &amp; Recruited'!AK10</f>
        <v>37</v>
      </c>
      <c r="ES11" s="994">
        <f>'[6]AL Promotion &amp; Recruited'!AL$10</f>
        <v>16</v>
      </c>
      <c r="ET11" s="995">
        <f>'[6]AL Promotion &amp; Recruited'!AM$10</f>
        <v>16</v>
      </c>
      <c r="EU11" s="995">
        <f>'[6]AL Promotion &amp; Recruited'!AN$10</f>
        <v>49</v>
      </c>
      <c r="EV11" s="995">
        <f>'[6]AL Promotion &amp; Recruited'!AO$10</f>
        <v>49</v>
      </c>
      <c r="EW11" s="995">
        <f>'[6]AL Promotion &amp; Recruited'!AP$10</f>
        <v>45</v>
      </c>
      <c r="EX11" s="995">
        <f>'[6]AL Promotion &amp; Recruited'!AQ$10</f>
        <v>45</v>
      </c>
      <c r="EY11" s="995">
        <f>'[6]AL Promotion &amp; Recruited'!AR$10</f>
        <v>45</v>
      </c>
      <c r="EZ11" s="995">
        <f>'[6]AL Promotion &amp; Recruited'!AS$10</f>
        <v>45</v>
      </c>
      <c r="FA11" s="995">
        <f>'[6]AL Promotion &amp; Recruited'!AT$10</f>
        <v>45</v>
      </c>
      <c r="FB11" s="995">
        <f>'[6]AL Promotion &amp; Recruited'!AU$10</f>
        <v>45</v>
      </c>
      <c r="FC11" s="995">
        <f>'[6]AL Promotion &amp; Recruited'!AV$10</f>
        <v>45</v>
      </c>
      <c r="FD11" s="996">
        <f>'[6]AL Promotion &amp; Recruited'!AW$10</f>
        <v>45</v>
      </c>
      <c r="FF11" s="994">
        <f>'[6]AL Promotion &amp; Recruited'!AX$10</f>
        <v>16</v>
      </c>
      <c r="FG11" s="995">
        <f>'[6]AL Promotion &amp; Recruited'!AY$10</f>
        <v>16</v>
      </c>
      <c r="FH11" s="995">
        <f>'[6]AL Promotion &amp; Recruited'!AZ$10</f>
        <v>49</v>
      </c>
      <c r="FI11" s="995">
        <f>'[6]AL Promotion &amp; Recruited'!BA$10</f>
        <v>33</v>
      </c>
      <c r="FJ11" s="995">
        <f>'[6]AL Promotion &amp; Recruited'!BB$10</f>
        <v>33</v>
      </c>
      <c r="FK11" s="995">
        <f>'[6]AL Promotion &amp; Recruited'!BC$10</f>
        <v>33</v>
      </c>
      <c r="FL11" s="995">
        <f>'[6]AL Promotion &amp; Recruited'!BD$10</f>
        <v>33</v>
      </c>
      <c r="FM11" s="995">
        <f>'[6]AL Promotion &amp; Recruited'!BE$10</f>
        <v>33</v>
      </c>
      <c r="FN11" s="995">
        <f>'[6]AL Promotion &amp; Recruited'!BF$10</f>
        <v>33</v>
      </c>
      <c r="FO11" s="995">
        <f>'[6]AL Promotion &amp; Recruited'!BG$10</f>
        <v>33</v>
      </c>
      <c r="FP11" s="995">
        <f>'[6]AL Promotion &amp; Recruited'!BH$10</f>
        <v>33</v>
      </c>
      <c r="FQ11" s="996">
        <f>'[6]AL Promotion &amp; Recruited'!BI$10</f>
        <v>33</v>
      </c>
      <c r="FS11" s="994">
        <f>'[6]AL Promotion &amp; Recruited'!BJ$10</f>
        <v>16</v>
      </c>
      <c r="FT11" s="995">
        <f>'[6]AL Promotion &amp; Recruited'!BK$10</f>
        <v>16</v>
      </c>
      <c r="FU11" s="995">
        <f>'[6]AL Promotion &amp; Recruited'!BL$10</f>
        <v>16</v>
      </c>
      <c r="FV11" s="995">
        <f>'[6]AL Promotion &amp; Recruited'!BM$10</f>
        <v>16</v>
      </c>
      <c r="FW11" s="995">
        <f>'[6]AL Promotion &amp; Recruited'!BN$10</f>
        <v>16</v>
      </c>
      <c r="FX11" s="995">
        <f>'[6]AL Promotion &amp; Recruited'!BO$10</f>
        <v>16</v>
      </c>
      <c r="FY11" s="995">
        <f>'[6]AL Promotion &amp; Recruited'!BP$10</f>
        <v>16</v>
      </c>
      <c r="FZ11" s="995">
        <f>'[6]AL Promotion &amp; Recruited'!BQ$10</f>
        <v>16</v>
      </c>
      <c r="GA11" s="995">
        <f>'[6]AL Promotion &amp; Recruited'!BR$10</f>
        <v>16</v>
      </c>
      <c r="GB11" s="995">
        <f>'[6]AL Promotion &amp; Recruited'!BS$10</f>
        <v>16</v>
      </c>
      <c r="GC11" s="995">
        <f>'[6]AL Promotion &amp; Recruited'!BT$10</f>
        <v>16</v>
      </c>
      <c r="GD11" s="996">
        <f>'[6]AL Promotion &amp; Recruited'!BU$10</f>
        <v>16</v>
      </c>
      <c r="GF11" s="994">
        <f>'[6]AL Promotion &amp; Recruited'!BV$10</f>
        <v>16</v>
      </c>
      <c r="GG11" s="995">
        <f>'[6]AL Promotion &amp; Recruited'!BW$10</f>
        <v>16</v>
      </c>
      <c r="GH11" s="995">
        <f>'[6]AL Promotion &amp; Recruited'!BX$10</f>
        <v>16</v>
      </c>
      <c r="GI11" s="995">
        <f>'[6]AL Promotion &amp; Recruited'!BY$10</f>
        <v>16</v>
      </c>
      <c r="GJ11" s="995">
        <f>'[6]AL Promotion &amp; Recruited'!BZ$10</f>
        <v>16</v>
      </c>
      <c r="GK11" s="995">
        <f>'[6]AL Promotion &amp; Recruited'!CA$10</f>
        <v>16</v>
      </c>
      <c r="GL11" s="995">
        <f>'[6]AL Promotion &amp; Recruited'!CB$10</f>
        <v>16</v>
      </c>
      <c r="GM11" s="995">
        <f>'[6]AL Promotion &amp; Recruited'!CC$10</f>
        <v>16</v>
      </c>
      <c r="GN11" s="995">
        <f>'[6]AL Promotion &amp; Recruited'!CD$10</f>
        <v>16</v>
      </c>
      <c r="GO11" s="995">
        <f>'[6]AL Promotion &amp; Recruited'!CE$10</f>
        <v>16</v>
      </c>
      <c r="GP11" s="995">
        <f>'[6]AL Promotion &amp; Recruited'!CF$10</f>
        <v>16</v>
      </c>
      <c r="GQ11" s="996">
        <f>'[6]AL Promotion &amp; Recruited'!CG$10</f>
        <v>16</v>
      </c>
      <c r="GS11" s="994">
        <f>'[6]AL Promotion &amp; Recruited'!CH$10</f>
        <v>16</v>
      </c>
      <c r="GT11" s="995">
        <f>'[6]AL Promotion &amp; Recruited'!CI$10</f>
        <v>16</v>
      </c>
      <c r="GU11" s="995">
        <f>'[6]AL Promotion &amp; Recruited'!CJ$10</f>
        <v>16</v>
      </c>
      <c r="GV11" s="995">
        <f>'[6]AL Promotion &amp; Recruited'!CK$10</f>
        <v>16</v>
      </c>
      <c r="GW11" s="995">
        <f>'[6]AL Promotion &amp; Recruited'!CL$10</f>
        <v>16</v>
      </c>
      <c r="GX11" s="995">
        <f>'[6]AL Promotion &amp; Recruited'!CM$10</f>
        <v>16</v>
      </c>
      <c r="GY11" s="995">
        <f>'[6]AL Promotion &amp; Recruited'!CN$10</f>
        <v>16</v>
      </c>
      <c r="GZ11" s="995">
        <f>'[6]AL Promotion &amp; Recruited'!CO$10</f>
        <v>16</v>
      </c>
      <c r="HA11" s="995">
        <f>'[6]AL Promotion &amp; Recruited'!CP$10</f>
        <v>16</v>
      </c>
      <c r="HB11" s="995">
        <f>'[6]AL Promotion &amp; Recruited'!CQ$10</f>
        <v>16</v>
      </c>
      <c r="HC11" s="995">
        <f>'[6]AL Promotion &amp; Recruited'!CR$10</f>
        <v>16</v>
      </c>
      <c r="HD11" s="996">
        <f>'[6]AL Promotion &amp; Recruited'!CS$10</f>
        <v>16</v>
      </c>
    </row>
    <row r="12" spans="1:215" ht="14.25">
      <c r="B12" s="984" t="s">
        <v>122</v>
      </c>
      <c r="C12" s="1024">
        <v>30</v>
      </c>
      <c r="D12" s="993">
        <v>2</v>
      </c>
      <c r="E12" s="1031"/>
      <c r="F12" s="1032">
        <v>7</v>
      </c>
      <c r="G12" s="1028">
        <f t="shared" si="0"/>
        <v>0.23333333333333334</v>
      </c>
      <c r="H12" s="1033"/>
      <c r="I12" s="31"/>
      <c r="N12" s="931" t="s">
        <v>1041</v>
      </c>
      <c r="O12" s="950"/>
      <c r="P12" s="606">
        <v>660</v>
      </c>
      <c r="Q12" s="606">
        <v>581</v>
      </c>
      <c r="R12" s="606">
        <v>703</v>
      </c>
      <c r="S12" s="606">
        <v>969</v>
      </c>
      <c r="T12" s="606">
        <v>1139</v>
      </c>
      <c r="U12" s="606">
        <v>1645</v>
      </c>
      <c r="V12" s="606">
        <v>1579</v>
      </c>
      <c r="AA12" s="931" t="s">
        <v>1042</v>
      </c>
      <c r="AB12" s="950"/>
      <c r="AC12" s="610">
        <f t="shared" ref="AC12:AI12" si="14">P12/P7</f>
        <v>4.8380269977593413E-2</v>
      </c>
      <c r="AD12" s="610">
        <f t="shared" si="14"/>
        <v>4.1820708074254288E-2</v>
      </c>
      <c r="AE12" s="610">
        <f t="shared" si="14"/>
        <v>2.1211776789335803E-2</v>
      </c>
      <c r="AF12" s="610">
        <f t="shared" si="14"/>
        <v>3.1625973031073888E-2</v>
      </c>
      <c r="AG12" s="610">
        <f t="shared" si="14"/>
        <v>4.1481512775049474E-2</v>
      </c>
      <c r="AH12" s="610">
        <f t="shared" si="14"/>
        <v>3.96690146672046E-2</v>
      </c>
      <c r="AI12" s="610">
        <f t="shared" si="14"/>
        <v>5.3079339561241945E-2</v>
      </c>
      <c r="AJ12" s="952">
        <f>AVERAGE(AC12:AI12)</f>
        <v>3.960979926796477E-2</v>
      </c>
      <c r="AK12" s="952"/>
      <c r="AL12" s="952"/>
      <c r="AM12" s="952"/>
      <c r="AN12" s="952"/>
      <c r="AO12" s="952"/>
      <c r="AP12" s="952"/>
      <c r="AQ12" s="952"/>
      <c r="AR12" s="952"/>
      <c r="AS12" s="952"/>
      <c r="AT12" s="952"/>
      <c r="AU12" s="952"/>
      <c r="AV12" s="952"/>
      <c r="AW12" s="952"/>
      <c r="AX12" s="952"/>
      <c r="AY12" s="952"/>
      <c r="AZ12" s="952"/>
      <c r="BA12" s="952"/>
      <c r="BB12" s="952"/>
      <c r="BC12" s="952"/>
      <c r="BD12" s="952"/>
      <c r="BE12" s="952"/>
      <c r="BF12" s="952"/>
      <c r="BG12" s="952"/>
      <c r="BH12" s="952"/>
      <c r="BI12" s="952"/>
      <c r="BJ12" s="952"/>
      <c r="BK12" s="952"/>
      <c r="BL12" s="952"/>
      <c r="BM12" s="952"/>
      <c r="BN12" s="952"/>
      <c r="BO12" s="952"/>
      <c r="BP12" s="952"/>
      <c r="BQ12" s="952"/>
      <c r="BR12" s="952"/>
      <c r="BS12" s="952"/>
      <c r="BT12" s="952"/>
      <c r="BU12" s="952"/>
      <c r="BV12" s="952"/>
      <c r="BW12" s="952"/>
      <c r="BX12" s="952"/>
      <c r="BY12" s="952"/>
      <c r="BZ12" s="952"/>
      <c r="CA12" s="952"/>
      <c r="CB12" s="952"/>
      <c r="CC12" s="952"/>
      <c r="CD12" s="952"/>
      <c r="CE12" s="952"/>
      <c r="CF12" s="952"/>
      <c r="CG12" s="952"/>
      <c r="CH12" s="952"/>
      <c r="CI12" s="952"/>
      <c r="CJ12" s="952"/>
      <c r="CK12" s="952"/>
      <c r="CL12" s="952"/>
      <c r="CM12" s="952"/>
      <c r="CN12" s="952"/>
      <c r="CO12" s="952"/>
      <c r="CP12" s="952"/>
      <c r="CQ12" s="952"/>
      <c r="CR12" s="952"/>
      <c r="CS12" s="952"/>
      <c r="CT12" s="952"/>
      <c r="CU12" s="952"/>
      <c r="CV12" s="952"/>
      <c r="CW12" s="952"/>
      <c r="CX12" s="952"/>
      <c r="CY12" s="952"/>
      <c r="CZ12" s="952"/>
      <c r="DA12" s="952"/>
      <c r="DB12" s="952"/>
      <c r="DC12" s="952"/>
      <c r="DD12" s="952"/>
      <c r="DE12" s="952"/>
      <c r="DF12" s="952"/>
      <c r="DG12" s="952"/>
      <c r="DH12" s="952"/>
      <c r="DI12" s="952"/>
      <c r="DK12" s="931" t="s">
        <v>1041</v>
      </c>
      <c r="DL12" s="950"/>
      <c r="DN12" s="994">
        <f>SUM(DN26:DN28)*10+SUM(DN29:DN31)*7+SUM(DN32:DN34)*6+DN35*25</f>
        <v>1446</v>
      </c>
      <c r="DO12" s="995">
        <f>SUM(DO26:DO28)*10+SUM(DO29:DO31)*7+SUM(DO32:DO34)*6+DO35*25</f>
        <v>1557.0950114052789</v>
      </c>
      <c r="DP12" s="995">
        <f>SUM(DP26:DP28)*10+SUM(DP29:DP31)*7+SUM(DP32:DP34)*6+DP35*25</f>
        <v>1720.0299282962492</v>
      </c>
      <c r="DQ12" s="995">
        <f>SUM(DQ26:DQ28)*10+SUM(DQ29:DQ31)*7+SUM(DQ32:DQ34)*6+DQ35*25</f>
        <v>1860.6102365357365</v>
      </c>
      <c r="DR12" s="996">
        <f>SUM(DR26:DR28)*10+SUM(DR29:DR31)*7+SUM(DR32:DR34)*6+DR35*25</f>
        <v>1847.4033436619752</v>
      </c>
      <c r="DT12" s="994">
        <f>SUM(DT26:DT28)*10+SUM(DT29:DT31)*7+SUM(DT32:DT34)*6+DT35*25</f>
        <v>1446</v>
      </c>
      <c r="DU12" s="995">
        <f>SUM(DU26:DU28)*10+SUM(DU29:DU31)*7+SUM(DU32:DU34)*6+DU35*25</f>
        <v>1775.1266078159174</v>
      </c>
      <c r="DV12" s="995">
        <f>SUM(DV26:DV28)*10+SUM(DV29:DV31)*7+SUM(DV32:DV34)*6+DV35*25</f>
        <v>1928.895472215514</v>
      </c>
      <c r="DW12" s="995">
        <f>SUM(DW26:DW28)*10+SUM(DW29:DW31)*7+SUM(DW32:DW34)*6+DW35*25</f>
        <v>2147.6935956120524</v>
      </c>
      <c r="DX12" s="996">
        <f>SUM(DX26:DX28)*10+SUM(DX29:DX31)*7+SUM(DX32:DX34)*6+DX35*25</f>
        <v>2166.0152675732343</v>
      </c>
      <c r="DY12" s="606" t="s">
        <v>1041</v>
      </c>
      <c r="DZ12" s="994">
        <f>SUM(DZ26:DZ28)*10+SUM(DZ29:DZ31)*7+SUM(DZ32:DZ34)*6+DZ35*25</f>
        <v>1446</v>
      </c>
      <c r="EA12" s="995">
        <f>SUM(EA26:EA28)*10+SUM(EA29:EA31)*7+SUM(EA32:EA34)*6+EA35*25</f>
        <v>1945.0560613652037</v>
      </c>
      <c r="EB12" s="995">
        <f>SUM(EB26:EB28)*10+SUM(EB29:EB31)*7+SUM(EB32:EB34)*6+EB35*25</f>
        <v>2173.7441239147624</v>
      </c>
      <c r="EC12" s="995">
        <f>SUM(EC26:EC28)*10+SUM(EC29:EC31)*7+SUM(EC32:EC34)*6+EC35*25</f>
        <v>2627.6731457156002</v>
      </c>
      <c r="ED12" s="996">
        <f>SUM(ED26:ED28)*10+SUM(ED29:ED31)*7+SUM(ED32:ED34)*6+ED35*25</f>
        <v>2941.3858155940648</v>
      </c>
      <c r="EF12" s="994">
        <f>SUM(EF26:EF28)*10+SUM(EF29:EF31)*7+SUM(EF32:EF34)*6+EF35*25</f>
        <v>1633.5300000000007</v>
      </c>
      <c r="EG12" s="995">
        <f>SUM(EG26:EG28)*10+SUM(EG29:EG31)*7+SUM(EG32:EG34)*6+EG35*25</f>
        <v>1086.8832000000007</v>
      </c>
      <c r="EH12" s="995">
        <f t="shared" ref="EH12:EP12" si="15">SUM(EH26:EH28)*10+SUM(EH29:EH31)*7+SUM(EH32:EH34)*6+EH35*25</f>
        <v>853.81245000000035</v>
      </c>
      <c r="EI12" s="995">
        <f t="shared" si="15"/>
        <v>782.95365000000015</v>
      </c>
      <c r="EJ12" s="995">
        <f t="shared" si="15"/>
        <v>859.85064000000034</v>
      </c>
      <c r="EK12" s="995">
        <f t="shared" si="15"/>
        <v>923.81503500000031</v>
      </c>
      <c r="EL12" s="995">
        <f t="shared" si="15"/>
        <v>891.50440500000036</v>
      </c>
      <c r="EM12" s="995">
        <f t="shared" si="15"/>
        <v>953.84584350000034</v>
      </c>
      <c r="EN12" s="995">
        <f t="shared" si="15"/>
        <v>1035.2695023000006</v>
      </c>
      <c r="EO12" s="995">
        <f t="shared" si="15"/>
        <v>1048.8680631000004</v>
      </c>
      <c r="EP12" s="995">
        <f t="shared" si="15"/>
        <v>1142.8404431400004</v>
      </c>
      <c r="EQ12" s="996">
        <f>SUM(EQ26:EQ28)*10+SUM(EQ29:EQ31)*7+SUM(EQ32:EQ34)*6+EQ35*25</f>
        <v>1207.3631105250006</v>
      </c>
      <c r="ES12" s="994">
        <f>SUM(ES26:ES28)*10+SUM(ES29:ES31)*7+SUM(ES32:ES34)*6+ES35*25</f>
        <v>669.25</v>
      </c>
      <c r="ET12" s="995">
        <f>SUM(ET26:ET28)*10+SUM(ET29:ET31)*7+SUM(ET32:ET34)*6+ET35*25</f>
        <v>492.52500000000009</v>
      </c>
      <c r="EU12" s="995">
        <f t="shared" ref="EU12:FC12" si="16">SUM(EU26:EU28)*10+SUM(EU29:EU31)*7+SUM(EU32:EU34)*6+EU35*25</f>
        <v>505.89900000000006</v>
      </c>
      <c r="EV12" s="995">
        <f t="shared" si="16"/>
        <v>604.50300000000004</v>
      </c>
      <c r="EW12" s="995">
        <f t="shared" si="16"/>
        <v>732.75840000000017</v>
      </c>
      <c r="EX12" s="995">
        <f t="shared" si="16"/>
        <v>831.15202500000009</v>
      </c>
      <c r="EY12" s="995">
        <f t="shared" si="16"/>
        <v>839.54277000000025</v>
      </c>
      <c r="EZ12" s="995">
        <f t="shared" si="16"/>
        <v>940.57311150000021</v>
      </c>
      <c r="FA12" s="995">
        <f t="shared" si="16"/>
        <v>1053.6512778000006</v>
      </c>
      <c r="FB12" s="995">
        <f t="shared" si="16"/>
        <v>1072.1121147000003</v>
      </c>
      <c r="FC12" s="995">
        <f t="shared" si="16"/>
        <v>1195.7167074600004</v>
      </c>
      <c r="FD12" s="996">
        <f>SUM(FD26:FD28)*10+SUM(FD29:FD31)*7+SUM(FD32:FD34)*6+FD35*25</f>
        <v>1318.9714535250005</v>
      </c>
      <c r="FF12" s="994">
        <f>SUM(FF26:FF28)*10+SUM(FF29:FF31)*7+SUM(FF32:FF34)*6+FF35*25</f>
        <v>738.45</v>
      </c>
      <c r="FG12" s="995">
        <f>SUM(FG26:FG28)*10+SUM(FG29:FG31)*7+SUM(FG32:FG34)*6+FG35*25</f>
        <v>533.56500000000005</v>
      </c>
      <c r="FH12" s="995">
        <f t="shared" ref="FH12:FP12" si="17">SUM(FH26:FH28)*10+SUM(FH29:FH31)*7+SUM(FH32:FH34)*6+FH35*25</f>
        <v>531.31500000000005</v>
      </c>
      <c r="FI12" s="995">
        <f t="shared" si="17"/>
        <v>579.19500000000005</v>
      </c>
      <c r="FJ12" s="995">
        <f t="shared" si="17"/>
        <v>634.07520000000011</v>
      </c>
      <c r="FK12" s="995">
        <f t="shared" si="17"/>
        <v>679.08406500000012</v>
      </c>
      <c r="FL12" s="995">
        <f t="shared" si="17"/>
        <v>660.59829000000025</v>
      </c>
      <c r="FM12" s="995">
        <f t="shared" si="17"/>
        <v>723.89695950000009</v>
      </c>
      <c r="FN12" s="995">
        <f t="shared" si="17"/>
        <v>793.22302620000039</v>
      </c>
      <c r="FO12" s="995">
        <f t="shared" si="17"/>
        <v>797.53187250000042</v>
      </c>
      <c r="FP12" s="995">
        <f t="shared" si="17"/>
        <v>883.50323886000047</v>
      </c>
      <c r="FQ12" s="996">
        <f>SUM(FQ26:FQ28)*10+SUM(FQ29:FQ31)*7+SUM(FQ32:FQ34)*6+FQ35*25</f>
        <v>968.26615172100048</v>
      </c>
      <c r="FS12" s="994">
        <f>SUM(FS26:FS28)*10+SUM(FS29:FS31)*7+SUM(FS32:FS34)*6+FS35*25</f>
        <v>553.89</v>
      </c>
      <c r="FT12" s="995">
        <f>SUM(FT26:FT28)*10+SUM(FT29:FT31)*7+SUM(FT32:FT34)*6+FT35*25</f>
        <v>422.00099999999998</v>
      </c>
      <c r="FU12" s="995">
        <f t="shared" ref="FU12:GC12" si="18">SUM(FU26:FU28)*10+SUM(FU29:FU31)*7+SUM(FU32:FU34)*6+FU35*25</f>
        <v>368.45100000000002</v>
      </c>
      <c r="FV12" s="995">
        <f t="shared" si="18"/>
        <v>334.79100000000005</v>
      </c>
      <c r="FW12" s="995">
        <f t="shared" si="18"/>
        <v>345.88620000000003</v>
      </c>
      <c r="FX12" s="995">
        <f t="shared" si="18"/>
        <v>359.09230500000001</v>
      </c>
      <c r="FY12" s="995">
        <f t="shared" si="18"/>
        <v>342.70830000000007</v>
      </c>
      <c r="FZ12" s="995">
        <f t="shared" si="18"/>
        <v>363.53869200000008</v>
      </c>
      <c r="GA12" s="995">
        <f t="shared" si="18"/>
        <v>389.81223270000015</v>
      </c>
      <c r="GB12" s="995">
        <f t="shared" si="18"/>
        <v>386.45212320000019</v>
      </c>
      <c r="GC12" s="995">
        <f t="shared" si="18"/>
        <v>425.09733552000012</v>
      </c>
      <c r="GD12" s="996">
        <f>SUM(GD26:GD28)*10+SUM(GD29:GD31)*7+SUM(GD32:GD34)*6+GD35*25</f>
        <v>467.60706907200023</v>
      </c>
      <c r="GF12" s="994">
        <f>SUM(GF26:GF28)*10+SUM(GF29:GF31)*7+SUM(GF32:GF34)*6+GF35*25</f>
        <v>293.28000000000003</v>
      </c>
      <c r="GG12" s="995">
        <f>SUM(GG26:GG28)*10+SUM(GG29:GG31)*7+SUM(GG32:GG34)*6+GG35*25</f>
        <v>263.952</v>
      </c>
      <c r="GH12" s="995">
        <f t="shared" ref="GH12:GP12" si="19">SUM(GH26:GH28)*10+SUM(GH29:GH31)*7+SUM(GH32:GH34)*6+GH35*25</f>
        <v>263.952</v>
      </c>
      <c r="GI12" s="995">
        <f t="shared" si="19"/>
        <v>263.952</v>
      </c>
      <c r="GJ12" s="995">
        <f t="shared" si="19"/>
        <v>290.3472000000001</v>
      </c>
      <c r="GK12" s="995">
        <f t="shared" si="19"/>
        <v>319.38192000000004</v>
      </c>
      <c r="GL12" s="995">
        <f t="shared" si="19"/>
        <v>319.38192000000004</v>
      </c>
      <c r="GM12" s="995">
        <f t="shared" si="19"/>
        <v>351.32011200000011</v>
      </c>
      <c r="GN12" s="995">
        <f t="shared" si="19"/>
        <v>386.45212320000019</v>
      </c>
      <c r="GO12" s="995">
        <f t="shared" si="19"/>
        <v>386.45212320000019</v>
      </c>
      <c r="GP12" s="995">
        <f t="shared" si="19"/>
        <v>425.09733552000012</v>
      </c>
      <c r="GQ12" s="996">
        <f>SUM(GQ26:GQ28)*10+SUM(GQ29:GQ31)*7+SUM(GQ32:GQ34)*6+GQ35*25</f>
        <v>467.60706907200023</v>
      </c>
      <c r="GS12" s="994">
        <f>SUM(GS26:GS28)*10+SUM(GS29:GS31)*7+SUM(GS32:GS34)*6+GS35*25</f>
        <v>293.28000000000003</v>
      </c>
      <c r="GT12" s="995">
        <f>SUM(GT26:GT28)*10+SUM(GT29:GT31)*7+SUM(GT32:GT34)*6+GT35*25</f>
        <v>263.952</v>
      </c>
      <c r="GU12" s="995">
        <f t="shared" ref="GU12:HC12" si="20">SUM(GU26:GU28)*10+SUM(GU29:GU31)*7+SUM(GU32:GU34)*6+GU35*25</f>
        <v>263.952</v>
      </c>
      <c r="GV12" s="995">
        <f t="shared" si="20"/>
        <v>263.952</v>
      </c>
      <c r="GW12" s="995">
        <f t="shared" si="20"/>
        <v>290.3472000000001</v>
      </c>
      <c r="GX12" s="995">
        <f t="shared" si="20"/>
        <v>319.38192000000004</v>
      </c>
      <c r="GY12" s="995">
        <f t="shared" si="20"/>
        <v>319.38192000000004</v>
      </c>
      <c r="GZ12" s="995">
        <f t="shared" si="20"/>
        <v>351.32011200000011</v>
      </c>
      <c r="HA12" s="995">
        <f t="shared" si="20"/>
        <v>386.45212320000019</v>
      </c>
      <c r="HB12" s="995">
        <f t="shared" si="20"/>
        <v>386.45212320000019</v>
      </c>
      <c r="HC12" s="995">
        <f t="shared" si="20"/>
        <v>425.09733552000012</v>
      </c>
      <c r="HD12" s="996">
        <f>SUM(HD26:HD28)*10+SUM(HD29:HD31)*7+SUM(HD32:HD34)*6+HD35*25</f>
        <v>467.60706907200023</v>
      </c>
    </row>
    <row r="13" spans="1:215" ht="14.25">
      <c r="B13" s="984" t="s">
        <v>123</v>
      </c>
      <c r="C13" s="1024">
        <v>35</v>
      </c>
      <c r="D13" s="993">
        <v>3</v>
      </c>
      <c r="E13" s="1031"/>
      <c r="F13" s="1032">
        <v>7</v>
      </c>
      <c r="G13" s="1028">
        <f t="shared" si="0"/>
        <v>0.2</v>
      </c>
      <c r="H13" s="1033"/>
      <c r="I13" s="31"/>
      <c r="N13" s="931"/>
      <c r="O13" s="950"/>
      <c r="P13" s="978"/>
      <c r="Q13" s="978"/>
      <c r="R13" s="978"/>
      <c r="S13" s="978"/>
      <c r="T13" s="978"/>
      <c r="U13" s="978"/>
      <c r="AA13" s="931"/>
      <c r="AB13" s="950"/>
      <c r="AC13" s="978"/>
      <c r="AD13" s="978"/>
      <c r="AE13" s="978"/>
      <c r="AF13" s="978"/>
      <c r="AG13" s="978"/>
      <c r="AH13" s="978"/>
      <c r="DK13" s="931"/>
      <c r="DL13" s="950"/>
      <c r="DM13" s="999">
        <v>1.1499999999999999</v>
      </c>
      <c r="DN13" s="1000">
        <f>DN12*$DM$13</f>
        <v>1662.8999999999999</v>
      </c>
      <c r="DO13" s="1001">
        <f>DO12*$DM$13</f>
        <v>1790.6592631160706</v>
      </c>
      <c r="DP13" s="1001">
        <f>DP12*$DM$13</f>
        <v>1978.0344175406865</v>
      </c>
      <c r="DQ13" s="1001">
        <f>DQ12*$DM$13</f>
        <v>2139.7017720160966</v>
      </c>
      <c r="DR13" s="1002">
        <f>DR12*$DM$13</f>
        <v>2124.5138452112715</v>
      </c>
      <c r="DT13" s="1000">
        <f>DT12*$DM$13</f>
        <v>1662.8999999999999</v>
      </c>
      <c r="DU13" s="1001">
        <f>DU12*$DM$13</f>
        <v>2041.3955989883048</v>
      </c>
      <c r="DV13" s="1001">
        <f>DV12*$DM$13</f>
        <v>2218.2297930478408</v>
      </c>
      <c r="DW13" s="1001">
        <f>DW12*$DM$13</f>
        <v>2469.8476349538601</v>
      </c>
      <c r="DX13" s="1002">
        <f>DX12*$DM$13</f>
        <v>2490.9175577092192</v>
      </c>
      <c r="DZ13" s="1000">
        <f>DZ12*$DM$13</f>
        <v>1662.8999999999999</v>
      </c>
      <c r="EA13" s="1001">
        <f>EA12*$DM$13</f>
        <v>2236.8144705699842</v>
      </c>
      <c r="EB13" s="1001">
        <f>EB12*$DM$13</f>
        <v>2499.8057425019765</v>
      </c>
      <c r="EC13" s="1001">
        <f>EC12*$DM$13</f>
        <v>3021.8241175729399</v>
      </c>
      <c r="ED13" s="1002">
        <f>ED12*$DM$13</f>
        <v>3382.5936879331744</v>
      </c>
      <c r="EF13" s="1000">
        <f>EF12*$DM$13</f>
        <v>1878.5595000000005</v>
      </c>
      <c r="EG13" s="1001">
        <f t="shared" ref="EG13:EQ13" si="21">EG12*$DM$13</f>
        <v>1249.9156800000007</v>
      </c>
      <c r="EH13" s="1001">
        <f t="shared" si="21"/>
        <v>981.88431750000029</v>
      </c>
      <c r="EI13" s="1001">
        <f t="shared" si="21"/>
        <v>900.39669750000007</v>
      </c>
      <c r="EJ13" s="1001">
        <f t="shared" si="21"/>
        <v>988.82823600000029</v>
      </c>
      <c r="EK13" s="1001">
        <f t="shared" si="21"/>
        <v>1062.3872902500002</v>
      </c>
      <c r="EL13" s="1001">
        <f t="shared" si="21"/>
        <v>1025.2300657500004</v>
      </c>
      <c r="EM13" s="1001">
        <f t="shared" si="21"/>
        <v>1096.9227200250002</v>
      </c>
      <c r="EN13" s="1001">
        <f t="shared" si="21"/>
        <v>1190.5599276450005</v>
      </c>
      <c r="EO13" s="1001">
        <f t="shared" si="21"/>
        <v>1206.1982725650005</v>
      </c>
      <c r="EP13" s="1001">
        <f t="shared" si="21"/>
        <v>1314.2665096110004</v>
      </c>
      <c r="EQ13" s="1002">
        <f t="shared" si="21"/>
        <v>1388.4675771037505</v>
      </c>
      <c r="ES13" s="1000">
        <f>ES12*$DM$13</f>
        <v>769.63749999999993</v>
      </c>
      <c r="ET13" s="1001">
        <f t="shared" ref="ET13:FD13" si="22">ET12*$DM$13</f>
        <v>566.40375000000006</v>
      </c>
      <c r="EU13" s="1001">
        <f t="shared" si="22"/>
        <v>581.78385000000003</v>
      </c>
      <c r="EV13" s="1001">
        <f t="shared" si="22"/>
        <v>695.17845</v>
      </c>
      <c r="EW13" s="1001">
        <f t="shared" si="22"/>
        <v>842.67216000000008</v>
      </c>
      <c r="EX13" s="1001">
        <f t="shared" si="22"/>
        <v>955.82482875000005</v>
      </c>
      <c r="EY13" s="1001">
        <f t="shared" si="22"/>
        <v>965.4741855000002</v>
      </c>
      <c r="EZ13" s="1001">
        <f t="shared" si="22"/>
        <v>1081.6590782250003</v>
      </c>
      <c r="FA13" s="1001">
        <f t="shared" si="22"/>
        <v>1211.6989694700005</v>
      </c>
      <c r="FB13" s="1001">
        <f t="shared" si="22"/>
        <v>1232.9289319050004</v>
      </c>
      <c r="FC13" s="1001">
        <f t="shared" si="22"/>
        <v>1375.0742135790003</v>
      </c>
      <c r="FD13" s="1002">
        <f t="shared" si="22"/>
        <v>1516.8171715537503</v>
      </c>
      <c r="FF13" s="1000">
        <f>FF12*$DM$13</f>
        <v>849.21749999999997</v>
      </c>
      <c r="FG13" s="1001">
        <f t="shared" ref="FG13:FQ13" si="23">FG12*$DM$13</f>
        <v>613.59974999999997</v>
      </c>
      <c r="FH13" s="1001">
        <f t="shared" si="23"/>
        <v>611.01224999999999</v>
      </c>
      <c r="FI13" s="1001">
        <f t="shared" si="23"/>
        <v>666.07425000000001</v>
      </c>
      <c r="FJ13" s="1001">
        <f t="shared" si="23"/>
        <v>729.18648000000007</v>
      </c>
      <c r="FK13" s="1001">
        <f t="shared" si="23"/>
        <v>780.94667475000006</v>
      </c>
      <c r="FL13" s="1001">
        <f t="shared" si="23"/>
        <v>759.68803350000019</v>
      </c>
      <c r="FM13" s="1001">
        <f t="shared" si="23"/>
        <v>832.48150342500003</v>
      </c>
      <c r="FN13" s="1001">
        <f t="shared" si="23"/>
        <v>912.20648013000039</v>
      </c>
      <c r="FO13" s="1001">
        <f t="shared" si="23"/>
        <v>917.16165337500036</v>
      </c>
      <c r="FP13" s="1001">
        <f t="shared" si="23"/>
        <v>1016.0287246890005</v>
      </c>
      <c r="FQ13" s="1002">
        <f t="shared" si="23"/>
        <v>1113.5060744791504</v>
      </c>
      <c r="FS13" s="1000">
        <f>FS12*$DM$13</f>
        <v>636.97349999999994</v>
      </c>
      <c r="FT13" s="1001">
        <f t="shared" ref="FT13:GD13" si="24">FT12*$DM$13</f>
        <v>485.30114999999995</v>
      </c>
      <c r="FU13" s="1001">
        <f t="shared" si="24"/>
        <v>423.71864999999997</v>
      </c>
      <c r="FV13" s="1001">
        <f t="shared" si="24"/>
        <v>385.00965000000002</v>
      </c>
      <c r="FW13" s="1001">
        <f t="shared" si="24"/>
        <v>397.76913000000002</v>
      </c>
      <c r="FX13" s="1001">
        <f t="shared" si="24"/>
        <v>412.95615075000001</v>
      </c>
      <c r="FY13" s="1001">
        <f t="shared" si="24"/>
        <v>394.11454500000002</v>
      </c>
      <c r="FZ13" s="1001">
        <f t="shared" si="24"/>
        <v>418.06949580000008</v>
      </c>
      <c r="GA13" s="1001">
        <f t="shared" si="24"/>
        <v>448.28406760500013</v>
      </c>
      <c r="GB13" s="1001">
        <f t="shared" si="24"/>
        <v>444.41994168000019</v>
      </c>
      <c r="GC13" s="1001">
        <f t="shared" si="24"/>
        <v>488.86193584800009</v>
      </c>
      <c r="GD13" s="1002">
        <f t="shared" si="24"/>
        <v>537.74812943280017</v>
      </c>
      <c r="GF13" s="1000">
        <f>GF12*$DM$13</f>
        <v>337.27199999999999</v>
      </c>
      <c r="GG13" s="1001">
        <f t="shared" ref="GG13:GQ13" si="25">GG12*$DM$13</f>
        <v>303.54479999999995</v>
      </c>
      <c r="GH13" s="1001">
        <f t="shared" si="25"/>
        <v>303.54479999999995</v>
      </c>
      <c r="GI13" s="1001">
        <f t="shared" si="25"/>
        <v>303.54479999999995</v>
      </c>
      <c r="GJ13" s="1001">
        <f t="shared" si="25"/>
        <v>333.89928000000009</v>
      </c>
      <c r="GK13" s="1001">
        <f t="shared" si="25"/>
        <v>367.28920800000003</v>
      </c>
      <c r="GL13" s="1001">
        <f t="shared" si="25"/>
        <v>367.28920800000003</v>
      </c>
      <c r="GM13" s="1001">
        <f t="shared" si="25"/>
        <v>404.01812880000011</v>
      </c>
      <c r="GN13" s="1001">
        <f t="shared" si="25"/>
        <v>444.41994168000019</v>
      </c>
      <c r="GO13" s="1001">
        <f t="shared" si="25"/>
        <v>444.41994168000019</v>
      </c>
      <c r="GP13" s="1001">
        <f t="shared" si="25"/>
        <v>488.86193584800009</v>
      </c>
      <c r="GQ13" s="1002">
        <f t="shared" si="25"/>
        <v>537.74812943280017</v>
      </c>
      <c r="GS13" s="1000">
        <f>GS12*$DM$13</f>
        <v>337.27199999999999</v>
      </c>
      <c r="GT13" s="1001">
        <f t="shared" ref="GT13:HD13" si="26">GT12*$DM$13</f>
        <v>303.54479999999995</v>
      </c>
      <c r="GU13" s="1001">
        <f t="shared" si="26"/>
        <v>303.54479999999995</v>
      </c>
      <c r="GV13" s="1001">
        <f t="shared" si="26"/>
        <v>303.54479999999995</v>
      </c>
      <c r="GW13" s="1001">
        <f t="shared" si="26"/>
        <v>333.89928000000009</v>
      </c>
      <c r="GX13" s="1001">
        <f t="shared" si="26"/>
        <v>367.28920800000003</v>
      </c>
      <c r="GY13" s="1001">
        <f t="shared" si="26"/>
        <v>367.28920800000003</v>
      </c>
      <c r="GZ13" s="1001">
        <f t="shared" si="26"/>
        <v>404.01812880000011</v>
      </c>
      <c r="HA13" s="1001">
        <f t="shared" si="26"/>
        <v>444.41994168000019</v>
      </c>
      <c r="HB13" s="1001">
        <f t="shared" si="26"/>
        <v>444.41994168000019</v>
      </c>
      <c r="HC13" s="1001">
        <f t="shared" si="26"/>
        <v>488.86193584800009</v>
      </c>
      <c r="HD13" s="1002">
        <f t="shared" si="26"/>
        <v>537.74812943280017</v>
      </c>
    </row>
    <row r="14" spans="1:215" ht="14.25">
      <c r="B14" s="984" t="s">
        <v>124</v>
      </c>
      <c r="C14" s="1024">
        <v>40</v>
      </c>
      <c r="D14" s="993">
        <v>3</v>
      </c>
      <c r="E14" s="1031"/>
      <c r="F14" s="1032">
        <v>7</v>
      </c>
      <c r="G14" s="1028">
        <f t="shared" si="0"/>
        <v>0.17499999999999999</v>
      </c>
      <c r="H14" s="1033"/>
      <c r="I14" s="31"/>
      <c r="N14" s="931"/>
      <c r="O14" s="950"/>
      <c r="AA14" s="931"/>
      <c r="AB14" s="950"/>
      <c r="DK14" s="931"/>
      <c r="DL14" s="950"/>
      <c r="DN14" s="971">
        <f>DN13/DN7</f>
        <v>5.359976629999063E-2</v>
      </c>
      <c r="DO14" s="1003">
        <f>DO13/DO7</f>
        <v>3.1351581923787689E-2</v>
      </c>
      <c r="DP14" s="1003">
        <f>DP13/DP7</f>
        <v>4.1527812196613029E-2</v>
      </c>
      <c r="DQ14" s="1003">
        <f>DQ13/DQ7</f>
        <v>3.9666326656070131E-2</v>
      </c>
      <c r="DR14" s="972">
        <f>DR13/DR7</f>
        <v>3.018802529537374E-2</v>
      </c>
      <c r="DT14" s="971">
        <f>DT13/DT7</f>
        <v>5.359976629999063E-2</v>
      </c>
      <c r="DU14" s="1003">
        <f>DU13/DU7</f>
        <v>3.5741574446256294E-2</v>
      </c>
      <c r="DV14" s="1003">
        <f>DV13/DV7</f>
        <v>4.6570590196885558E-2</v>
      </c>
      <c r="DW14" s="1003">
        <f>DW13/DW7</f>
        <v>4.5786653243031973E-2</v>
      </c>
      <c r="DX14" s="972">
        <f>DX13/DX7</f>
        <v>3.5394395009620973E-2</v>
      </c>
      <c r="DZ14" s="971">
        <f>DZ13/DZ7</f>
        <v>5.359976629999063E-2</v>
      </c>
      <c r="EA14" s="1003">
        <f>EA13/EA7</f>
        <v>3.9163046575568947E-2</v>
      </c>
      <c r="EB14" s="1003">
        <f>EB13/EB7</f>
        <v>5.2482132000365743E-2</v>
      </c>
      <c r="EC14" s="1003">
        <f>EC13/EC7</f>
        <v>5.6019331344432509E-2</v>
      </c>
      <c r="ED14" s="972">
        <f>ED13/ED7</f>
        <v>4.8064560297155202E-2</v>
      </c>
      <c r="EF14" s="971">
        <f>EF13/EF7</f>
        <v>9.0592903406587794E-2</v>
      </c>
      <c r="EG14" s="1003">
        <f t="shared" ref="EG14:EQ14" si="27">EG13/EG7</f>
        <v>6.1119705360719187E-2</v>
      </c>
      <c r="EH14" s="1003">
        <f t="shared" si="27"/>
        <v>2.0168115952389574E-2</v>
      </c>
      <c r="EI14" s="1003">
        <f t="shared" si="27"/>
        <v>1.8633948832768237E-2</v>
      </c>
      <c r="EJ14" s="1003">
        <f t="shared" si="27"/>
        <v>1.7481340281821391E-2</v>
      </c>
      <c r="EK14" s="1003">
        <f t="shared" si="27"/>
        <v>1.6681483069068768E-2</v>
      </c>
      <c r="EL14" s="1003">
        <f t="shared" si="27"/>
        <v>1.7467355170880404E-2</v>
      </c>
      <c r="EM14" s="1003">
        <f t="shared" si="27"/>
        <v>1.6817967086303644E-2</v>
      </c>
      <c r="EN14" s="1003">
        <f t="shared" si="27"/>
        <v>1.6338777599017851E-2</v>
      </c>
      <c r="EO14" s="1003">
        <f t="shared" si="27"/>
        <v>1.7495838630476927E-2</v>
      </c>
      <c r="EP14" s="1003">
        <f t="shared" si="27"/>
        <v>1.7197311347341076E-2</v>
      </c>
      <c r="EQ14" s="972">
        <f t="shared" si="27"/>
        <v>1.622778878731258E-2</v>
      </c>
      <c r="ES14" s="971">
        <f>ES13/ES7</f>
        <v>2.2882129702944898E-2</v>
      </c>
      <c r="ET14" s="1003">
        <f t="shared" ref="ET14:FD14" si="28">ET13/ET7</f>
        <v>1.7920817995500309E-2</v>
      </c>
      <c r="EU14" s="1003">
        <f t="shared" si="28"/>
        <v>8.3986959457377375E-3</v>
      </c>
      <c r="EV14" s="1003">
        <f t="shared" si="28"/>
        <v>1.0076049169554213E-2</v>
      </c>
      <c r="EW14" s="1003">
        <f t="shared" si="28"/>
        <v>1.0565427210640327E-2</v>
      </c>
      <c r="EX14" s="1003">
        <f t="shared" si="28"/>
        <v>1.1059457024149446E-2</v>
      </c>
      <c r="EY14" s="1003">
        <f t="shared" si="28"/>
        <v>1.1874925775072412E-2</v>
      </c>
      <c r="EZ14" s="1003">
        <f t="shared" si="28"/>
        <v>1.1975387930739637E-2</v>
      </c>
      <c r="FA14" s="1003">
        <f t="shared" si="28"/>
        <v>1.2134374020507641E-2</v>
      </c>
      <c r="FB14" s="1003">
        <f t="shared" si="28"/>
        <v>1.3103004898148998E-2</v>
      </c>
      <c r="FC14" s="1003">
        <f t="shared" si="28"/>
        <v>1.3385047664417745E-2</v>
      </c>
      <c r="FD14" s="972">
        <f t="shared" si="28"/>
        <v>1.3715891332272101E-2</v>
      </c>
      <c r="FF14" s="971">
        <f>FF13/FF7</f>
        <v>1.8334364272931589E-2</v>
      </c>
      <c r="FG14" s="1003">
        <f t="shared" ref="FG14:FQ14" si="29">FG13/FG7</f>
        <v>1.4268043044706327E-2</v>
      </c>
      <c r="FH14" s="1003">
        <f t="shared" si="29"/>
        <v>6.226313419156063E-3</v>
      </c>
      <c r="FI14" s="1003">
        <f t="shared" si="29"/>
        <v>6.9166680139339572E-3</v>
      </c>
      <c r="FJ14" s="1003">
        <f t="shared" si="29"/>
        <v>6.5584465942881698E-3</v>
      </c>
      <c r="FK14" s="1003">
        <f t="shared" si="29"/>
        <v>6.5515361480516059E-3</v>
      </c>
      <c r="FL14" s="1003">
        <f t="shared" si="29"/>
        <v>6.7014252013477514E-3</v>
      </c>
      <c r="FM14" s="1003">
        <f t="shared" si="29"/>
        <v>6.6233862944629854E-3</v>
      </c>
      <c r="FN14" s="1003">
        <f t="shared" si="29"/>
        <v>6.5738797945827229E-3</v>
      </c>
      <c r="FO14" s="1003">
        <f t="shared" si="29"/>
        <v>6.9237269957237715E-3</v>
      </c>
      <c r="FP14" s="1003">
        <f t="shared" si="29"/>
        <v>7.0616378234207517E-3</v>
      </c>
      <c r="FQ14" s="972">
        <f t="shared" si="29"/>
        <v>7.1677815129232852E-3</v>
      </c>
      <c r="FS14" s="971">
        <f>FS13/FS7</f>
        <v>1.033244491705766E-2</v>
      </c>
      <c r="FT14" s="1003">
        <f t="shared" ref="FT14:GD14" si="30">FT13/FT7</f>
        <v>8.4497067814099883E-3</v>
      </c>
      <c r="FU14" s="1003">
        <f t="shared" si="30"/>
        <v>3.2795378037860632E-3</v>
      </c>
      <c r="FV14" s="1003">
        <f t="shared" si="30"/>
        <v>3.0006563008772732E-3</v>
      </c>
      <c r="FW14" s="1003">
        <f t="shared" si="30"/>
        <v>2.7084822019477063E-3</v>
      </c>
      <c r="FX14" s="1003">
        <f t="shared" si="30"/>
        <v>2.6552524380080546E-3</v>
      </c>
      <c r="FY14" s="1003">
        <f t="shared" si="30"/>
        <v>2.6557806963257015E-3</v>
      </c>
      <c r="FZ14" s="1003">
        <f t="shared" si="30"/>
        <v>2.5636991702737244E-3</v>
      </c>
      <c r="GA14" s="1003">
        <f t="shared" si="30"/>
        <v>2.4977621421947613E-3</v>
      </c>
      <c r="GB14" s="1003">
        <f t="shared" si="30"/>
        <v>2.616924348102791E-3</v>
      </c>
      <c r="GC14" s="1003">
        <f t="shared" si="30"/>
        <v>2.676657213104755E-3</v>
      </c>
      <c r="GD14" s="972">
        <f t="shared" si="30"/>
        <v>2.7451288080592713E-3</v>
      </c>
      <c r="GF14" s="971">
        <f>GF13/GF7</f>
        <v>4.2278666501198315E-3</v>
      </c>
      <c r="GG14" s="1003">
        <f t="shared" ref="GG14:GQ14" si="31">GG13/GG7</f>
        <v>4.1041266985104704E-3</v>
      </c>
      <c r="GH14" s="1003">
        <f t="shared" si="31"/>
        <v>1.8280798927788084E-3</v>
      </c>
      <c r="GI14" s="1003">
        <f t="shared" si="31"/>
        <v>1.8385703051591561E-3</v>
      </c>
      <c r="GJ14" s="1003">
        <f t="shared" si="31"/>
        <v>1.7671941476511879E-3</v>
      </c>
      <c r="GK14" s="1003">
        <f t="shared" si="31"/>
        <v>1.8348899339975561E-3</v>
      </c>
      <c r="GL14" s="1003">
        <f t="shared" si="31"/>
        <v>1.922042774258854E-3</v>
      </c>
      <c r="GM14" s="1003">
        <f t="shared" si="31"/>
        <v>1.9035815037685574E-3</v>
      </c>
      <c r="GN14" s="1003">
        <f t="shared" si="31"/>
        <v>1.9005975281555167E-3</v>
      </c>
      <c r="GO14" s="1003">
        <f t="shared" si="31"/>
        <v>2.0033573263093219E-3</v>
      </c>
      <c r="GP14" s="1003">
        <f t="shared" si="31"/>
        <v>2.0359569837758796E-3</v>
      </c>
      <c r="GQ14" s="972">
        <f t="shared" si="31"/>
        <v>2.0829590227365437E-3</v>
      </c>
      <c r="GS14" s="971">
        <f>GS13/GS7</f>
        <v>3.2987238981564558E-3</v>
      </c>
      <c r="GT14" s="1003">
        <f t="shared" ref="GT14:HD14" si="32">GT13/GT7</f>
        <v>3.198088830694442E-3</v>
      </c>
      <c r="GU14" s="1003">
        <f t="shared" si="32"/>
        <v>1.4225809890126083E-3</v>
      </c>
      <c r="GV14" s="1003">
        <f t="shared" si="32"/>
        <v>1.4271964718484546E-3</v>
      </c>
      <c r="GW14" s="1003">
        <f t="shared" si="32"/>
        <v>1.3697491521686798E-3</v>
      </c>
      <c r="GX14" s="1003">
        <f t="shared" si="32"/>
        <v>1.4198725095765515E-3</v>
      </c>
      <c r="GY14" s="1003">
        <f t="shared" si="32"/>
        <v>1.4850418244571272E-3</v>
      </c>
      <c r="GZ14" s="1003">
        <f t="shared" si="32"/>
        <v>1.4715552917198154E-3</v>
      </c>
      <c r="HA14" s="1003">
        <f t="shared" si="32"/>
        <v>1.4689454374747374E-3</v>
      </c>
      <c r="HB14" s="1003">
        <f t="shared" si="32"/>
        <v>1.5310325043239143E-3</v>
      </c>
      <c r="HC14" s="1003">
        <f t="shared" si="32"/>
        <v>1.5411318122658293E-3</v>
      </c>
      <c r="HD14" s="972">
        <f t="shared" si="32"/>
        <v>1.5755136726689906E-3</v>
      </c>
    </row>
    <row r="15" spans="1:215" ht="14.25" customHeight="1">
      <c r="B15" s="984" t="s">
        <v>125</v>
      </c>
      <c r="C15" s="1024">
        <v>45</v>
      </c>
      <c r="D15" s="993">
        <v>4</v>
      </c>
      <c r="E15" s="1031"/>
      <c r="F15" s="1032">
        <v>6</v>
      </c>
      <c r="G15" s="1028">
        <f t="shared" si="0"/>
        <v>0.13333333333333333</v>
      </c>
      <c r="H15" s="1033"/>
      <c r="I15" s="31"/>
      <c r="N15" s="1684" t="s">
        <v>1058</v>
      </c>
      <c r="O15" s="957" t="s">
        <v>119</v>
      </c>
      <c r="P15" s="606">
        <v>27</v>
      </c>
      <c r="Q15" s="606">
        <v>18</v>
      </c>
      <c r="R15" s="606">
        <v>13</v>
      </c>
      <c r="S15" s="606">
        <v>46</v>
      </c>
      <c r="T15" s="606">
        <v>47</v>
      </c>
      <c r="U15" s="606">
        <v>106</v>
      </c>
      <c r="V15" s="606">
        <v>100</v>
      </c>
      <c r="AA15" s="1684" t="s">
        <v>1058</v>
      </c>
      <c r="AB15" s="957" t="s">
        <v>119</v>
      </c>
      <c r="DK15" s="1684" t="s">
        <v>1058</v>
      </c>
      <c r="DL15" s="957" t="s">
        <v>119</v>
      </c>
      <c r="DN15" s="969">
        <v>80</v>
      </c>
      <c r="DO15" s="995">
        <f>DN11*0.5+DO11*0.5</f>
        <v>98.5</v>
      </c>
      <c r="DP15" s="995">
        <f>DO11*0.5+DP11*0.5</f>
        <v>116.55000000000001</v>
      </c>
      <c r="DQ15" s="970">
        <f>DP11*0.5+DQ11*0.5</f>
        <v>112.05000000000001</v>
      </c>
      <c r="DR15" s="996">
        <f>DQ11*0.5+DR11*0.5</f>
        <v>108</v>
      </c>
      <c r="DT15" s="969">
        <v>80</v>
      </c>
      <c r="DU15" s="995">
        <f>DT11*0.5+DU11*0.5</f>
        <v>98.5</v>
      </c>
      <c r="DV15" s="995">
        <f>DU11*0.5+DV11*0.5</f>
        <v>116.55000000000001</v>
      </c>
      <c r="DW15" s="995">
        <f>DV11*0.5+DW11*0.5</f>
        <v>112.05000000000001</v>
      </c>
      <c r="DX15" s="996">
        <f>DW11*0.5+DX11*0.5</f>
        <v>108</v>
      </c>
      <c r="DZ15" s="969">
        <v>80</v>
      </c>
      <c r="EA15" s="995">
        <f>DZ11*0.5+EA11*0.5</f>
        <v>98.5</v>
      </c>
      <c r="EB15" s="995">
        <f>EA11*0.5+EB11*0.5</f>
        <v>116.55000000000001</v>
      </c>
      <c r="EC15" s="995">
        <f>EB11*0.5+EC11*0.5</f>
        <v>112.05000000000001</v>
      </c>
      <c r="ED15" s="996">
        <f>EC11*0.5+ED11*0.5</f>
        <v>108</v>
      </c>
      <c r="EF15" s="953">
        <f>SUM(P11:V11,DZ11:ED11)-SUM(P15:V15,DZ15:ED15)+EF11*0.5</f>
        <v>58.000000000000114</v>
      </c>
      <c r="EG15" s="967">
        <f>EF11*0.5+EG11*0.5</f>
        <v>16</v>
      </c>
      <c r="EH15" s="967">
        <f>EG11*0.5+EH11*0.5</f>
        <v>24.5</v>
      </c>
      <c r="EI15" s="967">
        <f t="shared" ref="EI15:EQ15" si="33">EH11*0.5+EI11*0.5</f>
        <v>37</v>
      </c>
      <c r="EJ15" s="967">
        <f t="shared" si="33"/>
        <v>43</v>
      </c>
      <c r="EK15" s="967">
        <f t="shared" si="33"/>
        <v>45</v>
      </c>
      <c r="EL15" s="967">
        <f t="shared" si="33"/>
        <v>45</v>
      </c>
      <c r="EM15" s="967">
        <f t="shared" si="33"/>
        <v>45</v>
      </c>
      <c r="EN15" s="967">
        <f t="shared" si="33"/>
        <v>45</v>
      </c>
      <c r="EO15" s="967">
        <f t="shared" si="33"/>
        <v>45</v>
      </c>
      <c r="EP15" s="967">
        <f t="shared" si="33"/>
        <v>41</v>
      </c>
      <c r="EQ15" s="954">
        <f t="shared" si="33"/>
        <v>37</v>
      </c>
      <c r="ES15" s="953">
        <f>EQ11*0.5+ES11*0.5</f>
        <v>26.5</v>
      </c>
      <c r="ET15" s="967">
        <f>ES11*0.5+ET11*0.5</f>
        <v>16</v>
      </c>
      <c r="EU15" s="967">
        <f>ET11*0.5+EU11*0.5</f>
        <v>32.5</v>
      </c>
      <c r="EV15" s="967">
        <f t="shared" ref="EV15" si="34">EU11*0.5+EV11*0.5</f>
        <v>49</v>
      </c>
      <c r="EW15" s="967">
        <f t="shared" ref="EW15" si="35">EV11*0.5+EW11*0.5</f>
        <v>47</v>
      </c>
      <c r="EX15" s="967">
        <f t="shared" ref="EX15" si="36">EW11*0.5+EX11*0.5</f>
        <v>45</v>
      </c>
      <c r="EY15" s="967">
        <f t="shared" ref="EY15" si="37">EX11*0.5+EY11*0.5</f>
        <v>45</v>
      </c>
      <c r="EZ15" s="967">
        <f t="shared" ref="EZ15" si="38">EY11*0.5+EZ11*0.5</f>
        <v>45</v>
      </c>
      <c r="FA15" s="967">
        <f t="shared" ref="FA15" si="39">EZ11*0.5+FA11*0.5</f>
        <v>45</v>
      </c>
      <c r="FB15" s="967">
        <f t="shared" ref="FB15" si="40">FA11*0.5+FB11*0.5</f>
        <v>45</v>
      </c>
      <c r="FC15" s="967">
        <f t="shared" ref="FC15" si="41">FB11*0.5+FC11*0.5</f>
        <v>45</v>
      </c>
      <c r="FD15" s="954">
        <f t="shared" ref="FD15" si="42">FC11*0.5+FD11*0.5</f>
        <v>45</v>
      </c>
      <c r="FF15" s="953">
        <f>FD11*0.5+FF11*0.5</f>
        <v>30.5</v>
      </c>
      <c r="FG15" s="967">
        <f>FF11*0.5+FG11*0.5</f>
        <v>16</v>
      </c>
      <c r="FH15" s="967">
        <f>FG11*0.5+FH11*0.5</f>
        <v>32.5</v>
      </c>
      <c r="FI15" s="967">
        <f t="shared" ref="FI15" si="43">FH11*0.5+FI11*0.5</f>
        <v>41</v>
      </c>
      <c r="FJ15" s="967">
        <f t="shared" ref="FJ15" si="44">FI11*0.5+FJ11*0.5</f>
        <v>33</v>
      </c>
      <c r="FK15" s="967">
        <f t="shared" ref="FK15" si="45">FJ11*0.5+FK11*0.5</f>
        <v>33</v>
      </c>
      <c r="FL15" s="967">
        <f t="shared" ref="FL15" si="46">FK11*0.5+FL11*0.5</f>
        <v>33</v>
      </c>
      <c r="FM15" s="967">
        <f t="shared" ref="FM15" si="47">FL11*0.5+FM11*0.5</f>
        <v>33</v>
      </c>
      <c r="FN15" s="967">
        <f t="shared" ref="FN15" si="48">FM11*0.5+FN11*0.5</f>
        <v>33</v>
      </c>
      <c r="FO15" s="967">
        <f t="shared" ref="FO15" si="49">FN11*0.5+FO11*0.5</f>
        <v>33</v>
      </c>
      <c r="FP15" s="967">
        <f t="shared" ref="FP15" si="50">FO11*0.5+FP11*0.5</f>
        <v>33</v>
      </c>
      <c r="FQ15" s="954">
        <f t="shared" ref="FQ15" si="51">FP11*0.5+FQ11*0.5</f>
        <v>33</v>
      </c>
      <c r="FS15" s="953">
        <f>FQ11*0.5+FS11*0.5</f>
        <v>24.5</v>
      </c>
      <c r="FT15" s="967">
        <f>FS11*0.5+FT11*0.5</f>
        <v>16</v>
      </c>
      <c r="FU15" s="967">
        <f>FT11*0.5+FU11*0.5</f>
        <v>16</v>
      </c>
      <c r="FV15" s="967">
        <f t="shared" ref="FV15" si="52">FU11*0.5+FV11*0.5</f>
        <v>16</v>
      </c>
      <c r="FW15" s="967">
        <f t="shared" ref="FW15" si="53">FV11*0.5+FW11*0.5</f>
        <v>16</v>
      </c>
      <c r="FX15" s="967">
        <f t="shared" ref="FX15" si="54">FW11*0.5+FX11*0.5</f>
        <v>16</v>
      </c>
      <c r="FY15" s="967">
        <f t="shared" ref="FY15" si="55">FX11*0.5+FY11*0.5</f>
        <v>16</v>
      </c>
      <c r="FZ15" s="967">
        <f t="shared" ref="FZ15" si="56">FY11*0.5+FZ11*0.5</f>
        <v>16</v>
      </c>
      <c r="GA15" s="967">
        <f t="shared" ref="GA15" si="57">FZ11*0.5+GA11*0.5</f>
        <v>16</v>
      </c>
      <c r="GB15" s="967">
        <f t="shared" ref="GB15" si="58">GA11*0.5+GB11*0.5</f>
        <v>16</v>
      </c>
      <c r="GC15" s="967">
        <f t="shared" ref="GC15" si="59">GB11*0.5+GC11*0.5</f>
        <v>16</v>
      </c>
      <c r="GD15" s="954">
        <f t="shared" ref="GD15" si="60">GC11*0.5+GD11*0.5</f>
        <v>16</v>
      </c>
      <c r="GF15" s="953">
        <f>GD11*0.5+GF11*0.5</f>
        <v>16</v>
      </c>
      <c r="GG15" s="967">
        <f>GF11*0.5+GG11*0.5</f>
        <v>16</v>
      </c>
      <c r="GH15" s="967">
        <f>GG11*0.5+GH11*0.5</f>
        <v>16</v>
      </c>
      <c r="GI15" s="967">
        <f t="shared" ref="GI15" si="61">GH11*0.5+GI11*0.5</f>
        <v>16</v>
      </c>
      <c r="GJ15" s="967">
        <f t="shared" ref="GJ15" si="62">GI11*0.5+GJ11*0.5</f>
        <v>16</v>
      </c>
      <c r="GK15" s="967">
        <f t="shared" ref="GK15" si="63">GJ11*0.5+GK11*0.5</f>
        <v>16</v>
      </c>
      <c r="GL15" s="967">
        <f t="shared" ref="GL15" si="64">GK11*0.5+GL11*0.5</f>
        <v>16</v>
      </c>
      <c r="GM15" s="967">
        <f t="shared" ref="GM15" si="65">GL11*0.5+GM11*0.5</f>
        <v>16</v>
      </c>
      <c r="GN15" s="967">
        <f t="shared" ref="GN15" si="66">GM11*0.5+GN11*0.5</f>
        <v>16</v>
      </c>
      <c r="GO15" s="967">
        <f t="shared" ref="GO15" si="67">GN11*0.5+GO11*0.5</f>
        <v>16</v>
      </c>
      <c r="GP15" s="967">
        <f t="shared" ref="GP15" si="68">GO11*0.5+GP11*0.5</f>
        <v>16</v>
      </c>
      <c r="GQ15" s="954">
        <f t="shared" ref="GQ15" si="69">GP11*0.5+GQ11*0.5</f>
        <v>16</v>
      </c>
      <c r="GS15" s="953">
        <f>GQ11*0.5+GS11*0.5</f>
        <v>16</v>
      </c>
      <c r="GT15" s="967">
        <f>GS11*0.5+GT11*0.5</f>
        <v>16</v>
      </c>
      <c r="GU15" s="967">
        <f>GT11*0.5+GU11*0.5</f>
        <v>16</v>
      </c>
      <c r="GV15" s="967">
        <f t="shared" ref="GV15" si="70">GU11*0.5+GV11*0.5</f>
        <v>16</v>
      </c>
      <c r="GW15" s="967">
        <f t="shared" ref="GW15" si="71">GV11*0.5+GW11*0.5</f>
        <v>16</v>
      </c>
      <c r="GX15" s="967">
        <f t="shared" ref="GX15" si="72">GW11*0.5+GX11*0.5</f>
        <v>16</v>
      </c>
      <c r="GY15" s="967">
        <f t="shared" ref="GY15" si="73">GX11*0.5+GY11*0.5</f>
        <v>16</v>
      </c>
      <c r="GZ15" s="967">
        <f t="shared" ref="GZ15" si="74">GY11*0.5+GZ11*0.5</f>
        <v>16</v>
      </c>
      <c r="HA15" s="967">
        <f t="shared" ref="HA15" si="75">GZ11*0.5+HA11*0.5</f>
        <v>16</v>
      </c>
      <c r="HB15" s="967">
        <f t="shared" ref="HB15" si="76">HA11*0.5+HB11*0.5</f>
        <v>16</v>
      </c>
      <c r="HC15" s="967">
        <f t="shared" ref="HC15" si="77">HB11*0.5+HC11*0.5</f>
        <v>16</v>
      </c>
      <c r="HD15" s="954">
        <f t="shared" ref="HD15" si="78">HC11*0.5+HD11*0.5</f>
        <v>16</v>
      </c>
    </row>
    <row r="16" spans="1:215" ht="14.25">
      <c r="B16" s="984" t="s">
        <v>126</v>
      </c>
      <c r="C16" s="1024">
        <v>45</v>
      </c>
      <c r="D16" s="993">
        <v>4</v>
      </c>
      <c r="E16" s="1031"/>
      <c r="F16" s="1032">
        <v>6</v>
      </c>
      <c r="G16" s="1028">
        <f>F16/C16</f>
        <v>0.13333333333333333</v>
      </c>
      <c r="H16" s="1033"/>
      <c r="I16" s="31"/>
      <c r="N16" s="1684"/>
      <c r="O16" s="957" t="s">
        <v>120</v>
      </c>
      <c r="P16" s="606">
        <v>58</v>
      </c>
      <c r="Q16" s="606">
        <v>27</v>
      </c>
      <c r="R16" s="606">
        <v>18</v>
      </c>
      <c r="S16" s="606">
        <v>13</v>
      </c>
      <c r="T16" s="606">
        <v>45</v>
      </c>
      <c r="U16" s="606">
        <v>47</v>
      </c>
      <c r="V16" s="606">
        <v>105</v>
      </c>
      <c r="AA16" s="1684"/>
      <c r="AB16" s="957" t="s">
        <v>120</v>
      </c>
      <c r="DK16" s="1684"/>
      <c r="DL16" s="957" t="s">
        <v>120</v>
      </c>
      <c r="DN16" s="969">
        <v>100</v>
      </c>
      <c r="DO16" s="970">
        <f>DN15</f>
        <v>80</v>
      </c>
      <c r="DP16" s="995">
        <f>DO15</f>
        <v>98.5</v>
      </c>
      <c r="DQ16" s="995">
        <f>DP15</f>
        <v>116.55000000000001</v>
      </c>
      <c r="DR16" s="996">
        <f>DQ15</f>
        <v>112.05000000000001</v>
      </c>
      <c r="DT16" s="969">
        <v>100</v>
      </c>
      <c r="DU16" s="995">
        <f>DT15</f>
        <v>80</v>
      </c>
      <c r="DV16" s="995">
        <f>DU15</f>
        <v>98.5</v>
      </c>
      <c r="DW16" s="995">
        <f>DV15</f>
        <v>116.55000000000001</v>
      </c>
      <c r="DX16" s="996">
        <f>DW15</f>
        <v>112.05000000000001</v>
      </c>
      <c r="DZ16" s="969">
        <v>100</v>
      </c>
      <c r="EA16" s="995">
        <f t="shared" ref="EA16:ED23" si="79">DZ15</f>
        <v>80</v>
      </c>
      <c r="EB16" s="995">
        <f t="shared" si="79"/>
        <v>98.5</v>
      </c>
      <c r="EC16" s="995">
        <f t="shared" si="79"/>
        <v>116.55000000000001</v>
      </c>
      <c r="ED16" s="996">
        <f t="shared" si="79"/>
        <v>112.05000000000001</v>
      </c>
      <c r="EF16" s="953">
        <f>ED15</f>
        <v>108</v>
      </c>
      <c r="EG16" s="967">
        <f t="shared" ref="EG16:EQ23" si="80">EF15</f>
        <v>58.000000000000114</v>
      </c>
      <c r="EH16" s="967">
        <f t="shared" si="80"/>
        <v>16</v>
      </c>
      <c r="EI16" s="967">
        <f t="shared" si="80"/>
        <v>24.5</v>
      </c>
      <c r="EJ16" s="967">
        <f t="shared" si="80"/>
        <v>37</v>
      </c>
      <c r="EK16" s="967">
        <f t="shared" si="80"/>
        <v>43</v>
      </c>
      <c r="EL16" s="967">
        <f t="shared" si="80"/>
        <v>45</v>
      </c>
      <c r="EM16" s="967">
        <f t="shared" si="80"/>
        <v>45</v>
      </c>
      <c r="EN16" s="967">
        <f t="shared" si="80"/>
        <v>45</v>
      </c>
      <c r="EO16" s="967">
        <f t="shared" si="80"/>
        <v>45</v>
      </c>
      <c r="EP16" s="967">
        <f t="shared" si="80"/>
        <v>45</v>
      </c>
      <c r="EQ16" s="954">
        <f t="shared" si="80"/>
        <v>41</v>
      </c>
      <c r="ES16" s="953">
        <f>EQ15</f>
        <v>37</v>
      </c>
      <c r="ET16" s="967">
        <f t="shared" ref="ET16:ET23" si="81">ES15</f>
        <v>26.5</v>
      </c>
      <c r="EU16" s="967">
        <f t="shared" ref="EU16" si="82">ET15</f>
        <v>16</v>
      </c>
      <c r="EV16" s="967">
        <f t="shared" ref="EV16:EV23" si="83">EU15</f>
        <v>32.5</v>
      </c>
      <c r="EW16" s="967">
        <f t="shared" ref="EW16:EW23" si="84">EV15</f>
        <v>49</v>
      </c>
      <c r="EX16" s="967">
        <f t="shared" ref="EX16:EX23" si="85">EW15</f>
        <v>47</v>
      </c>
      <c r="EY16" s="967">
        <f t="shared" ref="EY16:EY23" si="86">EX15</f>
        <v>45</v>
      </c>
      <c r="EZ16" s="967">
        <f t="shared" ref="EZ16:EZ23" si="87">EY15</f>
        <v>45</v>
      </c>
      <c r="FA16" s="967">
        <f t="shared" ref="FA16:FA23" si="88">EZ15</f>
        <v>45</v>
      </c>
      <c r="FB16" s="967">
        <f t="shared" ref="FB16:FB23" si="89">FA15</f>
        <v>45</v>
      </c>
      <c r="FC16" s="967">
        <f t="shared" ref="FC16:FC23" si="90">FB15</f>
        <v>45</v>
      </c>
      <c r="FD16" s="954">
        <f t="shared" ref="FD16:FD23" si="91">FC15</f>
        <v>45</v>
      </c>
      <c r="FF16" s="953">
        <f>FD15</f>
        <v>45</v>
      </c>
      <c r="FG16" s="967">
        <f t="shared" ref="FG16:FG23" si="92">FF15</f>
        <v>30.5</v>
      </c>
      <c r="FH16" s="967">
        <f t="shared" ref="FH16" si="93">FG15</f>
        <v>16</v>
      </c>
      <c r="FI16" s="967">
        <f t="shared" ref="FI16:FI23" si="94">FH15</f>
        <v>32.5</v>
      </c>
      <c r="FJ16" s="967">
        <f t="shared" ref="FJ16:FJ23" si="95">FI15</f>
        <v>41</v>
      </c>
      <c r="FK16" s="967">
        <f t="shared" ref="FK16:FK23" si="96">FJ15</f>
        <v>33</v>
      </c>
      <c r="FL16" s="967">
        <f t="shared" ref="FL16:FL23" si="97">FK15</f>
        <v>33</v>
      </c>
      <c r="FM16" s="967">
        <f t="shared" ref="FM16:FM23" si="98">FL15</f>
        <v>33</v>
      </c>
      <c r="FN16" s="967">
        <f t="shared" ref="FN16:FN23" si="99">FM15</f>
        <v>33</v>
      </c>
      <c r="FO16" s="967">
        <f t="shared" ref="FO16:FO23" si="100">FN15</f>
        <v>33</v>
      </c>
      <c r="FP16" s="967">
        <f t="shared" ref="FP16:FP23" si="101">FO15</f>
        <v>33</v>
      </c>
      <c r="FQ16" s="954">
        <f t="shared" ref="FQ16:FQ23" si="102">FP15</f>
        <v>33</v>
      </c>
      <c r="FS16" s="953">
        <f>FQ15</f>
        <v>33</v>
      </c>
      <c r="FT16" s="967">
        <f t="shared" ref="FT16:FT23" si="103">FS15</f>
        <v>24.5</v>
      </c>
      <c r="FU16" s="967">
        <f t="shared" ref="FU16" si="104">FT15</f>
        <v>16</v>
      </c>
      <c r="FV16" s="967">
        <f t="shared" ref="FV16:FV23" si="105">FU15</f>
        <v>16</v>
      </c>
      <c r="FW16" s="967">
        <f t="shared" ref="FW16:FW23" si="106">FV15</f>
        <v>16</v>
      </c>
      <c r="FX16" s="967">
        <f t="shared" ref="FX16:FX23" si="107">FW15</f>
        <v>16</v>
      </c>
      <c r="FY16" s="967">
        <f t="shared" ref="FY16:FY23" si="108">FX15</f>
        <v>16</v>
      </c>
      <c r="FZ16" s="967">
        <f t="shared" ref="FZ16:FZ23" si="109">FY15</f>
        <v>16</v>
      </c>
      <c r="GA16" s="967">
        <f t="shared" ref="GA16:GA23" si="110">FZ15</f>
        <v>16</v>
      </c>
      <c r="GB16" s="967">
        <f t="shared" ref="GB16:GB23" si="111">GA15</f>
        <v>16</v>
      </c>
      <c r="GC16" s="967">
        <f t="shared" ref="GC16:GC23" si="112">GB15</f>
        <v>16</v>
      </c>
      <c r="GD16" s="954">
        <f t="shared" ref="GD16:GD23" si="113">GC15</f>
        <v>16</v>
      </c>
      <c r="GF16" s="953">
        <f>GD15</f>
        <v>16</v>
      </c>
      <c r="GG16" s="967">
        <f t="shared" ref="GG16:GG23" si="114">GF15</f>
        <v>16</v>
      </c>
      <c r="GH16" s="967">
        <f t="shared" ref="GH16" si="115">GG15</f>
        <v>16</v>
      </c>
      <c r="GI16" s="967">
        <f t="shared" ref="GI16:GI23" si="116">GH15</f>
        <v>16</v>
      </c>
      <c r="GJ16" s="967">
        <f t="shared" ref="GJ16:GJ23" si="117">GI15</f>
        <v>16</v>
      </c>
      <c r="GK16" s="967">
        <f t="shared" ref="GK16:GK23" si="118">GJ15</f>
        <v>16</v>
      </c>
      <c r="GL16" s="967">
        <f t="shared" ref="GL16:GL23" si="119">GK15</f>
        <v>16</v>
      </c>
      <c r="GM16" s="967">
        <f t="shared" ref="GM16:GM23" si="120">GL15</f>
        <v>16</v>
      </c>
      <c r="GN16" s="967">
        <f t="shared" ref="GN16:GN23" si="121">GM15</f>
        <v>16</v>
      </c>
      <c r="GO16" s="967">
        <f t="shared" ref="GO16:GO23" si="122">GN15</f>
        <v>16</v>
      </c>
      <c r="GP16" s="967">
        <f t="shared" ref="GP16:GP23" si="123">GO15</f>
        <v>16</v>
      </c>
      <c r="GQ16" s="954">
        <f t="shared" ref="GQ16:GQ23" si="124">GP15</f>
        <v>16</v>
      </c>
      <c r="GS16" s="953">
        <f>GQ15</f>
        <v>16</v>
      </c>
      <c r="GT16" s="967">
        <f t="shared" ref="GT16:GT23" si="125">GS15</f>
        <v>16</v>
      </c>
      <c r="GU16" s="967">
        <f t="shared" ref="GU16" si="126">GT15</f>
        <v>16</v>
      </c>
      <c r="GV16" s="967">
        <f t="shared" ref="GV16:GV23" si="127">GU15</f>
        <v>16</v>
      </c>
      <c r="GW16" s="967">
        <f t="shared" ref="GW16:GW23" si="128">GV15</f>
        <v>16</v>
      </c>
      <c r="GX16" s="967">
        <f t="shared" ref="GX16:GX23" si="129">GW15</f>
        <v>16</v>
      </c>
      <c r="GY16" s="967">
        <f t="shared" ref="GY16:GY23" si="130">GX15</f>
        <v>16</v>
      </c>
      <c r="GZ16" s="967">
        <f t="shared" ref="GZ16:GZ23" si="131">GY15</f>
        <v>16</v>
      </c>
      <c r="HA16" s="967">
        <f t="shared" ref="HA16:HA23" si="132">GZ15</f>
        <v>16</v>
      </c>
      <c r="HB16" s="967">
        <f t="shared" ref="HB16:HB23" si="133">HA15</f>
        <v>16</v>
      </c>
      <c r="HC16" s="967">
        <f t="shared" ref="HC16:HC23" si="134">HB15</f>
        <v>16</v>
      </c>
      <c r="HD16" s="954">
        <f t="shared" ref="HD16:HD23" si="135">HC15</f>
        <v>16</v>
      </c>
    </row>
    <row r="17" spans="2:212" ht="14.25">
      <c r="B17" s="997" t="s">
        <v>127</v>
      </c>
      <c r="C17" s="1034">
        <v>50</v>
      </c>
      <c r="D17" s="998">
        <v>4</v>
      </c>
      <c r="E17" s="1035"/>
      <c r="F17" s="1036">
        <v>6</v>
      </c>
      <c r="G17" s="1028">
        <f>F17/C17</f>
        <v>0.12</v>
      </c>
      <c r="H17" s="1033"/>
      <c r="I17" s="31"/>
      <c r="N17" s="1684"/>
      <c r="O17" s="957" t="s">
        <v>121</v>
      </c>
      <c r="P17" s="606">
        <v>49</v>
      </c>
      <c r="Q17" s="606">
        <v>56</v>
      </c>
      <c r="R17" s="606">
        <v>26</v>
      </c>
      <c r="S17" s="606">
        <v>18</v>
      </c>
      <c r="T17" s="606">
        <v>13</v>
      </c>
      <c r="U17" s="606">
        <v>44</v>
      </c>
      <c r="V17" s="606">
        <v>43</v>
      </c>
      <c r="AA17" s="1684"/>
      <c r="AB17" s="957" t="s">
        <v>121</v>
      </c>
      <c r="DK17" s="1684"/>
      <c r="DL17" s="957" t="s">
        <v>121</v>
      </c>
      <c r="DN17" s="969">
        <v>103</v>
      </c>
      <c r="DO17" s="970">
        <v>101</v>
      </c>
      <c r="DP17" s="970">
        <f>DO16</f>
        <v>80</v>
      </c>
      <c r="DQ17" s="995">
        <f>DP16</f>
        <v>98.5</v>
      </c>
      <c r="DR17" s="996">
        <f>DQ16</f>
        <v>116.55000000000001</v>
      </c>
      <c r="DT17" s="969">
        <v>103</v>
      </c>
      <c r="DU17" s="995">
        <v>101</v>
      </c>
      <c r="DV17" s="995">
        <f>DU16</f>
        <v>80</v>
      </c>
      <c r="DW17" s="995">
        <f>DV16</f>
        <v>98.5</v>
      </c>
      <c r="DX17" s="996">
        <f>DW16</f>
        <v>116.55000000000001</v>
      </c>
      <c r="DZ17" s="969">
        <v>103</v>
      </c>
      <c r="EA17" s="995">
        <f t="shared" si="79"/>
        <v>100</v>
      </c>
      <c r="EB17" s="995">
        <f t="shared" si="79"/>
        <v>80</v>
      </c>
      <c r="EC17" s="995">
        <f t="shared" si="79"/>
        <v>98.5</v>
      </c>
      <c r="ED17" s="996">
        <f t="shared" si="79"/>
        <v>116.55000000000001</v>
      </c>
      <c r="EF17" s="953">
        <f t="shared" ref="EF17:EF23" si="136">ED16</f>
        <v>112.05000000000001</v>
      </c>
      <c r="EG17" s="967">
        <f t="shared" si="80"/>
        <v>108</v>
      </c>
      <c r="EH17" s="967">
        <f>EG16</f>
        <v>58.000000000000114</v>
      </c>
      <c r="EI17" s="967">
        <f t="shared" si="80"/>
        <v>16</v>
      </c>
      <c r="EJ17" s="967">
        <f t="shared" si="80"/>
        <v>24.5</v>
      </c>
      <c r="EK17" s="967">
        <f t="shared" si="80"/>
        <v>37</v>
      </c>
      <c r="EL17" s="967">
        <f t="shared" si="80"/>
        <v>43</v>
      </c>
      <c r="EM17" s="967">
        <f t="shared" si="80"/>
        <v>45</v>
      </c>
      <c r="EN17" s="967">
        <f t="shared" si="80"/>
        <v>45</v>
      </c>
      <c r="EO17" s="967">
        <f t="shared" si="80"/>
        <v>45</v>
      </c>
      <c r="EP17" s="967">
        <f t="shared" si="80"/>
        <v>45</v>
      </c>
      <c r="EQ17" s="954">
        <f t="shared" si="80"/>
        <v>45</v>
      </c>
      <c r="ES17" s="953">
        <f t="shared" ref="ES17:ES23" si="137">EQ16</f>
        <v>41</v>
      </c>
      <c r="ET17" s="967">
        <f t="shared" si="81"/>
        <v>37</v>
      </c>
      <c r="EU17" s="967">
        <f>ET16</f>
        <v>26.5</v>
      </c>
      <c r="EV17" s="967">
        <f t="shared" si="83"/>
        <v>16</v>
      </c>
      <c r="EW17" s="967">
        <f t="shared" si="84"/>
        <v>32.5</v>
      </c>
      <c r="EX17" s="967">
        <f t="shared" si="85"/>
        <v>49</v>
      </c>
      <c r="EY17" s="967">
        <f t="shared" si="86"/>
        <v>47</v>
      </c>
      <c r="EZ17" s="967">
        <f t="shared" si="87"/>
        <v>45</v>
      </c>
      <c r="FA17" s="967">
        <f t="shared" si="88"/>
        <v>45</v>
      </c>
      <c r="FB17" s="967">
        <f t="shared" si="89"/>
        <v>45</v>
      </c>
      <c r="FC17" s="967">
        <f t="shared" si="90"/>
        <v>45</v>
      </c>
      <c r="FD17" s="954">
        <f t="shared" si="91"/>
        <v>45</v>
      </c>
      <c r="FF17" s="953">
        <f t="shared" ref="FF17:FF23" si="138">FD16</f>
        <v>45</v>
      </c>
      <c r="FG17" s="967">
        <f t="shared" si="92"/>
        <v>45</v>
      </c>
      <c r="FH17" s="967">
        <f>FG16</f>
        <v>30.5</v>
      </c>
      <c r="FI17" s="967">
        <f t="shared" si="94"/>
        <v>16</v>
      </c>
      <c r="FJ17" s="967">
        <f t="shared" si="95"/>
        <v>32.5</v>
      </c>
      <c r="FK17" s="967">
        <f t="shared" si="96"/>
        <v>41</v>
      </c>
      <c r="FL17" s="967">
        <f t="shared" si="97"/>
        <v>33</v>
      </c>
      <c r="FM17" s="967">
        <f t="shared" si="98"/>
        <v>33</v>
      </c>
      <c r="FN17" s="967">
        <f t="shared" si="99"/>
        <v>33</v>
      </c>
      <c r="FO17" s="967">
        <f t="shared" si="100"/>
        <v>33</v>
      </c>
      <c r="FP17" s="967">
        <f t="shared" si="101"/>
        <v>33</v>
      </c>
      <c r="FQ17" s="954">
        <f t="shared" si="102"/>
        <v>33</v>
      </c>
      <c r="FS17" s="953">
        <f t="shared" ref="FS17:FS23" si="139">FQ16</f>
        <v>33</v>
      </c>
      <c r="FT17" s="967">
        <f t="shared" si="103"/>
        <v>33</v>
      </c>
      <c r="FU17" s="967">
        <f>FT16</f>
        <v>24.5</v>
      </c>
      <c r="FV17" s="967">
        <f t="shared" si="105"/>
        <v>16</v>
      </c>
      <c r="FW17" s="967">
        <f t="shared" si="106"/>
        <v>16</v>
      </c>
      <c r="FX17" s="967">
        <f t="shared" si="107"/>
        <v>16</v>
      </c>
      <c r="FY17" s="967">
        <f t="shared" si="108"/>
        <v>16</v>
      </c>
      <c r="FZ17" s="967">
        <f t="shared" si="109"/>
        <v>16</v>
      </c>
      <c r="GA17" s="967">
        <f t="shared" si="110"/>
        <v>16</v>
      </c>
      <c r="GB17" s="967">
        <f t="shared" si="111"/>
        <v>16</v>
      </c>
      <c r="GC17" s="967">
        <f t="shared" si="112"/>
        <v>16</v>
      </c>
      <c r="GD17" s="954">
        <f t="shared" si="113"/>
        <v>16</v>
      </c>
      <c r="GF17" s="953">
        <f t="shared" ref="GF17:GF23" si="140">GD16</f>
        <v>16</v>
      </c>
      <c r="GG17" s="967">
        <f t="shared" si="114"/>
        <v>16</v>
      </c>
      <c r="GH17" s="967">
        <f>GG16</f>
        <v>16</v>
      </c>
      <c r="GI17" s="967">
        <f t="shared" si="116"/>
        <v>16</v>
      </c>
      <c r="GJ17" s="967">
        <f t="shared" si="117"/>
        <v>16</v>
      </c>
      <c r="GK17" s="967">
        <f t="shared" si="118"/>
        <v>16</v>
      </c>
      <c r="GL17" s="967">
        <f t="shared" si="119"/>
        <v>16</v>
      </c>
      <c r="GM17" s="967">
        <f t="shared" si="120"/>
        <v>16</v>
      </c>
      <c r="GN17" s="967">
        <f t="shared" si="121"/>
        <v>16</v>
      </c>
      <c r="GO17" s="967">
        <f t="shared" si="122"/>
        <v>16</v>
      </c>
      <c r="GP17" s="967">
        <f t="shared" si="123"/>
        <v>16</v>
      </c>
      <c r="GQ17" s="954">
        <f t="shared" si="124"/>
        <v>16</v>
      </c>
      <c r="GS17" s="953">
        <f t="shared" ref="GS17:GS23" si="141">GQ16</f>
        <v>16</v>
      </c>
      <c r="GT17" s="967">
        <f t="shared" si="125"/>
        <v>16</v>
      </c>
      <c r="GU17" s="967">
        <f>GT16</f>
        <v>16</v>
      </c>
      <c r="GV17" s="967">
        <f t="shared" si="127"/>
        <v>16</v>
      </c>
      <c r="GW17" s="967">
        <f t="shared" si="128"/>
        <v>16</v>
      </c>
      <c r="GX17" s="967">
        <f t="shared" si="129"/>
        <v>16</v>
      </c>
      <c r="GY17" s="967">
        <f t="shared" si="130"/>
        <v>16</v>
      </c>
      <c r="GZ17" s="967">
        <f t="shared" si="131"/>
        <v>16</v>
      </c>
      <c r="HA17" s="967">
        <f t="shared" si="132"/>
        <v>16</v>
      </c>
      <c r="HB17" s="967">
        <f t="shared" si="133"/>
        <v>16</v>
      </c>
      <c r="HC17" s="967">
        <f t="shared" si="134"/>
        <v>16</v>
      </c>
      <c r="HD17" s="954">
        <f t="shared" si="135"/>
        <v>16</v>
      </c>
    </row>
    <row r="18" spans="2:212" ht="14.25">
      <c r="B18" s="607" t="s">
        <v>1059</v>
      </c>
      <c r="C18" s="1037">
        <f>SUM(C9:C17)</f>
        <v>300</v>
      </c>
      <c r="D18" s="1038">
        <f>SUM(D9:D17)</f>
        <v>24</v>
      </c>
      <c r="F18" s="1039">
        <f>SUM(F9:F17)</f>
        <v>69</v>
      </c>
      <c r="G18" s="1028">
        <f>F18/C18</f>
        <v>0.23</v>
      </c>
      <c r="H18" s="606" t="s">
        <v>1060</v>
      </c>
      <c r="I18" s="31"/>
      <c r="N18" s="1684"/>
      <c r="O18" s="957" t="s">
        <v>122</v>
      </c>
      <c r="P18" s="606">
        <v>65</v>
      </c>
      <c r="Q18" s="606">
        <v>48</v>
      </c>
      <c r="R18" s="606">
        <v>56</v>
      </c>
      <c r="S18" s="606">
        <v>26</v>
      </c>
      <c r="T18" s="606">
        <v>18</v>
      </c>
      <c r="U18" s="606">
        <v>12</v>
      </c>
      <c r="V18" s="606">
        <v>43</v>
      </c>
      <c r="AA18" s="1684"/>
      <c r="AB18" s="957" t="s">
        <v>122</v>
      </c>
      <c r="DK18" s="1684"/>
      <c r="DL18" s="957" t="s">
        <v>122</v>
      </c>
      <c r="DN18" s="969">
        <v>41</v>
      </c>
      <c r="DO18" s="970">
        <v>105</v>
      </c>
      <c r="DP18" s="970">
        <v>101</v>
      </c>
      <c r="DQ18" s="970">
        <f>DP17</f>
        <v>80</v>
      </c>
      <c r="DR18" s="996">
        <f>DQ17</f>
        <v>98.5</v>
      </c>
      <c r="DT18" s="969">
        <v>41</v>
      </c>
      <c r="DU18" s="995">
        <v>105</v>
      </c>
      <c r="DV18" s="995">
        <v>101</v>
      </c>
      <c r="DW18" s="995">
        <f>DV17</f>
        <v>80</v>
      </c>
      <c r="DX18" s="996">
        <f>DW17</f>
        <v>98.5</v>
      </c>
      <c r="DZ18" s="969">
        <v>41</v>
      </c>
      <c r="EA18" s="995">
        <f t="shared" si="79"/>
        <v>103</v>
      </c>
      <c r="EB18" s="995">
        <f t="shared" si="79"/>
        <v>100</v>
      </c>
      <c r="EC18" s="995">
        <f>EB17</f>
        <v>80</v>
      </c>
      <c r="ED18" s="996">
        <f>EC17</f>
        <v>98.5</v>
      </c>
      <c r="EF18" s="953">
        <f t="shared" si="136"/>
        <v>116.55000000000001</v>
      </c>
      <c r="EG18" s="967">
        <f t="shared" si="80"/>
        <v>112.05000000000001</v>
      </c>
      <c r="EH18" s="967">
        <f t="shared" si="80"/>
        <v>108</v>
      </c>
      <c r="EI18" s="967">
        <f t="shared" si="80"/>
        <v>58.000000000000114</v>
      </c>
      <c r="EJ18" s="967">
        <f t="shared" si="80"/>
        <v>16</v>
      </c>
      <c r="EK18" s="967">
        <f t="shared" si="80"/>
        <v>24.5</v>
      </c>
      <c r="EL18" s="967">
        <f t="shared" si="80"/>
        <v>37</v>
      </c>
      <c r="EM18" s="967">
        <f t="shared" si="80"/>
        <v>43</v>
      </c>
      <c r="EN18" s="967">
        <f t="shared" si="80"/>
        <v>45</v>
      </c>
      <c r="EO18" s="967">
        <f t="shared" si="80"/>
        <v>45</v>
      </c>
      <c r="EP18" s="967">
        <f t="shared" si="80"/>
        <v>45</v>
      </c>
      <c r="EQ18" s="954">
        <f t="shared" si="80"/>
        <v>45</v>
      </c>
      <c r="ES18" s="953">
        <f t="shared" si="137"/>
        <v>45</v>
      </c>
      <c r="ET18" s="967">
        <f t="shared" si="81"/>
        <v>41</v>
      </c>
      <c r="EU18" s="967">
        <f t="shared" ref="EU18:EU23" si="142">ET17</f>
        <v>37</v>
      </c>
      <c r="EV18" s="967">
        <f t="shared" si="83"/>
        <v>26.5</v>
      </c>
      <c r="EW18" s="967">
        <f t="shared" si="84"/>
        <v>16</v>
      </c>
      <c r="EX18" s="967">
        <f t="shared" si="85"/>
        <v>32.5</v>
      </c>
      <c r="EY18" s="967">
        <f t="shared" si="86"/>
        <v>49</v>
      </c>
      <c r="EZ18" s="967">
        <f t="shared" si="87"/>
        <v>47</v>
      </c>
      <c r="FA18" s="967">
        <f t="shared" si="88"/>
        <v>45</v>
      </c>
      <c r="FB18" s="967">
        <f t="shared" si="89"/>
        <v>45</v>
      </c>
      <c r="FC18" s="967">
        <f t="shared" si="90"/>
        <v>45</v>
      </c>
      <c r="FD18" s="954">
        <f t="shared" si="91"/>
        <v>45</v>
      </c>
      <c r="FF18" s="953">
        <f t="shared" si="138"/>
        <v>45</v>
      </c>
      <c r="FG18" s="967">
        <f t="shared" si="92"/>
        <v>45</v>
      </c>
      <c r="FH18" s="967">
        <f t="shared" ref="FH18:FH23" si="143">FG17</f>
        <v>45</v>
      </c>
      <c r="FI18" s="967">
        <f t="shared" si="94"/>
        <v>30.5</v>
      </c>
      <c r="FJ18" s="967">
        <f t="shared" si="95"/>
        <v>16</v>
      </c>
      <c r="FK18" s="967">
        <f t="shared" si="96"/>
        <v>32.5</v>
      </c>
      <c r="FL18" s="967">
        <f t="shared" si="97"/>
        <v>41</v>
      </c>
      <c r="FM18" s="967">
        <f t="shared" si="98"/>
        <v>33</v>
      </c>
      <c r="FN18" s="967">
        <f t="shared" si="99"/>
        <v>33</v>
      </c>
      <c r="FO18" s="967">
        <f t="shared" si="100"/>
        <v>33</v>
      </c>
      <c r="FP18" s="967">
        <f t="shared" si="101"/>
        <v>33</v>
      </c>
      <c r="FQ18" s="954">
        <f t="shared" si="102"/>
        <v>33</v>
      </c>
      <c r="FS18" s="953">
        <f t="shared" si="139"/>
        <v>33</v>
      </c>
      <c r="FT18" s="967">
        <f t="shared" si="103"/>
        <v>33</v>
      </c>
      <c r="FU18" s="967">
        <f t="shared" ref="FU18:FU23" si="144">FT17</f>
        <v>33</v>
      </c>
      <c r="FV18" s="967">
        <f t="shared" si="105"/>
        <v>24.5</v>
      </c>
      <c r="FW18" s="967">
        <f t="shared" si="106"/>
        <v>16</v>
      </c>
      <c r="FX18" s="967">
        <f t="shared" si="107"/>
        <v>16</v>
      </c>
      <c r="FY18" s="967">
        <f t="shared" si="108"/>
        <v>16</v>
      </c>
      <c r="FZ18" s="967">
        <f t="shared" si="109"/>
        <v>16</v>
      </c>
      <c r="GA18" s="967">
        <f t="shared" si="110"/>
        <v>16</v>
      </c>
      <c r="GB18" s="967">
        <f t="shared" si="111"/>
        <v>16</v>
      </c>
      <c r="GC18" s="967">
        <f t="shared" si="112"/>
        <v>16</v>
      </c>
      <c r="GD18" s="954">
        <f t="shared" si="113"/>
        <v>16</v>
      </c>
      <c r="GF18" s="953">
        <f t="shared" si="140"/>
        <v>16</v>
      </c>
      <c r="GG18" s="967">
        <f t="shared" si="114"/>
        <v>16</v>
      </c>
      <c r="GH18" s="967">
        <f t="shared" ref="GH18:GH23" si="145">GG17</f>
        <v>16</v>
      </c>
      <c r="GI18" s="967">
        <f t="shared" si="116"/>
        <v>16</v>
      </c>
      <c r="GJ18" s="967">
        <f t="shared" si="117"/>
        <v>16</v>
      </c>
      <c r="GK18" s="967">
        <f t="shared" si="118"/>
        <v>16</v>
      </c>
      <c r="GL18" s="967">
        <f t="shared" si="119"/>
        <v>16</v>
      </c>
      <c r="GM18" s="967">
        <f t="shared" si="120"/>
        <v>16</v>
      </c>
      <c r="GN18" s="967">
        <f t="shared" si="121"/>
        <v>16</v>
      </c>
      <c r="GO18" s="967">
        <f t="shared" si="122"/>
        <v>16</v>
      </c>
      <c r="GP18" s="967">
        <f t="shared" si="123"/>
        <v>16</v>
      </c>
      <c r="GQ18" s="954">
        <f t="shared" si="124"/>
        <v>16</v>
      </c>
      <c r="GS18" s="953">
        <f t="shared" si="141"/>
        <v>16</v>
      </c>
      <c r="GT18" s="967">
        <f t="shared" si="125"/>
        <v>16</v>
      </c>
      <c r="GU18" s="967">
        <f t="shared" ref="GU18:GU23" si="146">GT17</f>
        <v>16</v>
      </c>
      <c r="GV18" s="967">
        <f t="shared" si="127"/>
        <v>16</v>
      </c>
      <c r="GW18" s="967">
        <f t="shared" si="128"/>
        <v>16</v>
      </c>
      <c r="GX18" s="967">
        <f t="shared" si="129"/>
        <v>16</v>
      </c>
      <c r="GY18" s="967">
        <f t="shared" si="130"/>
        <v>16</v>
      </c>
      <c r="GZ18" s="967">
        <f t="shared" si="131"/>
        <v>16</v>
      </c>
      <c r="HA18" s="967">
        <f t="shared" si="132"/>
        <v>16</v>
      </c>
      <c r="HB18" s="967">
        <f t="shared" si="133"/>
        <v>16</v>
      </c>
      <c r="HC18" s="967">
        <f t="shared" si="134"/>
        <v>16</v>
      </c>
      <c r="HD18" s="954">
        <f t="shared" si="135"/>
        <v>16</v>
      </c>
    </row>
    <row r="19" spans="2:212" ht="14.25">
      <c r="B19" s="607"/>
      <c r="C19" s="1037"/>
      <c r="D19" s="1038"/>
      <c r="F19" s="1039"/>
      <c r="G19" s="1028">
        <f>(F9+F10+F11)/(C9+C10+C11)</f>
        <v>0.54545454545454541</v>
      </c>
      <c r="H19" s="606" t="s">
        <v>1043</v>
      </c>
      <c r="I19" s="31"/>
      <c r="N19" s="1684"/>
      <c r="O19" s="957" t="s">
        <v>123</v>
      </c>
      <c r="P19" s="606">
        <v>43</v>
      </c>
      <c r="Q19" s="606">
        <v>64</v>
      </c>
      <c r="R19" s="606">
        <v>48</v>
      </c>
      <c r="S19" s="606">
        <v>55</v>
      </c>
      <c r="T19" s="606">
        <v>26</v>
      </c>
      <c r="U19" s="606">
        <v>16</v>
      </c>
      <c r="V19" s="606">
        <v>11</v>
      </c>
      <c r="AA19" s="1684"/>
      <c r="AB19" s="957" t="s">
        <v>123</v>
      </c>
      <c r="DK19" s="1684"/>
      <c r="DL19" s="957" t="s">
        <v>123</v>
      </c>
      <c r="DN19" s="969">
        <v>42</v>
      </c>
      <c r="DO19" s="970">
        <v>44</v>
      </c>
      <c r="DP19" s="970">
        <v>105</v>
      </c>
      <c r="DQ19" s="970">
        <v>101</v>
      </c>
      <c r="DR19" s="950">
        <f>DQ18</f>
        <v>80</v>
      </c>
      <c r="DT19" s="969">
        <v>42</v>
      </c>
      <c r="DU19" s="995">
        <v>44</v>
      </c>
      <c r="DV19" s="995">
        <v>105</v>
      </c>
      <c r="DW19" s="995">
        <v>101</v>
      </c>
      <c r="DX19" s="996">
        <f>DW18</f>
        <v>80</v>
      </c>
      <c r="DZ19" s="969">
        <v>42</v>
      </c>
      <c r="EA19" s="995">
        <f t="shared" si="79"/>
        <v>41</v>
      </c>
      <c r="EB19" s="995">
        <f t="shared" si="79"/>
        <v>103</v>
      </c>
      <c r="EC19" s="995">
        <f t="shared" si="79"/>
        <v>100</v>
      </c>
      <c r="ED19" s="996">
        <f>EC18</f>
        <v>80</v>
      </c>
      <c r="EF19" s="953">
        <f t="shared" si="136"/>
        <v>98.5</v>
      </c>
      <c r="EG19" s="967">
        <f t="shared" si="80"/>
        <v>116.55000000000001</v>
      </c>
      <c r="EH19" s="967">
        <f t="shared" si="80"/>
        <v>112.05000000000001</v>
      </c>
      <c r="EI19" s="967">
        <f t="shared" si="80"/>
        <v>108</v>
      </c>
      <c r="EJ19" s="967">
        <f t="shared" si="80"/>
        <v>58.000000000000114</v>
      </c>
      <c r="EK19" s="967">
        <f t="shared" si="80"/>
        <v>16</v>
      </c>
      <c r="EL19" s="967">
        <f t="shared" si="80"/>
        <v>24.5</v>
      </c>
      <c r="EM19" s="967">
        <f t="shared" si="80"/>
        <v>37</v>
      </c>
      <c r="EN19" s="967">
        <f t="shared" si="80"/>
        <v>43</v>
      </c>
      <c r="EO19" s="967">
        <f t="shared" si="80"/>
        <v>45</v>
      </c>
      <c r="EP19" s="967">
        <f t="shared" si="80"/>
        <v>45</v>
      </c>
      <c r="EQ19" s="954">
        <f t="shared" si="80"/>
        <v>45</v>
      </c>
      <c r="ES19" s="953">
        <f t="shared" si="137"/>
        <v>45</v>
      </c>
      <c r="ET19" s="967">
        <f t="shared" si="81"/>
        <v>45</v>
      </c>
      <c r="EU19" s="967">
        <f t="shared" si="142"/>
        <v>41</v>
      </c>
      <c r="EV19" s="967">
        <f t="shared" si="83"/>
        <v>37</v>
      </c>
      <c r="EW19" s="967">
        <f t="shared" si="84"/>
        <v>26.5</v>
      </c>
      <c r="EX19" s="967">
        <f t="shared" si="85"/>
        <v>16</v>
      </c>
      <c r="EY19" s="967">
        <f t="shared" si="86"/>
        <v>32.5</v>
      </c>
      <c r="EZ19" s="967">
        <f t="shared" si="87"/>
        <v>49</v>
      </c>
      <c r="FA19" s="967">
        <f t="shared" si="88"/>
        <v>47</v>
      </c>
      <c r="FB19" s="967">
        <f t="shared" si="89"/>
        <v>45</v>
      </c>
      <c r="FC19" s="967">
        <f t="shared" si="90"/>
        <v>45</v>
      </c>
      <c r="FD19" s="954">
        <f t="shared" si="91"/>
        <v>45</v>
      </c>
      <c r="FF19" s="953">
        <f t="shared" si="138"/>
        <v>45</v>
      </c>
      <c r="FG19" s="967">
        <f t="shared" si="92"/>
        <v>45</v>
      </c>
      <c r="FH19" s="967">
        <f t="shared" si="143"/>
        <v>45</v>
      </c>
      <c r="FI19" s="967">
        <f t="shared" si="94"/>
        <v>45</v>
      </c>
      <c r="FJ19" s="967">
        <f t="shared" si="95"/>
        <v>30.5</v>
      </c>
      <c r="FK19" s="967">
        <f t="shared" si="96"/>
        <v>16</v>
      </c>
      <c r="FL19" s="967">
        <f t="shared" si="97"/>
        <v>32.5</v>
      </c>
      <c r="FM19" s="967">
        <f t="shared" si="98"/>
        <v>41</v>
      </c>
      <c r="FN19" s="967">
        <f t="shared" si="99"/>
        <v>33</v>
      </c>
      <c r="FO19" s="967">
        <f t="shared" si="100"/>
        <v>33</v>
      </c>
      <c r="FP19" s="967">
        <f t="shared" si="101"/>
        <v>33</v>
      </c>
      <c r="FQ19" s="954">
        <f t="shared" si="102"/>
        <v>33</v>
      </c>
      <c r="FS19" s="953">
        <f t="shared" si="139"/>
        <v>33</v>
      </c>
      <c r="FT19" s="967">
        <f t="shared" si="103"/>
        <v>33</v>
      </c>
      <c r="FU19" s="967">
        <f t="shared" si="144"/>
        <v>33</v>
      </c>
      <c r="FV19" s="967">
        <f t="shared" si="105"/>
        <v>33</v>
      </c>
      <c r="FW19" s="967">
        <f t="shared" si="106"/>
        <v>24.5</v>
      </c>
      <c r="FX19" s="967">
        <f t="shared" si="107"/>
        <v>16</v>
      </c>
      <c r="FY19" s="967">
        <f t="shared" si="108"/>
        <v>16</v>
      </c>
      <c r="FZ19" s="967">
        <f t="shared" si="109"/>
        <v>16</v>
      </c>
      <c r="GA19" s="967">
        <f t="shared" si="110"/>
        <v>16</v>
      </c>
      <c r="GB19" s="967">
        <f t="shared" si="111"/>
        <v>16</v>
      </c>
      <c r="GC19" s="967">
        <f t="shared" si="112"/>
        <v>16</v>
      </c>
      <c r="GD19" s="954">
        <f t="shared" si="113"/>
        <v>16</v>
      </c>
      <c r="GF19" s="953">
        <f t="shared" si="140"/>
        <v>16</v>
      </c>
      <c r="GG19" s="967">
        <f t="shared" si="114"/>
        <v>16</v>
      </c>
      <c r="GH19" s="967">
        <f t="shared" si="145"/>
        <v>16</v>
      </c>
      <c r="GI19" s="967">
        <f t="shared" si="116"/>
        <v>16</v>
      </c>
      <c r="GJ19" s="967">
        <f t="shared" si="117"/>
        <v>16</v>
      </c>
      <c r="GK19" s="967">
        <f t="shared" si="118"/>
        <v>16</v>
      </c>
      <c r="GL19" s="967">
        <f t="shared" si="119"/>
        <v>16</v>
      </c>
      <c r="GM19" s="967">
        <f t="shared" si="120"/>
        <v>16</v>
      </c>
      <c r="GN19" s="967">
        <f t="shared" si="121"/>
        <v>16</v>
      </c>
      <c r="GO19" s="967">
        <f t="shared" si="122"/>
        <v>16</v>
      </c>
      <c r="GP19" s="967">
        <f t="shared" si="123"/>
        <v>16</v>
      </c>
      <c r="GQ19" s="954">
        <f t="shared" si="124"/>
        <v>16</v>
      </c>
      <c r="GS19" s="953">
        <f t="shared" si="141"/>
        <v>16</v>
      </c>
      <c r="GT19" s="967">
        <f t="shared" si="125"/>
        <v>16</v>
      </c>
      <c r="GU19" s="967">
        <f t="shared" si="146"/>
        <v>16</v>
      </c>
      <c r="GV19" s="967">
        <f t="shared" si="127"/>
        <v>16</v>
      </c>
      <c r="GW19" s="967">
        <f t="shared" si="128"/>
        <v>16</v>
      </c>
      <c r="GX19" s="967">
        <f t="shared" si="129"/>
        <v>16</v>
      </c>
      <c r="GY19" s="967">
        <f t="shared" si="130"/>
        <v>16</v>
      </c>
      <c r="GZ19" s="967">
        <f t="shared" si="131"/>
        <v>16</v>
      </c>
      <c r="HA19" s="967">
        <f t="shared" si="132"/>
        <v>16</v>
      </c>
      <c r="HB19" s="967">
        <f t="shared" si="133"/>
        <v>16</v>
      </c>
      <c r="HC19" s="967">
        <f t="shared" si="134"/>
        <v>16</v>
      </c>
      <c r="HD19" s="954">
        <f t="shared" si="135"/>
        <v>16</v>
      </c>
    </row>
    <row r="20" spans="2:212" ht="14.25">
      <c r="C20" s="31"/>
      <c r="D20" s="31"/>
      <c r="E20" s="31"/>
      <c r="F20" s="1040"/>
      <c r="G20" s="1028"/>
      <c r="H20" s="31"/>
      <c r="I20" s="31"/>
      <c r="N20" s="1684"/>
      <c r="O20" s="957" t="s">
        <v>124</v>
      </c>
      <c r="P20" s="606">
        <v>46</v>
      </c>
      <c r="Q20" s="606">
        <v>42</v>
      </c>
      <c r="R20" s="606">
        <v>59</v>
      </c>
      <c r="S20" s="606">
        <v>46</v>
      </c>
      <c r="T20" s="606">
        <v>53</v>
      </c>
      <c r="U20" s="606">
        <v>24</v>
      </c>
      <c r="V20" s="606">
        <v>16</v>
      </c>
      <c r="AA20" s="1684"/>
      <c r="AB20" s="957" t="s">
        <v>124</v>
      </c>
      <c r="DK20" s="1684"/>
      <c r="DL20" s="957" t="s">
        <v>124</v>
      </c>
      <c r="DN20" s="969">
        <v>11</v>
      </c>
      <c r="DO20" s="970">
        <v>43</v>
      </c>
      <c r="DP20" s="970">
        <v>44</v>
      </c>
      <c r="DQ20" s="970">
        <v>105</v>
      </c>
      <c r="DR20" s="950">
        <v>101</v>
      </c>
      <c r="DT20" s="969">
        <v>11</v>
      </c>
      <c r="DU20" s="995">
        <v>43</v>
      </c>
      <c r="DV20" s="995">
        <v>44</v>
      </c>
      <c r="DW20" s="995">
        <v>105</v>
      </c>
      <c r="DX20" s="996">
        <v>101</v>
      </c>
      <c r="DZ20" s="969">
        <v>11</v>
      </c>
      <c r="EA20" s="995">
        <f t="shared" si="79"/>
        <v>42</v>
      </c>
      <c r="EB20" s="995">
        <f t="shared" si="79"/>
        <v>41</v>
      </c>
      <c r="EC20" s="995">
        <f t="shared" si="79"/>
        <v>103</v>
      </c>
      <c r="ED20" s="996">
        <f t="shared" si="79"/>
        <v>100</v>
      </c>
      <c r="EF20" s="953">
        <f t="shared" si="136"/>
        <v>80</v>
      </c>
      <c r="EG20" s="967">
        <f t="shared" si="80"/>
        <v>98.5</v>
      </c>
      <c r="EH20" s="967">
        <f t="shared" si="80"/>
        <v>116.55000000000001</v>
      </c>
      <c r="EI20" s="967">
        <f t="shared" si="80"/>
        <v>112.05000000000001</v>
      </c>
      <c r="EJ20" s="967">
        <f t="shared" si="80"/>
        <v>108</v>
      </c>
      <c r="EK20" s="967">
        <f t="shared" si="80"/>
        <v>58.000000000000114</v>
      </c>
      <c r="EL20" s="967">
        <f t="shared" si="80"/>
        <v>16</v>
      </c>
      <c r="EM20" s="967">
        <f t="shared" si="80"/>
        <v>24.5</v>
      </c>
      <c r="EN20" s="967">
        <f t="shared" si="80"/>
        <v>37</v>
      </c>
      <c r="EO20" s="967">
        <f t="shared" si="80"/>
        <v>43</v>
      </c>
      <c r="EP20" s="967">
        <f t="shared" si="80"/>
        <v>45</v>
      </c>
      <c r="EQ20" s="954">
        <f t="shared" si="80"/>
        <v>45</v>
      </c>
      <c r="ES20" s="953">
        <f t="shared" si="137"/>
        <v>45</v>
      </c>
      <c r="ET20" s="967">
        <f t="shared" si="81"/>
        <v>45</v>
      </c>
      <c r="EU20" s="967">
        <f t="shared" si="142"/>
        <v>45</v>
      </c>
      <c r="EV20" s="967">
        <f t="shared" si="83"/>
        <v>41</v>
      </c>
      <c r="EW20" s="967">
        <f t="shared" si="84"/>
        <v>37</v>
      </c>
      <c r="EX20" s="967">
        <f t="shared" si="85"/>
        <v>26.5</v>
      </c>
      <c r="EY20" s="967">
        <f t="shared" si="86"/>
        <v>16</v>
      </c>
      <c r="EZ20" s="967">
        <f t="shared" si="87"/>
        <v>32.5</v>
      </c>
      <c r="FA20" s="967">
        <f t="shared" si="88"/>
        <v>49</v>
      </c>
      <c r="FB20" s="967">
        <f t="shared" si="89"/>
        <v>47</v>
      </c>
      <c r="FC20" s="967">
        <f t="shared" si="90"/>
        <v>45</v>
      </c>
      <c r="FD20" s="954">
        <f t="shared" si="91"/>
        <v>45</v>
      </c>
      <c r="FF20" s="953">
        <f t="shared" si="138"/>
        <v>45</v>
      </c>
      <c r="FG20" s="967">
        <f t="shared" si="92"/>
        <v>45</v>
      </c>
      <c r="FH20" s="967">
        <f t="shared" si="143"/>
        <v>45</v>
      </c>
      <c r="FI20" s="967">
        <f t="shared" si="94"/>
        <v>45</v>
      </c>
      <c r="FJ20" s="967">
        <f t="shared" si="95"/>
        <v>45</v>
      </c>
      <c r="FK20" s="967">
        <f t="shared" si="96"/>
        <v>30.5</v>
      </c>
      <c r="FL20" s="967">
        <f t="shared" si="97"/>
        <v>16</v>
      </c>
      <c r="FM20" s="967">
        <f t="shared" si="98"/>
        <v>32.5</v>
      </c>
      <c r="FN20" s="967">
        <f t="shared" si="99"/>
        <v>41</v>
      </c>
      <c r="FO20" s="967">
        <f t="shared" si="100"/>
        <v>33</v>
      </c>
      <c r="FP20" s="967">
        <f t="shared" si="101"/>
        <v>33</v>
      </c>
      <c r="FQ20" s="954">
        <f t="shared" si="102"/>
        <v>33</v>
      </c>
      <c r="FS20" s="953">
        <f t="shared" si="139"/>
        <v>33</v>
      </c>
      <c r="FT20" s="967">
        <f t="shared" si="103"/>
        <v>33</v>
      </c>
      <c r="FU20" s="967">
        <f t="shared" si="144"/>
        <v>33</v>
      </c>
      <c r="FV20" s="967">
        <f t="shared" si="105"/>
        <v>33</v>
      </c>
      <c r="FW20" s="967">
        <f t="shared" si="106"/>
        <v>33</v>
      </c>
      <c r="FX20" s="967">
        <f t="shared" si="107"/>
        <v>24.5</v>
      </c>
      <c r="FY20" s="967">
        <f t="shared" si="108"/>
        <v>16</v>
      </c>
      <c r="FZ20" s="967">
        <f t="shared" si="109"/>
        <v>16</v>
      </c>
      <c r="GA20" s="967">
        <f t="shared" si="110"/>
        <v>16</v>
      </c>
      <c r="GB20" s="967">
        <f t="shared" si="111"/>
        <v>16</v>
      </c>
      <c r="GC20" s="967">
        <f t="shared" si="112"/>
        <v>16</v>
      </c>
      <c r="GD20" s="954">
        <f t="shared" si="113"/>
        <v>16</v>
      </c>
      <c r="GF20" s="953">
        <f t="shared" si="140"/>
        <v>16</v>
      </c>
      <c r="GG20" s="967">
        <f t="shared" si="114"/>
        <v>16</v>
      </c>
      <c r="GH20" s="967">
        <f t="shared" si="145"/>
        <v>16</v>
      </c>
      <c r="GI20" s="967">
        <f t="shared" si="116"/>
        <v>16</v>
      </c>
      <c r="GJ20" s="967">
        <f t="shared" si="117"/>
        <v>16</v>
      </c>
      <c r="GK20" s="967">
        <f t="shared" si="118"/>
        <v>16</v>
      </c>
      <c r="GL20" s="967">
        <f t="shared" si="119"/>
        <v>16</v>
      </c>
      <c r="GM20" s="967">
        <f t="shared" si="120"/>
        <v>16</v>
      </c>
      <c r="GN20" s="967">
        <f t="shared" si="121"/>
        <v>16</v>
      </c>
      <c r="GO20" s="967">
        <f t="shared" si="122"/>
        <v>16</v>
      </c>
      <c r="GP20" s="967">
        <f t="shared" si="123"/>
        <v>16</v>
      </c>
      <c r="GQ20" s="954">
        <f t="shared" si="124"/>
        <v>16</v>
      </c>
      <c r="GS20" s="953">
        <f t="shared" si="141"/>
        <v>16</v>
      </c>
      <c r="GT20" s="967">
        <f t="shared" si="125"/>
        <v>16</v>
      </c>
      <c r="GU20" s="967">
        <f t="shared" si="146"/>
        <v>16</v>
      </c>
      <c r="GV20" s="967">
        <f t="shared" si="127"/>
        <v>16</v>
      </c>
      <c r="GW20" s="967">
        <f t="shared" si="128"/>
        <v>16</v>
      </c>
      <c r="GX20" s="967">
        <f t="shared" si="129"/>
        <v>16</v>
      </c>
      <c r="GY20" s="967">
        <f t="shared" si="130"/>
        <v>16</v>
      </c>
      <c r="GZ20" s="967">
        <f t="shared" si="131"/>
        <v>16</v>
      </c>
      <c r="HA20" s="967">
        <f t="shared" si="132"/>
        <v>16</v>
      </c>
      <c r="HB20" s="967">
        <f t="shared" si="133"/>
        <v>16</v>
      </c>
      <c r="HC20" s="967">
        <f t="shared" si="134"/>
        <v>16</v>
      </c>
      <c r="HD20" s="954">
        <f t="shared" si="135"/>
        <v>16</v>
      </c>
    </row>
    <row r="21" spans="2:212" ht="14.25">
      <c r="B21" s="958" t="s">
        <v>1061</v>
      </c>
      <c r="C21" s="31"/>
      <c r="D21" s="31"/>
      <c r="E21" s="31"/>
      <c r="G21" s="1041"/>
      <c r="H21" s="31"/>
      <c r="I21" s="31"/>
      <c r="N21" s="1684"/>
      <c r="O21" s="957" t="s">
        <v>125</v>
      </c>
      <c r="P21" s="606">
        <v>25</v>
      </c>
      <c r="Q21" s="606">
        <v>33</v>
      </c>
      <c r="R21" s="606">
        <v>39</v>
      </c>
      <c r="S21" s="606">
        <v>51</v>
      </c>
      <c r="T21" s="606">
        <v>39</v>
      </c>
      <c r="U21" s="606">
        <v>31</v>
      </c>
      <c r="V21" s="606">
        <v>17</v>
      </c>
      <c r="AA21" s="1684"/>
      <c r="AB21" s="957" t="s">
        <v>125</v>
      </c>
      <c r="DK21" s="1684"/>
      <c r="DL21" s="957" t="s">
        <v>125</v>
      </c>
      <c r="DN21" s="969">
        <v>9</v>
      </c>
      <c r="DO21" s="970">
        <v>11</v>
      </c>
      <c r="DP21" s="970">
        <v>43</v>
      </c>
      <c r="DQ21" s="970">
        <v>44</v>
      </c>
      <c r="DR21" s="950">
        <v>105</v>
      </c>
      <c r="DT21" s="969">
        <v>9</v>
      </c>
      <c r="DU21" s="995">
        <v>11</v>
      </c>
      <c r="DV21" s="995">
        <v>43</v>
      </c>
      <c r="DW21" s="995">
        <v>44</v>
      </c>
      <c r="DX21" s="996">
        <v>105</v>
      </c>
      <c r="DZ21" s="969">
        <v>9</v>
      </c>
      <c r="EA21" s="995">
        <f t="shared" si="79"/>
        <v>11</v>
      </c>
      <c r="EB21" s="995">
        <f t="shared" si="79"/>
        <v>42</v>
      </c>
      <c r="EC21" s="995">
        <f t="shared" si="79"/>
        <v>41</v>
      </c>
      <c r="ED21" s="996">
        <f t="shared" si="79"/>
        <v>103</v>
      </c>
      <c r="EF21" s="953">
        <f t="shared" si="136"/>
        <v>100</v>
      </c>
      <c r="EG21" s="967">
        <f t="shared" si="80"/>
        <v>80</v>
      </c>
      <c r="EH21" s="967">
        <f t="shared" si="80"/>
        <v>98.5</v>
      </c>
      <c r="EI21" s="967">
        <f t="shared" si="80"/>
        <v>116.55000000000001</v>
      </c>
      <c r="EJ21" s="967">
        <f t="shared" si="80"/>
        <v>112.05000000000001</v>
      </c>
      <c r="EK21" s="967">
        <f t="shared" si="80"/>
        <v>108</v>
      </c>
      <c r="EL21" s="967">
        <f t="shared" si="80"/>
        <v>58.000000000000114</v>
      </c>
      <c r="EM21" s="967">
        <f t="shared" si="80"/>
        <v>16</v>
      </c>
      <c r="EN21" s="967">
        <f t="shared" si="80"/>
        <v>24.5</v>
      </c>
      <c r="EO21" s="967">
        <f t="shared" si="80"/>
        <v>37</v>
      </c>
      <c r="EP21" s="967">
        <f t="shared" si="80"/>
        <v>43</v>
      </c>
      <c r="EQ21" s="954">
        <f t="shared" si="80"/>
        <v>45</v>
      </c>
      <c r="ES21" s="953">
        <f t="shared" si="137"/>
        <v>45</v>
      </c>
      <c r="ET21" s="967">
        <f t="shared" si="81"/>
        <v>45</v>
      </c>
      <c r="EU21" s="967">
        <f t="shared" si="142"/>
        <v>45</v>
      </c>
      <c r="EV21" s="967">
        <f t="shared" si="83"/>
        <v>45</v>
      </c>
      <c r="EW21" s="967">
        <f t="shared" si="84"/>
        <v>41</v>
      </c>
      <c r="EX21" s="967">
        <f t="shared" si="85"/>
        <v>37</v>
      </c>
      <c r="EY21" s="967">
        <f t="shared" si="86"/>
        <v>26.5</v>
      </c>
      <c r="EZ21" s="967">
        <f t="shared" si="87"/>
        <v>16</v>
      </c>
      <c r="FA21" s="967">
        <f t="shared" si="88"/>
        <v>32.5</v>
      </c>
      <c r="FB21" s="967">
        <f t="shared" si="89"/>
        <v>49</v>
      </c>
      <c r="FC21" s="967">
        <f t="shared" si="90"/>
        <v>47</v>
      </c>
      <c r="FD21" s="954">
        <f t="shared" si="91"/>
        <v>45</v>
      </c>
      <c r="FF21" s="953">
        <f t="shared" si="138"/>
        <v>45</v>
      </c>
      <c r="FG21" s="967">
        <f t="shared" si="92"/>
        <v>45</v>
      </c>
      <c r="FH21" s="967">
        <f t="shared" si="143"/>
        <v>45</v>
      </c>
      <c r="FI21" s="967">
        <f t="shared" si="94"/>
        <v>45</v>
      </c>
      <c r="FJ21" s="967">
        <f t="shared" si="95"/>
        <v>45</v>
      </c>
      <c r="FK21" s="967">
        <f t="shared" si="96"/>
        <v>45</v>
      </c>
      <c r="FL21" s="967">
        <f t="shared" si="97"/>
        <v>30.5</v>
      </c>
      <c r="FM21" s="967">
        <f t="shared" si="98"/>
        <v>16</v>
      </c>
      <c r="FN21" s="967">
        <f t="shared" si="99"/>
        <v>32.5</v>
      </c>
      <c r="FO21" s="967">
        <f t="shared" si="100"/>
        <v>41</v>
      </c>
      <c r="FP21" s="967">
        <f t="shared" si="101"/>
        <v>33</v>
      </c>
      <c r="FQ21" s="954">
        <f t="shared" si="102"/>
        <v>33</v>
      </c>
      <c r="FS21" s="953">
        <f t="shared" si="139"/>
        <v>33</v>
      </c>
      <c r="FT21" s="967">
        <f t="shared" si="103"/>
        <v>33</v>
      </c>
      <c r="FU21" s="967">
        <f t="shared" si="144"/>
        <v>33</v>
      </c>
      <c r="FV21" s="967">
        <f t="shared" si="105"/>
        <v>33</v>
      </c>
      <c r="FW21" s="967">
        <f t="shared" si="106"/>
        <v>33</v>
      </c>
      <c r="FX21" s="967">
        <f t="shared" si="107"/>
        <v>33</v>
      </c>
      <c r="FY21" s="967">
        <f t="shared" si="108"/>
        <v>24.5</v>
      </c>
      <c r="FZ21" s="967">
        <f t="shared" si="109"/>
        <v>16</v>
      </c>
      <c r="GA21" s="967">
        <f t="shared" si="110"/>
        <v>16</v>
      </c>
      <c r="GB21" s="967">
        <f t="shared" si="111"/>
        <v>16</v>
      </c>
      <c r="GC21" s="967">
        <f t="shared" si="112"/>
        <v>16</v>
      </c>
      <c r="GD21" s="954">
        <f t="shared" si="113"/>
        <v>16</v>
      </c>
      <c r="GF21" s="953">
        <f t="shared" si="140"/>
        <v>16</v>
      </c>
      <c r="GG21" s="967">
        <f t="shared" si="114"/>
        <v>16</v>
      </c>
      <c r="GH21" s="967">
        <f t="shared" si="145"/>
        <v>16</v>
      </c>
      <c r="GI21" s="967">
        <f t="shared" si="116"/>
        <v>16</v>
      </c>
      <c r="GJ21" s="967">
        <f t="shared" si="117"/>
        <v>16</v>
      </c>
      <c r="GK21" s="967">
        <f t="shared" si="118"/>
        <v>16</v>
      </c>
      <c r="GL21" s="967">
        <f t="shared" si="119"/>
        <v>16</v>
      </c>
      <c r="GM21" s="967">
        <f t="shared" si="120"/>
        <v>16</v>
      </c>
      <c r="GN21" s="967">
        <f t="shared" si="121"/>
        <v>16</v>
      </c>
      <c r="GO21" s="967">
        <f t="shared" si="122"/>
        <v>16</v>
      </c>
      <c r="GP21" s="967">
        <f t="shared" si="123"/>
        <v>16</v>
      </c>
      <c r="GQ21" s="954">
        <f t="shared" si="124"/>
        <v>16</v>
      </c>
      <c r="GS21" s="953">
        <f t="shared" si="141"/>
        <v>16</v>
      </c>
      <c r="GT21" s="967">
        <f t="shared" si="125"/>
        <v>16</v>
      </c>
      <c r="GU21" s="967">
        <f t="shared" si="146"/>
        <v>16</v>
      </c>
      <c r="GV21" s="967">
        <f t="shared" si="127"/>
        <v>16</v>
      </c>
      <c r="GW21" s="967">
        <f t="shared" si="128"/>
        <v>16</v>
      </c>
      <c r="GX21" s="967">
        <f t="shared" si="129"/>
        <v>16</v>
      </c>
      <c r="GY21" s="967">
        <f t="shared" si="130"/>
        <v>16</v>
      </c>
      <c r="GZ21" s="967">
        <f t="shared" si="131"/>
        <v>16</v>
      </c>
      <c r="HA21" s="967">
        <f t="shared" si="132"/>
        <v>16</v>
      </c>
      <c r="HB21" s="967">
        <f t="shared" si="133"/>
        <v>16</v>
      </c>
      <c r="HC21" s="967">
        <f t="shared" si="134"/>
        <v>16</v>
      </c>
      <c r="HD21" s="954">
        <f t="shared" si="135"/>
        <v>16</v>
      </c>
    </row>
    <row r="22" spans="2:212" ht="14.25" customHeight="1">
      <c r="B22" s="958" t="s">
        <v>129</v>
      </c>
      <c r="C22" s="32"/>
      <c r="D22" s="32"/>
      <c r="E22" s="32"/>
      <c r="F22" s="32"/>
      <c r="G22" s="1042"/>
      <c r="H22" s="32"/>
      <c r="I22" s="31"/>
      <c r="N22" s="1684"/>
      <c r="O22" s="957" t="s">
        <v>126</v>
      </c>
      <c r="P22" s="606">
        <v>43</v>
      </c>
      <c r="Q22" s="606">
        <v>25</v>
      </c>
      <c r="R22" s="606">
        <v>32</v>
      </c>
      <c r="S22" s="606">
        <v>39</v>
      </c>
      <c r="T22" s="606">
        <v>48</v>
      </c>
      <c r="U22" s="606">
        <v>36</v>
      </c>
      <c r="V22" s="606">
        <v>29</v>
      </c>
      <c r="AA22" s="1684"/>
      <c r="AB22" s="957" t="s">
        <v>126</v>
      </c>
      <c r="DK22" s="1684"/>
      <c r="DL22" s="957" t="s">
        <v>126</v>
      </c>
      <c r="DN22" s="994">
        <v>17</v>
      </c>
      <c r="DO22" s="995">
        <v>16</v>
      </c>
      <c r="DP22" s="995">
        <v>11</v>
      </c>
      <c r="DQ22" s="995">
        <v>43</v>
      </c>
      <c r="DR22" s="996">
        <v>44</v>
      </c>
      <c r="DT22" s="994">
        <v>17</v>
      </c>
      <c r="DU22" s="995">
        <v>16</v>
      </c>
      <c r="DV22" s="995">
        <v>11</v>
      </c>
      <c r="DW22" s="995">
        <v>43</v>
      </c>
      <c r="DX22" s="996">
        <v>44</v>
      </c>
      <c r="DZ22" s="994">
        <v>17</v>
      </c>
      <c r="EA22" s="995">
        <f t="shared" si="79"/>
        <v>9</v>
      </c>
      <c r="EB22" s="995">
        <f t="shared" si="79"/>
        <v>11</v>
      </c>
      <c r="EC22" s="995">
        <f t="shared" si="79"/>
        <v>42</v>
      </c>
      <c r="ED22" s="996">
        <f t="shared" si="79"/>
        <v>41</v>
      </c>
      <c r="EF22" s="953">
        <f t="shared" si="136"/>
        <v>103</v>
      </c>
      <c r="EG22" s="967">
        <f t="shared" si="80"/>
        <v>100</v>
      </c>
      <c r="EH22" s="967">
        <f t="shared" si="80"/>
        <v>80</v>
      </c>
      <c r="EI22" s="967">
        <f t="shared" si="80"/>
        <v>98.5</v>
      </c>
      <c r="EJ22" s="967">
        <f t="shared" si="80"/>
        <v>116.55000000000001</v>
      </c>
      <c r="EK22" s="967">
        <f t="shared" si="80"/>
        <v>112.05000000000001</v>
      </c>
      <c r="EL22" s="967">
        <f t="shared" si="80"/>
        <v>108</v>
      </c>
      <c r="EM22" s="967">
        <f t="shared" si="80"/>
        <v>58.000000000000114</v>
      </c>
      <c r="EN22" s="967">
        <f t="shared" si="80"/>
        <v>16</v>
      </c>
      <c r="EO22" s="967">
        <f t="shared" si="80"/>
        <v>24.5</v>
      </c>
      <c r="EP22" s="967">
        <f t="shared" si="80"/>
        <v>37</v>
      </c>
      <c r="EQ22" s="954">
        <f t="shared" si="80"/>
        <v>43</v>
      </c>
      <c r="ES22" s="953">
        <f t="shared" si="137"/>
        <v>45</v>
      </c>
      <c r="ET22" s="967">
        <f t="shared" si="81"/>
        <v>45</v>
      </c>
      <c r="EU22" s="967">
        <f t="shared" si="142"/>
        <v>45</v>
      </c>
      <c r="EV22" s="967">
        <f t="shared" si="83"/>
        <v>45</v>
      </c>
      <c r="EW22" s="967">
        <f t="shared" si="84"/>
        <v>45</v>
      </c>
      <c r="EX22" s="967">
        <f t="shared" si="85"/>
        <v>41</v>
      </c>
      <c r="EY22" s="967">
        <f t="shared" si="86"/>
        <v>37</v>
      </c>
      <c r="EZ22" s="967">
        <f t="shared" si="87"/>
        <v>26.5</v>
      </c>
      <c r="FA22" s="967">
        <f t="shared" si="88"/>
        <v>16</v>
      </c>
      <c r="FB22" s="967">
        <f t="shared" si="89"/>
        <v>32.5</v>
      </c>
      <c r="FC22" s="967">
        <f t="shared" si="90"/>
        <v>49</v>
      </c>
      <c r="FD22" s="954">
        <f t="shared" si="91"/>
        <v>47</v>
      </c>
      <c r="FF22" s="953">
        <f t="shared" si="138"/>
        <v>45</v>
      </c>
      <c r="FG22" s="967">
        <f t="shared" si="92"/>
        <v>45</v>
      </c>
      <c r="FH22" s="967">
        <f t="shared" si="143"/>
        <v>45</v>
      </c>
      <c r="FI22" s="967">
        <f t="shared" si="94"/>
        <v>45</v>
      </c>
      <c r="FJ22" s="967">
        <f t="shared" si="95"/>
        <v>45</v>
      </c>
      <c r="FK22" s="967">
        <f t="shared" si="96"/>
        <v>45</v>
      </c>
      <c r="FL22" s="967">
        <f t="shared" si="97"/>
        <v>45</v>
      </c>
      <c r="FM22" s="967">
        <f t="shared" si="98"/>
        <v>30.5</v>
      </c>
      <c r="FN22" s="967">
        <f t="shared" si="99"/>
        <v>16</v>
      </c>
      <c r="FO22" s="967">
        <f t="shared" si="100"/>
        <v>32.5</v>
      </c>
      <c r="FP22" s="967">
        <f t="shared" si="101"/>
        <v>41</v>
      </c>
      <c r="FQ22" s="954">
        <f t="shared" si="102"/>
        <v>33</v>
      </c>
      <c r="FS22" s="953">
        <f t="shared" si="139"/>
        <v>33</v>
      </c>
      <c r="FT22" s="967">
        <f t="shared" si="103"/>
        <v>33</v>
      </c>
      <c r="FU22" s="967">
        <f t="shared" si="144"/>
        <v>33</v>
      </c>
      <c r="FV22" s="967">
        <f t="shared" si="105"/>
        <v>33</v>
      </c>
      <c r="FW22" s="967">
        <f t="shared" si="106"/>
        <v>33</v>
      </c>
      <c r="FX22" s="967">
        <f t="shared" si="107"/>
        <v>33</v>
      </c>
      <c r="FY22" s="967">
        <f t="shared" si="108"/>
        <v>33</v>
      </c>
      <c r="FZ22" s="967">
        <f t="shared" si="109"/>
        <v>24.5</v>
      </c>
      <c r="GA22" s="967">
        <f t="shared" si="110"/>
        <v>16</v>
      </c>
      <c r="GB22" s="967">
        <f t="shared" si="111"/>
        <v>16</v>
      </c>
      <c r="GC22" s="967">
        <f t="shared" si="112"/>
        <v>16</v>
      </c>
      <c r="GD22" s="954">
        <f t="shared" si="113"/>
        <v>16</v>
      </c>
      <c r="GF22" s="953">
        <f t="shared" si="140"/>
        <v>16</v>
      </c>
      <c r="GG22" s="967">
        <f t="shared" si="114"/>
        <v>16</v>
      </c>
      <c r="GH22" s="967">
        <f t="shared" si="145"/>
        <v>16</v>
      </c>
      <c r="GI22" s="967">
        <f t="shared" si="116"/>
        <v>16</v>
      </c>
      <c r="GJ22" s="967">
        <f t="shared" si="117"/>
        <v>16</v>
      </c>
      <c r="GK22" s="967">
        <f t="shared" si="118"/>
        <v>16</v>
      </c>
      <c r="GL22" s="967">
        <f t="shared" si="119"/>
        <v>16</v>
      </c>
      <c r="GM22" s="967">
        <f t="shared" si="120"/>
        <v>16</v>
      </c>
      <c r="GN22" s="967">
        <f t="shared" si="121"/>
        <v>16</v>
      </c>
      <c r="GO22" s="967">
        <f t="shared" si="122"/>
        <v>16</v>
      </c>
      <c r="GP22" s="967">
        <f t="shared" si="123"/>
        <v>16</v>
      </c>
      <c r="GQ22" s="954">
        <f t="shared" si="124"/>
        <v>16</v>
      </c>
      <c r="GS22" s="953">
        <f t="shared" si="141"/>
        <v>16</v>
      </c>
      <c r="GT22" s="967">
        <f t="shared" si="125"/>
        <v>16</v>
      </c>
      <c r="GU22" s="967">
        <f t="shared" si="146"/>
        <v>16</v>
      </c>
      <c r="GV22" s="967">
        <f t="shared" si="127"/>
        <v>16</v>
      </c>
      <c r="GW22" s="967">
        <f t="shared" si="128"/>
        <v>16</v>
      </c>
      <c r="GX22" s="967">
        <f t="shared" si="129"/>
        <v>16</v>
      </c>
      <c r="GY22" s="967">
        <f t="shared" si="130"/>
        <v>16</v>
      </c>
      <c r="GZ22" s="967">
        <f t="shared" si="131"/>
        <v>16</v>
      </c>
      <c r="HA22" s="967">
        <f t="shared" si="132"/>
        <v>16</v>
      </c>
      <c r="HB22" s="967">
        <f t="shared" si="133"/>
        <v>16</v>
      </c>
      <c r="HC22" s="967">
        <f t="shared" si="134"/>
        <v>16</v>
      </c>
      <c r="HD22" s="954">
        <f t="shared" si="135"/>
        <v>16</v>
      </c>
    </row>
    <row r="23" spans="2:212">
      <c r="B23" s="1043" t="s">
        <v>130</v>
      </c>
      <c r="C23" s="1044"/>
      <c r="D23" s="1044"/>
      <c r="E23" s="1044"/>
      <c r="F23" s="1044"/>
      <c r="G23" s="1044"/>
      <c r="H23" s="1044"/>
      <c r="I23" s="1044"/>
      <c r="N23" s="1684"/>
      <c r="O23" s="957" t="s">
        <v>127</v>
      </c>
      <c r="P23" s="606">
        <v>51</v>
      </c>
      <c r="Q23" s="606">
        <v>42</v>
      </c>
      <c r="R23" s="606">
        <v>25</v>
      </c>
      <c r="S23" s="606">
        <v>32</v>
      </c>
      <c r="T23" s="606">
        <v>36</v>
      </c>
      <c r="U23" s="606">
        <v>43</v>
      </c>
      <c r="V23" s="606">
        <v>34</v>
      </c>
      <c r="AA23" s="1684"/>
      <c r="AB23" s="957" t="s">
        <v>127</v>
      </c>
      <c r="DK23" s="1684"/>
      <c r="DL23" s="957" t="s">
        <v>127</v>
      </c>
      <c r="DN23" s="994">
        <v>29</v>
      </c>
      <c r="DO23" s="995">
        <v>22</v>
      </c>
      <c r="DP23" s="995">
        <v>16</v>
      </c>
      <c r="DQ23" s="995">
        <v>11</v>
      </c>
      <c r="DR23" s="996">
        <v>43</v>
      </c>
      <c r="DT23" s="994">
        <v>29</v>
      </c>
      <c r="DU23" s="995">
        <v>22</v>
      </c>
      <c r="DV23" s="995">
        <v>16</v>
      </c>
      <c r="DW23" s="995">
        <v>11</v>
      </c>
      <c r="DX23" s="996">
        <v>43</v>
      </c>
      <c r="DZ23" s="994">
        <v>29</v>
      </c>
      <c r="EA23" s="995">
        <f t="shared" si="79"/>
        <v>17</v>
      </c>
      <c r="EB23" s="995">
        <f t="shared" si="79"/>
        <v>9</v>
      </c>
      <c r="EC23" s="995">
        <f t="shared" si="79"/>
        <v>11</v>
      </c>
      <c r="ED23" s="996">
        <f t="shared" si="79"/>
        <v>42</v>
      </c>
      <c r="EF23" s="953">
        <f t="shared" si="136"/>
        <v>41</v>
      </c>
      <c r="EG23" s="967">
        <f t="shared" si="80"/>
        <v>103</v>
      </c>
      <c r="EH23" s="967">
        <f t="shared" si="80"/>
        <v>100</v>
      </c>
      <c r="EI23" s="967">
        <f t="shared" si="80"/>
        <v>80</v>
      </c>
      <c r="EJ23" s="967">
        <f t="shared" si="80"/>
        <v>98.5</v>
      </c>
      <c r="EK23" s="967">
        <f t="shared" si="80"/>
        <v>116.55000000000001</v>
      </c>
      <c r="EL23" s="967">
        <f t="shared" si="80"/>
        <v>112.05000000000001</v>
      </c>
      <c r="EM23" s="967">
        <f t="shared" si="80"/>
        <v>108</v>
      </c>
      <c r="EN23" s="967">
        <f t="shared" si="80"/>
        <v>58.000000000000114</v>
      </c>
      <c r="EO23" s="967">
        <f t="shared" si="80"/>
        <v>16</v>
      </c>
      <c r="EP23" s="967">
        <f t="shared" si="80"/>
        <v>24.5</v>
      </c>
      <c r="EQ23" s="954">
        <f t="shared" si="80"/>
        <v>37</v>
      </c>
      <c r="ES23" s="953">
        <f t="shared" si="137"/>
        <v>43</v>
      </c>
      <c r="ET23" s="967">
        <f t="shared" si="81"/>
        <v>45</v>
      </c>
      <c r="EU23" s="967">
        <f t="shared" si="142"/>
        <v>45</v>
      </c>
      <c r="EV23" s="967">
        <f t="shared" si="83"/>
        <v>45</v>
      </c>
      <c r="EW23" s="967">
        <f t="shared" si="84"/>
        <v>45</v>
      </c>
      <c r="EX23" s="967">
        <f t="shared" si="85"/>
        <v>45</v>
      </c>
      <c r="EY23" s="967">
        <f t="shared" si="86"/>
        <v>41</v>
      </c>
      <c r="EZ23" s="967">
        <f t="shared" si="87"/>
        <v>37</v>
      </c>
      <c r="FA23" s="967">
        <f t="shared" si="88"/>
        <v>26.5</v>
      </c>
      <c r="FB23" s="967">
        <f t="shared" si="89"/>
        <v>16</v>
      </c>
      <c r="FC23" s="967">
        <f t="shared" si="90"/>
        <v>32.5</v>
      </c>
      <c r="FD23" s="954">
        <f t="shared" si="91"/>
        <v>49</v>
      </c>
      <c r="FF23" s="953">
        <f t="shared" si="138"/>
        <v>47</v>
      </c>
      <c r="FG23" s="967">
        <f t="shared" si="92"/>
        <v>45</v>
      </c>
      <c r="FH23" s="967">
        <f t="shared" si="143"/>
        <v>45</v>
      </c>
      <c r="FI23" s="967">
        <f t="shared" si="94"/>
        <v>45</v>
      </c>
      <c r="FJ23" s="967">
        <f t="shared" si="95"/>
        <v>45</v>
      </c>
      <c r="FK23" s="967">
        <f t="shared" si="96"/>
        <v>45</v>
      </c>
      <c r="FL23" s="967">
        <f t="shared" si="97"/>
        <v>45</v>
      </c>
      <c r="FM23" s="967">
        <f t="shared" si="98"/>
        <v>45</v>
      </c>
      <c r="FN23" s="967">
        <f t="shared" si="99"/>
        <v>30.5</v>
      </c>
      <c r="FO23" s="967">
        <f t="shared" si="100"/>
        <v>16</v>
      </c>
      <c r="FP23" s="967">
        <f t="shared" si="101"/>
        <v>32.5</v>
      </c>
      <c r="FQ23" s="954">
        <f t="shared" si="102"/>
        <v>41</v>
      </c>
      <c r="FS23" s="953">
        <f t="shared" si="139"/>
        <v>33</v>
      </c>
      <c r="FT23" s="967">
        <f t="shared" si="103"/>
        <v>33</v>
      </c>
      <c r="FU23" s="967">
        <f t="shared" si="144"/>
        <v>33</v>
      </c>
      <c r="FV23" s="967">
        <f t="shared" si="105"/>
        <v>33</v>
      </c>
      <c r="FW23" s="967">
        <f t="shared" si="106"/>
        <v>33</v>
      </c>
      <c r="FX23" s="967">
        <f t="shared" si="107"/>
        <v>33</v>
      </c>
      <c r="FY23" s="967">
        <f t="shared" si="108"/>
        <v>33</v>
      </c>
      <c r="FZ23" s="967">
        <f t="shared" si="109"/>
        <v>33</v>
      </c>
      <c r="GA23" s="967">
        <f t="shared" si="110"/>
        <v>24.5</v>
      </c>
      <c r="GB23" s="967">
        <f t="shared" si="111"/>
        <v>16</v>
      </c>
      <c r="GC23" s="967">
        <f t="shared" si="112"/>
        <v>16</v>
      </c>
      <c r="GD23" s="954">
        <f t="shared" si="113"/>
        <v>16</v>
      </c>
      <c r="GF23" s="953">
        <f t="shared" si="140"/>
        <v>16</v>
      </c>
      <c r="GG23" s="967">
        <f t="shared" si="114"/>
        <v>16</v>
      </c>
      <c r="GH23" s="967">
        <f t="shared" si="145"/>
        <v>16</v>
      </c>
      <c r="GI23" s="967">
        <f t="shared" si="116"/>
        <v>16</v>
      </c>
      <c r="GJ23" s="967">
        <f t="shared" si="117"/>
        <v>16</v>
      </c>
      <c r="GK23" s="967">
        <f t="shared" si="118"/>
        <v>16</v>
      </c>
      <c r="GL23" s="967">
        <f t="shared" si="119"/>
        <v>16</v>
      </c>
      <c r="GM23" s="967">
        <f t="shared" si="120"/>
        <v>16</v>
      </c>
      <c r="GN23" s="967">
        <f t="shared" si="121"/>
        <v>16</v>
      </c>
      <c r="GO23" s="967">
        <f t="shared" si="122"/>
        <v>16</v>
      </c>
      <c r="GP23" s="967">
        <f t="shared" si="123"/>
        <v>16</v>
      </c>
      <c r="GQ23" s="954">
        <f t="shared" si="124"/>
        <v>16</v>
      </c>
      <c r="GS23" s="953">
        <f t="shared" si="141"/>
        <v>16</v>
      </c>
      <c r="GT23" s="967">
        <f t="shared" si="125"/>
        <v>16</v>
      </c>
      <c r="GU23" s="967">
        <f t="shared" si="146"/>
        <v>16</v>
      </c>
      <c r="GV23" s="967">
        <f t="shared" si="127"/>
        <v>16</v>
      </c>
      <c r="GW23" s="967">
        <f t="shared" si="128"/>
        <v>16</v>
      </c>
      <c r="GX23" s="967">
        <f t="shared" si="129"/>
        <v>16</v>
      </c>
      <c r="GY23" s="967">
        <f t="shared" si="130"/>
        <v>16</v>
      </c>
      <c r="GZ23" s="967">
        <f t="shared" si="131"/>
        <v>16</v>
      </c>
      <c r="HA23" s="967">
        <f t="shared" si="132"/>
        <v>16</v>
      </c>
      <c r="HB23" s="967">
        <f t="shared" si="133"/>
        <v>16</v>
      </c>
      <c r="HC23" s="967">
        <f t="shared" si="134"/>
        <v>16</v>
      </c>
      <c r="HD23" s="954">
        <f t="shared" si="135"/>
        <v>16</v>
      </c>
    </row>
    <row r="24" spans="2:212">
      <c r="B24" s="1045" t="s">
        <v>131</v>
      </c>
      <c r="C24" s="1044"/>
      <c r="D24" s="1044"/>
      <c r="E24" s="1044"/>
      <c r="F24" s="1046"/>
      <c r="G24" s="1044"/>
      <c r="H24" s="1044"/>
      <c r="I24" s="1044"/>
      <c r="N24" s="1047"/>
      <c r="O24" s="957" t="s">
        <v>1062</v>
      </c>
      <c r="AA24" s="1047"/>
      <c r="AB24" s="957" t="s">
        <v>1062</v>
      </c>
      <c r="DK24" s="1450"/>
      <c r="DL24" s="957" t="s">
        <v>1062</v>
      </c>
      <c r="DN24" s="994"/>
      <c r="DO24" s="995"/>
      <c r="DP24" s="995"/>
      <c r="DQ24" s="995"/>
      <c r="DR24" s="996"/>
      <c r="DT24" s="994"/>
      <c r="DU24" s="995"/>
      <c r="DV24" s="995"/>
      <c r="DW24" s="995"/>
      <c r="DX24" s="996"/>
      <c r="DZ24" s="994"/>
      <c r="EA24" s="995"/>
      <c r="EB24" s="995"/>
      <c r="EC24" s="995"/>
      <c r="ED24" s="996"/>
      <c r="EF24" s="994"/>
      <c r="EG24" s="995"/>
      <c r="EH24" s="995"/>
      <c r="EI24" s="995"/>
      <c r="EJ24" s="995"/>
      <c r="EK24" s="995"/>
      <c r="EL24" s="995"/>
      <c r="EM24" s="995"/>
      <c r="EN24" s="995"/>
      <c r="EO24" s="995"/>
      <c r="EP24" s="995"/>
      <c r="EQ24" s="996"/>
      <c r="ES24" s="994"/>
      <c r="ET24" s="995"/>
      <c r="EU24" s="995"/>
      <c r="EV24" s="995"/>
      <c r="EW24" s="995"/>
      <c r="EX24" s="995"/>
      <c r="EY24" s="995"/>
      <c r="EZ24" s="995"/>
      <c r="FA24" s="995"/>
      <c r="FB24" s="995"/>
      <c r="FC24" s="995"/>
      <c r="FD24" s="996"/>
      <c r="FF24" s="994"/>
      <c r="FG24" s="995"/>
      <c r="FH24" s="995"/>
      <c r="FI24" s="995"/>
      <c r="FJ24" s="995"/>
      <c r="FK24" s="995"/>
      <c r="FL24" s="995"/>
      <c r="FM24" s="995"/>
      <c r="FN24" s="995"/>
      <c r="FO24" s="995"/>
      <c r="FP24" s="995"/>
      <c r="FQ24" s="996"/>
      <c r="FS24" s="994"/>
      <c r="FT24" s="995"/>
      <c r="FU24" s="995"/>
      <c r="FV24" s="995"/>
      <c r="FW24" s="995"/>
      <c r="FX24" s="995"/>
      <c r="FY24" s="995"/>
      <c r="FZ24" s="995"/>
      <c r="GA24" s="995"/>
      <c r="GB24" s="995"/>
      <c r="GC24" s="995"/>
      <c r="GD24" s="996"/>
      <c r="GF24" s="994"/>
      <c r="GG24" s="995"/>
      <c r="GH24" s="995"/>
      <c r="GI24" s="995"/>
      <c r="GJ24" s="995"/>
      <c r="GK24" s="995"/>
      <c r="GL24" s="995"/>
      <c r="GM24" s="995"/>
      <c r="GN24" s="995"/>
      <c r="GO24" s="995"/>
      <c r="GP24" s="995"/>
      <c r="GQ24" s="996"/>
      <c r="GS24" s="994"/>
      <c r="GT24" s="995"/>
      <c r="GU24" s="995"/>
      <c r="GV24" s="995"/>
      <c r="GW24" s="995"/>
      <c r="GX24" s="995"/>
      <c r="GY24" s="995"/>
      <c r="GZ24" s="995"/>
      <c r="HA24" s="995"/>
      <c r="HB24" s="995"/>
      <c r="HC24" s="995"/>
      <c r="HD24" s="996"/>
    </row>
    <row r="25" spans="2:212">
      <c r="B25" s="1045" t="s">
        <v>132</v>
      </c>
      <c r="C25" s="1048"/>
      <c r="D25" s="1048"/>
      <c r="E25" s="1048"/>
      <c r="F25" s="1049"/>
      <c r="G25" s="1048"/>
      <c r="H25" s="1048"/>
      <c r="I25" s="1048"/>
      <c r="O25" s="957"/>
      <c r="AB25" s="957"/>
      <c r="AK25" s="956">
        <v>1</v>
      </c>
      <c r="AL25" s="956">
        <v>1.1000000000000001</v>
      </c>
      <c r="AM25" s="956">
        <v>1</v>
      </c>
      <c r="AN25" s="956">
        <v>1.1000000000000001</v>
      </c>
      <c r="AO25" s="956">
        <v>1.1000000000000001</v>
      </c>
      <c r="AP25" s="956">
        <v>1</v>
      </c>
      <c r="AQ25" s="956">
        <v>0.9</v>
      </c>
      <c r="AR25" s="956">
        <v>1</v>
      </c>
      <c r="AS25" s="956">
        <v>1</v>
      </c>
      <c r="AT25" s="956">
        <v>1.1000000000000001</v>
      </c>
      <c r="AU25" s="956">
        <v>1.1000000000000001</v>
      </c>
      <c r="AV25" s="956">
        <v>1</v>
      </c>
      <c r="AW25" s="956">
        <v>1.1000000000000001</v>
      </c>
      <c r="AX25" s="956">
        <v>1.1000000000000001</v>
      </c>
      <c r="AY25" s="956">
        <v>1</v>
      </c>
      <c r="AZ25" s="956">
        <v>1.1000000000000001</v>
      </c>
      <c r="BA25" s="956">
        <v>1.1000000000000001</v>
      </c>
      <c r="BB25" s="956">
        <v>1</v>
      </c>
      <c r="BC25" s="956">
        <v>0.9</v>
      </c>
      <c r="BD25" s="956">
        <v>1</v>
      </c>
      <c r="BE25" s="956">
        <v>1</v>
      </c>
      <c r="BF25" s="956">
        <v>1.1000000000000001</v>
      </c>
      <c r="BG25" s="956">
        <v>1.1000000000000001</v>
      </c>
      <c r="BH25" s="956">
        <v>1</v>
      </c>
      <c r="BI25" s="956">
        <v>1.1000000000000001</v>
      </c>
      <c r="BJ25" s="956">
        <v>1.1000000000000001</v>
      </c>
      <c r="BK25" s="956">
        <v>1</v>
      </c>
      <c r="BL25" s="956">
        <v>1.1000000000000001</v>
      </c>
      <c r="BM25" s="956">
        <v>1.1000000000000001</v>
      </c>
      <c r="BN25" s="956">
        <v>1</v>
      </c>
      <c r="BO25" s="956">
        <v>0.9</v>
      </c>
      <c r="BP25" s="956">
        <v>1</v>
      </c>
      <c r="BQ25" s="956">
        <v>1</v>
      </c>
      <c r="BR25" s="956">
        <v>1.1000000000000001</v>
      </c>
      <c r="BS25" s="956">
        <v>1.1000000000000001</v>
      </c>
      <c r="BT25" s="956">
        <v>1</v>
      </c>
      <c r="BU25" s="956">
        <v>1.1000000000000001</v>
      </c>
      <c r="BV25" s="956">
        <v>1.1000000000000001</v>
      </c>
      <c r="BW25" s="956">
        <v>1</v>
      </c>
      <c r="BX25" s="956">
        <v>1.1000000000000001</v>
      </c>
      <c r="BY25" s="956">
        <v>1.1000000000000001</v>
      </c>
      <c r="BZ25" s="956">
        <v>1</v>
      </c>
      <c r="CA25" s="956">
        <v>0.9</v>
      </c>
      <c r="CB25" s="956">
        <v>1</v>
      </c>
      <c r="CC25" s="956">
        <v>1</v>
      </c>
      <c r="CD25" s="956">
        <v>1.1000000000000001</v>
      </c>
      <c r="CE25" s="956">
        <v>1.1000000000000001</v>
      </c>
      <c r="CF25" s="956">
        <v>1</v>
      </c>
      <c r="CG25" s="956">
        <v>1.1000000000000001</v>
      </c>
      <c r="CH25" s="956">
        <v>1.1000000000000001</v>
      </c>
      <c r="CI25" s="956">
        <v>1</v>
      </c>
      <c r="CJ25" s="956">
        <v>1.1000000000000001</v>
      </c>
      <c r="CK25" s="956">
        <v>1.1000000000000001</v>
      </c>
      <c r="CL25" s="956">
        <v>1</v>
      </c>
      <c r="CM25" s="956">
        <v>0.9</v>
      </c>
      <c r="CN25" s="956">
        <v>1</v>
      </c>
      <c r="CO25" s="956">
        <v>1</v>
      </c>
      <c r="CP25" s="956">
        <v>1.1000000000000001</v>
      </c>
      <c r="CQ25" s="956">
        <v>1.1000000000000001</v>
      </c>
      <c r="CR25" s="956">
        <v>1</v>
      </c>
      <c r="CS25" s="956">
        <v>1.1000000000000001</v>
      </c>
      <c r="CT25" s="956">
        <v>1.1000000000000001</v>
      </c>
      <c r="CU25" s="956">
        <v>1</v>
      </c>
      <c r="CV25" s="956">
        <v>1.1000000000000001</v>
      </c>
      <c r="CW25" s="956">
        <v>1.1000000000000001</v>
      </c>
      <c r="CX25" s="956">
        <v>1</v>
      </c>
      <c r="CY25" s="956">
        <v>0.9</v>
      </c>
      <c r="CZ25" s="956">
        <v>1</v>
      </c>
      <c r="DA25" s="956">
        <v>1</v>
      </c>
      <c r="DB25" s="956">
        <v>1.1000000000000001</v>
      </c>
      <c r="DC25" s="956">
        <v>1.1000000000000001</v>
      </c>
      <c r="DD25" s="956">
        <v>1</v>
      </c>
      <c r="DE25" s="956">
        <v>1.1000000000000001</v>
      </c>
      <c r="DF25" s="956">
        <v>1.1000000000000001</v>
      </c>
      <c r="DG25" s="956">
        <v>1</v>
      </c>
      <c r="DH25" s="956">
        <v>1.1000000000000001</v>
      </c>
      <c r="DI25" s="956">
        <v>1.1000000000000001</v>
      </c>
      <c r="DL25" s="957"/>
      <c r="DN25" s="994"/>
      <c r="DO25" s="995"/>
      <c r="DP25" s="995"/>
      <c r="DQ25" s="995"/>
      <c r="DR25" s="996"/>
      <c r="DT25" s="994"/>
      <c r="DU25" s="995"/>
      <c r="DV25" s="995"/>
      <c r="DW25" s="995"/>
      <c r="DX25" s="996"/>
      <c r="DZ25" s="994"/>
      <c r="EA25" s="995"/>
      <c r="EB25" s="995"/>
      <c r="EC25" s="995"/>
      <c r="ED25" s="996"/>
      <c r="EF25" s="994"/>
      <c r="EG25" s="995"/>
      <c r="EH25" s="995"/>
      <c r="EI25" s="995"/>
      <c r="EJ25" s="995"/>
      <c r="EK25" s="995"/>
      <c r="EL25" s="995"/>
      <c r="EM25" s="995"/>
      <c r="EN25" s="995"/>
      <c r="EO25" s="995"/>
      <c r="EP25" s="995"/>
      <c r="EQ25" s="996"/>
      <c r="ES25" s="994"/>
      <c r="ET25" s="995"/>
      <c r="EU25" s="995"/>
      <c r="EV25" s="995"/>
      <c r="EW25" s="995"/>
      <c r="EX25" s="995"/>
      <c r="EY25" s="995"/>
      <c r="EZ25" s="995"/>
      <c r="FA25" s="995"/>
      <c r="FB25" s="995"/>
      <c r="FC25" s="995"/>
      <c r="FD25" s="996"/>
      <c r="FF25" s="994"/>
      <c r="FG25" s="995"/>
      <c r="FH25" s="995"/>
      <c r="FI25" s="995"/>
      <c r="FJ25" s="995"/>
      <c r="FK25" s="995"/>
      <c r="FL25" s="995"/>
      <c r="FM25" s="995"/>
      <c r="FN25" s="995"/>
      <c r="FO25" s="995"/>
      <c r="FP25" s="995"/>
      <c r="FQ25" s="996"/>
      <c r="FS25" s="994"/>
      <c r="FT25" s="995"/>
      <c r="FU25" s="995"/>
      <c r="FV25" s="995"/>
      <c r="FW25" s="995"/>
      <c r="FX25" s="995"/>
      <c r="FY25" s="995"/>
      <c r="FZ25" s="995"/>
      <c r="GA25" s="995"/>
      <c r="GB25" s="995"/>
      <c r="GC25" s="995"/>
      <c r="GD25" s="996"/>
      <c r="GF25" s="994"/>
      <c r="GG25" s="995"/>
      <c r="GH25" s="995"/>
      <c r="GI25" s="995"/>
      <c r="GJ25" s="995"/>
      <c r="GK25" s="995"/>
      <c r="GL25" s="995"/>
      <c r="GM25" s="995"/>
      <c r="GN25" s="995"/>
      <c r="GO25" s="995"/>
      <c r="GP25" s="995"/>
      <c r="GQ25" s="996"/>
      <c r="GS25" s="994"/>
      <c r="GT25" s="995"/>
      <c r="GU25" s="995"/>
      <c r="GV25" s="995"/>
      <c r="GW25" s="995"/>
      <c r="GX25" s="995"/>
      <c r="GY25" s="995"/>
      <c r="GZ25" s="995"/>
      <c r="HA25" s="995"/>
      <c r="HB25" s="995"/>
      <c r="HC25" s="995"/>
      <c r="HD25" s="996"/>
    </row>
    <row r="26" spans="2:212" ht="12.75" customHeight="1">
      <c r="B26" s="1050" t="s">
        <v>133</v>
      </c>
      <c r="C26" s="1051"/>
      <c r="D26" s="1051"/>
      <c r="E26" s="1051"/>
      <c r="F26" s="1051"/>
      <c r="G26" s="1052"/>
      <c r="H26" s="1051"/>
      <c r="I26" s="1044"/>
      <c r="N26" s="1684" t="s">
        <v>1044</v>
      </c>
      <c r="O26" s="957" t="s">
        <v>119</v>
      </c>
      <c r="P26" s="606">
        <v>20</v>
      </c>
      <c r="Q26" s="606">
        <v>7</v>
      </c>
      <c r="R26" s="606">
        <v>9</v>
      </c>
      <c r="S26" s="606">
        <v>32</v>
      </c>
      <c r="T26" s="606">
        <v>29</v>
      </c>
      <c r="U26" s="606">
        <v>81</v>
      </c>
      <c r="V26" s="606">
        <v>62</v>
      </c>
      <c r="AA26" s="1684" t="s">
        <v>1044</v>
      </c>
      <c r="AB26" s="957" t="s">
        <v>119</v>
      </c>
      <c r="AC26" s="610">
        <f>P26/P15</f>
        <v>0.7407407407407407</v>
      </c>
      <c r="AD26" s="610">
        <f t="shared" ref="AC26:AI34" si="147">Q26/Q15</f>
        <v>0.3888888888888889</v>
      </c>
      <c r="AE26" s="610">
        <f t="shared" si="147"/>
        <v>0.69230769230769229</v>
      </c>
      <c r="AF26" s="610">
        <f t="shared" si="147"/>
        <v>0.69565217391304346</v>
      </c>
      <c r="AG26" s="610">
        <f t="shared" si="147"/>
        <v>0.61702127659574468</v>
      </c>
      <c r="AH26" s="610">
        <f t="shared" si="147"/>
        <v>0.76415094339622647</v>
      </c>
      <c r="AI26" s="610">
        <f t="shared" si="147"/>
        <v>0.62</v>
      </c>
      <c r="AJ26" s="952">
        <f t="shared" ref="AJ26:AJ34" si="148">AVERAGE(AC26:AI26)</f>
        <v>0.64553738797747662</v>
      </c>
      <c r="AK26" s="952">
        <f t="shared" ref="AK26:AK34" si="149">AI26*$AK$25</f>
        <v>0.62</v>
      </c>
      <c r="AL26" s="952">
        <f t="shared" ref="AL26:AL34" si="150">AK26*$AL$25</f>
        <v>0.68200000000000005</v>
      </c>
      <c r="AM26" s="952">
        <f t="shared" ref="AM26:AM34" si="151">AL26*$AM$25</f>
        <v>0.68200000000000005</v>
      </c>
      <c r="AN26" s="952">
        <f t="shared" ref="AN26:AN34" si="152">AM26*$AN$25</f>
        <v>0.75020000000000009</v>
      </c>
      <c r="AO26" s="952">
        <f t="shared" ref="AO26:AO34" si="153">AN26*$AO$25</f>
        <v>0.82522000000000018</v>
      </c>
      <c r="AP26" s="1053">
        <v>0.6</v>
      </c>
      <c r="AQ26" s="1053">
        <f t="shared" ref="AQ26:BA34" si="154">AP26*AQ$25</f>
        <v>0.54</v>
      </c>
      <c r="AR26" s="1053">
        <f t="shared" si="154"/>
        <v>0.54</v>
      </c>
      <c r="AS26" s="1053">
        <f t="shared" si="154"/>
        <v>0.54</v>
      </c>
      <c r="AT26" s="1053">
        <f t="shared" si="154"/>
        <v>0.59400000000000008</v>
      </c>
      <c r="AU26" s="1053">
        <f t="shared" si="154"/>
        <v>0.65340000000000009</v>
      </c>
      <c r="AV26" s="1053">
        <f t="shared" si="154"/>
        <v>0.65340000000000009</v>
      </c>
      <c r="AW26" s="1053">
        <f t="shared" si="154"/>
        <v>0.71874000000000016</v>
      </c>
      <c r="AX26" s="1053">
        <f t="shared" si="154"/>
        <v>0.79061400000000026</v>
      </c>
      <c r="AY26" s="1053">
        <f t="shared" si="154"/>
        <v>0.79061400000000026</v>
      </c>
      <c r="AZ26" s="1053">
        <f t="shared" si="154"/>
        <v>0.86967540000000032</v>
      </c>
      <c r="BA26" s="1053">
        <f t="shared" si="154"/>
        <v>0.95664294000000039</v>
      </c>
      <c r="BB26" s="1053">
        <v>0.6</v>
      </c>
      <c r="BC26" s="1053">
        <f t="shared" ref="BC26:BC34" si="155">BB26*BC$25</f>
        <v>0.54</v>
      </c>
      <c r="BD26" s="1053">
        <f t="shared" ref="BD26:BD34" si="156">BC26*BD$25</f>
        <v>0.54</v>
      </c>
      <c r="BE26" s="1053">
        <f t="shared" ref="BE26:BE34" si="157">BD26*BE$25</f>
        <v>0.54</v>
      </c>
      <c r="BF26" s="1053">
        <f t="shared" ref="BF26:BF34" si="158">BE26*BF$25</f>
        <v>0.59400000000000008</v>
      </c>
      <c r="BG26" s="1053">
        <f t="shared" ref="BG26:BG34" si="159">BF26*BG$25</f>
        <v>0.65340000000000009</v>
      </c>
      <c r="BH26" s="1053">
        <f t="shared" ref="BH26:BH34" si="160">BG26*BH$25</f>
        <v>0.65340000000000009</v>
      </c>
      <c r="BI26" s="1053">
        <f t="shared" ref="BI26:BI34" si="161">BH26*BI$25</f>
        <v>0.71874000000000016</v>
      </c>
      <c r="BJ26" s="1053">
        <f t="shared" ref="BJ26:BJ34" si="162">BI26*BJ$25</f>
        <v>0.79061400000000026</v>
      </c>
      <c r="BK26" s="1053">
        <f t="shared" ref="BK26:BK34" si="163">BJ26*BK$25</f>
        <v>0.79061400000000026</v>
      </c>
      <c r="BL26" s="1053">
        <f t="shared" ref="BL26:BL34" si="164">BK26*BL$25</f>
        <v>0.86967540000000032</v>
      </c>
      <c r="BM26" s="1053">
        <f t="shared" ref="BM26:BM34" si="165">BL26*BM$25</f>
        <v>0.95664294000000039</v>
      </c>
      <c r="BN26" s="1053">
        <v>0.6</v>
      </c>
      <c r="BO26" s="1053">
        <f t="shared" ref="BO26:BO34" si="166">BN26*BO$25</f>
        <v>0.54</v>
      </c>
      <c r="BP26" s="1053">
        <f t="shared" ref="BP26:BP34" si="167">BO26*BP$25</f>
        <v>0.54</v>
      </c>
      <c r="BQ26" s="1053">
        <f t="shared" ref="BQ26:BQ34" si="168">BP26*BQ$25</f>
        <v>0.54</v>
      </c>
      <c r="BR26" s="1053">
        <f t="shared" ref="BR26:BR34" si="169">BQ26*BR$25</f>
        <v>0.59400000000000008</v>
      </c>
      <c r="BS26" s="1053">
        <f t="shared" ref="BS26:BS34" si="170">BR26*BS$25</f>
        <v>0.65340000000000009</v>
      </c>
      <c r="BT26" s="1053">
        <f t="shared" ref="BT26:BT34" si="171">BS26*BT$25</f>
        <v>0.65340000000000009</v>
      </c>
      <c r="BU26" s="1053">
        <f t="shared" ref="BU26:BU34" si="172">BT26*BU$25</f>
        <v>0.71874000000000016</v>
      </c>
      <c r="BV26" s="1053">
        <f t="shared" ref="BV26:BV34" si="173">BU26*BV$25</f>
        <v>0.79061400000000026</v>
      </c>
      <c r="BW26" s="1053">
        <f t="shared" ref="BW26:BW34" si="174">BV26*BW$25</f>
        <v>0.79061400000000026</v>
      </c>
      <c r="BX26" s="1053">
        <f t="shared" ref="BX26:BX34" si="175">BW26*BX$25</f>
        <v>0.86967540000000032</v>
      </c>
      <c r="BY26" s="1053">
        <f t="shared" ref="BY26:BY34" si="176">BX26*BY$25</f>
        <v>0.95664294000000039</v>
      </c>
      <c r="BZ26" s="1053">
        <v>0.6</v>
      </c>
      <c r="CA26" s="1053">
        <f t="shared" ref="CA26:CA34" si="177">BZ26*CA$25</f>
        <v>0.54</v>
      </c>
      <c r="CB26" s="1053">
        <f t="shared" ref="CB26:CB34" si="178">CA26*CB$25</f>
        <v>0.54</v>
      </c>
      <c r="CC26" s="1053">
        <f t="shared" ref="CC26:CC34" si="179">CB26*CC$25</f>
        <v>0.54</v>
      </c>
      <c r="CD26" s="1053">
        <f t="shared" ref="CD26:CD34" si="180">CC26*CD$25</f>
        <v>0.59400000000000008</v>
      </c>
      <c r="CE26" s="1053">
        <f t="shared" ref="CE26:CE34" si="181">CD26*CE$25</f>
        <v>0.65340000000000009</v>
      </c>
      <c r="CF26" s="1053">
        <f t="shared" ref="CF26:CF34" si="182">CE26*CF$25</f>
        <v>0.65340000000000009</v>
      </c>
      <c r="CG26" s="1053">
        <f t="shared" ref="CG26:CG34" si="183">CF26*CG$25</f>
        <v>0.71874000000000016</v>
      </c>
      <c r="CH26" s="1053">
        <f t="shared" ref="CH26:CH34" si="184">CG26*CH$25</f>
        <v>0.79061400000000026</v>
      </c>
      <c r="CI26" s="1053">
        <f t="shared" ref="CI26:CI34" si="185">CH26*CI$25</f>
        <v>0.79061400000000026</v>
      </c>
      <c r="CJ26" s="1053">
        <f t="shared" ref="CJ26:CJ34" si="186">CI26*CJ$25</f>
        <v>0.86967540000000032</v>
      </c>
      <c r="CK26" s="1053">
        <f t="shared" ref="CK26:CK34" si="187">CJ26*CK$25</f>
        <v>0.95664294000000039</v>
      </c>
      <c r="CL26" s="1053">
        <v>0.6</v>
      </c>
      <c r="CM26" s="1053">
        <f t="shared" ref="CM26:CM34" si="188">CL26*CM$25</f>
        <v>0.54</v>
      </c>
      <c r="CN26" s="1053">
        <f t="shared" ref="CN26:CN34" si="189">CM26*CN$25</f>
        <v>0.54</v>
      </c>
      <c r="CO26" s="1053">
        <f t="shared" ref="CO26:CO34" si="190">CN26*CO$25</f>
        <v>0.54</v>
      </c>
      <c r="CP26" s="1053">
        <f t="shared" ref="CP26:CP34" si="191">CO26*CP$25</f>
        <v>0.59400000000000008</v>
      </c>
      <c r="CQ26" s="1053">
        <f t="shared" ref="CQ26:CQ34" si="192">CP26*CQ$25</f>
        <v>0.65340000000000009</v>
      </c>
      <c r="CR26" s="1053">
        <f t="shared" ref="CR26:CR34" si="193">CQ26*CR$25</f>
        <v>0.65340000000000009</v>
      </c>
      <c r="CS26" s="1053">
        <f t="shared" ref="CS26:CS34" si="194">CR26*CS$25</f>
        <v>0.71874000000000016</v>
      </c>
      <c r="CT26" s="1053">
        <f t="shared" ref="CT26:CT34" si="195">CS26*CT$25</f>
        <v>0.79061400000000026</v>
      </c>
      <c r="CU26" s="1053">
        <f t="shared" ref="CU26:CU34" si="196">CT26*CU$25</f>
        <v>0.79061400000000026</v>
      </c>
      <c r="CV26" s="1053">
        <f t="shared" ref="CV26:CV34" si="197">CU26*CV$25</f>
        <v>0.86967540000000032</v>
      </c>
      <c r="CW26" s="1053">
        <f t="shared" ref="CW26:CW34" si="198">CV26*CW$25</f>
        <v>0.95664294000000039</v>
      </c>
      <c r="CX26" s="1053">
        <v>0.6</v>
      </c>
      <c r="CY26" s="1053">
        <f t="shared" ref="CY26:CY34" si="199">CX26*CY$25</f>
        <v>0.54</v>
      </c>
      <c r="CZ26" s="1053">
        <f t="shared" ref="CZ26:CZ34" si="200">CY26*CZ$25</f>
        <v>0.54</v>
      </c>
      <c r="DA26" s="1053">
        <f t="shared" ref="DA26:DA34" si="201">CZ26*DA$25</f>
        <v>0.54</v>
      </c>
      <c r="DB26" s="1053">
        <f t="shared" ref="DB26:DB34" si="202">DA26*DB$25</f>
        <v>0.59400000000000008</v>
      </c>
      <c r="DC26" s="1053">
        <f t="shared" ref="DC26:DC34" si="203">DB26*DC$25</f>
        <v>0.65340000000000009</v>
      </c>
      <c r="DD26" s="1053">
        <f t="shared" ref="DD26:DD34" si="204">DC26*DD$25</f>
        <v>0.65340000000000009</v>
      </c>
      <c r="DE26" s="1053">
        <f t="shared" ref="DE26:DE34" si="205">DD26*DE$25</f>
        <v>0.71874000000000016</v>
      </c>
      <c r="DF26" s="1053">
        <f t="shared" ref="DF26:DF34" si="206">DE26*DF$25</f>
        <v>0.79061400000000026</v>
      </c>
      <c r="DG26" s="1053">
        <f t="shared" ref="DG26:DG34" si="207">DF26*DG$25</f>
        <v>0.79061400000000026</v>
      </c>
      <c r="DH26" s="1053">
        <f t="shared" ref="DH26:DH34" si="208">DG26*DH$25</f>
        <v>0.86967540000000032</v>
      </c>
      <c r="DI26" s="1053">
        <f t="shared" ref="DI26:DI34" si="209">DH26*DI$25</f>
        <v>0.95664294000000039</v>
      </c>
      <c r="DK26" s="1684" t="s">
        <v>1044</v>
      </c>
      <c r="DL26" s="957" t="s">
        <v>119</v>
      </c>
      <c r="DN26" s="994">
        <v>44</v>
      </c>
      <c r="DO26" s="995">
        <f>DO15*$AJ$26</f>
        <v>63.585432715781444</v>
      </c>
      <c r="DP26" s="995">
        <f>DP15*$AJ$26</f>
        <v>75.237382568774905</v>
      </c>
      <c r="DQ26" s="995">
        <f>DQ15*$AJ$26</f>
        <v>72.332464322876262</v>
      </c>
      <c r="DR26" s="996">
        <f>DR15*$AJ$26</f>
        <v>69.71803790156747</v>
      </c>
      <c r="DT26" s="994">
        <v>44</v>
      </c>
      <c r="DU26" s="995">
        <f>DU15*$AH$26</f>
        <v>75.268867924528308</v>
      </c>
      <c r="DV26" s="995">
        <f>DV15*$AH$26</f>
        <v>89.061792452830204</v>
      </c>
      <c r="DW26" s="995">
        <f>DW15*$AH$26</f>
        <v>85.623113207547178</v>
      </c>
      <c r="DX26" s="996">
        <f>DX15*$AH$26</f>
        <v>82.528301886792462</v>
      </c>
      <c r="DZ26" s="994">
        <v>44</v>
      </c>
      <c r="EA26" s="995">
        <f>EA15*AL$26</f>
        <v>67.177000000000007</v>
      </c>
      <c r="EB26" s="995">
        <f>EB15*AM$26</f>
        <v>79.487100000000012</v>
      </c>
      <c r="EC26" s="995">
        <f>EC15*AN$26</f>
        <v>84.059910000000016</v>
      </c>
      <c r="ED26" s="996">
        <f>ED15*AO$26</f>
        <v>89.123760000000019</v>
      </c>
      <c r="EF26" s="994">
        <f>EF15*$AP26</f>
        <v>34.800000000000068</v>
      </c>
      <c r="EG26" s="995">
        <f t="shared" ref="EG26:EQ26" si="210">EG15*AQ$26</f>
        <v>8.64</v>
      </c>
      <c r="EH26" s="995">
        <f t="shared" si="210"/>
        <v>13.23</v>
      </c>
      <c r="EI26" s="995">
        <f t="shared" si="210"/>
        <v>19.98</v>
      </c>
      <c r="EJ26" s="995">
        <f t="shared" si="210"/>
        <v>25.542000000000005</v>
      </c>
      <c r="EK26" s="995">
        <f t="shared" si="210"/>
        <v>29.403000000000006</v>
      </c>
      <c r="EL26" s="995">
        <f t="shared" si="210"/>
        <v>29.403000000000006</v>
      </c>
      <c r="EM26" s="995">
        <f t="shared" si="210"/>
        <v>32.343300000000006</v>
      </c>
      <c r="EN26" s="995">
        <f t="shared" si="210"/>
        <v>35.577630000000013</v>
      </c>
      <c r="EO26" s="995">
        <f t="shared" si="210"/>
        <v>35.577630000000013</v>
      </c>
      <c r="EP26" s="995">
        <f t="shared" si="210"/>
        <v>35.656691400000014</v>
      </c>
      <c r="EQ26" s="996">
        <f t="shared" si="210"/>
        <v>35.395788780000011</v>
      </c>
      <c r="ES26" s="994">
        <f>ES15*BB26</f>
        <v>15.899999999999999</v>
      </c>
      <c r="ET26" s="995">
        <f t="shared" ref="ET26:FD34" si="211">ET15*BC26</f>
        <v>8.64</v>
      </c>
      <c r="EU26" s="995">
        <f t="shared" si="211"/>
        <v>17.55</v>
      </c>
      <c r="EV26" s="995">
        <f t="shared" si="211"/>
        <v>26.46</v>
      </c>
      <c r="EW26" s="995">
        <f t="shared" si="211"/>
        <v>27.918000000000003</v>
      </c>
      <c r="EX26" s="995">
        <f t="shared" si="211"/>
        <v>29.403000000000006</v>
      </c>
      <c r="EY26" s="995">
        <f t="shared" si="211"/>
        <v>29.403000000000006</v>
      </c>
      <c r="EZ26" s="995">
        <f t="shared" si="211"/>
        <v>32.343300000000006</v>
      </c>
      <c r="FA26" s="995">
        <f t="shared" si="211"/>
        <v>35.577630000000013</v>
      </c>
      <c r="FB26" s="995">
        <f t="shared" si="211"/>
        <v>35.577630000000013</v>
      </c>
      <c r="FC26" s="995">
        <f t="shared" si="211"/>
        <v>39.135393000000015</v>
      </c>
      <c r="FD26" s="996">
        <f t="shared" si="211"/>
        <v>43.048932300000018</v>
      </c>
      <c r="FF26" s="994">
        <f>FF15*BN26</f>
        <v>18.3</v>
      </c>
      <c r="FG26" s="995">
        <f t="shared" ref="FG26:FQ34" si="212">FG15*BO26</f>
        <v>8.64</v>
      </c>
      <c r="FH26" s="995">
        <f t="shared" si="212"/>
        <v>17.55</v>
      </c>
      <c r="FI26" s="995">
        <f t="shared" si="212"/>
        <v>22.14</v>
      </c>
      <c r="FJ26" s="995">
        <f t="shared" si="212"/>
        <v>19.602000000000004</v>
      </c>
      <c r="FK26" s="995">
        <f t="shared" si="212"/>
        <v>21.562200000000004</v>
      </c>
      <c r="FL26" s="995">
        <f t="shared" si="212"/>
        <v>21.562200000000004</v>
      </c>
      <c r="FM26" s="995">
        <f t="shared" si="212"/>
        <v>23.718420000000005</v>
      </c>
      <c r="FN26" s="995">
        <f t="shared" si="212"/>
        <v>26.09026200000001</v>
      </c>
      <c r="FO26" s="995">
        <f t="shared" si="212"/>
        <v>26.09026200000001</v>
      </c>
      <c r="FP26" s="995">
        <f t="shared" si="212"/>
        <v>28.699288200000012</v>
      </c>
      <c r="FQ26" s="996">
        <f t="shared" si="212"/>
        <v>31.569217020000014</v>
      </c>
      <c r="FS26" s="994">
        <f>FS15*BZ26</f>
        <v>14.7</v>
      </c>
      <c r="FT26" s="995">
        <f t="shared" ref="FT26:GD34" si="213">FT15*CA26</f>
        <v>8.64</v>
      </c>
      <c r="FU26" s="995">
        <f t="shared" si="213"/>
        <v>8.64</v>
      </c>
      <c r="FV26" s="995">
        <f t="shared" si="213"/>
        <v>8.64</v>
      </c>
      <c r="FW26" s="995">
        <f t="shared" si="213"/>
        <v>9.5040000000000013</v>
      </c>
      <c r="FX26" s="995">
        <f t="shared" si="213"/>
        <v>10.454400000000001</v>
      </c>
      <c r="FY26" s="995">
        <f t="shared" si="213"/>
        <v>10.454400000000001</v>
      </c>
      <c r="FZ26" s="995">
        <f t="shared" si="213"/>
        <v>11.499840000000003</v>
      </c>
      <c r="GA26" s="995">
        <f t="shared" si="213"/>
        <v>12.649824000000004</v>
      </c>
      <c r="GB26" s="995">
        <f t="shared" si="213"/>
        <v>12.649824000000004</v>
      </c>
      <c r="GC26" s="995">
        <f t="shared" si="213"/>
        <v>13.914806400000005</v>
      </c>
      <c r="GD26" s="996">
        <f t="shared" si="213"/>
        <v>15.306287040000006</v>
      </c>
      <c r="GF26" s="994">
        <f>GF15*CL26</f>
        <v>9.6</v>
      </c>
      <c r="GG26" s="995">
        <f t="shared" ref="GG26:GQ34" si="214">GG15*CM26</f>
        <v>8.64</v>
      </c>
      <c r="GH26" s="995">
        <f t="shared" si="214"/>
        <v>8.64</v>
      </c>
      <c r="GI26" s="995">
        <f t="shared" si="214"/>
        <v>8.64</v>
      </c>
      <c r="GJ26" s="995">
        <f t="shared" si="214"/>
        <v>9.5040000000000013</v>
      </c>
      <c r="GK26" s="995">
        <f t="shared" si="214"/>
        <v>10.454400000000001</v>
      </c>
      <c r="GL26" s="995">
        <f t="shared" si="214"/>
        <v>10.454400000000001</v>
      </c>
      <c r="GM26" s="995">
        <f t="shared" si="214"/>
        <v>11.499840000000003</v>
      </c>
      <c r="GN26" s="995">
        <f t="shared" si="214"/>
        <v>12.649824000000004</v>
      </c>
      <c r="GO26" s="995">
        <f t="shared" si="214"/>
        <v>12.649824000000004</v>
      </c>
      <c r="GP26" s="995">
        <f t="shared" si="214"/>
        <v>13.914806400000005</v>
      </c>
      <c r="GQ26" s="996">
        <f t="shared" si="214"/>
        <v>15.306287040000006</v>
      </c>
      <c r="GS26" s="994">
        <f>GS15*CX26</f>
        <v>9.6</v>
      </c>
      <c r="GT26" s="995">
        <f t="shared" ref="GT26:HD34" si="215">GT15*CY26</f>
        <v>8.64</v>
      </c>
      <c r="GU26" s="995">
        <f t="shared" si="215"/>
        <v>8.64</v>
      </c>
      <c r="GV26" s="995">
        <f t="shared" si="215"/>
        <v>8.64</v>
      </c>
      <c r="GW26" s="995">
        <f t="shared" si="215"/>
        <v>9.5040000000000013</v>
      </c>
      <c r="GX26" s="995">
        <f t="shared" si="215"/>
        <v>10.454400000000001</v>
      </c>
      <c r="GY26" s="995">
        <f t="shared" si="215"/>
        <v>10.454400000000001</v>
      </c>
      <c r="GZ26" s="995">
        <f t="shared" si="215"/>
        <v>11.499840000000003</v>
      </c>
      <c r="HA26" s="995">
        <f t="shared" si="215"/>
        <v>12.649824000000004</v>
      </c>
      <c r="HB26" s="995">
        <f t="shared" si="215"/>
        <v>12.649824000000004</v>
      </c>
      <c r="HC26" s="995">
        <f t="shared" si="215"/>
        <v>13.914806400000005</v>
      </c>
      <c r="HD26" s="996">
        <f t="shared" si="215"/>
        <v>15.306287040000006</v>
      </c>
    </row>
    <row r="27" spans="2:212">
      <c r="B27" s="980"/>
      <c r="D27" s="948"/>
      <c r="E27" s="948"/>
      <c r="F27" s="948"/>
      <c r="G27" s="1006"/>
      <c r="H27" s="948"/>
      <c r="I27" s="607"/>
      <c r="N27" s="1684"/>
      <c r="O27" s="957" t="s">
        <v>120</v>
      </c>
      <c r="P27" s="606">
        <v>13</v>
      </c>
      <c r="Q27" s="606">
        <v>11</v>
      </c>
      <c r="R27" s="606">
        <v>6</v>
      </c>
      <c r="S27" s="606">
        <v>5</v>
      </c>
      <c r="T27" s="606">
        <v>19</v>
      </c>
      <c r="U27" s="606">
        <v>17</v>
      </c>
      <c r="V27" s="606">
        <v>58</v>
      </c>
      <c r="AA27" s="1684"/>
      <c r="AB27" s="957" t="s">
        <v>120</v>
      </c>
      <c r="AC27" s="610">
        <f t="shared" si="147"/>
        <v>0.22413793103448276</v>
      </c>
      <c r="AD27" s="610">
        <f t="shared" si="147"/>
        <v>0.40740740740740738</v>
      </c>
      <c r="AE27" s="610">
        <f t="shared" si="147"/>
        <v>0.33333333333333331</v>
      </c>
      <c r="AF27" s="610">
        <f t="shared" si="147"/>
        <v>0.38461538461538464</v>
      </c>
      <c r="AG27" s="610">
        <f t="shared" si="147"/>
        <v>0.42222222222222222</v>
      </c>
      <c r="AH27" s="610">
        <f t="shared" si="147"/>
        <v>0.36170212765957449</v>
      </c>
      <c r="AI27" s="610">
        <f t="shared" si="147"/>
        <v>0.55238095238095242</v>
      </c>
      <c r="AJ27" s="952">
        <f t="shared" si="148"/>
        <v>0.3836856226647653</v>
      </c>
      <c r="AK27" s="952">
        <f t="shared" si="149"/>
        <v>0.55238095238095242</v>
      </c>
      <c r="AL27" s="952">
        <f t="shared" si="150"/>
        <v>0.60761904761904773</v>
      </c>
      <c r="AM27" s="952">
        <f t="shared" si="151"/>
        <v>0.60761904761904773</v>
      </c>
      <c r="AN27" s="952">
        <f t="shared" si="152"/>
        <v>0.66838095238095252</v>
      </c>
      <c r="AO27" s="952">
        <f t="shared" si="153"/>
        <v>0.73521904761904788</v>
      </c>
      <c r="AP27" s="1053">
        <v>0.4</v>
      </c>
      <c r="AQ27" s="1053">
        <f t="shared" si="154"/>
        <v>0.36000000000000004</v>
      </c>
      <c r="AR27" s="1053">
        <f t="shared" si="154"/>
        <v>0.36000000000000004</v>
      </c>
      <c r="AS27" s="1053">
        <f t="shared" si="154"/>
        <v>0.36000000000000004</v>
      </c>
      <c r="AT27" s="1053">
        <f t="shared" si="154"/>
        <v>0.39600000000000007</v>
      </c>
      <c r="AU27" s="1053">
        <f t="shared" si="154"/>
        <v>0.4356000000000001</v>
      </c>
      <c r="AV27" s="1053">
        <f t="shared" si="154"/>
        <v>0.4356000000000001</v>
      </c>
      <c r="AW27" s="1053">
        <f t="shared" si="154"/>
        <v>0.47916000000000014</v>
      </c>
      <c r="AX27" s="1053">
        <f t="shared" si="154"/>
        <v>0.52707600000000021</v>
      </c>
      <c r="AY27" s="1053">
        <f t="shared" si="154"/>
        <v>0.52707600000000021</v>
      </c>
      <c r="AZ27" s="1053">
        <f t="shared" si="154"/>
        <v>0.57978360000000029</v>
      </c>
      <c r="BA27" s="1053">
        <f t="shared" si="154"/>
        <v>0.63776196000000041</v>
      </c>
      <c r="BB27" s="1053">
        <v>0.4</v>
      </c>
      <c r="BC27" s="1053">
        <f t="shared" si="155"/>
        <v>0.36000000000000004</v>
      </c>
      <c r="BD27" s="1053">
        <f t="shared" si="156"/>
        <v>0.36000000000000004</v>
      </c>
      <c r="BE27" s="1053">
        <f t="shared" si="157"/>
        <v>0.36000000000000004</v>
      </c>
      <c r="BF27" s="1053">
        <f t="shared" si="158"/>
        <v>0.39600000000000007</v>
      </c>
      <c r="BG27" s="1053">
        <f t="shared" si="159"/>
        <v>0.4356000000000001</v>
      </c>
      <c r="BH27" s="1053">
        <f t="shared" si="160"/>
        <v>0.4356000000000001</v>
      </c>
      <c r="BI27" s="1053">
        <f t="shared" si="161"/>
        <v>0.47916000000000014</v>
      </c>
      <c r="BJ27" s="1053">
        <f t="shared" si="162"/>
        <v>0.52707600000000021</v>
      </c>
      <c r="BK27" s="1053">
        <f t="shared" si="163"/>
        <v>0.52707600000000021</v>
      </c>
      <c r="BL27" s="1053">
        <f t="shared" si="164"/>
        <v>0.57978360000000029</v>
      </c>
      <c r="BM27" s="1053">
        <f t="shared" si="165"/>
        <v>0.63776196000000041</v>
      </c>
      <c r="BN27" s="1053">
        <v>0.4</v>
      </c>
      <c r="BO27" s="1053">
        <f t="shared" si="166"/>
        <v>0.36000000000000004</v>
      </c>
      <c r="BP27" s="1053">
        <f t="shared" si="167"/>
        <v>0.36000000000000004</v>
      </c>
      <c r="BQ27" s="1053">
        <f t="shared" si="168"/>
        <v>0.36000000000000004</v>
      </c>
      <c r="BR27" s="1053">
        <f t="shared" si="169"/>
        <v>0.39600000000000007</v>
      </c>
      <c r="BS27" s="1053">
        <f t="shared" si="170"/>
        <v>0.4356000000000001</v>
      </c>
      <c r="BT27" s="1053">
        <f t="shared" si="171"/>
        <v>0.4356000000000001</v>
      </c>
      <c r="BU27" s="1053">
        <f t="shared" si="172"/>
        <v>0.47916000000000014</v>
      </c>
      <c r="BV27" s="1053">
        <f t="shared" si="173"/>
        <v>0.52707600000000021</v>
      </c>
      <c r="BW27" s="1053">
        <f t="shared" si="174"/>
        <v>0.52707600000000021</v>
      </c>
      <c r="BX27" s="1053">
        <f t="shared" si="175"/>
        <v>0.57978360000000029</v>
      </c>
      <c r="BY27" s="1053">
        <f t="shared" si="176"/>
        <v>0.63776196000000041</v>
      </c>
      <c r="BZ27" s="1053">
        <v>0.4</v>
      </c>
      <c r="CA27" s="1053">
        <f t="shared" si="177"/>
        <v>0.36000000000000004</v>
      </c>
      <c r="CB27" s="1053">
        <f t="shared" si="178"/>
        <v>0.36000000000000004</v>
      </c>
      <c r="CC27" s="1053">
        <f t="shared" si="179"/>
        <v>0.36000000000000004</v>
      </c>
      <c r="CD27" s="1053">
        <f t="shared" si="180"/>
        <v>0.39600000000000007</v>
      </c>
      <c r="CE27" s="1053">
        <f t="shared" si="181"/>
        <v>0.4356000000000001</v>
      </c>
      <c r="CF27" s="1053">
        <f t="shared" si="182"/>
        <v>0.4356000000000001</v>
      </c>
      <c r="CG27" s="1053">
        <f t="shared" si="183"/>
        <v>0.47916000000000014</v>
      </c>
      <c r="CH27" s="1053">
        <f t="shared" si="184"/>
        <v>0.52707600000000021</v>
      </c>
      <c r="CI27" s="1053">
        <f t="shared" si="185"/>
        <v>0.52707600000000021</v>
      </c>
      <c r="CJ27" s="1053">
        <f t="shared" si="186"/>
        <v>0.57978360000000029</v>
      </c>
      <c r="CK27" s="1053">
        <f t="shared" si="187"/>
        <v>0.63776196000000041</v>
      </c>
      <c r="CL27" s="1053">
        <v>0.4</v>
      </c>
      <c r="CM27" s="1053">
        <f t="shared" si="188"/>
        <v>0.36000000000000004</v>
      </c>
      <c r="CN27" s="1053">
        <f t="shared" si="189"/>
        <v>0.36000000000000004</v>
      </c>
      <c r="CO27" s="1053">
        <f t="shared" si="190"/>
        <v>0.36000000000000004</v>
      </c>
      <c r="CP27" s="1053">
        <f t="shared" si="191"/>
        <v>0.39600000000000007</v>
      </c>
      <c r="CQ27" s="1053">
        <f t="shared" si="192"/>
        <v>0.4356000000000001</v>
      </c>
      <c r="CR27" s="1053">
        <f t="shared" si="193"/>
        <v>0.4356000000000001</v>
      </c>
      <c r="CS27" s="1053">
        <f t="shared" si="194"/>
        <v>0.47916000000000014</v>
      </c>
      <c r="CT27" s="1053">
        <f t="shared" si="195"/>
        <v>0.52707600000000021</v>
      </c>
      <c r="CU27" s="1053">
        <f t="shared" si="196"/>
        <v>0.52707600000000021</v>
      </c>
      <c r="CV27" s="1053">
        <f t="shared" si="197"/>
        <v>0.57978360000000029</v>
      </c>
      <c r="CW27" s="1053">
        <f t="shared" si="198"/>
        <v>0.63776196000000041</v>
      </c>
      <c r="CX27" s="1053">
        <v>0.4</v>
      </c>
      <c r="CY27" s="1053">
        <f t="shared" si="199"/>
        <v>0.36000000000000004</v>
      </c>
      <c r="CZ27" s="1053">
        <f t="shared" si="200"/>
        <v>0.36000000000000004</v>
      </c>
      <c r="DA27" s="1053">
        <f t="shared" si="201"/>
        <v>0.36000000000000004</v>
      </c>
      <c r="DB27" s="1053">
        <f t="shared" si="202"/>
        <v>0.39600000000000007</v>
      </c>
      <c r="DC27" s="1053">
        <f t="shared" si="203"/>
        <v>0.4356000000000001</v>
      </c>
      <c r="DD27" s="1053">
        <f t="shared" si="204"/>
        <v>0.4356000000000001</v>
      </c>
      <c r="DE27" s="1053">
        <f t="shared" si="205"/>
        <v>0.47916000000000014</v>
      </c>
      <c r="DF27" s="1053">
        <f t="shared" si="206"/>
        <v>0.52707600000000021</v>
      </c>
      <c r="DG27" s="1053">
        <f t="shared" si="207"/>
        <v>0.52707600000000021</v>
      </c>
      <c r="DH27" s="1053">
        <f t="shared" si="208"/>
        <v>0.57978360000000029</v>
      </c>
      <c r="DI27" s="1053">
        <f t="shared" si="209"/>
        <v>0.63776196000000041</v>
      </c>
      <c r="DK27" s="1684"/>
      <c r="DL27" s="957" t="s">
        <v>120</v>
      </c>
      <c r="DN27" s="994">
        <v>34</v>
      </c>
      <c r="DO27" s="995">
        <f>DO16*$AJ$27</f>
        <v>30.694849813181225</v>
      </c>
      <c r="DP27" s="995">
        <f>DP16*$AJ$27</f>
        <v>37.793033832479381</v>
      </c>
      <c r="DQ27" s="995">
        <f>DQ16*$AJ$27</f>
        <v>44.718559321578404</v>
      </c>
      <c r="DR27" s="996">
        <f>DR16*$AJ$27</f>
        <v>42.991974019586955</v>
      </c>
      <c r="DT27" s="994">
        <v>34</v>
      </c>
      <c r="DU27" s="995">
        <f>DU16*$AH$27</f>
        <v>28.936170212765958</v>
      </c>
      <c r="DV27" s="995">
        <f>DV16*$AH$27</f>
        <v>35.62765957446809</v>
      </c>
      <c r="DW27" s="995">
        <f>DW16*$AH$27</f>
        <v>42.156382978723414</v>
      </c>
      <c r="DX27" s="996">
        <f>DX16*$AH$27</f>
        <v>40.528723404255324</v>
      </c>
      <c r="DZ27" s="994">
        <v>34</v>
      </c>
      <c r="EA27" s="995">
        <f>EA16*AL$27</f>
        <v>48.609523809523822</v>
      </c>
      <c r="EB27" s="995">
        <f>EB16*AM$27</f>
        <v>59.850476190476201</v>
      </c>
      <c r="EC27" s="995">
        <f>EC16*AN$27</f>
        <v>77.899800000000027</v>
      </c>
      <c r="ED27" s="996">
        <f>ED16*AO$27</f>
        <v>82.381294285714318</v>
      </c>
      <c r="EF27" s="994">
        <f t="shared" ref="EF27:EQ27" si="216">EF16*AP$27</f>
        <v>43.2</v>
      </c>
      <c r="EG27" s="995">
        <f t="shared" si="216"/>
        <v>20.880000000000042</v>
      </c>
      <c r="EH27" s="995">
        <f t="shared" si="216"/>
        <v>5.7600000000000007</v>
      </c>
      <c r="EI27" s="995">
        <f t="shared" si="216"/>
        <v>8.82</v>
      </c>
      <c r="EJ27" s="995">
        <f t="shared" si="216"/>
        <v>14.652000000000003</v>
      </c>
      <c r="EK27" s="995">
        <f t="shared" si="216"/>
        <v>18.730800000000006</v>
      </c>
      <c r="EL27" s="995">
        <f t="shared" si="216"/>
        <v>19.602000000000004</v>
      </c>
      <c r="EM27" s="995">
        <f t="shared" si="216"/>
        <v>21.562200000000008</v>
      </c>
      <c r="EN27" s="995">
        <f t="shared" si="216"/>
        <v>23.718420000000009</v>
      </c>
      <c r="EO27" s="995">
        <f t="shared" si="216"/>
        <v>23.718420000000009</v>
      </c>
      <c r="EP27" s="995">
        <f t="shared" si="216"/>
        <v>26.090262000000013</v>
      </c>
      <c r="EQ27" s="996">
        <f t="shared" si="216"/>
        <v>26.148240360000017</v>
      </c>
      <c r="ES27" s="994">
        <f t="shared" ref="ES27:ES34" si="217">ES16*BB27</f>
        <v>14.8</v>
      </c>
      <c r="ET27" s="995">
        <f t="shared" si="211"/>
        <v>9.5400000000000009</v>
      </c>
      <c r="EU27" s="995">
        <f t="shared" si="211"/>
        <v>5.7600000000000007</v>
      </c>
      <c r="EV27" s="995">
        <f t="shared" si="211"/>
        <v>11.700000000000001</v>
      </c>
      <c r="EW27" s="995">
        <f t="shared" si="211"/>
        <v>19.404000000000003</v>
      </c>
      <c r="EX27" s="995">
        <f t="shared" si="211"/>
        <v>20.473200000000006</v>
      </c>
      <c r="EY27" s="995">
        <f t="shared" si="211"/>
        <v>19.602000000000004</v>
      </c>
      <c r="EZ27" s="995">
        <f t="shared" si="211"/>
        <v>21.562200000000008</v>
      </c>
      <c r="FA27" s="995">
        <f t="shared" si="211"/>
        <v>23.718420000000009</v>
      </c>
      <c r="FB27" s="995">
        <f t="shared" si="211"/>
        <v>23.718420000000009</v>
      </c>
      <c r="FC27" s="995">
        <f t="shared" si="211"/>
        <v>26.090262000000013</v>
      </c>
      <c r="FD27" s="996">
        <f t="shared" si="211"/>
        <v>28.699288200000019</v>
      </c>
      <c r="FF27" s="994">
        <f t="shared" ref="FF27:FF34" si="218">FF16*BN27</f>
        <v>18</v>
      </c>
      <c r="FG27" s="995">
        <f t="shared" si="212"/>
        <v>10.98</v>
      </c>
      <c r="FH27" s="995">
        <f t="shared" si="212"/>
        <v>5.7600000000000007</v>
      </c>
      <c r="FI27" s="995">
        <f t="shared" si="212"/>
        <v>11.700000000000001</v>
      </c>
      <c r="FJ27" s="995">
        <f t="shared" si="212"/>
        <v>16.236000000000004</v>
      </c>
      <c r="FK27" s="995">
        <f t="shared" si="212"/>
        <v>14.374800000000004</v>
      </c>
      <c r="FL27" s="995">
        <f t="shared" si="212"/>
        <v>14.374800000000004</v>
      </c>
      <c r="FM27" s="995">
        <f t="shared" si="212"/>
        <v>15.812280000000005</v>
      </c>
      <c r="FN27" s="995">
        <f t="shared" si="212"/>
        <v>17.393508000000008</v>
      </c>
      <c r="FO27" s="995">
        <f t="shared" si="212"/>
        <v>17.393508000000008</v>
      </c>
      <c r="FP27" s="995">
        <f t="shared" si="212"/>
        <v>19.132858800000008</v>
      </c>
      <c r="FQ27" s="996">
        <f t="shared" si="212"/>
        <v>21.046144680000012</v>
      </c>
      <c r="FS27" s="994">
        <f t="shared" ref="FS27:FS34" si="219">FS16*BZ27</f>
        <v>13.200000000000001</v>
      </c>
      <c r="FT27" s="995">
        <f t="shared" si="213"/>
        <v>8.82</v>
      </c>
      <c r="FU27" s="995">
        <f t="shared" si="213"/>
        <v>5.7600000000000007</v>
      </c>
      <c r="FV27" s="995">
        <f t="shared" si="213"/>
        <v>5.7600000000000007</v>
      </c>
      <c r="FW27" s="995">
        <f t="shared" si="213"/>
        <v>6.3360000000000012</v>
      </c>
      <c r="FX27" s="995">
        <f t="shared" si="213"/>
        <v>6.9696000000000016</v>
      </c>
      <c r="FY27" s="995">
        <f t="shared" si="213"/>
        <v>6.9696000000000016</v>
      </c>
      <c r="FZ27" s="995">
        <f t="shared" si="213"/>
        <v>7.6665600000000023</v>
      </c>
      <c r="GA27" s="995">
        <f t="shared" si="213"/>
        <v>8.4332160000000034</v>
      </c>
      <c r="GB27" s="995">
        <f t="shared" si="213"/>
        <v>8.4332160000000034</v>
      </c>
      <c r="GC27" s="995">
        <f t="shared" si="213"/>
        <v>9.2765376000000046</v>
      </c>
      <c r="GD27" s="996">
        <f t="shared" si="213"/>
        <v>10.204191360000006</v>
      </c>
      <c r="GF27" s="994">
        <f t="shared" ref="GF27:GF34" si="220">GF16*CL27</f>
        <v>6.4</v>
      </c>
      <c r="GG27" s="995">
        <f t="shared" si="214"/>
        <v>5.7600000000000007</v>
      </c>
      <c r="GH27" s="995">
        <f t="shared" si="214"/>
        <v>5.7600000000000007</v>
      </c>
      <c r="GI27" s="995">
        <f t="shared" si="214"/>
        <v>5.7600000000000007</v>
      </c>
      <c r="GJ27" s="995">
        <f t="shared" si="214"/>
        <v>6.3360000000000012</v>
      </c>
      <c r="GK27" s="995">
        <f t="shared" si="214"/>
        <v>6.9696000000000016</v>
      </c>
      <c r="GL27" s="995">
        <f t="shared" si="214"/>
        <v>6.9696000000000016</v>
      </c>
      <c r="GM27" s="995">
        <f t="shared" si="214"/>
        <v>7.6665600000000023</v>
      </c>
      <c r="GN27" s="995">
        <f t="shared" si="214"/>
        <v>8.4332160000000034</v>
      </c>
      <c r="GO27" s="995">
        <f t="shared" si="214"/>
        <v>8.4332160000000034</v>
      </c>
      <c r="GP27" s="995">
        <f t="shared" si="214"/>
        <v>9.2765376000000046</v>
      </c>
      <c r="GQ27" s="996">
        <f t="shared" si="214"/>
        <v>10.204191360000006</v>
      </c>
      <c r="GS27" s="994">
        <f t="shared" ref="GS27:GS34" si="221">GS16*CX27</f>
        <v>6.4</v>
      </c>
      <c r="GT27" s="995">
        <f t="shared" si="215"/>
        <v>5.7600000000000007</v>
      </c>
      <c r="GU27" s="995">
        <f t="shared" si="215"/>
        <v>5.7600000000000007</v>
      </c>
      <c r="GV27" s="995">
        <f t="shared" si="215"/>
        <v>5.7600000000000007</v>
      </c>
      <c r="GW27" s="995">
        <f t="shared" si="215"/>
        <v>6.3360000000000012</v>
      </c>
      <c r="GX27" s="995">
        <f t="shared" si="215"/>
        <v>6.9696000000000016</v>
      </c>
      <c r="GY27" s="995">
        <f t="shared" si="215"/>
        <v>6.9696000000000016</v>
      </c>
      <c r="GZ27" s="995">
        <f t="shared" si="215"/>
        <v>7.6665600000000023</v>
      </c>
      <c r="HA27" s="995">
        <f t="shared" si="215"/>
        <v>8.4332160000000034</v>
      </c>
      <c r="HB27" s="995">
        <f t="shared" si="215"/>
        <v>8.4332160000000034</v>
      </c>
      <c r="HC27" s="995">
        <f t="shared" si="215"/>
        <v>9.2765376000000046</v>
      </c>
      <c r="HD27" s="996">
        <f t="shared" si="215"/>
        <v>10.204191360000006</v>
      </c>
    </row>
    <row r="28" spans="2:212">
      <c r="B28" s="977"/>
      <c r="C28" s="983" t="s">
        <v>1045</v>
      </c>
      <c r="D28" s="983"/>
      <c r="E28" s="983"/>
      <c r="F28" s="983"/>
      <c r="G28" s="983"/>
      <c r="H28" s="982"/>
      <c r="I28" s="982"/>
      <c r="N28" s="1684"/>
      <c r="O28" s="957" t="s">
        <v>121</v>
      </c>
      <c r="P28" s="606">
        <v>8</v>
      </c>
      <c r="Q28" s="606">
        <v>6</v>
      </c>
      <c r="R28" s="606">
        <v>6</v>
      </c>
      <c r="S28" s="606">
        <v>2</v>
      </c>
      <c r="T28" s="606">
        <v>5</v>
      </c>
      <c r="U28" s="606">
        <v>13</v>
      </c>
      <c r="V28" s="606">
        <v>12</v>
      </c>
      <c r="AA28" s="1684"/>
      <c r="AB28" s="957" t="s">
        <v>121</v>
      </c>
      <c r="AC28" s="610">
        <f t="shared" si="147"/>
        <v>0.16326530612244897</v>
      </c>
      <c r="AD28" s="610">
        <f t="shared" si="147"/>
        <v>0.10714285714285714</v>
      </c>
      <c r="AE28" s="610">
        <f t="shared" si="147"/>
        <v>0.23076923076923078</v>
      </c>
      <c r="AF28" s="610">
        <f t="shared" si="147"/>
        <v>0.1111111111111111</v>
      </c>
      <c r="AG28" s="610">
        <f t="shared" si="147"/>
        <v>0.38461538461538464</v>
      </c>
      <c r="AH28" s="610">
        <f t="shared" si="147"/>
        <v>0.29545454545454547</v>
      </c>
      <c r="AI28" s="610">
        <f t="shared" si="147"/>
        <v>0.27906976744186046</v>
      </c>
      <c r="AJ28" s="952">
        <f t="shared" si="148"/>
        <v>0.22448974323677692</v>
      </c>
      <c r="AK28" s="952">
        <f t="shared" si="149"/>
        <v>0.27906976744186046</v>
      </c>
      <c r="AL28" s="952">
        <f t="shared" si="150"/>
        <v>0.30697674418604654</v>
      </c>
      <c r="AM28" s="952">
        <f t="shared" si="151"/>
        <v>0.30697674418604654</v>
      </c>
      <c r="AN28" s="952">
        <f t="shared" si="152"/>
        <v>0.33767441860465119</v>
      </c>
      <c r="AO28" s="952">
        <f t="shared" si="153"/>
        <v>0.37144186046511635</v>
      </c>
      <c r="AP28" s="1053">
        <v>0.3</v>
      </c>
      <c r="AQ28" s="1053">
        <f t="shared" si="154"/>
        <v>0.27</v>
      </c>
      <c r="AR28" s="1053">
        <f t="shared" si="154"/>
        <v>0.27</v>
      </c>
      <c r="AS28" s="1053">
        <f t="shared" si="154"/>
        <v>0.27</v>
      </c>
      <c r="AT28" s="1053">
        <f t="shared" si="154"/>
        <v>0.29700000000000004</v>
      </c>
      <c r="AU28" s="1053">
        <f t="shared" si="154"/>
        <v>0.32670000000000005</v>
      </c>
      <c r="AV28" s="1053">
        <f t="shared" si="154"/>
        <v>0.32670000000000005</v>
      </c>
      <c r="AW28" s="1053">
        <f t="shared" si="154"/>
        <v>0.35937000000000008</v>
      </c>
      <c r="AX28" s="1053">
        <f t="shared" si="154"/>
        <v>0.39530700000000013</v>
      </c>
      <c r="AY28" s="1053">
        <f t="shared" si="154"/>
        <v>0.39530700000000013</v>
      </c>
      <c r="AZ28" s="1053">
        <f t="shared" si="154"/>
        <v>0.43483770000000016</v>
      </c>
      <c r="BA28" s="1053">
        <f t="shared" si="154"/>
        <v>0.47832147000000019</v>
      </c>
      <c r="BB28" s="1053">
        <v>0.3</v>
      </c>
      <c r="BC28" s="1053">
        <f t="shared" si="155"/>
        <v>0.27</v>
      </c>
      <c r="BD28" s="1053">
        <f t="shared" si="156"/>
        <v>0.27</v>
      </c>
      <c r="BE28" s="1053">
        <f t="shared" si="157"/>
        <v>0.27</v>
      </c>
      <c r="BF28" s="1053">
        <f t="shared" si="158"/>
        <v>0.29700000000000004</v>
      </c>
      <c r="BG28" s="1053">
        <f t="shared" si="159"/>
        <v>0.32670000000000005</v>
      </c>
      <c r="BH28" s="1053">
        <f t="shared" si="160"/>
        <v>0.32670000000000005</v>
      </c>
      <c r="BI28" s="1053">
        <f t="shared" si="161"/>
        <v>0.35937000000000008</v>
      </c>
      <c r="BJ28" s="1053">
        <f t="shared" si="162"/>
        <v>0.39530700000000013</v>
      </c>
      <c r="BK28" s="1053">
        <f t="shared" si="163"/>
        <v>0.39530700000000013</v>
      </c>
      <c r="BL28" s="1053">
        <f t="shared" si="164"/>
        <v>0.43483770000000016</v>
      </c>
      <c r="BM28" s="1053">
        <f t="shared" si="165"/>
        <v>0.47832147000000019</v>
      </c>
      <c r="BN28" s="1053">
        <v>0.3</v>
      </c>
      <c r="BO28" s="1053">
        <f t="shared" si="166"/>
        <v>0.27</v>
      </c>
      <c r="BP28" s="1053">
        <f t="shared" si="167"/>
        <v>0.27</v>
      </c>
      <c r="BQ28" s="1053">
        <f t="shared" si="168"/>
        <v>0.27</v>
      </c>
      <c r="BR28" s="1053">
        <f t="shared" si="169"/>
        <v>0.29700000000000004</v>
      </c>
      <c r="BS28" s="1053">
        <f t="shared" si="170"/>
        <v>0.32670000000000005</v>
      </c>
      <c r="BT28" s="1053">
        <f t="shared" si="171"/>
        <v>0.32670000000000005</v>
      </c>
      <c r="BU28" s="1053">
        <f t="shared" si="172"/>
        <v>0.35937000000000008</v>
      </c>
      <c r="BV28" s="1053">
        <f t="shared" si="173"/>
        <v>0.39530700000000013</v>
      </c>
      <c r="BW28" s="1053">
        <f t="shared" si="174"/>
        <v>0.39530700000000013</v>
      </c>
      <c r="BX28" s="1053">
        <f t="shared" si="175"/>
        <v>0.43483770000000016</v>
      </c>
      <c r="BY28" s="1053">
        <f t="shared" si="176"/>
        <v>0.47832147000000019</v>
      </c>
      <c r="BZ28" s="1053">
        <v>0.3</v>
      </c>
      <c r="CA28" s="1053">
        <f t="shared" si="177"/>
        <v>0.27</v>
      </c>
      <c r="CB28" s="1053">
        <f t="shared" si="178"/>
        <v>0.27</v>
      </c>
      <c r="CC28" s="1053">
        <f t="shared" si="179"/>
        <v>0.27</v>
      </c>
      <c r="CD28" s="1053">
        <f t="shared" si="180"/>
        <v>0.29700000000000004</v>
      </c>
      <c r="CE28" s="1053">
        <f t="shared" si="181"/>
        <v>0.32670000000000005</v>
      </c>
      <c r="CF28" s="1053">
        <f t="shared" si="182"/>
        <v>0.32670000000000005</v>
      </c>
      <c r="CG28" s="1053">
        <f t="shared" si="183"/>
        <v>0.35937000000000008</v>
      </c>
      <c r="CH28" s="1053">
        <f t="shared" si="184"/>
        <v>0.39530700000000013</v>
      </c>
      <c r="CI28" s="1053">
        <f t="shared" si="185"/>
        <v>0.39530700000000013</v>
      </c>
      <c r="CJ28" s="1053">
        <f t="shared" si="186"/>
        <v>0.43483770000000016</v>
      </c>
      <c r="CK28" s="1053">
        <f t="shared" si="187"/>
        <v>0.47832147000000019</v>
      </c>
      <c r="CL28" s="1053">
        <v>0.3</v>
      </c>
      <c r="CM28" s="1053">
        <f t="shared" si="188"/>
        <v>0.27</v>
      </c>
      <c r="CN28" s="1053">
        <f t="shared" si="189"/>
        <v>0.27</v>
      </c>
      <c r="CO28" s="1053">
        <f t="shared" si="190"/>
        <v>0.27</v>
      </c>
      <c r="CP28" s="1053">
        <f t="shared" si="191"/>
        <v>0.29700000000000004</v>
      </c>
      <c r="CQ28" s="1053">
        <f t="shared" si="192"/>
        <v>0.32670000000000005</v>
      </c>
      <c r="CR28" s="1053">
        <f t="shared" si="193"/>
        <v>0.32670000000000005</v>
      </c>
      <c r="CS28" s="1053">
        <f t="shared" si="194"/>
        <v>0.35937000000000008</v>
      </c>
      <c r="CT28" s="1053">
        <f t="shared" si="195"/>
        <v>0.39530700000000013</v>
      </c>
      <c r="CU28" s="1053">
        <f t="shared" si="196"/>
        <v>0.39530700000000013</v>
      </c>
      <c r="CV28" s="1053">
        <f t="shared" si="197"/>
        <v>0.43483770000000016</v>
      </c>
      <c r="CW28" s="1053">
        <f t="shared" si="198"/>
        <v>0.47832147000000019</v>
      </c>
      <c r="CX28" s="1053">
        <v>0.3</v>
      </c>
      <c r="CY28" s="1053">
        <f t="shared" si="199"/>
        <v>0.27</v>
      </c>
      <c r="CZ28" s="1053">
        <f t="shared" si="200"/>
        <v>0.27</v>
      </c>
      <c r="DA28" s="1053">
        <f t="shared" si="201"/>
        <v>0.27</v>
      </c>
      <c r="DB28" s="1053">
        <f t="shared" si="202"/>
        <v>0.29700000000000004</v>
      </c>
      <c r="DC28" s="1053">
        <f t="shared" si="203"/>
        <v>0.32670000000000005</v>
      </c>
      <c r="DD28" s="1053">
        <f t="shared" si="204"/>
        <v>0.32670000000000005</v>
      </c>
      <c r="DE28" s="1053">
        <f t="shared" si="205"/>
        <v>0.35937000000000008</v>
      </c>
      <c r="DF28" s="1053">
        <f t="shared" si="206"/>
        <v>0.39530700000000013</v>
      </c>
      <c r="DG28" s="1053">
        <f t="shared" si="207"/>
        <v>0.39530700000000013</v>
      </c>
      <c r="DH28" s="1053">
        <f t="shared" si="208"/>
        <v>0.43483770000000016</v>
      </c>
      <c r="DI28" s="1053">
        <f t="shared" si="209"/>
        <v>0.47832147000000019</v>
      </c>
      <c r="DK28" s="1684"/>
      <c r="DL28" s="957" t="s">
        <v>121</v>
      </c>
      <c r="DN28" s="994">
        <v>47</v>
      </c>
      <c r="DO28" s="995">
        <f>DO17*$AJ$28</f>
        <v>22.67346406691447</v>
      </c>
      <c r="DP28" s="995">
        <f>DP17*$AJ$28</f>
        <v>17.959179458942153</v>
      </c>
      <c r="DQ28" s="995">
        <f>DQ17*$AJ$28</f>
        <v>22.112239708822528</v>
      </c>
      <c r="DR28" s="996">
        <f>DR17*$AJ$28</f>
        <v>26.164279574246354</v>
      </c>
      <c r="DT28" s="994">
        <v>47</v>
      </c>
      <c r="DU28" s="995">
        <f>DU17*$AH$28</f>
        <v>29.840909090909093</v>
      </c>
      <c r="DV28" s="995">
        <f>DV17*$AH$28</f>
        <v>23.636363636363637</v>
      </c>
      <c r="DW28" s="995">
        <f>DW17*$AH$28</f>
        <v>29.10227272727273</v>
      </c>
      <c r="DX28" s="996">
        <f>DX17*$AH$28</f>
        <v>34.435227272727275</v>
      </c>
      <c r="DZ28" s="994">
        <v>47</v>
      </c>
      <c r="EA28" s="995">
        <f>EA17*AL$28</f>
        <v>30.697674418604652</v>
      </c>
      <c r="EB28" s="995">
        <f>EB17*AM$28</f>
        <v>24.558139534883722</v>
      </c>
      <c r="EC28" s="995">
        <f>EC17*AN$28</f>
        <v>33.260930232558145</v>
      </c>
      <c r="ED28" s="996">
        <f>ED17*AO$28</f>
        <v>43.291548837209312</v>
      </c>
      <c r="EF28" s="994">
        <f t="shared" ref="EF28:EQ28" si="222">EF17*AP$28</f>
        <v>33.615000000000002</v>
      </c>
      <c r="EG28" s="995">
        <f t="shared" si="222"/>
        <v>29.160000000000004</v>
      </c>
      <c r="EH28" s="995">
        <f t="shared" si="222"/>
        <v>15.660000000000032</v>
      </c>
      <c r="EI28" s="995">
        <f t="shared" si="222"/>
        <v>4.32</v>
      </c>
      <c r="EJ28" s="995">
        <f t="shared" si="222"/>
        <v>7.2765000000000013</v>
      </c>
      <c r="EK28" s="995">
        <f t="shared" si="222"/>
        <v>12.087900000000001</v>
      </c>
      <c r="EL28" s="995">
        <f t="shared" si="222"/>
        <v>14.048100000000002</v>
      </c>
      <c r="EM28" s="995">
        <f t="shared" si="222"/>
        <v>16.171650000000003</v>
      </c>
      <c r="EN28" s="995">
        <f t="shared" si="222"/>
        <v>17.788815000000007</v>
      </c>
      <c r="EO28" s="995">
        <f t="shared" si="222"/>
        <v>17.788815000000007</v>
      </c>
      <c r="EP28" s="995">
        <f t="shared" si="222"/>
        <v>19.567696500000007</v>
      </c>
      <c r="EQ28" s="996">
        <f t="shared" si="222"/>
        <v>21.524466150000009</v>
      </c>
      <c r="ES28" s="994">
        <f t="shared" si="217"/>
        <v>12.299999999999999</v>
      </c>
      <c r="ET28" s="995">
        <f t="shared" si="211"/>
        <v>9.99</v>
      </c>
      <c r="EU28" s="995">
        <f t="shared" si="211"/>
        <v>7.1550000000000002</v>
      </c>
      <c r="EV28" s="995">
        <f t="shared" si="211"/>
        <v>4.32</v>
      </c>
      <c r="EW28" s="995">
        <f t="shared" si="211"/>
        <v>9.6525000000000016</v>
      </c>
      <c r="EX28" s="995">
        <f t="shared" si="211"/>
        <v>16.008300000000002</v>
      </c>
      <c r="EY28" s="995">
        <f t="shared" si="211"/>
        <v>15.354900000000002</v>
      </c>
      <c r="EZ28" s="995">
        <f t="shared" si="211"/>
        <v>16.171650000000003</v>
      </c>
      <c r="FA28" s="995">
        <f t="shared" si="211"/>
        <v>17.788815000000007</v>
      </c>
      <c r="FB28" s="995">
        <f t="shared" si="211"/>
        <v>17.788815000000007</v>
      </c>
      <c r="FC28" s="995">
        <f t="shared" si="211"/>
        <v>19.567696500000007</v>
      </c>
      <c r="FD28" s="996">
        <f t="shared" si="211"/>
        <v>21.524466150000009</v>
      </c>
      <c r="FF28" s="994">
        <f t="shared" si="218"/>
        <v>13.5</v>
      </c>
      <c r="FG28" s="995">
        <f t="shared" si="212"/>
        <v>12.15</v>
      </c>
      <c r="FH28" s="995">
        <f t="shared" si="212"/>
        <v>8.2350000000000012</v>
      </c>
      <c r="FI28" s="995">
        <f t="shared" si="212"/>
        <v>4.32</v>
      </c>
      <c r="FJ28" s="995">
        <f t="shared" si="212"/>
        <v>9.6525000000000016</v>
      </c>
      <c r="FK28" s="995">
        <f t="shared" si="212"/>
        <v>13.394700000000002</v>
      </c>
      <c r="FL28" s="995">
        <f t="shared" si="212"/>
        <v>10.781100000000002</v>
      </c>
      <c r="FM28" s="995">
        <f t="shared" si="212"/>
        <v>11.859210000000003</v>
      </c>
      <c r="FN28" s="995">
        <f t="shared" si="212"/>
        <v>13.045131000000005</v>
      </c>
      <c r="FO28" s="995">
        <f t="shared" si="212"/>
        <v>13.045131000000005</v>
      </c>
      <c r="FP28" s="995">
        <f t="shared" si="212"/>
        <v>14.349644100000006</v>
      </c>
      <c r="FQ28" s="996">
        <f t="shared" si="212"/>
        <v>15.784608510000007</v>
      </c>
      <c r="FS28" s="994">
        <f t="shared" si="219"/>
        <v>9.9</v>
      </c>
      <c r="FT28" s="995">
        <f t="shared" si="213"/>
        <v>8.91</v>
      </c>
      <c r="FU28" s="995">
        <f t="shared" si="213"/>
        <v>6.6150000000000002</v>
      </c>
      <c r="FV28" s="995">
        <f t="shared" si="213"/>
        <v>4.32</v>
      </c>
      <c r="FW28" s="995">
        <f t="shared" si="213"/>
        <v>4.7520000000000007</v>
      </c>
      <c r="FX28" s="995">
        <f t="shared" si="213"/>
        <v>5.2272000000000007</v>
      </c>
      <c r="FY28" s="995">
        <f t="shared" si="213"/>
        <v>5.2272000000000007</v>
      </c>
      <c r="FZ28" s="995">
        <f t="shared" si="213"/>
        <v>5.7499200000000013</v>
      </c>
      <c r="GA28" s="995">
        <f t="shared" si="213"/>
        <v>6.3249120000000021</v>
      </c>
      <c r="GB28" s="995">
        <f t="shared" si="213"/>
        <v>6.3249120000000021</v>
      </c>
      <c r="GC28" s="995">
        <f t="shared" si="213"/>
        <v>6.9574032000000026</v>
      </c>
      <c r="GD28" s="996">
        <f t="shared" si="213"/>
        <v>7.6531435200000031</v>
      </c>
      <c r="GF28" s="994">
        <f t="shared" si="220"/>
        <v>4.8</v>
      </c>
      <c r="GG28" s="995">
        <f t="shared" si="214"/>
        <v>4.32</v>
      </c>
      <c r="GH28" s="995">
        <f t="shared" si="214"/>
        <v>4.32</v>
      </c>
      <c r="GI28" s="995">
        <f t="shared" si="214"/>
        <v>4.32</v>
      </c>
      <c r="GJ28" s="995">
        <f t="shared" si="214"/>
        <v>4.7520000000000007</v>
      </c>
      <c r="GK28" s="995">
        <f t="shared" si="214"/>
        <v>5.2272000000000007</v>
      </c>
      <c r="GL28" s="995">
        <f t="shared" si="214"/>
        <v>5.2272000000000007</v>
      </c>
      <c r="GM28" s="995">
        <f t="shared" si="214"/>
        <v>5.7499200000000013</v>
      </c>
      <c r="GN28" s="995">
        <f t="shared" si="214"/>
        <v>6.3249120000000021</v>
      </c>
      <c r="GO28" s="995">
        <f t="shared" si="214"/>
        <v>6.3249120000000021</v>
      </c>
      <c r="GP28" s="995">
        <f t="shared" si="214"/>
        <v>6.9574032000000026</v>
      </c>
      <c r="GQ28" s="996">
        <f t="shared" si="214"/>
        <v>7.6531435200000031</v>
      </c>
      <c r="GS28" s="994">
        <f t="shared" si="221"/>
        <v>4.8</v>
      </c>
      <c r="GT28" s="995">
        <f t="shared" si="215"/>
        <v>4.32</v>
      </c>
      <c r="GU28" s="995">
        <f t="shared" si="215"/>
        <v>4.32</v>
      </c>
      <c r="GV28" s="995">
        <f t="shared" si="215"/>
        <v>4.32</v>
      </c>
      <c r="GW28" s="995">
        <f t="shared" si="215"/>
        <v>4.7520000000000007</v>
      </c>
      <c r="GX28" s="995">
        <f t="shared" si="215"/>
        <v>5.2272000000000007</v>
      </c>
      <c r="GY28" s="995">
        <f t="shared" si="215"/>
        <v>5.2272000000000007</v>
      </c>
      <c r="GZ28" s="995">
        <f t="shared" si="215"/>
        <v>5.7499200000000013</v>
      </c>
      <c r="HA28" s="995">
        <f t="shared" si="215"/>
        <v>6.3249120000000021</v>
      </c>
      <c r="HB28" s="995">
        <f t="shared" si="215"/>
        <v>6.3249120000000021</v>
      </c>
      <c r="HC28" s="995">
        <f t="shared" si="215"/>
        <v>6.9574032000000026</v>
      </c>
      <c r="HD28" s="996">
        <f t="shared" si="215"/>
        <v>7.6531435200000031</v>
      </c>
    </row>
    <row r="29" spans="2:212">
      <c r="B29" s="977"/>
      <c r="C29" s="1007" t="s">
        <v>1046</v>
      </c>
      <c r="D29" s="977"/>
      <c r="E29" s="977"/>
      <c r="F29" s="977"/>
      <c r="G29" s="977"/>
      <c r="H29" s="981"/>
      <c r="I29" s="981"/>
      <c r="N29" s="1684"/>
      <c r="O29" s="957" t="s">
        <v>122</v>
      </c>
      <c r="P29" s="606">
        <v>10</v>
      </c>
      <c r="Q29" s="606">
        <v>4</v>
      </c>
      <c r="R29" s="606">
        <v>11</v>
      </c>
      <c r="S29" s="606">
        <v>6</v>
      </c>
      <c r="T29" s="606">
        <v>4</v>
      </c>
      <c r="U29" s="606">
        <v>2</v>
      </c>
      <c r="V29" s="606">
        <v>9</v>
      </c>
      <c r="AA29" s="1684"/>
      <c r="AB29" s="957" t="s">
        <v>122</v>
      </c>
      <c r="AC29" s="610">
        <f t="shared" si="147"/>
        <v>0.15384615384615385</v>
      </c>
      <c r="AD29" s="610">
        <f t="shared" si="147"/>
        <v>8.3333333333333329E-2</v>
      </c>
      <c r="AE29" s="610">
        <f t="shared" si="147"/>
        <v>0.19642857142857142</v>
      </c>
      <c r="AF29" s="610">
        <f t="shared" si="147"/>
        <v>0.23076923076923078</v>
      </c>
      <c r="AG29" s="610">
        <f t="shared" si="147"/>
        <v>0.22222222222222221</v>
      </c>
      <c r="AH29" s="610">
        <f t="shared" si="147"/>
        <v>0.16666666666666666</v>
      </c>
      <c r="AI29" s="610">
        <f t="shared" si="147"/>
        <v>0.20930232558139536</v>
      </c>
      <c r="AJ29" s="952">
        <f t="shared" si="148"/>
        <v>0.18036692912108193</v>
      </c>
      <c r="AK29" s="952">
        <f t="shared" si="149"/>
        <v>0.20930232558139536</v>
      </c>
      <c r="AL29" s="952">
        <f t="shared" si="150"/>
        <v>0.23023255813953492</v>
      </c>
      <c r="AM29" s="952">
        <f t="shared" si="151"/>
        <v>0.23023255813953492</v>
      </c>
      <c r="AN29" s="952">
        <f t="shared" si="152"/>
        <v>0.25325581395348845</v>
      </c>
      <c r="AO29" s="952">
        <f t="shared" si="153"/>
        <v>0.2785813953488373</v>
      </c>
      <c r="AP29" s="1053">
        <v>0.2</v>
      </c>
      <c r="AQ29" s="1053">
        <f t="shared" si="154"/>
        <v>0.18000000000000002</v>
      </c>
      <c r="AR29" s="1053">
        <f t="shared" si="154"/>
        <v>0.18000000000000002</v>
      </c>
      <c r="AS29" s="1053">
        <f t="shared" si="154"/>
        <v>0.18000000000000002</v>
      </c>
      <c r="AT29" s="1053">
        <f t="shared" si="154"/>
        <v>0.19800000000000004</v>
      </c>
      <c r="AU29" s="1053">
        <f t="shared" si="154"/>
        <v>0.21780000000000005</v>
      </c>
      <c r="AV29" s="1053">
        <f t="shared" si="154"/>
        <v>0.21780000000000005</v>
      </c>
      <c r="AW29" s="1053">
        <f t="shared" si="154"/>
        <v>0.23958000000000007</v>
      </c>
      <c r="AX29" s="1053">
        <f t="shared" si="154"/>
        <v>0.26353800000000011</v>
      </c>
      <c r="AY29" s="1053">
        <f t="shared" si="154"/>
        <v>0.26353800000000011</v>
      </c>
      <c r="AZ29" s="1053">
        <f t="shared" si="154"/>
        <v>0.28989180000000014</v>
      </c>
      <c r="BA29" s="1053">
        <f t="shared" si="154"/>
        <v>0.3188809800000002</v>
      </c>
      <c r="BB29" s="1053">
        <v>0.2</v>
      </c>
      <c r="BC29" s="1053">
        <f t="shared" si="155"/>
        <v>0.18000000000000002</v>
      </c>
      <c r="BD29" s="1053">
        <f t="shared" si="156"/>
        <v>0.18000000000000002</v>
      </c>
      <c r="BE29" s="1053">
        <f t="shared" si="157"/>
        <v>0.18000000000000002</v>
      </c>
      <c r="BF29" s="1053">
        <f t="shared" si="158"/>
        <v>0.19800000000000004</v>
      </c>
      <c r="BG29" s="1053">
        <f t="shared" si="159"/>
        <v>0.21780000000000005</v>
      </c>
      <c r="BH29" s="1053">
        <f t="shared" si="160"/>
        <v>0.21780000000000005</v>
      </c>
      <c r="BI29" s="1053">
        <f t="shared" si="161"/>
        <v>0.23958000000000007</v>
      </c>
      <c r="BJ29" s="1053">
        <f t="shared" si="162"/>
        <v>0.26353800000000011</v>
      </c>
      <c r="BK29" s="1053">
        <f t="shared" si="163"/>
        <v>0.26353800000000011</v>
      </c>
      <c r="BL29" s="1053">
        <f t="shared" si="164"/>
        <v>0.28989180000000014</v>
      </c>
      <c r="BM29" s="1053">
        <f t="shared" si="165"/>
        <v>0.3188809800000002</v>
      </c>
      <c r="BN29" s="1053">
        <v>0.2</v>
      </c>
      <c r="BO29" s="1053">
        <f t="shared" si="166"/>
        <v>0.18000000000000002</v>
      </c>
      <c r="BP29" s="1053">
        <f t="shared" si="167"/>
        <v>0.18000000000000002</v>
      </c>
      <c r="BQ29" s="1053">
        <f t="shared" si="168"/>
        <v>0.18000000000000002</v>
      </c>
      <c r="BR29" s="1053">
        <f t="shared" si="169"/>
        <v>0.19800000000000004</v>
      </c>
      <c r="BS29" s="1053">
        <f t="shared" si="170"/>
        <v>0.21780000000000005</v>
      </c>
      <c r="BT29" s="1053">
        <f t="shared" si="171"/>
        <v>0.21780000000000005</v>
      </c>
      <c r="BU29" s="1053">
        <f t="shared" si="172"/>
        <v>0.23958000000000007</v>
      </c>
      <c r="BV29" s="1053">
        <f t="shared" si="173"/>
        <v>0.26353800000000011</v>
      </c>
      <c r="BW29" s="1053">
        <f t="shared" si="174"/>
        <v>0.26353800000000011</v>
      </c>
      <c r="BX29" s="1053">
        <f t="shared" si="175"/>
        <v>0.28989180000000014</v>
      </c>
      <c r="BY29" s="1053">
        <f t="shared" si="176"/>
        <v>0.3188809800000002</v>
      </c>
      <c r="BZ29" s="1053">
        <v>0.2</v>
      </c>
      <c r="CA29" s="1053">
        <f t="shared" si="177"/>
        <v>0.18000000000000002</v>
      </c>
      <c r="CB29" s="1053">
        <f t="shared" si="178"/>
        <v>0.18000000000000002</v>
      </c>
      <c r="CC29" s="1053">
        <f t="shared" si="179"/>
        <v>0.18000000000000002</v>
      </c>
      <c r="CD29" s="1053">
        <f t="shared" si="180"/>
        <v>0.19800000000000004</v>
      </c>
      <c r="CE29" s="1053">
        <f t="shared" si="181"/>
        <v>0.21780000000000005</v>
      </c>
      <c r="CF29" s="1053">
        <f t="shared" si="182"/>
        <v>0.21780000000000005</v>
      </c>
      <c r="CG29" s="1053">
        <f t="shared" si="183"/>
        <v>0.23958000000000007</v>
      </c>
      <c r="CH29" s="1053">
        <f t="shared" si="184"/>
        <v>0.26353800000000011</v>
      </c>
      <c r="CI29" s="1053">
        <f t="shared" si="185"/>
        <v>0.26353800000000011</v>
      </c>
      <c r="CJ29" s="1053">
        <f t="shared" si="186"/>
        <v>0.28989180000000014</v>
      </c>
      <c r="CK29" s="1053">
        <f t="shared" si="187"/>
        <v>0.3188809800000002</v>
      </c>
      <c r="CL29" s="1053">
        <v>0.2</v>
      </c>
      <c r="CM29" s="1053">
        <f t="shared" si="188"/>
        <v>0.18000000000000002</v>
      </c>
      <c r="CN29" s="1053">
        <f t="shared" si="189"/>
        <v>0.18000000000000002</v>
      </c>
      <c r="CO29" s="1053">
        <f t="shared" si="190"/>
        <v>0.18000000000000002</v>
      </c>
      <c r="CP29" s="1053">
        <f t="shared" si="191"/>
        <v>0.19800000000000004</v>
      </c>
      <c r="CQ29" s="1053">
        <f t="shared" si="192"/>
        <v>0.21780000000000005</v>
      </c>
      <c r="CR29" s="1053">
        <f t="shared" si="193"/>
        <v>0.21780000000000005</v>
      </c>
      <c r="CS29" s="1053">
        <f t="shared" si="194"/>
        <v>0.23958000000000007</v>
      </c>
      <c r="CT29" s="1053">
        <f t="shared" si="195"/>
        <v>0.26353800000000011</v>
      </c>
      <c r="CU29" s="1053">
        <f t="shared" si="196"/>
        <v>0.26353800000000011</v>
      </c>
      <c r="CV29" s="1053">
        <f t="shared" si="197"/>
        <v>0.28989180000000014</v>
      </c>
      <c r="CW29" s="1053">
        <f t="shared" si="198"/>
        <v>0.3188809800000002</v>
      </c>
      <c r="CX29" s="1053">
        <v>0.2</v>
      </c>
      <c r="CY29" s="1053">
        <f t="shared" si="199"/>
        <v>0.18000000000000002</v>
      </c>
      <c r="CZ29" s="1053">
        <f t="shared" si="200"/>
        <v>0.18000000000000002</v>
      </c>
      <c r="DA29" s="1053">
        <f t="shared" si="201"/>
        <v>0.18000000000000002</v>
      </c>
      <c r="DB29" s="1053">
        <f t="shared" si="202"/>
        <v>0.19800000000000004</v>
      </c>
      <c r="DC29" s="1053">
        <f t="shared" si="203"/>
        <v>0.21780000000000005</v>
      </c>
      <c r="DD29" s="1053">
        <f t="shared" si="204"/>
        <v>0.21780000000000005</v>
      </c>
      <c r="DE29" s="1053">
        <f t="shared" si="205"/>
        <v>0.23958000000000007</v>
      </c>
      <c r="DF29" s="1053">
        <f t="shared" si="206"/>
        <v>0.26353800000000011</v>
      </c>
      <c r="DG29" s="1053">
        <f t="shared" si="207"/>
        <v>0.26353800000000011</v>
      </c>
      <c r="DH29" s="1053">
        <f t="shared" si="208"/>
        <v>0.28989180000000014</v>
      </c>
      <c r="DI29" s="1053">
        <f t="shared" si="209"/>
        <v>0.3188809800000002</v>
      </c>
      <c r="DK29" s="1684"/>
      <c r="DL29" s="957" t="s">
        <v>122</v>
      </c>
      <c r="DN29" s="994">
        <v>8</v>
      </c>
      <c r="DO29" s="995">
        <f>DO18*$AJ$29</f>
        <v>18.938527557713602</v>
      </c>
      <c r="DP29" s="995">
        <f>DP18*$AJ$29</f>
        <v>18.217059841229275</v>
      </c>
      <c r="DQ29" s="995">
        <f>DQ18*$AJ$29</f>
        <v>14.429354329686554</v>
      </c>
      <c r="DR29" s="996">
        <f>DR18*$AJ$29</f>
        <v>17.76614251842657</v>
      </c>
      <c r="DT29" s="994">
        <v>8</v>
      </c>
      <c r="DU29" s="995">
        <f>DU18*$AH$29</f>
        <v>17.5</v>
      </c>
      <c r="DV29" s="995">
        <f>DV18*$AH$29</f>
        <v>16.833333333333332</v>
      </c>
      <c r="DW29" s="995">
        <f>DW18*$AH$29</f>
        <v>13.333333333333332</v>
      </c>
      <c r="DX29" s="996">
        <f>DX18*$AH$29</f>
        <v>16.416666666666664</v>
      </c>
      <c r="DZ29" s="994">
        <v>8</v>
      </c>
      <c r="EA29" s="995">
        <f>EA18*AL$29</f>
        <v>23.713953488372095</v>
      </c>
      <c r="EB29" s="995">
        <f>EB18*AM$29</f>
        <v>23.02325581395349</v>
      </c>
      <c r="EC29" s="995">
        <f>EC18*AN$29</f>
        <v>20.260465116279075</v>
      </c>
      <c r="ED29" s="996">
        <f>ED18*AO$29</f>
        <v>27.440267441860474</v>
      </c>
      <c r="EF29" s="994">
        <f t="shared" ref="EF29:EQ29" si="223">EF18*AP$29</f>
        <v>23.310000000000002</v>
      </c>
      <c r="EG29" s="995">
        <f t="shared" si="223"/>
        <v>20.169000000000004</v>
      </c>
      <c r="EH29" s="995">
        <f t="shared" si="223"/>
        <v>19.440000000000001</v>
      </c>
      <c r="EI29" s="995">
        <f t="shared" si="223"/>
        <v>10.440000000000021</v>
      </c>
      <c r="EJ29" s="995">
        <f t="shared" si="223"/>
        <v>3.1680000000000006</v>
      </c>
      <c r="EK29" s="995">
        <f t="shared" si="223"/>
        <v>5.336100000000001</v>
      </c>
      <c r="EL29" s="995">
        <f t="shared" si="223"/>
        <v>8.058600000000002</v>
      </c>
      <c r="EM29" s="995">
        <f t="shared" si="223"/>
        <v>10.301940000000004</v>
      </c>
      <c r="EN29" s="995">
        <f t="shared" si="223"/>
        <v>11.859210000000004</v>
      </c>
      <c r="EO29" s="995">
        <f t="shared" si="223"/>
        <v>11.859210000000004</v>
      </c>
      <c r="EP29" s="995">
        <f t="shared" si="223"/>
        <v>13.045131000000007</v>
      </c>
      <c r="EQ29" s="996">
        <f t="shared" si="223"/>
        <v>14.34964410000001</v>
      </c>
      <c r="ES29" s="994">
        <f t="shared" si="217"/>
        <v>9</v>
      </c>
      <c r="ET29" s="995">
        <f t="shared" si="211"/>
        <v>7.3800000000000008</v>
      </c>
      <c r="EU29" s="995">
        <f t="shared" si="211"/>
        <v>6.660000000000001</v>
      </c>
      <c r="EV29" s="995">
        <f t="shared" si="211"/>
        <v>4.7700000000000005</v>
      </c>
      <c r="EW29" s="995">
        <f t="shared" si="211"/>
        <v>3.1680000000000006</v>
      </c>
      <c r="EX29" s="995">
        <f t="shared" si="211"/>
        <v>7.0785000000000018</v>
      </c>
      <c r="EY29" s="995">
        <f t="shared" si="211"/>
        <v>10.672200000000002</v>
      </c>
      <c r="EZ29" s="995">
        <f t="shared" si="211"/>
        <v>11.260260000000004</v>
      </c>
      <c r="FA29" s="995">
        <f t="shared" si="211"/>
        <v>11.859210000000004</v>
      </c>
      <c r="FB29" s="995">
        <f t="shared" si="211"/>
        <v>11.859210000000004</v>
      </c>
      <c r="FC29" s="995">
        <f t="shared" si="211"/>
        <v>13.045131000000007</v>
      </c>
      <c r="FD29" s="996">
        <f t="shared" si="211"/>
        <v>14.34964410000001</v>
      </c>
      <c r="FF29" s="994">
        <f t="shared" si="218"/>
        <v>9</v>
      </c>
      <c r="FG29" s="995">
        <f t="shared" si="212"/>
        <v>8.1000000000000014</v>
      </c>
      <c r="FH29" s="995">
        <f t="shared" si="212"/>
        <v>8.1000000000000014</v>
      </c>
      <c r="FI29" s="995">
        <f t="shared" si="212"/>
        <v>5.49</v>
      </c>
      <c r="FJ29" s="995">
        <f t="shared" si="212"/>
        <v>3.1680000000000006</v>
      </c>
      <c r="FK29" s="995">
        <f t="shared" si="212"/>
        <v>7.0785000000000018</v>
      </c>
      <c r="FL29" s="995">
        <f t="shared" si="212"/>
        <v>8.929800000000002</v>
      </c>
      <c r="FM29" s="995">
        <f t="shared" si="212"/>
        <v>7.9061400000000024</v>
      </c>
      <c r="FN29" s="995">
        <f t="shared" si="212"/>
        <v>8.6967540000000039</v>
      </c>
      <c r="FO29" s="995">
        <f t="shared" si="212"/>
        <v>8.6967540000000039</v>
      </c>
      <c r="FP29" s="995">
        <f t="shared" si="212"/>
        <v>9.5664294000000041</v>
      </c>
      <c r="FQ29" s="996">
        <f t="shared" si="212"/>
        <v>10.523072340000006</v>
      </c>
      <c r="FS29" s="994">
        <f t="shared" si="219"/>
        <v>6.6000000000000005</v>
      </c>
      <c r="FT29" s="995">
        <f t="shared" si="213"/>
        <v>5.94</v>
      </c>
      <c r="FU29" s="995">
        <f t="shared" si="213"/>
        <v>5.94</v>
      </c>
      <c r="FV29" s="995">
        <f t="shared" si="213"/>
        <v>4.41</v>
      </c>
      <c r="FW29" s="995">
        <f t="shared" si="213"/>
        <v>3.1680000000000006</v>
      </c>
      <c r="FX29" s="995">
        <f t="shared" si="213"/>
        <v>3.4848000000000008</v>
      </c>
      <c r="FY29" s="995">
        <f t="shared" si="213"/>
        <v>3.4848000000000008</v>
      </c>
      <c r="FZ29" s="995">
        <f t="shared" si="213"/>
        <v>3.8332800000000011</v>
      </c>
      <c r="GA29" s="995">
        <f t="shared" si="213"/>
        <v>4.2166080000000017</v>
      </c>
      <c r="GB29" s="995">
        <f t="shared" si="213"/>
        <v>4.2166080000000017</v>
      </c>
      <c r="GC29" s="995">
        <f t="shared" si="213"/>
        <v>4.6382688000000023</v>
      </c>
      <c r="GD29" s="996">
        <f t="shared" si="213"/>
        <v>5.1020956800000032</v>
      </c>
      <c r="GF29" s="994">
        <f t="shared" si="220"/>
        <v>3.2</v>
      </c>
      <c r="GG29" s="995">
        <f t="shared" si="214"/>
        <v>2.8800000000000003</v>
      </c>
      <c r="GH29" s="995">
        <f t="shared" si="214"/>
        <v>2.8800000000000003</v>
      </c>
      <c r="GI29" s="995">
        <f t="shared" si="214"/>
        <v>2.8800000000000003</v>
      </c>
      <c r="GJ29" s="995">
        <f t="shared" si="214"/>
        <v>3.1680000000000006</v>
      </c>
      <c r="GK29" s="995">
        <f t="shared" si="214"/>
        <v>3.4848000000000008</v>
      </c>
      <c r="GL29" s="995">
        <f t="shared" si="214"/>
        <v>3.4848000000000008</v>
      </c>
      <c r="GM29" s="995">
        <f t="shared" si="214"/>
        <v>3.8332800000000011</v>
      </c>
      <c r="GN29" s="995">
        <f t="shared" si="214"/>
        <v>4.2166080000000017</v>
      </c>
      <c r="GO29" s="995">
        <f t="shared" si="214"/>
        <v>4.2166080000000017</v>
      </c>
      <c r="GP29" s="995">
        <f t="shared" si="214"/>
        <v>4.6382688000000023</v>
      </c>
      <c r="GQ29" s="996">
        <f t="shared" si="214"/>
        <v>5.1020956800000032</v>
      </c>
      <c r="GS29" s="994">
        <f t="shared" si="221"/>
        <v>3.2</v>
      </c>
      <c r="GT29" s="995">
        <f t="shared" si="215"/>
        <v>2.8800000000000003</v>
      </c>
      <c r="GU29" s="995">
        <f t="shared" si="215"/>
        <v>2.8800000000000003</v>
      </c>
      <c r="GV29" s="995">
        <f t="shared" si="215"/>
        <v>2.8800000000000003</v>
      </c>
      <c r="GW29" s="995">
        <f t="shared" si="215"/>
        <v>3.1680000000000006</v>
      </c>
      <c r="GX29" s="995">
        <f t="shared" si="215"/>
        <v>3.4848000000000008</v>
      </c>
      <c r="GY29" s="995">
        <f t="shared" si="215"/>
        <v>3.4848000000000008</v>
      </c>
      <c r="GZ29" s="995">
        <f t="shared" si="215"/>
        <v>3.8332800000000011</v>
      </c>
      <c r="HA29" s="995">
        <f t="shared" si="215"/>
        <v>4.2166080000000017</v>
      </c>
      <c r="HB29" s="995">
        <f t="shared" si="215"/>
        <v>4.2166080000000017</v>
      </c>
      <c r="HC29" s="995">
        <f t="shared" si="215"/>
        <v>4.6382688000000023</v>
      </c>
      <c r="HD29" s="996">
        <f t="shared" si="215"/>
        <v>5.1020956800000032</v>
      </c>
    </row>
    <row r="30" spans="2:212">
      <c r="B30" s="977"/>
      <c r="C30" s="977" t="s">
        <v>1047</v>
      </c>
      <c r="D30" s="977"/>
      <c r="E30" s="977"/>
      <c r="F30" s="977"/>
      <c r="G30" s="977"/>
      <c r="H30" s="981"/>
      <c r="I30" s="981"/>
      <c r="N30" s="1684"/>
      <c r="O30" s="957" t="s">
        <v>123</v>
      </c>
      <c r="P30" s="606">
        <v>1</v>
      </c>
      <c r="Q30" s="606">
        <v>6</v>
      </c>
      <c r="R30" s="606">
        <v>12</v>
      </c>
      <c r="S30" s="606">
        <v>7</v>
      </c>
      <c r="T30" s="606">
        <v>7</v>
      </c>
      <c r="U30" s="606">
        <v>2</v>
      </c>
      <c r="V30" s="606">
        <v>2</v>
      </c>
      <c r="AA30" s="1684"/>
      <c r="AB30" s="957" t="s">
        <v>123</v>
      </c>
      <c r="AC30" s="610">
        <f t="shared" si="147"/>
        <v>2.3255813953488372E-2</v>
      </c>
      <c r="AD30" s="610">
        <f t="shared" si="147"/>
        <v>9.375E-2</v>
      </c>
      <c r="AE30" s="610">
        <f t="shared" si="147"/>
        <v>0.25</v>
      </c>
      <c r="AF30" s="610">
        <f t="shared" si="147"/>
        <v>0.12727272727272726</v>
      </c>
      <c r="AG30" s="610">
        <f t="shared" si="147"/>
        <v>0.26923076923076922</v>
      </c>
      <c r="AH30" s="610">
        <f t="shared" si="147"/>
        <v>0.125</v>
      </c>
      <c r="AI30" s="610">
        <f t="shared" si="147"/>
        <v>0.18181818181818182</v>
      </c>
      <c r="AJ30" s="952">
        <f t="shared" si="148"/>
        <v>0.15290392746788095</v>
      </c>
      <c r="AK30" s="952">
        <f t="shared" si="149"/>
        <v>0.18181818181818182</v>
      </c>
      <c r="AL30" s="952">
        <f t="shared" si="150"/>
        <v>0.2</v>
      </c>
      <c r="AM30" s="952">
        <f t="shared" si="151"/>
        <v>0.2</v>
      </c>
      <c r="AN30" s="952">
        <f t="shared" si="152"/>
        <v>0.22000000000000003</v>
      </c>
      <c r="AO30" s="952">
        <f t="shared" si="153"/>
        <v>0.24200000000000005</v>
      </c>
      <c r="AP30" s="1053">
        <v>0.18</v>
      </c>
      <c r="AQ30" s="1053">
        <f t="shared" si="154"/>
        <v>0.16200000000000001</v>
      </c>
      <c r="AR30" s="1053">
        <f t="shared" si="154"/>
        <v>0.16200000000000001</v>
      </c>
      <c r="AS30" s="1053">
        <f t="shared" si="154"/>
        <v>0.16200000000000001</v>
      </c>
      <c r="AT30" s="1053">
        <f t="shared" si="154"/>
        <v>0.17820000000000003</v>
      </c>
      <c r="AU30" s="1053">
        <f t="shared" si="154"/>
        <v>0.19602000000000006</v>
      </c>
      <c r="AV30" s="1053">
        <f t="shared" si="154"/>
        <v>0.19602000000000006</v>
      </c>
      <c r="AW30" s="1053">
        <f t="shared" si="154"/>
        <v>0.21562200000000009</v>
      </c>
      <c r="AX30" s="1053">
        <f t="shared" si="154"/>
        <v>0.23718420000000012</v>
      </c>
      <c r="AY30" s="1053">
        <f t="shared" si="154"/>
        <v>0.23718420000000012</v>
      </c>
      <c r="AZ30" s="1053">
        <f t="shared" si="154"/>
        <v>0.26090262000000014</v>
      </c>
      <c r="BA30" s="1053">
        <f t="shared" si="154"/>
        <v>0.28699288200000017</v>
      </c>
      <c r="BB30" s="1053">
        <v>0.18</v>
      </c>
      <c r="BC30" s="1053">
        <f t="shared" si="155"/>
        <v>0.16200000000000001</v>
      </c>
      <c r="BD30" s="1053">
        <f t="shared" si="156"/>
        <v>0.16200000000000001</v>
      </c>
      <c r="BE30" s="1053">
        <f t="shared" si="157"/>
        <v>0.16200000000000001</v>
      </c>
      <c r="BF30" s="1053">
        <f t="shared" si="158"/>
        <v>0.17820000000000003</v>
      </c>
      <c r="BG30" s="1053">
        <f t="shared" si="159"/>
        <v>0.19602000000000006</v>
      </c>
      <c r="BH30" s="1053">
        <f t="shared" si="160"/>
        <v>0.19602000000000006</v>
      </c>
      <c r="BI30" s="1053">
        <f t="shared" si="161"/>
        <v>0.21562200000000009</v>
      </c>
      <c r="BJ30" s="1053">
        <f t="shared" si="162"/>
        <v>0.23718420000000012</v>
      </c>
      <c r="BK30" s="1053">
        <f t="shared" si="163"/>
        <v>0.23718420000000012</v>
      </c>
      <c r="BL30" s="1053">
        <f t="shared" si="164"/>
        <v>0.26090262000000014</v>
      </c>
      <c r="BM30" s="1053">
        <f t="shared" si="165"/>
        <v>0.28699288200000017</v>
      </c>
      <c r="BN30" s="1053">
        <v>0.18</v>
      </c>
      <c r="BO30" s="1053">
        <f t="shared" si="166"/>
        <v>0.16200000000000001</v>
      </c>
      <c r="BP30" s="1053">
        <f t="shared" si="167"/>
        <v>0.16200000000000001</v>
      </c>
      <c r="BQ30" s="1053">
        <f t="shared" si="168"/>
        <v>0.16200000000000001</v>
      </c>
      <c r="BR30" s="1053">
        <f t="shared" si="169"/>
        <v>0.17820000000000003</v>
      </c>
      <c r="BS30" s="1053">
        <f t="shared" si="170"/>
        <v>0.19602000000000006</v>
      </c>
      <c r="BT30" s="1053">
        <f t="shared" si="171"/>
        <v>0.19602000000000006</v>
      </c>
      <c r="BU30" s="1053">
        <f t="shared" si="172"/>
        <v>0.21562200000000009</v>
      </c>
      <c r="BV30" s="1053">
        <f t="shared" si="173"/>
        <v>0.23718420000000012</v>
      </c>
      <c r="BW30" s="1053">
        <f t="shared" si="174"/>
        <v>0.23718420000000012</v>
      </c>
      <c r="BX30" s="1053">
        <f t="shared" si="175"/>
        <v>0.26090262000000014</v>
      </c>
      <c r="BY30" s="1053">
        <f t="shared" si="176"/>
        <v>0.28699288200000017</v>
      </c>
      <c r="BZ30" s="1053">
        <v>0.18</v>
      </c>
      <c r="CA30" s="1053">
        <f t="shared" si="177"/>
        <v>0.16200000000000001</v>
      </c>
      <c r="CB30" s="1053">
        <f t="shared" si="178"/>
        <v>0.16200000000000001</v>
      </c>
      <c r="CC30" s="1053">
        <f t="shared" si="179"/>
        <v>0.16200000000000001</v>
      </c>
      <c r="CD30" s="1053">
        <f t="shared" si="180"/>
        <v>0.17820000000000003</v>
      </c>
      <c r="CE30" s="1053">
        <f t="shared" si="181"/>
        <v>0.19602000000000006</v>
      </c>
      <c r="CF30" s="1053">
        <f t="shared" si="182"/>
        <v>0.19602000000000006</v>
      </c>
      <c r="CG30" s="1053">
        <f t="shared" si="183"/>
        <v>0.21562200000000009</v>
      </c>
      <c r="CH30" s="1053">
        <f t="shared" si="184"/>
        <v>0.23718420000000012</v>
      </c>
      <c r="CI30" s="1053">
        <f t="shared" si="185"/>
        <v>0.23718420000000012</v>
      </c>
      <c r="CJ30" s="1053">
        <f t="shared" si="186"/>
        <v>0.26090262000000014</v>
      </c>
      <c r="CK30" s="1053">
        <f t="shared" si="187"/>
        <v>0.28699288200000017</v>
      </c>
      <c r="CL30" s="1053">
        <v>0.18</v>
      </c>
      <c r="CM30" s="1053">
        <f t="shared" si="188"/>
        <v>0.16200000000000001</v>
      </c>
      <c r="CN30" s="1053">
        <f t="shared" si="189"/>
        <v>0.16200000000000001</v>
      </c>
      <c r="CO30" s="1053">
        <f t="shared" si="190"/>
        <v>0.16200000000000001</v>
      </c>
      <c r="CP30" s="1053">
        <f t="shared" si="191"/>
        <v>0.17820000000000003</v>
      </c>
      <c r="CQ30" s="1053">
        <f t="shared" si="192"/>
        <v>0.19602000000000006</v>
      </c>
      <c r="CR30" s="1053">
        <f t="shared" si="193"/>
        <v>0.19602000000000006</v>
      </c>
      <c r="CS30" s="1053">
        <f t="shared" si="194"/>
        <v>0.21562200000000009</v>
      </c>
      <c r="CT30" s="1053">
        <f t="shared" si="195"/>
        <v>0.23718420000000012</v>
      </c>
      <c r="CU30" s="1053">
        <f t="shared" si="196"/>
        <v>0.23718420000000012</v>
      </c>
      <c r="CV30" s="1053">
        <f t="shared" si="197"/>
        <v>0.26090262000000014</v>
      </c>
      <c r="CW30" s="1053">
        <f t="shared" si="198"/>
        <v>0.28699288200000017</v>
      </c>
      <c r="CX30" s="1053">
        <v>0.18</v>
      </c>
      <c r="CY30" s="1053">
        <f t="shared" si="199"/>
        <v>0.16200000000000001</v>
      </c>
      <c r="CZ30" s="1053">
        <f t="shared" si="200"/>
        <v>0.16200000000000001</v>
      </c>
      <c r="DA30" s="1053">
        <f t="shared" si="201"/>
        <v>0.16200000000000001</v>
      </c>
      <c r="DB30" s="1053">
        <f t="shared" si="202"/>
        <v>0.17820000000000003</v>
      </c>
      <c r="DC30" s="1053">
        <f t="shared" si="203"/>
        <v>0.19602000000000006</v>
      </c>
      <c r="DD30" s="1053">
        <f t="shared" si="204"/>
        <v>0.19602000000000006</v>
      </c>
      <c r="DE30" s="1053">
        <f t="shared" si="205"/>
        <v>0.21562200000000009</v>
      </c>
      <c r="DF30" s="1053">
        <f t="shared" si="206"/>
        <v>0.23718420000000012</v>
      </c>
      <c r="DG30" s="1053">
        <f t="shared" si="207"/>
        <v>0.23718420000000012</v>
      </c>
      <c r="DH30" s="1053">
        <f t="shared" si="208"/>
        <v>0.26090262000000014</v>
      </c>
      <c r="DI30" s="1053">
        <f t="shared" si="209"/>
        <v>0.28699288200000017</v>
      </c>
      <c r="DK30" s="1684"/>
      <c r="DL30" s="957" t="s">
        <v>123</v>
      </c>
      <c r="DN30" s="994">
        <v>5</v>
      </c>
      <c r="DO30" s="995">
        <f>DO19*$AJ$30</f>
        <v>6.7277728085867619</v>
      </c>
      <c r="DP30" s="995">
        <f>DP19*$AJ$30</f>
        <v>16.054912384127501</v>
      </c>
      <c r="DQ30" s="995">
        <f>DQ19*$AJ$30</f>
        <v>15.443296674255976</v>
      </c>
      <c r="DR30" s="996">
        <f>DR19*$AJ$30</f>
        <v>12.232314197430476</v>
      </c>
      <c r="DT30" s="994">
        <v>5</v>
      </c>
      <c r="DU30" s="995">
        <f>DU19*$AH$30</f>
        <v>5.5</v>
      </c>
      <c r="DV30" s="995">
        <f>DV19*$AH$30</f>
        <v>13.125</v>
      </c>
      <c r="DW30" s="995">
        <f>DW19*$AH$30</f>
        <v>12.625</v>
      </c>
      <c r="DX30" s="996">
        <f>DX19*$AH$30</f>
        <v>10</v>
      </c>
      <c r="DZ30" s="994">
        <v>5</v>
      </c>
      <c r="EA30" s="995">
        <f>EA19*AL$30</f>
        <v>8.2000000000000011</v>
      </c>
      <c r="EB30" s="995">
        <f>EB19*AM$30</f>
        <v>20.6</v>
      </c>
      <c r="EC30" s="995">
        <f>EC19*AN$30</f>
        <v>22.000000000000004</v>
      </c>
      <c r="ED30" s="996">
        <f>ED19*AO$30</f>
        <v>19.360000000000003</v>
      </c>
      <c r="EF30" s="994">
        <f t="shared" ref="EF30:EQ30" si="224">EF19*AP$30</f>
        <v>17.73</v>
      </c>
      <c r="EG30" s="995">
        <f t="shared" si="224"/>
        <v>18.881100000000004</v>
      </c>
      <c r="EH30" s="995">
        <f t="shared" si="224"/>
        <v>18.152100000000001</v>
      </c>
      <c r="EI30" s="995">
        <f t="shared" si="224"/>
        <v>17.496000000000002</v>
      </c>
      <c r="EJ30" s="995">
        <f t="shared" si="224"/>
        <v>10.335600000000023</v>
      </c>
      <c r="EK30" s="995">
        <f t="shared" si="224"/>
        <v>3.1363200000000009</v>
      </c>
      <c r="EL30" s="995">
        <f t="shared" si="224"/>
        <v>4.8024900000000015</v>
      </c>
      <c r="EM30" s="995">
        <f t="shared" si="224"/>
        <v>7.9780140000000035</v>
      </c>
      <c r="EN30" s="995">
        <f t="shared" si="224"/>
        <v>10.198920600000005</v>
      </c>
      <c r="EO30" s="995">
        <f t="shared" si="224"/>
        <v>10.673289000000006</v>
      </c>
      <c r="EP30" s="995">
        <f t="shared" si="224"/>
        <v>11.740617900000005</v>
      </c>
      <c r="EQ30" s="996">
        <f t="shared" si="224"/>
        <v>12.914679690000007</v>
      </c>
      <c r="ES30" s="994">
        <f t="shared" si="217"/>
        <v>8.1</v>
      </c>
      <c r="ET30" s="995">
        <f t="shared" si="211"/>
        <v>7.29</v>
      </c>
      <c r="EU30" s="995">
        <f t="shared" si="211"/>
        <v>6.6420000000000003</v>
      </c>
      <c r="EV30" s="995">
        <f t="shared" si="211"/>
        <v>5.9939999999999998</v>
      </c>
      <c r="EW30" s="995">
        <f t="shared" si="211"/>
        <v>4.7223000000000006</v>
      </c>
      <c r="EX30" s="995">
        <f t="shared" si="211"/>
        <v>3.1363200000000009</v>
      </c>
      <c r="EY30" s="995">
        <f t="shared" si="211"/>
        <v>6.3706500000000021</v>
      </c>
      <c r="EZ30" s="995">
        <f t="shared" si="211"/>
        <v>10.565478000000004</v>
      </c>
      <c r="FA30" s="995">
        <f t="shared" si="211"/>
        <v>11.147657400000005</v>
      </c>
      <c r="FB30" s="995">
        <f t="shared" si="211"/>
        <v>10.673289000000006</v>
      </c>
      <c r="FC30" s="995">
        <f t="shared" si="211"/>
        <v>11.740617900000005</v>
      </c>
      <c r="FD30" s="996">
        <f t="shared" si="211"/>
        <v>12.914679690000007</v>
      </c>
      <c r="FF30" s="994">
        <f t="shared" si="218"/>
        <v>8.1</v>
      </c>
      <c r="FG30" s="995">
        <f t="shared" si="212"/>
        <v>7.29</v>
      </c>
      <c r="FH30" s="995">
        <f t="shared" si="212"/>
        <v>7.29</v>
      </c>
      <c r="FI30" s="995">
        <f t="shared" si="212"/>
        <v>7.29</v>
      </c>
      <c r="FJ30" s="995">
        <f t="shared" si="212"/>
        <v>5.4351000000000012</v>
      </c>
      <c r="FK30" s="995">
        <f t="shared" si="212"/>
        <v>3.1363200000000009</v>
      </c>
      <c r="FL30" s="995">
        <f t="shared" si="212"/>
        <v>6.3706500000000021</v>
      </c>
      <c r="FM30" s="995">
        <f t="shared" si="212"/>
        <v>8.8405020000000043</v>
      </c>
      <c r="FN30" s="995">
        <f t="shared" si="212"/>
        <v>7.8270786000000037</v>
      </c>
      <c r="FO30" s="995">
        <f t="shared" si="212"/>
        <v>7.8270786000000037</v>
      </c>
      <c r="FP30" s="995">
        <f t="shared" si="212"/>
        <v>8.609786460000004</v>
      </c>
      <c r="FQ30" s="996">
        <f t="shared" si="212"/>
        <v>9.4707651060000053</v>
      </c>
      <c r="FS30" s="994">
        <f t="shared" si="219"/>
        <v>5.9399999999999995</v>
      </c>
      <c r="FT30" s="995">
        <f t="shared" si="213"/>
        <v>5.3460000000000001</v>
      </c>
      <c r="FU30" s="995">
        <f t="shared" si="213"/>
        <v>5.3460000000000001</v>
      </c>
      <c r="FV30" s="995">
        <f t="shared" si="213"/>
        <v>5.3460000000000001</v>
      </c>
      <c r="FW30" s="995">
        <f t="shared" si="213"/>
        <v>4.3659000000000008</v>
      </c>
      <c r="FX30" s="995">
        <f t="shared" si="213"/>
        <v>3.1363200000000009</v>
      </c>
      <c r="FY30" s="995">
        <f t="shared" si="213"/>
        <v>3.1363200000000009</v>
      </c>
      <c r="FZ30" s="995">
        <f t="shared" si="213"/>
        <v>3.4499520000000015</v>
      </c>
      <c r="GA30" s="995">
        <f t="shared" si="213"/>
        <v>3.794947200000002</v>
      </c>
      <c r="GB30" s="995">
        <f t="shared" si="213"/>
        <v>3.794947200000002</v>
      </c>
      <c r="GC30" s="995">
        <f t="shared" si="213"/>
        <v>4.1744419200000022</v>
      </c>
      <c r="GD30" s="996">
        <f t="shared" si="213"/>
        <v>4.5918861120000027</v>
      </c>
      <c r="GF30" s="994">
        <f t="shared" si="220"/>
        <v>2.88</v>
      </c>
      <c r="GG30" s="995">
        <f t="shared" si="214"/>
        <v>2.5920000000000001</v>
      </c>
      <c r="GH30" s="995">
        <f t="shared" si="214"/>
        <v>2.5920000000000001</v>
      </c>
      <c r="GI30" s="995">
        <f t="shared" si="214"/>
        <v>2.5920000000000001</v>
      </c>
      <c r="GJ30" s="995">
        <f t="shared" si="214"/>
        <v>2.8512000000000004</v>
      </c>
      <c r="GK30" s="995">
        <f t="shared" si="214"/>
        <v>3.1363200000000009</v>
      </c>
      <c r="GL30" s="995">
        <f t="shared" si="214"/>
        <v>3.1363200000000009</v>
      </c>
      <c r="GM30" s="995">
        <f t="shared" si="214"/>
        <v>3.4499520000000015</v>
      </c>
      <c r="GN30" s="995">
        <f t="shared" si="214"/>
        <v>3.794947200000002</v>
      </c>
      <c r="GO30" s="995">
        <f t="shared" si="214"/>
        <v>3.794947200000002</v>
      </c>
      <c r="GP30" s="995">
        <f t="shared" si="214"/>
        <v>4.1744419200000022</v>
      </c>
      <c r="GQ30" s="996">
        <f t="shared" si="214"/>
        <v>4.5918861120000027</v>
      </c>
      <c r="GS30" s="994">
        <f t="shared" si="221"/>
        <v>2.88</v>
      </c>
      <c r="GT30" s="995">
        <f t="shared" si="215"/>
        <v>2.5920000000000001</v>
      </c>
      <c r="GU30" s="995">
        <f t="shared" si="215"/>
        <v>2.5920000000000001</v>
      </c>
      <c r="GV30" s="995">
        <f t="shared" si="215"/>
        <v>2.5920000000000001</v>
      </c>
      <c r="GW30" s="995">
        <f t="shared" si="215"/>
        <v>2.8512000000000004</v>
      </c>
      <c r="GX30" s="995">
        <f t="shared" si="215"/>
        <v>3.1363200000000009</v>
      </c>
      <c r="GY30" s="995">
        <f t="shared" si="215"/>
        <v>3.1363200000000009</v>
      </c>
      <c r="GZ30" s="995">
        <f t="shared" si="215"/>
        <v>3.4499520000000015</v>
      </c>
      <c r="HA30" s="995">
        <f t="shared" si="215"/>
        <v>3.794947200000002</v>
      </c>
      <c r="HB30" s="995">
        <f t="shared" si="215"/>
        <v>3.794947200000002</v>
      </c>
      <c r="HC30" s="995">
        <f t="shared" si="215"/>
        <v>4.1744419200000022</v>
      </c>
      <c r="HD30" s="996">
        <f t="shared" si="215"/>
        <v>4.5918861120000027</v>
      </c>
    </row>
    <row r="31" spans="2:212">
      <c r="B31" s="1048"/>
      <c r="C31" s="1051"/>
      <c r="D31" s="1051"/>
      <c r="E31" s="1051"/>
      <c r="F31" s="1051"/>
      <c r="G31" s="1052"/>
      <c r="H31" s="1051"/>
      <c r="I31" s="1044"/>
      <c r="N31" s="1684"/>
      <c r="O31" s="957" t="s">
        <v>124</v>
      </c>
      <c r="P31" s="606">
        <v>1</v>
      </c>
      <c r="Q31" s="606">
        <v>3</v>
      </c>
      <c r="R31" s="606">
        <v>9</v>
      </c>
      <c r="S31" s="606">
        <v>4</v>
      </c>
      <c r="T31" s="606">
        <v>4</v>
      </c>
      <c r="U31" s="606">
        <v>7</v>
      </c>
      <c r="V31" s="606">
        <v>3</v>
      </c>
      <c r="AA31" s="1684"/>
      <c r="AB31" s="957" t="s">
        <v>124</v>
      </c>
      <c r="AC31" s="610">
        <f t="shared" si="147"/>
        <v>2.1739130434782608E-2</v>
      </c>
      <c r="AD31" s="610">
        <f t="shared" si="147"/>
        <v>7.1428571428571425E-2</v>
      </c>
      <c r="AE31" s="610">
        <f t="shared" si="147"/>
        <v>0.15254237288135594</v>
      </c>
      <c r="AF31" s="610">
        <f t="shared" si="147"/>
        <v>8.6956521739130432E-2</v>
      </c>
      <c r="AG31" s="610">
        <f t="shared" si="147"/>
        <v>7.5471698113207544E-2</v>
      </c>
      <c r="AH31" s="610">
        <f t="shared" si="147"/>
        <v>0.29166666666666669</v>
      </c>
      <c r="AI31" s="610">
        <f t="shared" si="147"/>
        <v>0.1875</v>
      </c>
      <c r="AJ31" s="952">
        <f t="shared" si="148"/>
        <v>0.12675785160910208</v>
      </c>
      <c r="AK31" s="952">
        <f t="shared" si="149"/>
        <v>0.1875</v>
      </c>
      <c r="AL31" s="952">
        <f t="shared" si="150"/>
        <v>0.20625000000000002</v>
      </c>
      <c r="AM31" s="952">
        <f t="shared" si="151"/>
        <v>0.20625000000000002</v>
      </c>
      <c r="AN31" s="952">
        <f t="shared" si="152"/>
        <v>0.22687500000000005</v>
      </c>
      <c r="AO31" s="952">
        <f t="shared" si="153"/>
        <v>0.24956250000000008</v>
      </c>
      <c r="AP31" s="1053">
        <v>0.15</v>
      </c>
      <c r="AQ31" s="1053">
        <f t="shared" si="154"/>
        <v>0.13500000000000001</v>
      </c>
      <c r="AR31" s="1053">
        <f t="shared" si="154"/>
        <v>0.13500000000000001</v>
      </c>
      <c r="AS31" s="1053">
        <f t="shared" si="154"/>
        <v>0.13500000000000001</v>
      </c>
      <c r="AT31" s="1053">
        <f t="shared" si="154"/>
        <v>0.14850000000000002</v>
      </c>
      <c r="AU31" s="1053">
        <f t="shared" si="154"/>
        <v>0.16335000000000002</v>
      </c>
      <c r="AV31" s="1053">
        <f t="shared" si="154"/>
        <v>0.16335000000000002</v>
      </c>
      <c r="AW31" s="1053">
        <f t="shared" si="154"/>
        <v>0.17968500000000004</v>
      </c>
      <c r="AX31" s="1053">
        <f t="shared" si="154"/>
        <v>0.19765350000000007</v>
      </c>
      <c r="AY31" s="1053">
        <f t="shared" si="154"/>
        <v>0.19765350000000007</v>
      </c>
      <c r="AZ31" s="1053">
        <f t="shared" si="154"/>
        <v>0.21741885000000008</v>
      </c>
      <c r="BA31" s="1053">
        <f t="shared" si="154"/>
        <v>0.2391607350000001</v>
      </c>
      <c r="BB31" s="1053">
        <v>0.15</v>
      </c>
      <c r="BC31" s="1053">
        <f t="shared" si="155"/>
        <v>0.13500000000000001</v>
      </c>
      <c r="BD31" s="1053">
        <f t="shared" si="156"/>
        <v>0.13500000000000001</v>
      </c>
      <c r="BE31" s="1053">
        <f t="shared" si="157"/>
        <v>0.13500000000000001</v>
      </c>
      <c r="BF31" s="1053">
        <f t="shared" si="158"/>
        <v>0.14850000000000002</v>
      </c>
      <c r="BG31" s="1053">
        <f t="shared" si="159"/>
        <v>0.16335000000000002</v>
      </c>
      <c r="BH31" s="1053">
        <f t="shared" si="160"/>
        <v>0.16335000000000002</v>
      </c>
      <c r="BI31" s="1053">
        <f t="shared" si="161"/>
        <v>0.17968500000000004</v>
      </c>
      <c r="BJ31" s="1053">
        <f t="shared" si="162"/>
        <v>0.19765350000000007</v>
      </c>
      <c r="BK31" s="1053">
        <f t="shared" si="163"/>
        <v>0.19765350000000007</v>
      </c>
      <c r="BL31" s="1053">
        <f t="shared" si="164"/>
        <v>0.21741885000000008</v>
      </c>
      <c r="BM31" s="1053">
        <f t="shared" si="165"/>
        <v>0.2391607350000001</v>
      </c>
      <c r="BN31" s="1053">
        <v>0.15</v>
      </c>
      <c r="BO31" s="1053">
        <f t="shared" si="166"/>
        <v>0.13500000000000001</v>
      </c>
      <c r="BP31" s="1053">
        <f t="shared" si="167"/>
        <v>0.13500000000000001</v>
      </c>
      <c r="BQ31" s="1053">
        <f t="shared" si="168"/>
        <v>0.13500000000000001</v>
      </c>
      <c r="BR31" s="1053">
        <f t="shared" si="169"/>
        <v>0.14850000000000002</v>
      </c>
      <c r="BS31" s="1053">
        <f t="shared" si="170"/>
        <v>0.16335000000000002</v>
      </c>
      <c r="BT31" s="1053">
        <f t="shared" si="171"/>
        <v>0.16335000000000002</v>
      </c>
      <c r="BU31" s="1053">
        <f t="shared" si="172"/>
        <v>0.17968500000000004</v>
      </c>
      <c r="BV31" s="1053">
        <f t="shared" si="173"/>
        <v>0.19765350000000007</v>
      </c>
      <c r="BW31" s="1053">
        <f t="shared" si="174"/>
        <v>0.19765350000000007</v>
      </c>
      <c r="BX31" s="1053">
        <f t="shared" si="175"/>
        <v>0.21741885000000008</v>
      </c>
      <c r="BY31" s="1053">
        <f t="shared" si="176"/>
        <v>0.2391607350000001</v>
      </c>
      <c r="BZ31" s="1053">
        <v>0.15</v>
      </c>
      <c r="CA31" s="1053">
        <f t="shared" si="177"/>
        <v>0.13500000000000001</v>
      </c>
      <c r="CB31" s="1053">
        <f t="shared" si="178"/>
        <v>0.13500000000000001</v>
      </c>
      <c r="CC31" s="1053">
        <f t="shared" si="179"/>
        <v>0.13500000000000001</v>
      </c>
      <c r="CD31" s="1053">
        <f t="shared" si="180"/>
        <v>0.14850000000000002</v>
      </c>
      <c r="CE31" s="1053">
        <f t="shared" si="181"/>
        <v>0.16335000000000002</v>
      </c>
      <c r="CF31" s="1053">
        <f t="shared" si="182"/>
        <v>0.16335000000000002</v>
      </c>
      <c r="CG31" s="1053">
        <f t="shared" si="183"/>
        <v>0.17968500000000004</v>
      </c>
      <c r="CH31" s="1053">
        <f t="shared" si="184"/>
        <v>0.19765350000000007</v>
      </c>
      <c r="CI31" s="1053">
        <f t="shared" si="185"/>
        <v>0.19765350000000007</v>
      </c>
      <c r="CJ31" s="1053">
        <f t="shared" si="186"/>
        <v>0.21741885000000008</v>
      </c>
      <c r="CK31" s="1053">
        <f t="shared" si="187"/>
        <v>0.2391607350000001</v>
      </c>
      <c r="CL31" s="1053">
        <v>0.15</v>
      </c>
      <c r="CM31" s="1053">
        <f t="shared" si="188"/>
        <v>0.13500000000000001</v>
      </c>
      <c r="CN31" s="1053">
        <f t="shared" si="189"/>
        <v>0.13500000000000001</v>
      </c>
      <c r="CO31" s="1053">
        <f t="shared" si="190"/>
        <v>0.13500000000000001</v>
      </c>
      <c r="CP31" s="1053">
        <f t="shared" si="191"/>
        <v>0.14850000000000002</v>
      </c>
      <c r="CQ31" s="1053">
        <f t="shared" si="192"/>
        <v>0.16335000000000002</v>
      </c>
      <c r="CR31" s="1053">
        <f t="shared" si="193"/>
        <v>0.16335000000000002</v>
      </c>
      <c r="CS31" s="1053">
        <f t="shared" si="194"/>
        <v>0.17968500000000004</v>
      </c>
      <c r="CT31" s="1053">
        <f t="shared" si="195"/>
        <v>0.19765350000000007</v>
      </c>
      <c r="CU31" s="1053">
        <f t="shared" si="196"/>
        <v>0.19765350000000007</v>
      </c>
      <c r="CV31" s="1053">
        <f t="shared" si="197"/>
        <v>0.21741885000000008</v>
      </c>
      <c r="CW31" s="1053">
        <f t="shared" si="198"/>
        <v>0.2391607350000001</v>
      </c>
      <c r="CX31" s="1053">
        <v>0.15</v>
      </c>
      <c r="CY31" s="1053">
        <f t="shared" si="199"/>
        <v>0.13500000000000001</v>
      </c>
      <c r="CZ31" s="1053">
        <f t="shared" si="200"/>
        <v>0.13500000000000001</v>
      </c>
      <c r="DA31" s="1053">
        <f t="shared" si="201"/>
        <v>0.13500000000000001</v>
      </c>
      <c r="DB31" s="1053">
        <f t="shared" si="202"/>
        <v>0.14850000000000002</v>
      </c>
      <c r="DC31" s="1053">
        <f t="shared" si="203"/>
        <v>0.16335000000000002</v>
      </c>
      <c r="DD31" s="1053">
        <f t="shared" si="204"/>
        <v>0.16335000000000002</v>
      </c>
      <c r="DE31" s="1053">
        <f t="shared" si="205"/>
        <v>0.17968500000000004</v>
      </c>
      <c r="DF31" s="1053">
        <f t="shared" si="206"/>
        <v>0.19765350000000007</v>
      </c>
      <c r="DG31" s="1053">
        <f t="shared" si="207"/>
        <v>0.19765350000000007</v>
      </c>
      <c r="DH31" s="1053">
        <f t="shared" si="208"/>
        <v>0.21741885000000008</v>
      </c>
      <c r="DI31" s="1053">
        <f t="shared" si="209"/>
        <v>0.2391607350000001</v>
      </c>
      <c r="DK31" s="1684"/>
      <c r="DL31" s="957" t="s">
        <v>124</v>
      </c>
      <c r="DN31" s="994">
        <v>1</v>
      </c>
      <c r="DO31" s="995">
        <f>DO20*$AJ$31</f>
        <v>5.4505876191913893</v>
      </c>
      <c r="DP31" s="995">
        <f>DP20*$AJ$31</f>
        <v>5.5773454708004913</v>
      </c>
      <c r="DQ31" s="995">
        <f>DQ20*$AJ$31</f>
        <v>13.309574418955718</v>
      </c>
      <c r="DR31" s="996">
        <f>DR20*$AJ$31</f>
        <v>12.80254301251931</v>
      </c>
      <c r="DT31" s="994">
        <v>1</v>
      </c>
      <c r="DU31" s="995">
        <f>DU20*$AH$31</f>
        <v>12.541666666666668</v>
      </c>
      <c r="DV31" s="995">
        <f>DV20*$AH$31</f>
        <v>12.833333333333334</v>
      </c>
      <c r="DW31" s="995">
        <f>DW20*$AH$31</f>
        <v>30.625000000000004</v>
      </c>
      <c r="DX31" s="996">
        <f>DX20*$AH$31</f>
        <v>29.458333333333336</v>
      </c>
      <c r="DZ31" s="994">
        <v>1</v>
      </c>
      <c r="EA31" s="995">
        <f>EA20*AL$31</f>
        <v>8.6625000000000014</v>
      </c>
      <c r="EB31" s="995">
        <f>EB20*AM$31</f>
        <v>8.4562500000000007</v>
      </c>
      <c r="EC31" s="995">
        <f>EC20*AN$31</f>
        <v>23.368125000000006</v>
      </c>
      <c r="ED31" s="996">
        <f>ED20*AO$31</f>
        <v>24.956250000000008</v>
      </c>
      <c r="EF31" s="994">
        <f t="shared" ref="EF31:EQ31" si="225">EF20*AP$31</f>
        <v>12</v>
      </c>
      <c r="EG31" s="995">
        <f t="shared" si="225"/>
        <v>13.297500000000001</v>
      </c>
      <c r="EH31" s="995">
        <f t="shared" si="225"/>
        <v>15.734250000000003</v>
      </c>
      <c r="EI31" s="995">
        <f t="shared" si="225"/>
        <v>15.126750000000003</v>
      </c>
      <c r="EJ31" s="995">
        <f t="shared" si="225"/>
        <v>16.038000000000004</v>
      </c>
      <c r="EK31" s="995">
        <f t="shared" si="225"/>
        <v>9.474300000000019</v>
      </c>
      <c r="EL31" s="995">
        <f t="shared" si="225"/>
        <v>2.6136000000000004</v>
      </c>
      <c r="EM31" s="995">
        <f t="shared" si="225"/>
        <v>4.402282500000001</v>
      </c>
      <c r="EN31" s="995">
        <f t="shared" si="225"/>
        <v>7.3131795000000022</v>
      </c>
      <c r="EO31" s="995">
        <f t="shared" si="225"/>
        <v>8.4991005000000026</v>
      </c>
      <c r="EP31" s="995">
        <f t="shared" si="225"/>
        <v>9.7838482500000037</v>
      </c>
      <c r="EQ31" s="996">
        <f t="shared" si="225"/>
        <v>10.762233075000005</v>
      </c>
      <c r="ES31" s="994">
        <f t="shared" si="217"/>
        <v>6.75</v>
      </c>
      <c r="ET31" s="995">
        <f t="shared" si="211"/>
        <v>6.0750000000000002</v>
      </c>
      <c r="EU31" s="995">
        <f t="shared" si="211"/>
        <v>6.0750000000000002</v>
      </c>
      <c r="EV31" s="995">
        <f t="shared" si="211"/>
        <v>5.5350000000000001</v>
      </c>
      <c r="EW31" s="995">
        <f t="shared" si="211"/>
        <v>5.4945000000000004</v>
      </c>
      <c r="EX31" s="995">
        <f t="shared" si="211"/>
        <v>4.3287750000000003</v>
      </c>
      <c r="EY31" s="995">
        <f t="shared" si="211"/>
        <v>2.6136000000000004</v>
      </c>
      <c r="EZ31" s="995">
        <f t="shared" si="211"/>
        <v>5.8397625000000009</v>
      </c>
      <c r="FA31" s="995">
        <f t="shared" si="211"/>
        <v>9.6850215000000031</v>
      </c>
      <c r="FB31" s="995">
        <f t="shared" si="211"/>
        <v>9.2897145000000023</v>
      </c>
      <c r="FC31" s="995">
        <f t="shared" si="211"/>
        <v>9.7838482500000037</v>
      </c>
      <c r="FD31" s="996">
        <f t="shared" si="211"/>
        <v>10.762233075000005</v>
      </c>
      <c r="FF31" s="994">
        <f t="shared" si="218"/>
        <v>6.75</v>
      </c>
      <c r="FG31" s="995">
        <f t="shared" si="212"/>
        <v>6.0750000000000002</v>
      </c>
      <c r="FH31" s="995">
        <f t="shared" si="212"/>
        <v>6.0750000000000002</v>
      </c>
      <c r="FI31" s="995">
        <f t="shared" si="212"/>
        <v>6.0750000000000002</v>
      </c>
      <c r="FJ31" s="995">
        <f t="shared" si="212"/>
        <v>6.682500000000001</v>
      </c>
      <c r="FK31" s="995">
        <f t="shared" si="212"/>
        <v>4.9821750000000007</v>
      </c>
      <c r="FL31" s="995">
        <f t="shared" si="212"/>
        <v>2.6136000000000004</v>
      </c>
      <c r="FM31" s="995">
        <f t="shared" si="212"/>
        <v>5.8397625000000009</v>
      </c>
      <c r="FN31" s="995">
        <f t="shared" si="212"/>
        <v>8.1037935000000019</v>
      </c>
      <c r="FO31" s="995">
        <f t="shared" si="212"/>
        <v>6.5225655000000025</v>
      </c>
      <c r="FP31" s="995">
        <f t="shared" si="212"/>
        <v>7.1748220500000031</v>
      </c>
      <c r="FQ31" s="996">
        <f t="shared" si="212"/>
        <v>7.8923042550000035</v>
      </c>
      <c r="FS31" s="994">
        <f t="shared" si="219"/>
        <v>4.95</v>
      </c>
      <c r="FT31" s="995">
        <f t="shared" si="213"/>
        <v>4.4550000000000001</v>
      </c>
      <c r="FU31" s="995">
        <f t="shared" si="213"/>
        <v>4.4550000000000001</v>
      </c>
      <c r="FV31" s="995">
        <f t="shared" si="213"/>
        <v>4.4550000000000001</v>
      </c>
      <c r="FW31" s="995">
        <f t="shared" si="213"/>
        <v>4.900500000000001</v>
      </c>
      <c r="FX31" s="995">
        <f t="shared" si="213"/>
        <v>4.0020750000000005</v>
      </c>
      <c r="FY31" s="995">
        <f t="shared" si="213"/>
        <v>2.6136000000000004</v>
      </c>
      <c r="FZ31" s="995">
        <f t="shared" si="213"/>
        <v>2.8749600000000006</v>
      </c>
      <c r="GA31" s="995">
        <f t="shared" si="213"/>
        <v>3.162456000000001</v>
      </c>
      <c r="GB31" s="995">
        <f t="shared" si="213"/>
        <v>3.162456000000001</v>
      </c>
      <c r="GC31" s="995">
        <f t="shared" si="213"/>
        <v>3.4787016000000013</v>
      </c>
      <c r="GD31" s="996">
        <f t="shared" si="213"/>
        <v>3.8265717600000015</v>
      </c>
      <c r="GF31" s="994">
        <f t="shared" si="220"/>
        <v>2.4</v>
      </c>
      <c r="GG31" s="995">
        <f t="shared" si="214"/>
        <v>2.16</v>
      </c>
      <c r="GH31" s="995">
        <f t="shared" si="214"/>
        <v>2.16</v>
      </c>
      <c r="GI31" s="995">
        <f t="shared" si="214"/>
        <v>2.16</v>
      </c>
      <c r="GJ31" s="995">
        <f t="shared" si="214"/>
        <v>2.3760000000000003</v>
      </c>
      <c r="GK31" s="995">
        <f t="shared" si="214"/>
        <v>2.6136000000000004</v>
      </c>
      <c r="GL31" s="995">
        <f t="shared" si="214"/>
        <v>2.6136000000000004</v>
      </c>
      <c r="GM31" s="995">
        <f t="shared" si="214"/>
        <v>2.8749600000000006</v>
      </c>
      <c r="GN31" s="995">
        <f t="shared" si="214"/>
        <v>3.162456000000001</v>
      </c>
      <c r="GO31" s="995">
        <f t="shared" si="214"/>
        <v>3.162456000000001</v>
      </c>
      <c r="GP31" s="995">
        <f t="shared" si="214"/>
        <v>3.4787016000000013</v>
      </c>
      <c r="GQ31" s="996">
        <f t="shared" si="214"/>
        <v>3.8265717600000015</v>
      </c>
      <c r="GS31" s="994">
        <f t="shared" si="221"/>
        <v>2.4</v>
      </c>
      <c r="GT31" s="995">
        <f t="shared" si="215"/>
        <v>2.16</v>
      </c>
      <c r="GU31" s="995">
        <f t="shared" si="215"/>
        <v>2.16</v>
      </c>
      <c r="GV31" s="995">
        <f t="shared" si="215"/>
        <v>2.16</v>
      </c>
      <c r="GW31" s="995">
        <f t="shared" si="215"/>
        <v>2.3760000000000003</v>
      </c>
      <c r="GX31" s="995">
        <f t="shared" si="215"/>
        <v>2.6136000000000004</v>
      </c>
      <c r="GY31" s="995">
        <f t="shared" si="215"/>
        <v>2.6136000000000004</v>
      </c>
      <c r="GZ31" s="995">
        <f t="shared" si="215"/>
        <v>2.8749600000000006</v>
      </c>
      <c r="HA31" s="995">
        <f t="shared" si="215"/>
        <v>3.162456000000001</v>
      </c>
      <c r="HB31" s="995">
        <f t="shared" si="215"/>
        <v>3.162456000000001</v>
      </c>
      <c r="HC31" s="995">
        <f t="shared" si="215"/>
        <v>3.4787016000000013</v>
      </c>
      <c r="HD31" s="996">
        <f t="shared" si="215"/>
        <v>3.8265717600000015</v>
      </c>
    </row>
    <row r="32" spans="2:212">
      <c r="B32" s="1054" t="s">
        <v>1063</v>
      </c>
      <c r="C32" s="1055"/>
      <c r="D32" s="1055"/>
      <c r="E32" s="1056"/>
      <c r="F32" s="1056"/>
      <c r="G32" s="1057"/>
      <c r="H32" s="1056"/>
      <c r="I32" s="1056"/>
      <c r="N32" s="1684"/>
      <c r="O32" s="957" t="s">
        <v>125</v>
      </c>
      <c r="P32" s="606">
        <v>0</v>
      </c>
      <c r="Q32" s="606">
        <v>1</v>
      </c>
      <c r="R32" s="606">
        <v>3</v>
      </c>
      <c r="S32" s="606">
        <v>4</v>
      </c>
      <c r="T32" s="606">
        <v>2</v>
      </c>
      <c r="U32" s="606">
        <v>3</v>
      </c>
      <c r="V32" s="606">
        <v>4</v>
      </c>
      <c r="AA32" s="1684"/>
      <c r="AB32" s="957" t="s">
        <v>125</v>
      </c>
      <c r="AC32" s="610">
        <f t="shared" si="147"/>
        <v>0</v>
      </c>
      <c r="AD32" s="610">
        <f t="shared" si="147"/>
        <v>3.0303030303030304E-2</v>
      </c>
      <c r="AE32" s="610">
        <f t="shared" si="147"/>
        <v>7.6923076923076927E-2</v>
      </c>
      <c r="AF32" s="610">
        <f t="shared" si="147"/>
        <v>7.8431372549019607E-2</v>
      </c>
      <c r="AG32" s="610">
        <f t="shared" si="147"/>
        <v>5.128205128205128E-2</v>
      </c>
      <c r="AH32" s="610">
        <f t="shared" si="147"/>
        <v>9.6774193548387094E-2</v>
      </c>
      <c r="AI32" s="610">
        <f t="shared" si="147"/>
        <v>0.23529411764705882</v>
      </c>
      <c r="AJ32" s="952">
        <f t="shared" si="148"/>
        <v>8.1286834607517733E-2</v>
      </c>
      <c r="AK32" s="952">
        <f t="shared" si="149"/>
        <v>0.23529411764705882</v>
      </c>
      <c r="AL32" s="952">
        <f t="shared" si="150"/>
        <v>0.25882352941176473</v>
      </c>
      <c r="AM32" s="952">
        <f t="shared" si="151"/>
        <v>0.25882352941176473</v>
      </c>
      <c r="AN32" s="952">
        <f t="shared" si="152"/>
        <v>0.28470588235294125</v>
      </c>
      <c r="AO32" s="952">
        <f t="shared" si="153"/>
        <v>0.31317647058823539</v>
      </c>
      <c r="AP32" s="1053">
        <v>0.12</v>
      </c>
      <c r="AQ32" s="1053">
        <f t="shared" si="154"/>
        <v>0.108</v>
      </c>
      <c r="AR32" s="1053">
        <f t="shared" si="154"/>
        <v>0.108</v>
      </c>
      <c r="AS32" s="1053">
        <f t="shared" si="154"/>
        <v>0.108</v>
      </c>
      <c r="AT32" s="1053">
        <f t="shared" si="154"/>
        <v>0.1188</v>
      </c>
      <c r="AU32" s="1053">
        <f t="shared" si="154"/>
        <v>0.13068000000000002</v>
      </c>
      <c r="AV32" s="1053">
        <f t="shared" si="154"/>
        <v>0.13068000000000002</v>
      </c>
      <c r="AW32" s="1053">
        <f t="shared" si="154"/>
        <v>0.14374800000000004</v>
      </c>
      <c r="AX32" s="1053">
        <f t="shared" si="154"/>
        <v>0.15812280000000006</v>
      </c>
      <c r="AY32" s="1053">
        <f t="shared" si="154"/>
        <v>0.15812280000000006</v>
      </c>
      <c r="AZ32" s="1053">
        <f t="shared" si="154"/>
        <v>0.17393508000000008</v>
      </c>
      <c r="BA32" s="1053">
        <f t="shared" si="154"/>
        <v>0.1913285880000001</v>
      </c>
      <c r="BB32" s="1053">
        <v>0.12</v>
      </c>
      <c r="BC32" s="1053">
        <f t="shared" si="155"/>
        <v>0.108</v>
      </c>
      <c r="BD32" s="1053">
        <f t="shared" si="156"/>
        <v>0.108</v>
      </c>
      <c r="BE32" s="1053">
        <f t="shared" si="157"/>
        <v>0.108</v>
      </c>
      <c r="BF32" s="1053">
        <f t="shared" si="158"/>
        <v>0.1188</v>
      </c>
      <c r="BG32" s="1053">
        <f t="shared" si="159"/>
        <v>0.13068000000000002</v>
      </c>
      <c r="BH32" s="1053">
        <f t="shared" si="160"/>
        <v>0.13068000000000002</v>
      </c>
      <c r="BI32" s="1053">
        <f t="shared" si="161"/>
        <v>0.14374800000000004</v>
      </c>
      <c r="BJ32" s="1053">
        <f t="shared" si="162"/>
        <v>0.15812280000000006</v>
      </c>
      <c r="BK32" s="1053">
        <f t="shared" si="163"/>
        <v>0.15812280000000006</v>
      </c>
      <c r="BL32" s="1053">
        <f t="shared" si="164"/>
        <v>0.17393508000000008</v>
      </c>
      <c r="BM32" s="1053">
        <f t="shared" si="165"/>
        <v>0.1913285880000001</v>
      </c>
      <c r="BN32" s="1053">
        <v>0.12</v>
      </c>
      <c r="BO32" s="1053">
        <f t="shared" si="166"/>
        <v>0.108</v>
      </c>
      <c r="BP32" s="1053">
        <f t="shared" si="167"/>
        <v>0.108</v>
      </c>
      <c r="BQ32" s="1053">
        <f t="shared" si="168"/>
        <v>0.108</v>
      </c>
      <c r="BR32" s="1053">
        <f t="shared" si="169"/>
        <v>0.1188</v>
      </c>
      <c r="BS32" s="1053">
        <f t="shared" si="170"/>
        <v>0.13068000000000002</v>
      </c>
      <c r="BT32" s="1053">
        <f t="shared" si="171"/>
        <v>0.13068000000000002</v>
      </c>
      <c r="BU32" s="1053">
        <f t="shared" si="172"/>
        <v>0.14374800000000004</v>
      </c>
      <c r="BV32" s="1053">
        <f t="shared" si="173"/>
        <v>0.15812280000000006</v>
      </c>
      <c r="BW32" s="1053">
        <f t="shared" si="174"/>
        <v>0.15812280000000006</v>
      </c>
      <c r="BX32" s="1053">
        <f t="shared" si="175"/>
        <v>0.17393508000000008</v>
      </c>
      <c r="BY32" s="1053">
        <f t="shared" si="176"/>
        <v>0.1913285880000001</v>
      </c>
      <c r="BZ32" s="1053">
        <v>0.12</v>
      </c>
      <c r="CA32" s="1053">
        <f t="shared" si="177"/>
        <v>0.108</v>
      </c>
      <c r="CB32" s="1053">
        <f t="shared" si="178"/>
        <v>0.108</v>
      </c>
      <c r="CC32" s="1053">
        <f t="shared" si="179"/>
        <v>0.108</v>
      </c>
      <c r="CD32" s="1053">
        <f t="shared" si="180"/>
        <v>0.1188</v>
      </c>
      <c r="CE32" s="1053">
        <f t="shared" si="181"/>
        <v>0.13068000000000002</v>
      </c>
      <c r="CF32" s="1053">
        <f t="shared" si="182"/>
        <v>0.13068000000000002</v>
      </c>
      <c r="CG32" s="1053">
        <f t="shared" si="183"/>
        <v>0.14374800000000004</v>
      </c>
      <c r="CH32" s="1053">
        <f t="shared" si="184"/>
        <v>0.15812280000000006</v>
      </c>
      <c r="CI32" s="1053">
        <f t="shared" si="185"/>
        <v>0.15812280000000006</v>
      </c>
      <c r="CJ32" s="1053">
        <f t="shared" si="186"/>
        <v>0.17393508000000008</v>
      </c>
      <c r="CK32" s="1053">
        <f t="shared" si="187"/>
        <v>0.1913285880000001</v>
      </c>
      <c r="CL32" s="1053">
        <v>0.12</v>
      </c>
      <c r="CM32" s="1053">
        <f t="shared" si="188"/>
        <v>0.108</v>
      </c>
      <c r="CN32" s="1053">
        <f t="shared" si="189"/>
        <v>0.108</v>
      </c>
      <c r="CO32" s="1053">
        <f t="shared" si="190"/>
        <v>0.108</v>
      </c>
      <c r="CP32" s="1053">
        <f t="shared" si="191"/>
        <v>0.1188</v>
      </c>
      <c r="CQ32" s="1053">
        <f t="shared" si="192"/>
        <v>0.13068000000000002</v>
      </c>
      <c r="CR32" s="1053">
        <f t="shared" si="193"/>
        <v>0.13068000000000002</v>
      </c>
      <c r="CS32" s="1053">
        <f t="shared" si="194"/>
        <v>0.14374800000000004</v>
      </c>
      <c r="CT32" s="1053">
        <f t="shared" si="195"/>
        <v>0.15812280000000006</v>
      </c>
      <c r="CU32" s="1053">
        <f t="shared" si="196"/>
        <v>0.15812280000000006</v>
      </c>
      <c r="CV32" s="1053">
        <f t="shared" si="197"/>
        <v>0.17393508000000008</v>
      </c>
      <c r="CW32" s="1053">
        <f t="shared" si="198"/>
        <v>0.1913285880000001</v>
      </c>
      <c r="CX32" s="1053">
        <v>0.12</v>
      </c>
      <c r="CY32" s="1053">
        <f t="shared" si="199"/>
        <v>0.108</v>
      </c>
      <c r="CZ32" s="1053">
        <f t="shared" si="200"/>
        <v>0.108</v>
      </c>
      <c r="DA32" s="1053">
        <f t="shared" si="201"/>
        <v>0.108</v>
      </c>
      <c r="DB32" s="1053">
        <f t="shared" si="202"/>
        <v>0.1188</v>
      </c>
      <c r="DC32" s="1053">
        <f t="shared" si="203"/>
        <v>0.13068000000000002</v>
      </c>
      <c r="DD32" s="1053">
        <f t="shared" si="204"/>
        <v>0.13068000000000002</v>
      </c>
      <c r="DE32" s="1053">
        <f t="shared" si="205"/>
        <v>0.14374800000000004</v>
      </c>
      <c r="DF32" s="1053">
        <f t="shared" si="206"/>
        <v>0.15812280000000006</v>
      </c>
      <c r="DG32" s="1053">
        <f t="shared" si="207"/>
        <v>0.15812280000000006</v>
      </c>
      <c r="DH32" s="1053">
        <f t="shared" si="208"/>
        <v>0.17393508000000008</v>
      </c>
      <c r="DI32" s="1053">
        <f t="shared" si="209"/>
        <v>0.1913285880000001</v>
      </c>
      <c r="DK32" s="1684"/>
      <c r="DL32" s="957" t="s">
        <v>125</v>
      </c>
      <c r="DN32" s="994">
        <v>1</v>
      </c>
      <c r="DO32" s="995">
        <f>DO21*$AJ$32</f>
        <v>0.89415518068269506</v>
      </c>
      <c r="DP32" s="995">
        <f>DP21*$AJ$32</f>
        <v>3.4953338881232625</v>
      </c>
      <c r="DQ32" s="995">
        <f>DQ21*$AJ$32</f>
        <v>3.5766207227307802</v>
      </c>
      <c r="DR32" s="996">
        <f>DR21*$AJ$32</f>
        <v>8.5351176337893619</v>
      </c>
      <c r="DT32" s="994">
        <v>1</v>
      </c>
      <c r="DU32" s="995">
        <f>DU21*$AH$32</f>
        <v>1.064516129032258</v>
      </c>
      <c r="DV32" s="995">
        <f>DV21*$AH$32</f>
        <v>4.161290322580645</v>
      </c>
      <c r="DW32" s="995">
        <f>DW21*$AH$32</f>
        <v>4.258064516129032</v>
      </c>
      <c r="DX32" s="996">
        <f>DX21*$AH$32</f>
        <v>10.161290322580644</v>
      </c>
      <c r="DZ32" s="994">
        <v>1</v>
      </c>
      <c r="EA32" s="995">
        <f>EA21*AL$32</f>
        <v>2.8470588235294119</v>
      </c>
      <c r="EB32" s="995">
        <f>EB21*AM$32</f>
        <v>10.870588235294118</v>
      </c>
      <c r="EC32" s="995">
        <f>EC21*AN$32</f>
        <v>11.672941176470591</v>
      </c>
      <c r="ED32" s="996">
        <f>ED21*AO$32</f>
        <v>32.257176470588249</v>
      </c>
      <c r="EF32" s="994">
        <f t="shared" ref="EF32:EQ32" si="226">EF21*AP$32</f>
        <v>12</v>
      </c>
      <c r="EG32" s="995">
        <f t="shared" si="226"/>
        <v>8.64</v>
      </c>
      <c r="EH32" s="995">
        <f t="shared" si="226"/>
        <v>10.638</v>
      </c>
      <c r="EI32" s="995">
        <f t="shared" si="226"/>
        <v>12.587400000000001</v>
      </c>
      <c r="EJ32" s="995">
        <f t="shared" si="226"/>
        <v>13.311540000000001</v>
      </c>
      <c r="EK32" s="995">
        <f t="shared" si="226"/>
        <v>14.113440000000002</v>
      </c>
      <c r="EL32" s="995">
        <f t="shared" si="226"/>
        <v>7.5794400000000159</v>
      </c>
      <c r="EM32" s="995">
        <f t="shared" si="226"/>
        <v>2.2999680000000007</v>
      </c>
      <c r="EN32" s="995">
        <f t="shared" si="226"/>
        <v>3.8740086000000016</v>
      </c>
      <c r="EO32" s="995">
        <f t="shared" si="226"/>
        <v>5.8505436000000026</v>
      </c>
      <c r="EP32" s="995">
        <f t="shared" si="226"/>
        <v>7.4792084400000034</v>
      </c>
      <c r="EQ32" s="996">
        <f t="shared" si="226"/>
        <v>8.609786460000004</v>
      </c>
      <c r="ES32" s="994">
        <f t="shared" si="217"/>
        <v>5.3999999999999995</v>
      </c>
      <c r="ET32" s="995">
        <f t="shared" si="211"/>
        <v>4.8600000000000003</v>
      </c>
      <c r="EU32" s="995">
        <f t="shared" si="211"/>
        <v>4.8600000000000003</v>
      </c>
      <c r="EV32" s="995">
        <f t="shared" si="211"/>
        <v>4.8600000000000003</v>
      </c>
      <c r="EW32" s="995">
        <f t="shared" si="211"/>
        <v>4.8708</v>
      </c>
      <c r="EX32" s="995">
        <f t="shared" si="211"/>
        <v>4.835160000000001</v>
      </c>
      <c r="EY32" s="995">
        <f t="shared" si="211"/>
        <v>3.4630200000000007</v>
      </c>
      <c r="EZ32" s="995">
        <f t="shared" si="211"/>
        <v>2.2999680000000007</v>
      </c>
      <c r="FA32" s="995">
        <f t="shared" si="211"/>
        <v>5.1389910000000016</v>
      </c>
      <c r="FB32" s="995">
        <f t="shared" si="211"/>
        <v>7.7480172000000032</v>
      </c>
      <c r="FC32" s="995">
        <f t="shared" si="211"/>
        <v>8.174948760000003</v>
      </c>
      <c r="FD32" s="996">
        <f t="shared" si="211"/>
        <v>8.609786460000004</v>
      </c>
      <c r="FF32" s="994">
        <f t="shared" si="218"/>
        <v>5.3999999999999995</v>
      </c>
      <c r="FG32" s="995">
        <f t="shared" si="212"/>
        <v>4.8600000000000003</v>
      </c>
      <c r="FH32" s="995">
        <f t="shared" si="212"/>
        <v>4.8600000000000003</v>
      </c>
      <c r="FI32" s="995">
        <f t="shared" si="212"/>
        <v>4.8600000000000003</v>
      </c>
      <c r="FJ32" s="995">
        <f t="shared" si="212"/>
        <v>5.3460000000000001</v>
      </c>
      <c r="FK32" s="995">
        <f t="shared" si="212"/>
        <v>5.8806000000000012</v>
      </c>
      <c r="FL32" s="995">
        <f t="shared" si="212"/>
        <v>3.9857400000000007</v>
      </c>
      <c r="FM32" s="995">
        <f t="shared" si="212"/>
        <v>2.2999680000000007</v>
      </c>
      <c r="FN32" s="995">
        <f t="shared" si="212"/>
        <v>5.1389910000000016</v>
      </c>
      <c r="FO32" s="995">
        <f t="shared" si="212"/>
        <v>6.4830348000000022</v>
      </c>
      <c r="FP32" s="995">
        <f t="shared" si="212"/>
        <v>5.7398576400000021</v>
      </c>
      <c r="FQ32" s="996">
        <f t="shared" si="212"/>
        <v>6.3138434040000035</v>
      </c>
      <c r="FS32" s="994">
        <f t="shared" si="219"/>
        <v>3.96</v>
      </c>
      <c r="FT32" s="995">
        <f t="shared" si="213"/>
        <v>3.5640000000000001</v>
      </c>
      <c r="FU32" s="995">
        <f t="shared" si="213"/>
        <v>3.5640000000000001</v>
      </c>
      <c r="FV32" s="995">
        <f t="shared" si="213"/>
        <v>3.5640000000000001</v>
      </c>
      <c r="FW32" s="995">
        <f t="shared" si="213"/>
        <v>3.9203999999999999</v>
      </c>
      <c r="FX32" s="995">
        <f t="shared" si="213"/>
        <v>4.3124400000000005</v>
      </c>
      <c r="FY32" s="995">
        <f t="shared" si="213"/>
        <v>3.2016600000000004</v>
      </c>
      <c r="FZ32" s="995">
        <f t="shared" si="213"/>
        <v>2.2999680000000007</v>
      </c>
      <c r="GA32" s="995">
        <f t="shared" si="213"/>
        <v>2.529964800000001</v>
      </c>
      <c r="GB32" s="995">
        <f t="shared" si="213"/>
        <v>2.529964800000001</v>
      </c>
      <c r="GC32" s="995">
        <f t="shared" si="213"/>
        <v>2.7829612800000012</v>
      </c>
      <c r="GD32" s="996">
        <f t="shared" si="213"/>
        <v>3.0612574080000017</v>
      </c>
      <c r="GF32" s="994">
        <f t="shared" si="220"/>
        <v>1.92</v>
      </c>
      <c r="GG32" s="995">
        <f t="shared" si="214"/>
        <v>1.728</v>
      </c>
      <c r="GH32" s="995">
        <f t="shared" si="214"/>
        <v>1.728</v>
      </c>
      <c r="GI32" s="995">
        <f t="shared" si="214"/>
        <v>1.728</v>
      </c>
      <c r="GJ32" s="995">
        <f t="shared" si="214"/>
        <v>1.9008</v>
      </c>
      <c r="GK32" s="995">
        <f t="shared" si="214"/>
        <v>2.0908800000000003</v>
      </c>
      <c r="GL32" s="995">
        <f t="shared" si="214"/>
        <v>2.0908800000000003</v>
      </c>
      <c r="GM32" s="995">
        <f t="shared" si="214"/>
        <v>2.2999680000000007</v>
      </c>
      <c r="GN32" s="995">
        <f t="shared" si="214"/>
        <v>2.529964800000001</v>
      </c>
      <c r="GO32" s="995">
        <f t="shared" si="214"/>
        <v>2.529964800000001</v>
      </c>
      <c r="GP32" s="995">
        <f t="shared" si="214"/>
        <v>2.7829612800000012</v>
      </c>
      <c r="GQ32" s="996">
        <f t="shared" si="214"/>
        <v>3.0612574080000017</v>
      </c>
      <c r="GS32" s="994">
        <f t="shared" si="221"/>
        <v>1.92</v>
      </c>
      <c r="GT32" s="995">
        <f t="shared" si="215"/>
        <v>1.728</v>
      </c>
      <c r="GU32" s="995">
        <f t="shared" si="215"/>
        <v>1.728</v>
      </c>
      <c r="GV32" s="995">
        <f t="shared" si="215"/>
        <v>1.728</v>
      </c>
      <c r="GW32" s="995">
        <f t="shared" si="215"/>
        <v>1.9008</v>
      </c>
      <c r="GX32" s="995">
        <f t="shared" si="215"/>
        <v>2.0908800000000003</v>
      </c>
      <c r="GY32" s="995">
        <f t="shared" si="215"/>
        <v>2.0908800000000003</v>
      </c>
      <c r="GZ32" s="995">
        <f t="shared" si="215"/>
        <v>2.2999680000000007</v>
      </c>
      <c r="HA32" s="995">
        <f t="shared" si="215"/>
        <v>2.529964800000001</v>
      </c>
      <c r="HB32" s="995">
        <f t="shared" si="215"/>
        <v>2.529964800000001</v>
      </c>
      <c r="HC32" s="995">
        <f t="shared" si="215"/>
        <v>2.7829612800000012</v>
      </c>
      <c r="HD32" s="996">
        <f t="shared" si="215"/>
        <v>3.0612574080000017</v>
      </c>
    </row>
    <row r="33" spans="1:212" ht="15">
      <c r="B33" s="1058">
        <v>25</v>
      </c>
      <c r="C33" s="1059" t="s">
        <v>1064</v>
      </c>
      <c r="D33" s="1060"/>
      <c r="E33" s="1060"/>
      <c r="F33" s="1060"/>
      <c r="G33" s="1060"/>
      <c r="H33" s="1060"/>
      <c r="I33" s="1061"/>
      <c r="N33" s="1684"/>
      <c r="O33" s="957" t="s">
        <v>126</v>
      </c>
      <c r="P33" s="606">
        <v>1</v>
      </c>
      <c r="Q33" s="606">
        <v>0</v>
      </c>
      <c r="R33" s="606">
        <v>4</v>
      </c>
      <c r="S33" s="606">
        <v>2</v>
      </c>
      <c r="T33" s="606">
        <v>4</v>
      </c>
      <c r="U33" s="606">
        <v>3</v>
      </c>
      <c r="V33" s="606">
        <v>2</v>
      </c>
      <c r="AA33" s="1684"/>
      <c r="AB33" s="957" t="s">
        <v>126</v>
      </c>
      <c r="AC33" s="610">
        <f t="shared" si="147"/>
        <v>2.3255813953488372E-2</v>
      </c>
      <c r="AD33" s="610">
        <f t="shared" si="147"/>
        <v>0</v>
      </c>
      <c r="AE33" s="610">
        <f t="shared" si="147"/>
        <v>0.125</v>
      </c>
      <c r="AF33" s="610">
        <f t="shared" si="147"/>
        <v>5.128205128205128E-2</v>
      </c>
      <c r="AG33" s="610">
        <f t="shared" si="147"/>
        <v>8.3333333333333329E-2</v>
      </c>
      <c r="AH33" s="610">
        <f t="shared" si="147"/>
        <v>8.3333333333333329E-2</v>
      </c>
      <c r="AI33" s="610">
        <f t="shared" si="147"/>
        <v>6.8965517241379309E-2</v>
      </c>
      <c r="AJ33" s="952">
        <f t="shared" si="148"/>
        <v>6.2167149877655085E-2</v>
      </c>
      <c r="AK33" s="952">
        <f t="shared" si="149"/>
        <v>6.8965517241379309E-2</v>
      </c>
      <c r="AL33" s="952">
        <f t="shared" si="150"/>
        <v>7.586206896551724E-2</v>
      </c>
      <c r="AM33" s="952">
        <f t="shared" si="151"/>
        <v>7.586206896551724E-2</v>
      </c>
      <c r="AN33" s="952">
        <f t="shared" si="152"/>
        <v>8.3448275862068974E-2</v>
      </c>
      <c r="AO33" s="952">
        <f t="shared" si="153"/>
        <v>9.1793103448275876E-2</v>
      </c>
      <c r="AP33" s="1053">
        <v>0.1</v>
      </c>
      <c r="AQ33" s="1053">
        <f t="shared" si="154"/>
        <v>9.0000000000000011E-2</v>
      </c>
      <c r="AR33" s="1053">
        <f t="shared" si="154"/>
        <v>9.0000000000000011E-2</v>
      </c>
      <c r="AS33" s="1053">
        <f t="shared" si="154"/>
        <v>9.0000000000000011E-2</v>
      </c>
      <c r="AT33" s="1053">
        <f t="shared" si="154"/>
        <v>9.9000000000000019E-2</v>
      </c>
      <c r="AU33" s="1053">
        <f t="shared" si="154"/>
        <v>0.10890000000000002</v>
      </c>
      <c r="AV33" s="1053">
        <f t="shared" si="154"/>
        <v>0.10890000000000002</v>
      </c>
      <c r="AW33" s="1053">
        <f t="shared" si="154"/>
        <v>0.11979000000000004</v>
      </c>
      <c r="AX33" s="1053">
        <f t="shared" si="154"/>
        <v>0.13176900000000005</v>
      </c>
      <c r="AY33" s="1053">
        <f t="shared" si="154"/>
        <v>0.13176900000000005</v>
      </c>
      <c r="AZ33" s="1053">
        <f t="shared" si="154"/>
        <v>0.14494590000000007</v>
      </c>
      <c r="BA33" s="1053">
        <f t="shared" si="154"/>
        <v>0.1594404900000001</v>
      </c>
      <c r="BB33" s="1053">
        <v>0.1</v>
      </c>
      <c r="BC33" s="1053">
        <f t="shared" si="155"/>
        <v>9.0000000000000011E-2</v>
      </c>
      <c r="BD33" s="1053">
        <f t="shared" si="156"/>
        <v>9.0000000000000011E-2</v>
      </c>
      <c r="BE33" s="1053">
        <f t="shared" si="157"/>
        <v>9.0000000000000011E-2</v>
      </c>
      <c r="BF33" s="1053">
        <f t="shared" si="158"/>
        <v>9.9000000000000019E-2</v>
      </c>
      <c r="BG33" s="1053">
        <f t="shared" si="159"/>
        <v>0.10890000000000002</v>
      </c>
      <c r="BH33" s="1053">
        <f t="shared" si="160"/>
        <v>0.10890000000000002</v>
      </c>
      <c r="BI33" s="1053">
        <f t="shared" si="161"/>
        <v>0.11979000000000004</v>
      </c>
      <c r="BJ33" s="1053">
        <f t="shared" si="162"/>
        <v>0.13176900000000005</v>
      </c>
      <c r="BK33" s="1053">
        <f t="shared" si="163"/>
        <v>0.13176900000000005</v>
      </c>
      <c r="BL33" s="1053">
        <f t="shared" si="164"/>
        <v>0.14494590000000007</v>
      </c>
      <c r="BM33" s="1053">
        <f t="shared" si="165"/>
        <v>0.1594404900000001</v>
      </c>
      <c r="BN33" s="1053">
        <v>0.1</v>
      </c>
      <c r="BO33" s="1053">
        <f t="shared" si="166"/>
        <v>9.0000000000000011E-2</v>
      </c>
      <c r="BP33" s="1053">
        <f t="shared" si="167"/>
        <v>9.0000000000000011E-2</v>
      </c>
      <c r="BQ33" s="1053">
        <f t="shared" si="168"/>
        <v>9.0000000000000011E-2</v>
      </c>
      <c r="BR33" s="1053">
        <f t="shared" si="169"/>
        <v>9.9000000000000019E-2</v>
      </c>
      <c r="BS33" s="1053">
        <f t="shared" si="170"/>
        <v>0.10890000000000002</v>
      </c>
      <c r="BT33" s="1053">
        <f t="shared" si="171"/>
        <v>0.10890000000000002</v>
      </c>
      <c r="BU33" s="1053">
        <f t="shared" si="172"/>
        <v>0.11979000000000004</v>
      </c>
      <c r="BV33" s="1053">
        <f t="shared" si="173"/>
        <v>0.13176900000000005</v>
      </c>
      <c r="BW33" s="1053">
        <f t="shared" si="174"/>
        <v>0.13176900000000005</v>
      </c>
      <c r="BX33" s="1053">
        <f t="shared" si="175"/>
        <v>0.14494590000000007</v>
      </c>
      <c r="BY33" s="1053">
        <f t="shared" si="176"/>
        <v>0.1594404900000001</v>
      </c>
      <c r="BZ33" s="1053">
        <v>0.1</v>
      </c>
      <c r="CA33" s="1053">
        <f t="shared" si="177"/>
        <v>9.0000000000000011E-2</v>
      </c>
      <c r="CB33" s="1053">
        <f t="shared" si="178"/>
        <v>9.0000000000000011E-2</v>
      </c>
      <c r="CC33" s="1053">
        <f t="shared" si="179"/>
        <v>9.0000000000000011E-2</v>
      </c>
      <c r="CD33" s="1053">
        <f t="shared" si="180"/>
        <v>9.9000000000000019E-2</v>
      </c>
      <c r="CE33" s="1053">
        <f t="shared" si="181"/>
        <v>0.10890000000000002</v>
      </c>
      <c r="CF33" s="1053">
        <f t="shared" si="182"/>
        <v>0.10890000000000002</v>
      </c>
      <c r="CG33" s="1053">
        <f t="shared" si="183"/>
        <v>0.11979000000000004</v>
      </c>
      <c r="CH33" s="1053">
        <f t="shared" si="184"/>
        <v>0.13176900000000005</v>
      </c>
      <c r="CI33" s="1053">
        <f t="shared" si="185"/>
        <v>0.13176900000000005</v>
      </c>
      <c r="CJ33" s="1053">
        <f t="shared" si="186"/>
        <v>0.14494590000000007</v>
      </c>
      <c r="CK33" s="1053">
        <f t="shared" si="187"/>
        <v>0.1594404900000001</v>
      </c>
      <c r="CL33" s="1053">
        <v>0.1</v>
      </c>
      <c r="CM33" s="1053">
        <f t="shared" si="188"/>
        <v>9.0000000000000011E-2</v>
      </c>
      <c r="CN33" s="1053">
        <f t="shared" si="189"/>
        <v>9.0000000000000011E-2</v>
      </c>
      <c r="CO33" s="1053">
        <f t="shared" si="190"/>
        <v>9.0000000000000011E-2</v>
      </c>
      <c r="CP33" s="1053">
        <f t="shared" si="191"/>
        <v>9.9000000000000019E-2</v>
      </c>
      <c r="CQ33" s="1053">
        <f t="shared" si="192"/>
        <v>0.10890000000000002</v>
      </c>
      <c r="CR33" s="1053">
        <f t="shared" si="193"/>
        <v>0.10890000000000002</v>
      </c>
      <c r="CS33" s="1053">
        <f t="shared" si="194"/>
        <v>0.11979000000000004</v>
      </c>
      <c r="CT33" s="1053">
        <f t="shared" si="195"/>
        <v>0.13176900000000005</v>
      </c>
      <c r="CU33" s="1053">
        <f t="shared" si="196"/>
        <v>0.13176900000000005</v>
      </c>
      <c r="CV33" s="1053">
        <f t="shared" si="197"/>
        <v>0.14494590000000007</v>
      </c>
      <c r="CW33" s="1053">
        <f t="shared" si="198"/>
        <v>0.1594404900000001</v>
      </c>
      <c r="CX33" s="1053">
        <v>0.1</v>
      </c>
      <c r="CY33" s="1053">
        <f t="shared" si="199"/>
        <v>9.0000000000000011E-2</v>
      </c>
      <c r="CZ33" s="1053">
        <f t="shared" si="200"/>
        <v>9.0000000000000011E-2</v>
      </c>
      <c r="DA33" s="1053">
        <f t="shared" si="201"/>
        <v>9.0000000000000011E-2</v>
      </c>
      <c r="DB33" s="1053">
        <f t="shared" si="202"/>
        <v>9.9000000000000019E-2</v>
      </c>
      <c r="DC33" s="1053">
        <f t="shared" si="203"/>
        <v>0.10890000000000002</v>
      </c>
      <c r="DD33" s="1053">
        <f t="shared" si="204"/>
        <v>0.10890000000000002</v>
      </c>
      <c r="DE33" s="1053">
        <f t="shared" si="205"/>
        <v>0.11979000000000004</v>
      </c>
      <c r="DF33" s="1053">
        <f t="shared" si="206"/>
        <v>0.13176900000000005</v>
      </c>
      <c r="DG33" s="1053">
        <f t="shared" si="207"/>
        <v>0.13176900000000005</v>
      </c>
      <c r="DH33" s="1053">
        <f t="shared" si="208"/>
        <v>0.14494590000000007</v>
      </c>
      <c r="DI33" s="1053">
        <f t="shared" si="209"/>
        <v>0.1594404900000001</v>
      </c>
      <c r="DK33" s="1684"/>
      <c r="DL33" s="957" t="s">
        <v>126</v>
      </c>
      <c r="DN33" s="994">
        <v>5</v>
      </c>
      <c r="DO33" s="995">
        <f>DO22*$AJ$33</f>
        <v>0.99467439804248137</v>
      </c>
      <c r="DP33" s="995">
        <f>DP22*$AJ$33</f>
        <v>0.68383864865420596</v>
      </c>
      <c r="DQ33" s="995">
        <f>DQ22*$AJ$33</f>
        <v>2.6731874447391686</v>
      </c>
      <c r="DR33" s="996">
        <f>DR22*$AJ$33</f>
        <v>2.7353545946168238</v>
      </c>
      <c r="DT33" s="994">
        <v>5</v>
      </c>
      <c r="DU33" s="995">
        <f>DU22*$AH$33</f>
        <v>1.3333333333333333</v>
      </c>
      <c r="DV33" s="995">
        <f>DV22*$AH$33</f>
        <v>0.91666666666666663</v>
      </c>
      <c r="DW33" s="995">
        <f>DW22*$AH$33</f>
        <v>3.583333333333333</v>
      </c>
      <c r="DX33" s="996">
        <f>DX22*$AH$33</f>
        <v>3.6666666666666665</v>
      </c>
      <c r="DZ33" s="994">
        <v>5</v>
      </c>
      <c r="EA33" s="995">
        <f>EA22*AL$33</f>
        <v>0.6827586206896552</v>
      </c>
      <c r="EB33" s="995">
        <f>EB22*AM$33</f>
        <v>0.83448275862068966</v>
      </c>
      <c r="EC33" s="995">
        <f>EC22*AN$33</f>
        <v>3.5048275862068969</v>
      </c>
      <c r="ED33" s="996">
        <f>ED22*AO$33</f>
        <v>3.763517241379311</v>
      </c>
      <c r="EF33" s="994">
        <f t="shared" ref="EF33:EQ33" si="227">EF22*AP$33</f>
        <v>10.3</v>
      </c>
      <c r="EG33" s="995">
        <f t="shared" si="227"/>
        <v>9.0000000000000018</v>
      </c>
      <c r="EH33" s="995">
        <f t="shared" si="227"/>
        <v>7.2000000000000011</v>
      </c>
      <c r="EI33" s="995">
        <f t="shared" si="227"/>
        <v>8.8650000000000002</v>
      </c>
      <c r="EJ33" s="995">
        <f t="shared" si="227"/>
        <v>11.538450000000003</v>
      </c>
      <c r="EK33" s="995">
        <f t="shared" si="227"/>
        <v>12.202245000000003</v>
      </c>
      <c r="EL33" s="995">
        <f t="shared" si="227"/>
        <v>11.761200000000002</v>
      </c>
      <c r="EM33" s="995">
        <f t="shared" si="227"/>
        <v>6.9478200000000161</v>
      </c>
      <c r="EN33" s="995">
        <f t="shared" si="227"/>
        <v>2.1083040000000008</v>
      </c>
      <c r="EO33" s="995">
        <f t="shared" si="227"/>
        <v>3.2283405000000012</v>
      </c>
      <c r="EP33" s="995">
        <f t="shared" si="227"/>
        <v>5.3629983000000028</v>
      </c>
      <c r="EQ33" s="996">
        <f t="shared" si="227"/>
        <v>6.8559410700000045</v>
      </c>
      <c r="ES33" s="994">
        <f t="shared" si="217"/>
        <v>4.5</v>
      </c>
      <c r="ET33" s="995">
        <f t="shared" si="211"/>
        <v>4.0500000000000007</v>
      </c>
      <c r="EU33" s="995">
        <f t="shared" si="211"/>
        <v>4.0500000000000007</v>
      </c>
      <c r="EV33" s="995">
        <f t="shared" si="211"/>
        <v>4.0500000000000007</v>
      </c>
      <c r="EW33" s="995">
        <f t="shared" si="211"/>
        <v>4.455000000000001</v>
      </c>
      <c r="EX33" s="995">
        <f t="shared" si="211"/>
        <v>4.464900000000001</v>
      </c>
      <c r="EY33" s="995">
        <f t="shared" si="211"/>
        <v>4.029300000000001</v>
      </c>
      <c r="EZ33" s="995">
        <f t="shared" si="211"/>
        <v>3.1744350000000008</v>
      </c>
      <c r="FA33" s="995">
        <f t="shared" si="211"/>
        <v>2.1083040000000008</v>
      </c>
      <c r="FB33" s="995">
        <f t="shared" si="211"/>
        <v>4.2824925000000018</v>
      </c>
      <c r="FC33" s="995">
        <f t="shared" si="211"/>
        <v>7.1023491000000032</v>
      </c>
      <c r="FD33" s="996">
        <f t="shared" si="211"/>
        <v>7.4937030300000051</v>
      </c>
      <c r="FF33" s="994">
        <f t="shared" si="218"/>
        <v>4.5</v>
      </c>
      <c r="FG33" s="995">
        <f t="shared" si="212"/>
        <v>4.0500000000000007</v>
      </c>
      <c r="FH33" s="995">
        <f t="shared" si="212"/>
        <v>4.0500000000000007</v>
      </c>
      <c r="FI33" s="995">
        <f t="shared" si="212"/>
        <v>4.0500000000000007</v>
      </c>
      <c r="FJ33" s="995">
        <f t="shared" si="212"/>
        <v>4.455000000000001</v>
      </c>
      <c r="FK33" s="995">
        <f t="shared" si="212"/>
        <v>4.900500000000001</v>
      </c>
      <c r="FL33" s="995">
        <f t="shared" si="212"/>
        <v>4.900500000000001</v>
      </c>
      <c r="FM33" s="995">
        <f t="shared" si="212"/>
        <v>3.653595000000001</v>
      </c>
      <c r="FN33" s="995">
        <f t="shared" si="212"/>
        <v>2.1083040000000008</v>
      </c>
      <c r="FO33" s="995">
        <f t="shared" si="212"/>
        <v>4.2824925000000018</v>
      </c>
      <c r="FP33" s="995">
        <f t="shared" si="212"/>
        <v>5.9427819000000026</v>
      </c>
      <c r="FQ33" s="996">
        <f t="shared" si="212"/>
        <v>5.261536170000003</v>
      </c>
      <c r="FS33" s="994">
        <f t="shared" si="219"/>
        <v>3.3000000000000003</v>
      </c>
      <c r="FT33" s="995">
        <f t="shared" si="213"/>
        <v>2.97</v>
      </c>
      <c r="FU33" s="995">
        <f t="shared" si="213"/>
        <v>2.97</v>
      </c>
      <c r="FV33" s="995">
        <f t="shared" si="213"/>
        <v>2.97</v>
      </c>
      <c r="FW33" s="995">
        <f t="shared" si="213"/>
        <v>3.2670000000000008</v>
      </c>
      <c r="FX33" s="995">
        <f t="shared" si="213"/>
        <v>3.593700000000001</v>
      </c>
      <c r="FY33" s="995">
        <f t="shared" si="213"/>
        <v>3.593700000000001</v>
      </c>
      <c r="FZ33" s="995">
        <f t="shared" si="213"/>
        <v>2.9348550000000007</v>
      </c>
      <c r="GA33" s="995">
        <f t="shared" si="213"/>
        <v>2.1083040000000008</v>
      </c>
      <c r="GB33" s="995">
        <f t="shared" si="213"/>
        <v>2.1083040000000008</v>
      </c>
      <c r="GC33" s="995">
        <f t="shared" si="213"/>
        <v>2.3191344000000012</v>
      </c>
      <c r="GD33" s="996">
        <f t="shared" si="213"/>
        <v>2.5510478400000016</v>
      </c>
      <c r="GF33" s="994">
        <f t="shared" si="220"/>
        <v>1.6</v>
      </c>
      <c r="GG33" s="995">
        <f t="shared" si="214"/>
        <v>1.4400000000000002</v>
      </c>
      <c r="GH33" s="995">
        <f t="shared" si="214"/>
        <v>1.4400000000000002</v>
      </c>
      <c r="GI33" s="995">
        <f t="shared" si="214"/>
        <v>1.4400000000000002</v>
      </c>
      <c r="GJ33" s="995">
        <f t="shared" si="214"/>
        <v>1.5840000000000003</v>
      </c>
      <c r="GK33" s="995">
        <f t="shared" si="214"/>
        <v>1.7424000000000004</v>
      </c>
      <c r="GL33" s="995">
        <f t="shared" si="214"/>
        <v>1.7424000000000004</v>
      </c>
      <c r="GM33" s="995">
        <f t="shared" si="214"/>
        <v>1.9166400000000006</v>
      </c>
      <c r="GN33" s="995">
        <f t="shared" si="214"/>
        <v>2.1083040000000008</v>
      </c>
      <c r="GO33" s="995">
        <f t="shared" si="214"/>
        <v>2.1083040000000008</v>
      </c>
      <c r="GP33" s="995">
        <f t="shared" si="214"/>
        <v>2.3191344000000012</v>
      </c>
      <c r="GQ33" s="996">
        <f t="shared" si="214"/>
        <v>2.5510478400000016</v>
      </c>
      <c r="GS33" s="994">
        <f t="shared" si="221"/>
        <v>1.6</v>
      </c>
      <c r="GT33" s="995">
        <f t="shared" si="215"/>
        <v>1.4400000000000002</v>
      </c>
      <c r="GU33" s="995">
        <f t="shared" si="215"/>
        <v>1.4400000000000002</v>
      </c>
      <c r="GV33" s="995">
        <f t="shared" si="215"/>
        <v>1.4400000000000002</v>
      </c>
      <c r="GW33" s="995">
        <f t="shared" si="215"/>
        <v>1.5840000000000003</v>
      </c>
      <c r="GX33" s="995">
        <f t="shared" si="215"/>
        <v>1.7424000000000004</v>
      </c>
      <c r="GY33" s="995">
        <f t="shared" si="215"/>
        <v>1.7424000000000004</v>
      </c>
      <c r="GZ33" s="995">
        <f t="shared" si="215"/>
        <v>1.9166400000000006</v>
      </c>
      <c r="HA33" s="995">
        <f t="shared" si="215"/>
        <v>2.1083040000000008</v>
      </c>
      <c r="HB33" s="995">
        <f t="shared" si="215"/>
        <v>2.1083040000000008</v>
      </c>
      <c r="HC33" s="995">
        <f t="shared" si="215"/>
        <v>2.3191344000000012</v>
      </c>
      <c r="HD33" s="996">
        <f t="shared" si="215"/>
        <v>2.5510478400000016</v>
      </c>
    </row>
    <row r="34" spans="1:212" ht="15">
      <c r="B34" s="980"/>
      <c r="D34" s="991"/>
      <c r="E34" s="607"/>
      <c r="F34" s="1059" t="s">
        <v>1065</v>
      </c>
      <c r="G34" s="1005"/>
      <c r="I34" s="991"/>
      <c r="N34" s="1684"/>
      <c r="O34" s="957" t="s">
        <v>127</v>
      </c>
      <c r="P34" s="606">
        <v>1</v>
      </c>
      <c r="Q34" s="606">
        <v>1</v>
      </c>
      <c r="R34" s="606">
        <v>0</v>
      </c>
      <c r="S34" s="606">
        <v>5</v>
      </c>
      <c r="T34" s="606">
        <v>3</v>
      </c>
      <c r="U34" s="606">
        <v>7</v>
      </c>
      <c r="V34" s="606">
        <v>0</v>
      </c>
      <c r="AA34" s="1684"/>
      <c r="AB34" s="957" t="s">
        <v>127</v>
      </c>
      <c r="AC34" s="610">
        <f t="shared" si="147"/>
        <v>1.9607843137254902E-2</v>
      </c>
      <c r="AD34" s="610">
        <f t="shared" si="147"/>
        <v>2.3809523809523808E-2</v>
      </c>
      <c r="AE34" s="610">
        <f t="shared" si="147"/>
        <v>0</v>
      </c>
      <c r="AF34" s="610">
        <f t="shared" si="147"/>
        <v>0.15625</v>
      </c>
      <c r="AG34" s="610">
        <f t="shared" si="147"/>
        <v>8.3333333333333329E-2</v>
      </c>
      <c r="AH34" s="610">
        <f t="shared" si="147"/>
        <v>0.16279069767441862</v>
      </c>
      <c r="AI34" s="610">
        <f t="shared" si="147"/>
        <v>0</v>
      </c>
      <c r="AJ34" s="952">
        <f t="shared" si="148"/>
        <v>6.3684485422075804E-2</v>
      </c>
      <c r="AK34" s="952">
        <f t="shared" si="149"/>
        <v>0</v>
      </c>
      <c r="AL34" s="952">
        <f t="shared" si="150"/>
        <v>0</v>
      </c>
      <c r="AM34" s="952">
        <f t="shared" si="151"/>
        <v>0</v>
      </c>
      <c r="AN34" s="952">
        <f t="shared" si="152"/>
        <v>0</v>
      </c>
      <c r="AO34" s="952">
        <f t="shared" si="153"/>
        <v>0</v>
      </c>
      <c r="AP34" s="1053">
        <v>0.05</v>
      </c>
      <c r="AQ34" s="1053">
        <f t="shared" si="154"/>
        <v>4.5000000000000005E-2</v>
      </c>
      <c r="AR34" s="1053">
        <f t="shared" si="154"/>
        <v>4.5000000000000005E-2</v>
      </c>
      <c r="AS34" s="1053">
        <f t="shared" si="154"/>
        <v>4.5000000000000005E-2</v>
      </c>
      <c r="AT34" s="1053">
        <f t="shared" si="154"/>
        <v>4.9500000000000009E-2</v>
      </c>
      <c r="AU34" s="1053">
        <f t="shared" si="154"/>
        <v>5.4450000000000012E-2</v>
      </c>
      <c r="AV34" s="1053">
        <f t="shared" si="154"/>
        <v>5.4450000000000012E-2</v>
      </c>
      <c r="AW34" s="1053">
        <f t="shared" si="154"/>
        <v>5.9895000000000018E-2</v>
      </c>
      <c r="AX34" s="1053">
        <f t="shared" si="154"/>
        <v>6.5884500000000026E-2</v>
      </c>
      <c r="AY34" s="1053">
        <f t="shared" si="154"/>
        <v>6.5884500000000026E-2</v>
      </c>
      <c r="AZ34" s="1053">
        <f t="shared" si="154"/>
        <v>7.2472950000000036E-2</v>
      </c>
      <c r="BA34" s="1053">
        <f t="shared" si="154"/>
        <v>7.9720245000000051E-2</v>
      </c>
      <c r="BB34" s="1053">
        <v>0.05</v>
      </c>
      <c r="BC34" s="1053">
        <f t="shared" si="155"/>
        <v>4.5000000000000005E-2</v>
      </c>
      <c r="BD34" s="1053">
        <f t="shared" si="156"/>
        <v>4.5000000000000005E-2</v>
      </c>
      <c r="BE34" s="1053">
        <f t="shared" si="157"/>
        <v>4.5000000000000005E-2</v>
      </c>
      <c r="BF34" s="1053">
        <f t="shared" si="158"/>
        <v>4.9500000000000009E-2</v>
      </c>
      <c r="BG34" s="1053">
        <f t="shared" si="159"/>
        <v>5.4450000000000012E-2</v>
      </c>
      <c r="BH34" s="1053">
        <f t="shared" si="160"/>
        <v>5.4450000000000012E-2</v>
      </c>
      <c r="BI34" s="1053">
        <f t="shared" si="161"/>
        <v>5.9895000000000018E-2</v>
      </c>
      <c r="BJ34" s="1053">
        <f t="shared" si="162"/>
        <v>6.5884500000000026E-2</v>
      </c>
      <c r="BK34" s="1053">
        <f t="shared" si="163"/>
        <v>6.5884500000000026E-2</v>
      </c>
      <c r="BL34" s="1053">
        <f t="shared" si="164"/>
        <v>7.2472950000000036E-2</v>
      </c>
      <c r="BM34" s="1053">
        <f t="shared" si="165"/>
        <v>7.9720245000000051E-2</v>
      </c>
      <c r="BN34" s="1053">
        <v>0.05</v>
      </c>
      <c r="BO34" s="1053">
        <f t="shared" si="166"/>
        <v>4.5000000000000005E-2</v>
      </c>
      <c r="BP34" s="1053">
        <f t="shared" si="167"/>
        <v>4.5000000000000005E-2</v>
      </c>
      <c r="BQ34" s="1053">
        <f t="shared" si="168"/>
        <v>4.5000000000000005E-2</v>
      </c>
      <c r="BR34" s="1053">
        <f t="shared" si="169"/>
        <v>4.9500000000000009E-2</v>
      </c>
      <c r="BS34" s="1053">
        <f t="shared" si="170"/>
        <v>5.4450000000000012E-2</v>
      </c>
      <c r="BT34" s="1053">
        <f t="shared" si="171"/>
        <v>5.4450000000000012E-2</v>
      </c>
      <c r="BU34" s="1053">
        <f t="shared" si="172"/>
        <v>5.9895000000000018E-2</v>
      </c>
      <c r="BV34" s="1053">
        <f t="shared" si="173"/>
        <v>6.5884500000000026E-2</v>
      </c>
      <c r="BW34" s="1053">
        <f t="shared" si="174"/>
        <v>6.5884500000000026E-2</v>
      </c>
      <c r="BX34" s="1053">
        <f t="shared" si="175"/>
        <v>7.2472950000000036E-2</v>
      </c>
      <c r="BY34" s="1053">
        <f t="shared" si="176"/>
        <v>7.9720245000000051E-2</v>
      </c>
      <c r="BZ34" s="1053">
        <v>0.05</v>
      </c>
      <c r="CA34" s="1053">
        <f t="shared" si="177"/>
        <v>4.5000000000000005E-2</v>
      </c>
      <c r="CB34" s="1053">
        <f t="shared" si="178"/>
        <v>4.5000000000000005E-2</v>
      </c>
      <c r="CC34" s="1053">
        <f t="shared" si="179"/>
        <v>4.5000000000000005E-2</v>
      </c>
      <c r="CD34" s="1053">
        <f t="shared" si="180"/>
        <v>4.9500000000000009E-2</v>
      </c>
      <c r="CE34" s="1053">
        <f t="shared" si="181"/>
        <v>5.4450000000000012E-2</v>
      </c>
      <c r="CF34" s="1053">
        <f t="shared" si="182"/>
        <v>5.4450000000000012E-2</v>
      </c>
      <c r="CG34" s="1053">
        <f t="shared" si="183"/>
        <v>5.9895000000000018E-2</v>
      </c>
      <c r="CH34" s="1053">
        <f t="shared" si="184"/>
        <v>6.5884500000000026E-2</v>
      </c>
      <c r="CI34" s="1053">
        <f t="shared" si="185"/>
        <v>6.5884500000000026E-2</v>
      </c>
      <c r="CJ34" s="1053">
        <f t="shared" si="186"/>
        <v>7.2472950000000036E-2</v>
      </c>
      <c r="CK34" s="1053">
        <f t="shared" si="187"/>
        <v>7.9720245000000051E-2</v>
      </c>
      <c r="CL34" s="1053">
        <v>0.05</v>
      </c>
      <c r="CM34" s="1053">
        <f t="shared" si="188"/>
        <v>4.5000000000000005E-2</v>
      </c>
      <c r="CN34" s="1053">
        <f t="shared" si="189"/>
        <v>4.5000000000000005E-2</v>
      </c>
      <c r="CO34" s="1053">
        <f t="shared" si="190"/>
        <v>4.5000000000000005E-2</v>
      </c>
      <c r="CP34" s="1053">
        <f t="shared" si="191"/>
        <v>4.9500000000000009E-2</v>
      </c>
      <c r="CQ34" s="1053">
        <f t="shared" si="192"/>
        <v>5.4450000000000012E-2</v>
      </c>
      <c r="CR34" s="1053">
        <f t="shared" si="193"/>
        <v>5.4450000000000012E-2</v>
      </c>
      <c r="CS34" s="1053">
        <f t="shared" si="194"/>
        <v>5.9895000000000018E-2</v>
      </c>
      <c r="CT34" s="1053">
        <f t="shared" si="195"/>
        <v>6.5884500000000026E-2</v>
      </c>
      <c r="CU34" s="1053">
        <f t="shared" si="196"/>
        <v>6.5884500000000026E-2</v>
      </c>
      <c r="CV34" s="1053">
        <f t="shared" si="197"/>
        <v>7.2472950000000036E-2</v>
      </c>
      <c r="CW34" s="1053">
        <f t="shared" si="198"/>
        <v>7.9720245000000051E-2</v>
      </c>
      <c r="CX34" s="1053">
        <v>0.05</v>
      </c>
      <c r="CY34" s="1053">
        <f t="shared" si="199"/>
        <v>4.5000000000000005E-2</v>
      </c>
      <c r="CZ34" s="1053">
        <f t="shared" si="200"/>
        <v>4.5000000000000005E-2</v>
      </c>
      <c r="DA34" s="1053">
        <f t="shared" si="201"/>
        <v>4.5000000000000005E-2</v>
      </c>
      <c r="DB34" s="1053">
        <f t="shared" si="202"/>
        <v>4.9500000000000009E-2</v>
      </c>
      <c r="DC34" s="1053">
        <f t="shared" si="203"/>
        <v>5.4450000000000012E-2</v>
      </c>
      <c r="DD34" s="1053">
        <f t="shared" si="204"/>
        <v>5.4450000000000012E-2</v>
      </c>
      <c r="DE34" s="1053">
        <f t="shared" si="205"/>
        <v>5.9895000000000018E-2</v>
      </c>
      <c r="DF34" s="1053">
        <f t="shared" si="206"/>
        <v>6.5884500000000026E-2</v>
      </c>
      <c r="DG34" s="1053">
        <f t="shared" si="207"/>
        <v>6.5884500000000026E-2</v>
      </c>
      <c r="DH34" s="1053">
        <f t="shared" si="208"/>
        <v>7.2472950000000036E-2</v>
      </c>
      <c r="DI34" s="1053">
        <f t="shared" si="209"/>
        <v>7.9720245000000051E-2</v>
      </c>
      <c r="DK34" s="1684"/>
      <c r="DL34" s="957" t="s">
        <v>127</v>
      </c>
      <c r="DN34" s="994">
        <v>2</v>
      </c>
      <c r="DO34" s="995">
        <f>DO23*$AJ$34</f>
        <v>1.4010586792856676</v>
      </c>
      <c r="DP34" s="995">
        <f>DP23*$AJ$34</f>
        <v>1.0189517667532129</v>
      </c>
      <c r="DQ34" s="995">
        <f>DQ23*$AJ$34</f>
        <v>0.70052933964283381</v>
      </c>
      <c r="DR34" s="996">
        <f>DR23*$AJ$34</f>
        <v>2.7384328731492595</v>
      </c>
      <c r="DT34" s="994">
        <v>2</v>
      </c>
      <c r="DU34" s="995">
        <f>DU23*$AH$34</f>
        <v>3.5813953488372094</v>
      </c>
      <c r="DV34" s="995">
        <f>DV23*$AH$34</f>
        <v>2.6046511627906979</v>
      </c>
      <c r="DW34" s="995">
        <f>DW23*$AH$34</f>
        <v>1.7906976744186047</v>
      </c>
      <c r="DX34" s="996">
        <f>DX23*$AH$34</f>
        <v>7.0000000000000009</v>
      </c>
      <c r="DZ34" s="994">
        <v>2</v>
      </c>
      <c r="EA34" s="995">
        <f>EA23*AL$34</f>
        <v>0</v>
      </c>
      <c r="EB34" s="995">
        <f>EB23*AM$34</f>
        <v>0</v>
      </c>
      <c r="EC34" s="995">
        <f>EC23*AN$34</f>
        <v>0</v>
      </c>
      <c r="ED34" s="996">
        <f>ED23*AO$34</f>
        <v>0</v>
      </c>
      <c r="EF34" s="994">
        <f t="shared" ref="EF34:EQ34" si="228">EF23*AP$34</f>
        <v>2.0500000000000003</v>
      </c>
      <c r="EG34" s="995">
        <f t="shared" si="228"/>
        <v>4.6350000000000007</v>
      </c>
      <c r="EH34" s="995">
        <f t="shared" si="228"/>
        <v>4.5000000000000009</v>
      </c>
      <c r="EI34" s="995">
        <f t="shared" si="228"/>
        <v>3.6000000000000005</v>
      </c>
      <c r="EJ34" s="995">
        <f t="shared" si="228"/>
        <v>4.8757500000000009</v>
      </c>
      <c r="EK34" s="995">
        <f t="shared" si="228"/>
        <v>6.3461475000000016</v>
      </c>
      <c r="EL34" s="995">
        <f t="shared" si="228"/>
        <v>6.1011225000000016</v>
      </c>
      <c r="EM34" s="995">
        <f t="shared" si="228"/>
        <v>6.4686600000000016</v>
      </c>
      <c r="EN34" s="995">
        <f t="shared" si="228"/>
        <v>3.8213010000000089</v>
      </c>
      <c r="EO34" s="995">
        <f t="shared" si="228"/>
        <v>1.0541520000000004</v>
      </c>
      <c r="EP34" s="995">
        <f t="shared" si="228"/>
        <v>1.7755872750000008</v>
      </c>
      <c r="EQ34" s="996">
        <f t="shared" si="228"/>
        <v>2.9496490650000018</v>
      </c>
      <c r="ES34" s="994">
        <f t="shared" si="217"/>
        <v>2.15</v>
      </c>
      <c r="ET34" s="995">
        <f t="shared" si="211"/>
        <v>2.0250000000000004</v>
      </c>
      <c r="EU34" s="995">
        <f t="shared" si="211"/>
        <v>2.0250000000000004</v>
      </c>
      <c r="EV34" s="995">
        <f t="shared" si="211"/>
        <v>2.0250000000000004</v>
      </c>
      <c r="EW34" s="995">
        <f t="shared" si="211"/>
        <v>2.2275000000000005</v>
      </c>
      <c r="EX34" s="995">
        <f t="shared" si="211"/>
        <v>2.4502500000000005</v>
      </c>
      <c r="EY34" s="995">
        <f t="shared" si="211"/>
        <v>2.2324500000000005</v>
      </c>
      <c r="EZ34" s="995">
        <f t="shared" si="211"/>
        <v>2.2161150000000007</v>
      </c>
      <c r="FA34" s="995">
        <f t="shared" si="211"/>
        <v>1.7459392500000006</v>
      </c>
      <c r="FB34" s="995">
        <f t="shared" si="211"/>
        <v>1.0541520000000004</v>
      </c>
      <c r="FC34" s="995">
        <f t="shared" si="211"/>
        <v>2.3553708750000011</v>
      </c>
      <c r="FD34" s="996">
        <f t="shared" si="211"/>
        <v>3.9062920050000023</v>
      </c>
      <c r="FF34" s="994">
        <f t="shared" si="218"/>
        <v>2.35</v>
      </c>
      <c r="FG34" s="995">
        <f t="shared" si="212"/>
        <v>2.0250000000000004</v>
      </c>
      <c r="FH34" s="995">
        <f t="shared" si="212"/>
        <v>2.0250000000000004</v>
      </c>
      <c r="FI34" s="995">
        <f t="shared" si="212"/>
        <v>2.0250000000000004</v>
      </c>
      <c r="FJ34" s="995">
        <f t="shared" si="212"/>
        <v>2.2275000000000005</v>
      </c>
      <c r="FK34" s="995">
        <f t="shared" si="212"/>
        <v>2.4502500000000005</v>
      </c>
      <c r="FL34" s="995">
        <f t="shared" si="212"/>
        <v>2.4502500000000005</v>
      </c>
      <c r="FM34" s="995">
        <f t="shared" si="212"/>
        <v>2.695275000000001</v>
      </c>
      <c r="FN34" s="995">
        <f t="shared" si="212"/>
        <v>2.0094772500000007</v>
      </c>
      <c r="FO34" s="995">
        <f t="shared" si="212"/>
        <v>1.0541520000000004</v>
      </c>
      <c r="FP34" s="995">
        <f t="shared" si="212"/>
        <v>2.3553708750000011</v>
      </c>
      <c r="FQ34" s="996">
        <f t="shared" si="212"/>
        <v>3.2685300450000021</v>
      </c>
      <c r="FS34" s="994">
        <f t="shared" si="219"/>
        <v>1.6500000000000001</v>
      </c>
      <c r="FT34" s="995">
        <f t="shared" si="213"/>
        <v>1.4850000000000001</v>
      </c>
      <c r="FU34" s="995">
        <f t="shared" si="213"/>
        <v>1.4850000000000001</v>
      </c>
      <c r="FV34" s="995">
        <f t="shared" si="213"/>
        <v>1.4850000000000001</v>
      </c>
      <c r="FW34" s="995">
        <f t="shared" si="213"/>
        <v>1.6335000000000004</v>
      </c>
      <c r="FX34" s="995">
        <f t="shared" si="213"/>
        <v>1.7968500000000005</v>
      </c>
      <c r="FY34" s="995">
        <f t="shared" si="213"/>
        <v>1.7968500000000005</v>
      </c>
      <c r="FZ34" s="995">
        <f t="shared" si="213"/>
        <v>1.9765350000000006</v>
      </c>
      <c r="GA34" s="995">
        <f t="shared" si="213"/>
        <v>1.6141702500000006</v>
      </c>
      <c r="GB34" s="995">
        <f t="shared" si="213"/>
        <v>1.0541520000000004</v>
      </c>
      <c r="GC34" s="995">
        <f t="shared" si="213"/>
        <v>1.1595672000000006</v>
      </c>
      <c r="GD34" s="996">
        <f t="shared" si="213"/>
        <v>1.2755239200000008</v>
      </c>
      <c r="GF34" s="994">
        <f t="shared" si="220"/>
        <v>0.8</v>
      </c>
      <c r="GG34" s="995">
        <f t="shared" si="214"/>
        <v>0.72000000000000008</v>
      </c>
      <c r="GH34" s="995">
        <f t="shared" si="214"/>
        <v>0.72000000000000008</v>
      </c>
      <c r="GI34" s="995">
        <f t="shared" si="214"/>
        <v>0.72000000000000008</v>
      </c>
      <c r="GJ34" s="995">
        <f t="shared" si="214"/>
        <v>0.79200000000000015</v>
      </c>
      <c r="GK34" s="995">
        <f t="shared" si="214"/>
        <v>0.8712000000000002</v>
      </c>
      <c r="GL34" s="995">
        <f t="shared" si="214"/>
        <v>0.8712000000000002</v>
      </c>
      <c r="GM34" s="995">
        <f t="shared" si="214"/>
        <v>0.95832000000000028</v>
      </c>
      <c r="GN34" s="995">
        <f t="shared" si="214"/>
        <v>1.0541520000000004</v>
      </c>
      <c r="GO34" s="995">
        <f t="shared" si="214"/>
        <v>1.0541520000000004</v>
      </c>
      <c r="GP34" s="995">
        <f t="shared" si="214"/>
        <v>1.1595672000000006</v>
      </c>
      <c r="GQ34" s="996">
        <f t="shared" si="214"/>
        <v>1.2755239200000008</v>
      </c>
      <c r="GS34" s="994">
        <f t="shared" si="221"/>
        <v>0.8</v>
      </c>
      <c r="GT34" s="995">
        <f t="shared" si="215"/>
        <v>0.72000000000000008</v>
      </c>
      <c r="GU34" s="995">
        <f t="shared" si="215"/>
        <v>0.72000000000000008</v>
      </c>
      <c r="GV34" s="995">
        <f t="shared" si="215"/>
        <v>0.72000000000000008</v>
      </c>
      <c r="GW34" s="995">
        <f t="shared" si="215"/>
        <v>0.79200000000000015</v>
      </c>
      <c r="GX34" s="995">
        <f t="shared" si="215"/>
        <v>0.8712000000000002</v>
      </c>
      <c r="GY34" s="995">
        <f t="shared" si="215"/>
        <v>0.8712000000000002</v>
      </c>
      <c r="GZ34" s="995">
        <f t="shared" si="215"/>
        <v>0.95832000000000028</v>
      </c>
      <c r="HA34" s="995">
        <f t="shared" si="215"/>
        <v>1.0541520000000004</v>
      </c>
      <c r="HB34" s="995">
        <f t="shared" si="215"/>
        <v>1.0541520000000004</v>
      </c>
      <c r="HC34" s="995">
        <f t="shared" si="215"/>
        <v>1.1595672000000006</v>
      </c>
      <c r="HD34" s="996">
        <f t="shared" si="215"/>
        <v>1.2755239200000008</v>
      </c>
    </row>
    <row r="35" spans="1:212" ht="15">
      <c r="B35" s="974"/>
      <c r="C35" s="974"/>
      <c r="D35" s="974"/>
      <c r="E35" s="974"/>
      <c r="F35" s="974"/>
      <c r="G35" s="974"/>
      <c r="H35" s="974"/>
      <c r="I35" s="1062"/>
      <c r="O35" s="957" t="s">
        <v>1062</v>
      </c>
      <c r="P35" s="606">
        <v>3</v>
      </c>
      <c r="Q35" s="606">
        <v>4</v>
      </c>
      <c r="R35" s="606">
        <v>3</v>
      </c>
      <c r="S35" s="606">
        <v>6</v>
      </c>
      <c r="T35" s="606">
        <v>6</v>
      </c>
      <c r="U35" s="606">
        <v>5</v>
      </c>
      <c r="V35" s="606">
        <v>5</v>
      </c>
      <c r="AB35" s="957" t="s">
        <v>1062</v>
      </c>
      <c r="DL35" s="957" t="s">
        <v>1062</v>
      </c>
      <c r="DN35" s="1063">
        <v>2</v>
      </c>
      <c r="DO35" s="614">
        <v>6</v>
      </c>
      <c r="DP35" s="614">
        <v>4</v>
      </c>
      <c r="DQ35" s="614">
        <v>5</v>
      </c>
      <c r="DR35" s="947">
        <v>3</v>
      </c>
      <c r="DT35" s="1063">
        <v>2</v>
      </c>
      <c r="DU35" s="614">
        <v>6</v>
      </c>
      <c r="DV35" s="614">
        <v>4</v>
      </c>
      <c r="DW35" s="614">
        <v>5</v>
      </c>
      <c r="DX35" s="947">
        <v>3</v>
      </c>
      <c r="DZ35" s="1063">
        <v>2</v>
      </c>
      <c r="EA35" s="614">
        <v>7</v>
      </c>
      <c r="EB35" s="614">
        <v>4</v>
      </c>
      <c r="EC35" s="614">
        <v>5</v>
      </c>
      <c r="ED35" s="947">
        <v>3</v>
      </c>
      <c r="EF35" s="1063"/>
      <c r="EG35" s="614"/>
      <c r="EH35" s="614"/>
      <c r="EI35" s="614"/>
      <c r="EJ35" s="614"/>
      <c r="EK35" s="614"/>
      <c r="EL35" s="614"/>
      <c r="EM35" s="614"/>
      <c r="EN35" s="614"/>
      <c r="EO35" s="614"/>
      <c r="EP35" s="614"/>
      <c r="EQ35" s="947"/>
      <c r="ES35" s="1063"/>
      <c r="ET35" s="614"/>
      <c r="EU35" s="614"/>
      <c r="EV35" s="614"/>
      <c r="EW35" s="614"/>
      <c r="EX35" s="614"/>
      <c r="EY35" s="614"/>
      <c r="EZ35" s="614"/>
      <c r="FA35" s="614"/>
      <c r="FB35" s="614"/>
      <c r="FC35" s="614"/>
      <c r="FD35" s="947"/>
      <c r="FF35" s="1063"/>
      <c r="FG35" s="614"/>
      <c r="FH35" s="614"/>
      <c r="FI35" s="614"/>
      <c r="FJ35" s="614"/>
      <c r="FK35" s="614"/>
      <c r="FL35" s="614"/>
      <c r="FM35" s="614"/>
      <c r="FN35" s="614"/>
      <c r="FO35" s="614"/>
      <c r="FP35" s="614"/>
      <c r="FQ35" s="947"/>
      <c r="FS35" s="1063"/>
      <c r="FT35" s="614"/>
      <c r="FU35" s="614"/>
      <c r="FV35" s="614"/>
      <c r="FW35" s="614"/>
      <c r="FX35" s="614"/>
      <c r="FY35" s="614"/>
      <c r="FZ35" s="614"/>
      <c r="GA35" s="614"/>
      <c r="GB35" s="614"/>
      <c r="GC35" s="614"/>
      <c r="GD35" s="947"/>
      <c r="GF35" s="1063"/>
      <c r="GG35" s="614"/>
      <c r="GH35" s="614"/>
      <c r="GI35" s="614"/>
      <c r="GJ35" s="614"/>
      <c r="GK35" s="614"/>
      <c r="GL35" s="614"/>
      <c r="GM35" s="614"/>
      <c r="GN35" s="614"/>
      <c r="GO35" s="614"/>
      <c r="GP35" s="614"/>
      <c r="GQ35" s="947"/>
      <c r="GS35" s="1063"/>
      <c r="GT35" s="614"/>
      <c r="GU35" s="614"/>
      <c r="GV35" s="614"/>
      <c r="GW35" s="614"/>
      <c r="GX35" s="614"/>
      <c r="GY35" s="614"/>
      <c r="GZ35" s="614"/>
      <c r="HA35" s="614"/>
      <c r="HB35" s="614"/>
      <c r="HC35" s="614"/>
      <c r="HD35" s="947"/>
    </row>
    <row r="36" spans="1:212">
      <c r="D36" s="944"/>
      <c r="E36" s="944"/>
      <c r="H36" s="1064"/>
      <c r="O36" s="1124" t="s">
        <v>221</v>
      </c>
      <c r="P36" s="1124">
        <f>SUM(P26:P35)</f>
        <v>58</v>
      </c>
      <c r="Q36" s="1124">
        <f t="shared" ref="Q36:V36" si="229">SUM(Q26:Q35)</f>
        <v>43</v>
      </c>
      <c r="R36" s="1124">
        <f t="shared" si="229"/>
        <v>63</v>
      </c>
      <c r="S36" s="1124">
        <f t="shared" si="229"/>
        <v>73</v>
      </c>
      <c r="T36" s="1124">
        <f t="shared" si="229"/>
        <v>83</v>
      </c>
      <c r="U36" s="1124">
        <f t="shared" si="229"/>
        <v>140</v>
      </c>
      <c r="V36" s="1124">
        <f t="shared" si="229"/>
        <v>157</v>
      </c>
      <c r="DN36" s="945" t="s">
        <v>1036</v>
      </c>
      <c r="DT36" s="945" t="s">
        <v>1038</v>
      </c>
      <c r="DZ36" s="945" t="s">
        <v>1039</v>
      </c>
      <c r="EF36" s="1123">
        <f>SUM(EF26:EF34)</f>
        <v>189.00500000000008</v>
      </c>
      <c r="EG36" s="1123">
        <f t="shared" ref="EG36:EQ36" si="230">SUM(EG26:EG34)</f>
        <v>133.30260000000004</v>
      </c>
      <c r="EH36" s="1123">
        <f t="shared" si="230"/>
        <v>110.31435000000005</v>
      </c>
      <c r="EI36" s="1123">
        <f t="shared" si="230"/>
        <v>101.23515000000002</v>
      </c>
      <c r="EJ36" s="1123">
        <f t="shared" si="230"/>
        <v>106.73784000000003</v>
      </c>
      <c r="EK36" s="1123">
        <f t="shared" si="230"/>
        <v>110.83025250000003</v>
      </c>
      <c r="EL36" s="1123">
        <f t="shared" si="230"/>
        <v>103.96955250000005</v>
      </c>
      <c r="EM36" s="1123">
        <f t="shared" si="230"/>
        <v>108.47583450000005</v>
      </c>
      <c r="EN36" s="1123">
        <f t="shared" si="230"/>
        <v>116.25978870000006</v>
      </c>
      <c r="EO36" s="1123">
        <f t="shared" si="230"/>
        <v>118.24950060000006</v>
      </c>
      <c r="EP36" s="1123">
        <f t="shared" si="230"/>
        <v>130.50204106500007</v>
      </c>
      <c r="EQ36" s="1123">
        <f t="shared" si="230"/>
        <v>139.51042875000007</v>
      </c>
      <c r="ES36" s="1123">
        <f>SUM(ES26:ES34)</f>
        <v>78.900000000000006</v>
      </c>
      <c r="ET36" s="1123">
        <f t="shared" ref="ET36:FD36" si="231">SUM(ET26:ET34)</f>
        <v>59.85</v>
      </c>
      <c r="EU36" s="1123">
        <f t="shared" si="231"/>
        <v>60.777000000000008</v>
      </c>
      <c r="EV36" s="1123">
        <f t="shared" si="231"/>
        <v>69.714000000000013</v>
      </c>
      <c r="EW36" s="1123">
        <f t="shared" si="231"/>
        <v>81.912600000000012</v>
      </c>
      <c r="EX36" s="1123">
        <f t="shared" si="231"/>
        <v>92.178405000000012</v>
      </c>
      <c r="EY36" s="1123">
        <f t="shared" si="231"/>
        <v>93.741120000000024</v>
      </c>
      <c r="EZ36" s="1123">
        <f t="shared" si="231"/>
        <v>105.43316850000004</v>
      </c>
      <c r="FA36" s="1123">
        <f t="shared" si="231"/>
        <v>118.76998815000006</v>
      </c>
      <c r="FB36" s="1123">
        <f t="shared" si="231"/>
        <v>121.99174020000007</v>
      </c>
      <c r="FC36" s="1123">
        <f t="shared" si="231"/>
        <v>136.99561738500009</v>
      </c>
      <c r="FD36" s="1123">
        <f t="shared" si="231"/>
        <v>151.30902501000008</v>
      </c>
      <c r="FF36" s="1123">
        <f>SUM(FF26:FF34)</f>
        <v>85.899999999999991</v>
      </c>
      <c r="FG36" s="1123">
        <f t="shared" ref="FG36:FQ36" si="232">SUM(FG26:FG34)</f>
        <v>64.170000000000016</v>
      </c>
      <c r="FH36" s="1123">
        <f t="shared" si="232"/>
        <v>63.945</v>
      </c>
      <c r="FI36" s="1123">
        <f t="shared" si="232"/>
        <v>67.950000000000017</v>
      </c>
      <c r="FJ36" s="1123">
        <f t="shared" si="232"/>
        <v>72.804600000000022</v>
      </c>
      <c r="FK36" s="1123">
        <f t="shared" si="232"/>
        <v>77.760045000000005</v>
      </c>
      <c r="FL36" s="1123">
        <f t="shared" si="232"/>
        <v>75.968640000000036</v>
      </c>
      <c r="FM36" s="1123">
        <f t="shared" si="232"/>
        <v>82.625152500000027</v>
      </c>
      <c r="FN36" s="1123">
        <f t="shared" si="232"/>
        <v>90.413299350000045</v>
      </c>
      <c r="FO36" s="1123">
        <f t="shared" si="232"/>
        <v>91.394978400000042</v>
      </c>
      <c r="FP36" s="1123">
        <f t="shared" si="232"/>
        <v>101.57083942500005</v>
      </c>
      <c r="FQ36" s="1123">
        <f t="shared" si="232"/>
        <v>111.13002153000005</v>
      </c>
      <c r="FS36" s="1123">
        <f>SUM(FS26:FS34)</f>
        <v>64.2</v>
      </c>
      <c r="FT36" s="1123">
        <f t="shared" ref="FT36:GD36" si="233">SUM(FT26:FT34)</f>
        <v>50.13</v>
      </c>
      <c r="FU36" s="1123">
        <f t="shared" si="233"/>
        <v>44.774999999999999</v>
      </c>
      <c r="FV36" s="1123">
        <f t="shared" si="233"/>
        <v>40.950000000000003</v>
      </c>
      <c r="FW36" s="1123">
        <f t="shared" si="233"/>
        <v>41.847300000000011</v>
      </c>
      <c r="FX36" s="1123">
        <f t="shared" si="233"/>
        <v>42.977385000000005</v>
      </c>
      <c r="FY36" s="1123">
        <f t="shared" si="233"/>
        <v>40.47813</v>
      </c>
      <c r="FZ36" s="1123">
        <f t="shared" si="233"/>
        <v>42.28587000000001</v>
      </c>
      <c r="GA36" s="1123">
        <f t="shared" si="233"/>
        <v>44.834402250000018</v>
      </c>
      <c r="GB36" s="1123">
        <f t="shared" si="233"/>
        <v>44.274384000000019</v>
      </c>
      <c r="GC36" s="1123">
        <f t="shared" si="233"/>
        <v>48.701822400000012</v>
      </c>
      <c r="GD36" s="1123">
        <f t="shared" si="233"/>
        <v>53.572004640000024</v>
      </c>
      <c r="GF36" s="1123">
        <f>SUM(GF26:GF34)</f>
        <v>33.599999999999994</v>
      </c>
      <c r="GG36" s="1123">
        <f t="shared" ref="GG36:GQ36" si="234">SUM(GG26:GG34)</f>
        <v>30.240000000000002</v>
      </c>
      <c r="GH36" s="1123">
        <f t="shared" si="234"/>
        <v>30.240000000000002</v>
      </c>
      <c r="GI36" s="1123">
        <f t="shared" si="234"/>
        <v>30.240000000000002</v>
      </c>
      <c r="GJ36" s="1123">
        <f t="shared" si="234"/>
        <v>33.26400000000001</v>
      </c>
      <c r="GK36" s="1123">
        <f t="shared" si="234"/>
        <v>36.59040000000001</v>
      </c>
      <c r="GL36" s="1123">
        <f t="shared" si="234"/>
        <v>36.59040000000001</v>
      </c>
      <c r="GM36" s="1123">
        <f t="shared" si="234"/>
        <v>40.249440000000014</v>
      </c>
      <c r="GN36" s="1123">
        <f t="shared" si="234"/>
        <v>44.274384000000019</v>
      </c>
      <c r="GO36" s="1123">
        <f t="shared" si="234"/>
        <v>44.274384000000019</v>
      </c>
      <c r="GP36" s="1123">
        <f t="shared" si="234"/>
        <v>48.701822400000012</v>
      </c>
      <c r="GQ36" s="1123">
        <f t="shared" si="234"/>
        <v>53.572004640000024</v>
      </c>
      <c r="GS36" s="1123">
        <f>SUM(GS26:GS34)</f>
        <v>33.599999999999994</v>
      </c>
      <c r="GT36" s="1123">
        <f t="shared" ref="GT36:HD36" si="235">SUM(GT26:GT34)</f>
        <v>30.240000000000002</v>
      </c>
      <c r="GU36" s="1123">
        <f t="shared" si="235"/>
        <v>30.240000000000002</v>
      </c>
      <c r="GV36" s="1123">
        <f t="shared" si="235"/>
        <v>30.240000000000002</v>
      </c>
      <c r="GW36" s="1123">
        <f t="shared" si="235"/>
        <v>33.26400000000001</v>
      </c>
      <c r="GX36" s="1123">
        <f t="shared" si="235"/>
        <v>36.59040000000001</v>
      </c>
      <c r="GY36" s="1123">
        <f t="shared" si="235"/>
        <v>36.59040000000001</v>
      </c>
      <c r="GZ36" s="1123">
        <f t="shared" si="235"/>
        <v>40.249440000000014</v>
      </c>
      <c r="HA36" s="1123">
        <f t="shared" si="235"/>
        <v>44.274384000000019</v>
      </c>
      <c r="HB36" s="1123">
        <f t="shared" si="235"/>
        <v>44.274384000000019</v>
      </c>
      <c r="HC36" s="1123">
        <f t="shared" si="235"/>
        <v>48.701822400000012</v>
      </c>
      <c r="HD36" s="1123">
        <f t="shared" si="235"/>
        <v>53.572004640000024</v>
      </c>
    </row>
    <row r="37" spans="1:212">
      <c r="B37" s="1065" t="s">
        <v>1037</v>
      </c>
      <c r="D37" s="1066"/>
      <c r="E37" s="935"/>
      <c r="H37" s="1064"/>
      <c r="P37" s="973">
        <f>P36/P10</f>
        <v>0.14250614250614252</v>
      </c>
      <c r="Q37" s="973">
        <f t="shared" ref="Q37:V37" si="236">Q36/Q10</f>
        <v>0.12112676056338029</v>
      </c>
      <c r="R37" s="973">
        <f t="shared" si="236"/>
        <v>0.19936708860759494</v>
      </c>
      <c r="S37" s="973">
        <f t="shared" si="236"/>
        <v>0.22392638036809817</v>
      </c>
      <c r="T37" s="973">
        <f t="shared" si="236"/>
        <v>0.25538461538461538</v>
      </c>
      <c r="U37" s="973">
        <f t="shared" si="236"/>
        <v>0.38997214484679665</v>
      </c>
      <c r="V37" s="973">
        <f t="shared" si="236"/>
        <v>0.39447236180904521</v>
      </c>
      <c r="DN37" s="945" t="s">
        <v>1066</v>
      </c>
      <c r="DT37" s="945" t="s">
        <v>1066</v>
      </c>
      <c r="DZ37" s="945" t="s">
        <v>1066</v>
      </c>
      <c r="EF37" s="973">
        <f>EF36/EF10</f>
        <v>0.23131195692081757</v>
      </c>
      <c r="EG37" s="973">
        <f t="shared" ref="EG37:EQ37" si="237">EG36/EG10</f>
        <v>0.16829011488448431</v>
      </c>
      <c r="EH37" s="973">
        <f t="shared" si="237"/>
        <v>0.15458849495515697</v>
      </c>
      <c r="EI37" s="973">
        <f t="shared" si="237"/>
        <v>0.15560275130648632</v>
      </c>
      <c r="EJ37" s="973">
        <f t="shared" si="237"/>
        <v>0.17395345501955672</v>
      </c>
      <c r="EK37" s="973">
        <f t="shared" si="237"/>
        <v>0.19787583020889127</v>
      </c>
      <c r="EL37" s="973">
        <f t="shared" si="237"/>
        <v>0.21281251151366293</v>
      </c>
      <c r="EM37" s="973">
        <f t="shared" si="237"/>
        <v>0.25735666548042707</v>
      </c>
      <c r="EN37" s="973">
        <f t="shared" si="237"/>
        <v>0.32429508702928878</v>
      </c>
      <c r="EO37" s="973">
        <f t="shared" si="237"/>
        <v>0.34225615224312606</v>
      </c>
      <c r="EP37" s="973">
        <f t="shared" si="237"/>
        <v>0.35223222959514189</v>
      </c>
      <c r="EQ37" s="973">
        <f t="shared" si="237"/>
        <v>0.36425699412532658</v>
      </c>
      <c r="ES37" s="973">
        <f>ES36/ES10</f>
        <v>0.21181208053691278</v>
      </c>
      <c r="ET37" s="973">
        <f t="shared" ref="ET37:FD37" si="238">ET36/ET10</f>
        <v>0.17322720694645441</v>
      </c>
      <c r="EU37" s="973">
        <f t="shared" si="238"/>
        <v>0.18251351351351353</v>
      </c>
      <c r="EV37" s="973">
        <f t="shared" si="238"/>
        <v>0.20686646884272999</v>
      </c>
      <c r="EW37" s="973">
        <f t="shared" si="238"/>
        <v>0.24163008849557527</v>
      </c>
      <c r="EX37" s="973">
        <f t="shared" si="238"/>
        <v>0.27191269911504429</v>
      </c>
      <c r="EY37" s="973">
        <f t="shared" si="238"/>
        <v>0.27652247787610629</v>
      </c>
      <c r="EZ37" s="973">
        <f t="shared" si="238"/>
        <v>0.30738533090379017</v>
      </c>
      <c r="FA37" s="973">
        <f t="shared" si="238"/>
        <v>0.33837603461538479</v>
      </c>
      <c r="FB37" s="973">
        <f t="shared" si="238"/>
        <v>0.330153559404601</v>
      </c>
      <c r="FC37" s="973">
        <f t="shared" si="238"/>
        <v>0.3437782117565874</v>
      </c>
      <c r="FD37" s="973">
        <f t="shared" si="238"/>
        <v>0.36814847934306588</v>
      </c>
      <c r="FF37" s="973">
        <f>FF36/FF10</f>
        <v>0.21885350318471336</v>
      </c>
      <c r="FG37" s="973">
        <f t="shared" ref="FG37:FQ37" si="239">FG36/FG10</f>
        <v>0.17751037344398346</v>
      </c>
      <c r="FH37" s="973">
        <f t="shared" si="239"/>
        <v>0.18322349570200575</v>
      </c>
      <c r="FI37" s="973">
        <f t="shared" si="239"/>
        <v>0.19695652173913047</v>
      </c>
      <c r="FJ37" s="973">
        <f t="shared" si="239"/>
        <v>0.21863243243243249</v>
      </c>
      <c r="FK37" s="973">
        <f t="shared" si="239"/>
        <v>0.24224313084112151</v>
      </c>
      <c r="FL37" s="973">
        <f t="shared" si="239"/>
        <v>0.24585320388349527</v>
      </c>
      <c r="FM37" s="973">
        <f t="shared" si="239"/>
        <v>0.27819916666666678</v>
      </c>
      <c r="FN37" s="973">
        <f t="shared" si="239"/>
        <v>0.31723964684210543</v>
      </c>
      <c r="FO37" s="973">
        <f t="shared" si="239"/>
        <v>0.31789557704347843</v>
      </c>
      <c r="FP37" s="973">
        <f t="shared" si="239"/>
        <v>0.33356597512315284</v>
      </c>
      <c r="FQ37" s="973">
        <f t="shared" si="239"/>
        <v>0.36436072632786903</v>
      </c>
      <c r="FS37" s="973">
        <f>FS36/FS10</f>
        <v>0.22253032928942809</v>
      </c>
      <c r="FT37" s="973">
        <f t="shared" ref="FT37:GD37" si="240">FT36/FT10</f>
        <v>0.18464088397790057</v>
      </c>
      <c r="FU37" s="973">
        <f t="shared" si="240"/>
        <v>0.17593320235756385</v>
      </c>
      <c r="FV37" s="973">
        <f t="shared" si="240"/>
        <v>0.17242105263157895</v>
      </c>
      <c r="FW37" s="973">
        <f t="shared" si="240"/>
        <v>0.18978367346938779</v>
      </c>
      <c r="FX37" s="973">
        <f t="shared" si="240"/>
        <v>0.21119108108108112</v>
      </c>
      <c r="FY37" s="973">
        <f t="shared" si="240"/>
        <v>0.21704091152815014</v>
      </c>
      <c r="FZ37" s="973">
        <f t="shared" si="240"/>
        <v>0.24947415929203545</v>
      </c>
      <c r="GA37" s="973">
        <f t="shared" si="240"/>
        <v>0.29399608032786895</v>
      </c>
      <c r="GB37" s="973">
        <f t="shared" si="240"/>
        <v>0.30746100000000015</v>
      </c>
      <c r="GC37" s="973">
        <f t="shared" si="240"/>
        <v>0.33820710000000009</v>
      </c>
      <c r="GD37" s="973">
        <f t="shared" si="240"/>
        <v>0.37202781000000018</v>
      </c>
      <c r="GF37" s="973">
        <f>GF36/GF10</f>
        <v>0.23333333333333328</v>
      </c>
      <c r="GG37" s="973">
        <f t="shared" ref="GG37:GQ37" si="241">GG36/GG10</f>
        <v>0.21000000000000002</v>
      </c>
      <c r="GH37" s="973">
        <f t="shared" si="241"/>
        <v>0.21000000000000002</v>
      </c>
      <c r="GI37" s="973">
        <f t="shared" si="241"/>
        <v>0.21000000000000002</v>
      </c>
      <c r="GJ37" s="973">
        <f t="shared" si="241"/>
        <v>0.23100000000000007</v>
      </c>
      <c r="GK37" s="973">
        <f t="shared" si="241"/>
        <v>0.25410000000000005</v>
      </c>
      <c r="GL37" s="973">
        <f t="shared" si="241"/>
        <v>0.25410000000000005</v>
      </c>
      <c r="GM37" s="973">
        <f t="shared" si="241"/>
        <v>0.27951000000000009</v>
      </c>
      <c r="GN37" s="973">
        <f t="shared" si="241"/>
        <v>0.30746100000000015</v>
      </c>
      <c r="GO37" s="973">
        <f t="shared" si="241"/>
        <v>0.30746100000000015</v>
      </c>
      <c r="GP37" s="973">
        <f t="shared" si="241"/>
        <v>0.33820710000000009</v>
      </c>
      <c r="GQ37" s="973">
        <f t="shared" si="241"/>
        <v>0.37202781000000018</v>
      </c>
      <c r="GS37" s="973">
        <f>GS36/GS10</f>
        <v>0.23333333333333328</v>
      </c>
      <c r="GT37" s="973">
        <f t="shared" ref="GT37:HD37" si="242">GT36/GT10</f>
        <v>0.21000000000000002</v>
      </c>
      <c r="GU37" s="973">
        <f t="shared" si="242"/>
        <v>0.21000000000000002</v>
      </c>
      <c r="GV37" s="973">
        <f t="shared" si="242"/>
        <v>0.21000000000000002</v>
      </c>
      <c r="GW37" s="973">
        <f t="shared" si="242"/>
        <v>0.23100000000000007</v>
      </c>
      <c r="GX37" s="973">
        <f t="shared" si="242"/>
        <v>0.25410000000000005</v>
      </c>
      <c r="GY37" s="973">
        <f t="shared" si="242"/>
        <v>0.25410000000000005</v>
      </c>
      <c r="GZ37" s="973">
        <f t="shared" si="242"/>
        <v>0.27951000000000009</v>
      </c>
      <c r="HA37" s="973">
        <f t="shared" si="242"/>
        <v>0.30746100000000015</v>
      </c>
      <c r="HB37" s="973">
        <f t="shared" si="242"/>
        <v>0.30746100000000015</v>
      </c>
      <c r="HC37" s="973">
        <f t="shared" si="242"/>
        <v>0.33820710000000009</v>
      </c>
      <c r="HD37" s="973">
        <f t="shared" si="242"/>
        <v>0.37202781000000018</v>
      </c>
    </row>
    <row r="38" spans="1:212">
      <c r="B38" s="1067" t="s">
        <v>1067</v>
      </c>
      <c r="D38" s="1066"/>
      <c r="E38" s="1068"/>
      <c r="DN38" s="945" t="s">
        <v>1048</v>
      </c>
      <c r="DT38" s="945" t="s">
        <v>1048</v>
      </c>
      <c r="DZ38" s="945" t="s">
        <v>1048</v>
      </c>
    </row>
    <row r="39" spans="1:212">
      <c r="B39" s="1069" t="s">
        <v>1068</v>
      </c>
      <c r="D39" s="607"/>
      <c r="E39" s="1070"/>
      <c r="F39" s="1070"/>
      <c r="G39" s="1070"/>
      <c r="H39" s="1070"/>
      <c r="I39" s="1070"/>
      <c r="EF39" s="945" t="s">
        <v>1039</v>
      </c>
      <c r="ES39" s="945" t="s">
        <v>1039</v>
      </c>
      <c r="FF39" s="945" t="s">
        <v>1039</v>
      </c>
      <c r="FS39" s="945" t="s">
        <v>1039</v>
      </c>
      <c r="GF39" s="945" t="s">
        <v>1039</v>
      </c>
      <c r="GS39" s="945" t="s">
        <v>1039</v>
      </c>
    </row>
    <row r="40" spans="1:212">
      <c r="D40" s="607"/>
      <c r="E40" s="1070"/>
      <c r="F40" s="1070"/>
      <c r="G40" s="1070"/>
      <c r="H40" s="1070"/>
      <c r="I40" s="1070"/>
      <c r="EF40" s="945" t="s">
        <v>1066</v>
      </c>
      <c r="ES40" s="945" t="s">
        <v>1066</v>
      </c>
      <c r="FF40" s="945" t="s">
        <v>1066</v>
      </c>
      <c r="FS40" s="945" t="s">
        <v>1066</v>
      </c>
      <c r="GF40" s="945" t="s">
        <v>1066</v>
      </c>
      <c r="GS40" s="945" t="s">
        <v>1066</v>
      </c>
    </row>
    <row r="41" spans="1:212">
      <c r="EF41" s="945" t="s">
        <v>1235</v>
      </c>
      <c r="ES41" s="945" t="s">
        <v>1235</v>
      </c>
      <c r="FF41" s="945" t="s">
        <v>1235</v>
      </c>
      <c r="FS41" s="945" t="s">
        <v>1235</v>
      </c>
      <c r="GF41" s="945" t="s">
        <v>1235</v>
      </c>
      <c r="GS41" s="945" t="s">
        <v>1235</v>
      </c>
    </row>
    <row r="44" spans="1:212" s="935" customFormat="1">
      <c r="A44" s="932" t="s">
        <v>1069</v>
      </c>
      <c r="B44" s="933" t="s">
        <v>1070</v>
      </c>
      <c r="C44" s="934"/>
      <c r="D44" s="934"/>
      <c r="E44" s="934"/>
      <c r="F44" s="934"/>
      <c r="G44" s="934"/>
      <c r="H44" s="934"/>
      <c r="I44" s="934"/>
      <c r="J44" s="934"/>
      <c r="K44" s="934"/>
      <c r="L44" s="934"/>
      <c r="M44" s="934"/>
      <c r="N44" s="934"/>
      <c r="O44" s="934"/>
      <c r="P44" s="934"/>
      <c r="Q44" s="934"/>
      <c r="R44" s="934"/>
      <c r="S44" s="934"/>
      <c r="T44" s="934"/>
      <c r="U44" s="934"/>
      <c r="V44" s="934"/>
      <c r="W44" s="934"/>
      <c r="X44" s="934"/>
      <c r="Y44" s="934"/>
      <c r="Z44" s="934"/>
      <c r="AA44" s="934"/>
      <c r="AB44" s="934"/>
      <c r="AC44" s="934"/>
      <c r="AD44" s="934"/>
      <c r="AE44" s="934"/>
      <c r="AF44" s="934"/>
      <c r="AG44" s="934"/>
      <c r="AH44" s="934"/>
      <c r="AI44" s="934"/>
      <c r="AJ44" s="934"/>
      <c r="AK44" s="934"/>
      <c r="AL44" s="934"/>
      <c r="AM44" s="934"/>
      <c r="AN44" s="934"/>
      <c r="AO44" s="934"/>
      <c r="AP44" s="934"/>
      <c r="AQ44" s="934"/>
      <c r="AR44" s="934"/>
      <c r="AS44" s="934"/>
      <c r="AT44" s="934"/>
      <c r="AU44" s="934"/>
      <c r="AV44" s="934"/>
      <c r="AW44" s="934"/>
      <c r="AX44" s="934"/>
      <c r="AY44" s="934"/>
      <c r="AZ44" s="934"/>
      <c r="BA44" s="934"/>
      <c r="BB44" s="934"/>
      <c r="BC44" s="934"/>
      <c r="BD44" s="934"/>
      <c r="BE44" s="934"/>
      <c r="BF44" s="934"/>
      <c r="BG44" s="934"/>
      <c r="BH44" s="934"/>
      <c r="BI44" s="934"/>
      <c r="BJ44" s="934"/>
      <c r="BK44" s="934"/>
      <c r="BL44" s="934"/>
      <c r="BM44" s="934"/>
      <c r="BN44" s="934"/>
      <c r="BO44" s="934"/>
      <c r="BP44" s="934"/>
      <c r="BQ44" s="934"/>
      <c r="BR44" s="934"/>
      <c r="BS44" s="934"/>
      <c r="BT44" s="934"/>
      <c r="BU44" s="934"/>
      <c r="BV44" s="934"/>
      <c r="BW44" s="934"/>
      <c r="BX44" s="934"/>
      <c r="BY44" s="934"/>
      <c r="BZ44" s="934"/>
      <c r="CA44" s="934"/>
      <c r="CB44" s="934"/>
      <c r="CC44" s="934"/>
      <c r="CD44" s="934"/>
      <c r="CE44" s="934"/>
      <c r="CF44" s="934"/>
      <c r="CG44" s="934"/>
      <c r="CH44" s="934"/>
      <c r="CI44" s="934"/>
      <c r="CJ44" s="934"/>
      <c r="CK44" s="934"/>
      <c r="CL44" s="934"/>
      <c r="CM44" s="934"/>
      <c r="CN44" s="934"/>
      <c r="CO44" s="934"/>
      <c r="CP44" s="934"/>
      <c r="CQ44" s="934"/>
      <c r="CR44" s="934"/>
      <c r="CS44" s="934"/>
      <c r="CT44" s="934"/>
      <c r="CU44" s="934"/>
      <c r="CV44" s="934"/>
      <c r="CW44" s="934"/>
      <c r="CX44" s="934"/>
      <c r="CY44" s="934"/>
      <c r="CZ44" s="934"/>
      <c r="DA44" s="934"/>
      <c r="DB44" s="934"/>
      <c r="DC44" s="934"/>
      <c r="DD44" s="934"/>
      <c r="DE44" s="934"/>
      <c r="DF44" s="934"/>
      <c r="DG44" s="934"/>
      <c r="DH44" s="934"/>
      <c r="DI44" s="934"/>
      <c r="DJ44" s="934"/>
      <c r="DK44" s="934"/>
      <c r="DL44" s="934"/>
      <c r="DM44" s="934"/>
      <c r="DN44" s="934"/>
      <c r="DO44" s="934"/>
      <c r="DP44" s="934"/>
      <c r="DQ44" s="934"/>
      <c r="DR44" s="934"/>
      <c r="DS44" s="934"/>
      <c r="DT44" s="934"/>
      <c r="DU44" s="934"/>
      <c r="DV44" s="934"/>
      <c r="DW44" s="934"/>
      <c r="DX44" s="934"/>
      <c r="DY44" s="934"/>
      <c r="DZ44" s="934"/>
      <c r="EA44" s="934"/>
      <c r="EB44" s="934"/>
      <c r="EC44" s="934"/>
      <c r="ED44" s="934"/>
      <c r="EE44" s="934"/>
      <c r="EF44" s="934"/>
      <c r="EG44" s="934"/>
      <c r="EH44" s="934"/>
      <c r="EI44" s="934"/>
      <c r="EJ44" s="934"/>
      <c r="EK44" s="934"/>
      <c r="EL44" s="934"/>
      <c r="EM44" s="934"/>
      <c r="EN44" s="934"/>
      <c r="EO44" s="934"/>
      <c r="EP44" s="934"/>
      <c r="EQ44" s="934"/>
      <c r="ES44" s="934"/>
      <c r="ET44" s="934"/>
      <c r="EU44" s="934"/>
      <c r="EV44" s="934"/>
      <c r="EW44" s="934"/>
      <c r="EX44" s="934"/>
      <c r="EY44" s="934"/>
      <c r="EZ44" s="934"/>
      <c r="FA44" s="934"/>
      <c r="FB44" s="934"/>
      <c r="FC44" s="934"/>
      <c r="FD44" s="934"/>
      <c r="FF44" s="934"/>
      <c r="FG44" s="934"/>
      <c r="FH44" s="934"/>
      <c r="FI44" s="934"/>
      <c r="FJ44" s="934"/>
      <c r="FK44" s="934"/>
      <c r="FL44" s="934"/>
      <c r="FM44" s="934"/>
      <c r="FN44" s="934"/>
      <c r="FO44" s="934"/>
      <c r="FP44" s="934"/>
      <c r="FQ44" s="934"/>
      <c r="FS44" s="934"/>
      <c r="FT44" s="934"/>
      <c r="FU44" s="934"/>
      <c r="FV44" s="934"/>
      <c r="FW44" s="934"/>
      <c r="FX44" s="934"/>
      <c r="FY44" s="934"/>
      <c r="FZ44" s="934"/>
      <c r="GA44" s="934"/>
      <c r="GB44" s="934"/>
      <c r="GC44" s="934"/>
      <c r="GD44" s="934"/>
      <c r="GF44" s="934"/>
      <c r="GG44" s="934"/>
      <c r="GH44" s="934"/>
      <c r="GI44" s="934"/>
      <c r="GJ44" s="934"/>
      <c r="GK44" s="934"/>
      <c r="GL44" s="934"/>
      <c r="GM44" s="934"/>
      <c r="GN44" s="934"/>
      <c r="GO44" s="934"/>
      <c r="GP44" s="934"/>
      <c r="GQ44" s="934"/>
      <c r="GS44" s="934"/>
      <c r="GT44" s="934"/>
      <c r="GU44" s="934"/>
      <c r="GV44" s="934"/>
      <c r="GW44" s="934"/>
      <c r="GX44" s="934"/>
      <c r="GY44" s="934"/>
      <c r="GZ44" s="934"/>
      <c r="HA44" s="934"/>
      <c r="HB44" s="934"/>
      <c r="HC44" s="934"/>
      <c r="HD44" s="934"/>
    </row>
    <row r="46" spans="1:212">
      <c r="B46" s="936" t="s">
        <v>1030</v>
      </c>
      <c r="C46" s="937"/>
      <c r="D46" s="937"/>
      <c r="E46" s="937"/>
      <c r="F46" s="937"/>
      <c r="G46" s="937"/>
      <c r="H46" s="937"/>
      <c r="I46" s="937"/>
      <c r="J46" s="937"/>
      <c r="K46" s="937"/>
      <c r="L46" s="937"/>
      <c r="N46" s="938" t="s">
        <v>1031</v>
      </c>
      <c r="O46" s="939"/>
      <c r="P46" s="939"/>
      <c r="Q46" s="939"/>
      <c r="R46" s="939"/>
      <c r="S46" s="939"/>
      <c r="T46" s="939"/>
      <c r="U46" s="939"/>
      <c r="V46" s="939"/>
      <c r="W46" s="939"/>
      <c r="X46" s="939"/>
      <c r="Y46" s="939"/>
      <c r="AA46" s="940" t="s">
        <v>1032</v>
      </c>
      <c r="AB46" s="941"/>
      <c r="AC46" s="941"/>
      <c r="AD46" s="941"/>
      <c r="AE46" s="941"/>
      <c r="AF46" s="941"/>
      <c r="AG46" s="941"/>
      <c r="AH46" s="941"/>
      <c r="AI46" s="941"/>
      <c r="AJ46" s="941"/>
      <c r="AK46" s="941"/>
      <c r="AL46" s="941"/>
      <c r="AM46" s="941"/>
      <c r="AN46" s="941"/>
      <c r="AO46" s="941"/>
      <c r="AP46" s="941"/>
      <c r="AQ46" s="941"/>
      <c r="AR46" s="941"/>
      <c r="AS46" s="941"/>
      <c r="AT46" s="941"/>
      <c r="AU46" s="941"/>
      <c r="AV46" s="941"/>
      <c r="AW46" s="941"/>
      <c r="AX46" s="941"/>
      <c r="AY46" s="941"/>
      <c r="AZ46" s="941"/>
      <c r="BA46" s="941"/>
      <c r="BB46" s="941"/>
      <c r="BC46" s="941"/>
      <c r="BD46" s="941"/>
      <c r="BE46" s="941"/>
      <c r="BF46" s="941"/>
      <c r="BG46" s="941"/>
      <c r="BH46" s="941"/>
      <c r="BI46" s="941"/>
      <c r="BJ46" s="941"/>
      <c r="BK46" s="941"/>
      <c r="BL46" s="941"/>
      <c r="BM46" s="941"/>
      <c r="BN46" s="941"/>
      <c r="BO46" s="941"/>
      <c r="BP46" s="941"/>
      <c r="BQ46" s="941"/>
      <c r="BR46" s="941"/>
      <c r="BS46" s="941"/>
      <c r="BT46" s="941"/>
      <c r="BU46" s="941"/>
      <c r="BV46" s="941"/>
      <c r="BW46" s="941"/>
      <c r="BX46" s="941"/>
      <c r="BY46" s="941"/>
      <c r="BZ46" s="941"/>
      <c r="CA46" s="941"/>
      <c r="CB46" s="941"/>
      <c r="CC46" s="941"/>
      <c r="CD46" s="941"/>
      <c r="CE46" s="941"/>
      <c r="CF46" s="941"/>
      <c r="CG46" s="941"/>
      <c r="CH46" s="941"/>
      <c r="CI46" s="941"/>
      <c r="CJ46" s="941"/>
      <c r="CK46" s="941"/>
      <c r="CL46" s="941"/>
      <c r="CM46" s="941"/>
      <c r="CN46" s="941"/>
      <c r="CO46" s="941"/>
      <c r="CP46" s="941"/>
      <c r="CQ46" s="941"/>
      <c r="CR46" s="941"/>
      <c r="CS46" s="941"/>
      <c r="CT46" s="941"/>
      <c r="CU46" s="941"/>
      <c r="CV46" s="941"/>
      <c r="CW46" s="941"/>
      <c r="CX46" s="941"/>
      <c r="CY46" s="941"/>
      <c r="CZ46" s="941"/>
      <c r="DA46" s="941"/>
      <c r="DB46" s="941"/>
      <c r="DC46" s="941"/>
      <c r="DD46" s="941"/>
      <c r="DE46" s="941"/>
      <c r="DF46" s="941"/>
      <c r="DG46" s="941"/>
      <c r="DH46" s="941"/>
      <c r="DI46" s="941"/>
      <c r="DK46" s="942" t="s">
        <v>1033</v>
      </c>
      <c r="DL46" s="943"/>
      <c r="DM46" s="943"/>
      <c r="DN46" s="943"/>
      <c r="DO46" s="943"/>
      <c r="DP46" s="943"/>
      <c r="DQ46" s="943"/>
      <c r="DR46" s="943"/>
      <c r="DS46" s="943"/>
      <c r="DT46" s="943"/>
      <c r="DU46" s="943"/>
      <c r="DV46" s="943"/>
      <c r="DW46" s="943"/>
      <c r="DX46" s="943"/>
      <c r="DY46" s="943"/>
      <c r="DZ46" s="943"/>
      <c r="EA46" s="943"/>
      <c r="EB46" s="943"/>
      <c r="EC46" s="943"/>
      <c r="ED46" s="943"/>
      <c r="EE46" s="943"/>
      <c r="EF46" s="943"/>
      <c r="EG46" s="943"/>
      <c r="EH46" s="943"/>
      <c r="EI46" s="943"/>
      <c r="EJ46" s="943"/>
      <c r="EK46" s="943"/>
      <c r="EL46" s="943"/>
      <c r="EM46" s="943"/>
      <c r="EN46" s="943"/>
      <c r="EO46" s="943"/>
      <c r="EP46" s="943"/>
      <c r="EQ46" s="943"/>
      <c r="ES46" s="943"/>
      <c r="ET46" s="943"/>
      <c r="EU46" s="943"/>
      <c r="EV46" s="943"/>
      <c r="EW46" s="943"/>
      <c r="EX46" s="943"/>
      <c r="EY46" s="943"/>
      <c r="EZ46" s="943"/>
      <c r="FA46" s="943"/>
      <c r="FB46" s="943"/>
      <c r="FC46" s="943"/>
      <c r="FD46" s="943"/>
      <c r="FF46" s="943"/>
      <c r="FG46" s="943"/>
      <c r="FH46" s="943"/>
      <c r="FI46" s="943"/>
      <c r="FJ46" s="943"/>
      <c r="FK46" s="943"/>
      <c r="FL46" s="943"/>
      <c r="FM46" s="943"/>
      <c r="FN46" s="943"/>
      <c r="FO46" s="943"/>
      <c r="FP46" s="943"/>
      <c r="FQ46" s="943"/>
      <c r="FS46" s="943"/>
      <c r="FT46" s="943"/>
      <c r="FU46" s="943"/>
      <c r="FV46" s="943"/>
      <c r="FW46" s="943"/>
      <c r="FX46" s="943"/>
      <c r="FY46" s="943"/>
      <c r="FZ46" s="943"/>
      <c r="GA46" s="943"/>
      <c r="GB46" s="943"/>
      <c r="GC46" s="943"/>
      <c r="GD46" s="943"/>
      <c r="GF46" s="943"/>
      <c r="GG46" s="943"/>
      <c r="GH46" s="943"/>
      <c r="GI46" s="943"/>
      <c r="GJ46" s="943"/>
      <c r="GK46" s="943"/>
      <c r="GL46" s="943"/>
      <c r="GM46" s="943"/>
      <c r="GN46" s="943"/>
      <c r="GO46" s="943"/>
      <c r="GP46" s="943"/>
      <c r="GQ46" s="943"/>
      <c r="GS46" s="943"/>
      <c r="GT46" s="943"/>
      <c r="GU46" s="943"/>
      <c r="GV46" s="943"/>
      <c r="GW46" s="943"/>
      <c r="GX46" s="943"/>
      <c r="GY46" s="943"/>
      <c r="GZ46" s="943"/>
      <c r="HA46" s="943"/>
      <c r="HB46" s="943"/>
      <c r="HC46" s="943"/>
      <c r="HD46" s="943"/>
    </row>
    <row r="48" spans="1:212" ht="51">
      <c r="B48" s="997" t="s">
        <v>114</v>
      </c>
      <c r="C48" s="1071" t="s">
        <v>142</v>
      </c>
      <c r="D48" s="1072" t="s">
        <v>1071</v>
      </c>
      <c r="E48" s="1073" t="s">
        <v>1072</v>
      </c>
      <c r="F48" s="1074" t="s">
        <v>145</v>
      </c>
      <c r="G48" s="990" t="s">
        <v>118</v>
      </c>
      <c r="H48" s="955" t="s">
        <v>1040</v>
      </c>
      <c r="I48" s="1075"/>
    </row>
    <row r="49" spans="2:212" ht="14.25">
      <c r="B49" s="984" t="s">
        <v>119</v>
      </c>
      <c r="C49" s="1076">
        <v>15</v>
      </c>
      <c r="D49" s="1025">
        <v>1</v>
      </c>
      <c r="E49" s="1077">
        <v>1</v>
      </c>
      <c r="F49" s="1077">
        <v>5</v>
      </c>
      <c r="G49" s="1027">
        <v>13</v>
      </c>
      <c r="H49" s="1078">
        <f>G49/C49</f>
        <v>0.8666666666666667</v>
      </c>
      <c r="I49" s="1075"/>
      <c r="N49" s="961"/>
      <c r="O49" s="947"/>
      <c r="P49" s="962">
        <v>42370</v>
      </c>
      <c r="Q49" s="962">
        <v>42401</v>
      </c>
      <c r="R49" s="962">
        <v>42430</v>
      </c>
      <c r="S49" s="962">
        <v>42461</v>
      </c>
      <c r="T49" s="962">
        <v>42491</v>
      </c>
      <c r="U49" s="962">
        <v>42522</v>
      </c>
      <c r="V49" s="962">
        <v>42552</v>
      </c>
      <c r="W49" s="1012"/>
      <c r="X49" s="1012"/>
      <c r="Y49" s="1012"/>
      <c r="AA49" s="961"/>
      <c r="AB49" s="947"/>
      <c r="AC49" s="962">
        <v>42370</v>
      </c>
      <c r="AD49" s="962">
        <v>42401</v>
      </c>
      <c r="AE49" s="962">
        <v>42430</v>
      </c>
      <c r="AF49" s="962">
        <v>42461</v>
      </c>
      <c r="AG49" s="962">
        <v>42491</v>
      </c>
      <c r="AH49" s="962">
        <v>42522</v>
      </c>
      <c r="AI49" s="962">
        <v>42552</v>
      </c>
      <c r="AJ49" s="949" t="s">
        <v>1034</v>
      </c>
      <c r="AK49" s="963">
        <v>42583</v>
      </c>
      <c r="AL49" s="963">
        <v>42614</v>
      </c>
      <c r="AM49" s="963">
        <v>42644</v>
      </c>
      <c r="AN49" s="963">
        <v>42675</v>
      </c>
      <c r="AO49" s="963">
        <v>42705</v>
      </c>
      <c r="AP49" s="1013">
        <v>42736</v>
      </c>
      <c r="AQ49" s="1013">
        <v>42767</v>
      </c>
      <c r="AR49" s="1013">
        <v>42795</v>
      </c>
      <c r="AS49" s="1013">
        <v>42826</v>
      </c>
      <c r="AT49" s="1013">
        <v>42856</v>
      </c>
      <c r="AU49" s="1013">
        <v>42887</v>
      </c>
      <c r="AV49" s="1013">
        <v>42917</v>
      </c>
      <c r="AW49" s="1013">
        <v>42948</v>
      </c>
      <c r="AX49" s="1013">
        <v>42979</v>
      </c>
      <c r="AY49" s="1013">
        <v>43009</v>
      </c>
      <c r="AZ49" s="1013">
        <v>43040</v>
      </c>
      <c r="BA49" s="1013">
        <v>43070</v>
      </c>
      <c r="BB49" s="1013">
        <v>43101</v>
      </c>
      <c r="BC49" s="1013">
        <v>43132</v>
      </c>
      <c r="BD49" s="1013">
        <v>43160</v>
      </c>
      <c r="BE49" s="1013">
        <v>43191</v>
      </c>
      <c r="BF49" s="1013">
        <v>43221</v>
      </c>
      <c r="BG49" s="1013">
        <v>43252</v>
      </c>
      <c r="BH49" s="1013">
        <v>43282</v>
      </c>
      <c r="BI49" s="1013">
        <v>43313</v>
      </c>
      <c r="BJ49" s="1013">
        <v>43344</v>
      </c>
      <c r="BK49" s="1013">
        <v>43374</v>
      </c>
      <c r="BL49" s="1013">
        <v>43405</v>
      </c>
      <c r="BM49" s="1013">
        <v>43435</v>
      </c>
      <c r="BN49" s="1013">
        <v>43466</v>
      </c>
      <c r="BO49" s="1013">
        <v>43497</v>
      </c>
      <c r="BP49" s="1013">
        <v>43525</v>
      </c>
      <c r="BQ49" s="1013">
        <v>43556</v>
      </c>
      <c r="BR49" s="1013">
        <v>43586</v>
      </c>
      <c r="BS49" s="1013">
        <v>43617</v>
      </c>
      <c r="BT49" s="1013">
        <v>43647</v>
      </c>
      <c r="BU49" s="1013">
        <v>43678</v>
      </c>
      <c r="BV49" s="1013">
        <v>43709</v>
      </c>
      <c r="BW49" s="1013">
        <v>43739</v>
      </c>
      <c r="BX49" s="1013">
        <v>43770</v>
      </c>
      <c r="BY49" s="1013">
        <v>43800</v>
      </c>
      <c r="BZ49" s="1013">
        <v>43831</v>
      </c>
      <c r="CA49" s="1013">
        <v>43862</v>
      </c>
      <c r="CB49" s="1013">
        <v>43891</v>
      </c>
      <c r="CC49" s="1013">
        <v>43922</v>
      </c>
      <c r="CD49" s="1013">
        <v>43952</v>
      </c>
      <c r="CE49" s="1013">
        <v>43983</v>
      </c>
      <c r="CF49" s="1013">
        <v>44013</v>
      </c>
      <c r="CG49" s="1013">
        <v>44044</v>
      </c>
      <c r="CH49" s="1013">
        <v>44075</v>
      </c>
      <c r="CI49" s="1013">
        <v>44105</v>
      </c>
      <c r="CJ49" s="1013">
        <v>44136</v>
      </c>
      <c r="CK49" s="1013">
        <v>44166</v>
      </c>
      <c r="CL49" s="1013">
        <v>44197</v>
      </c>
      <c r="CM49" s="1013">
        <v>44228</v>
      </c>
      <c r="CN49" s="1013">
        <v>44256</v>
      </c>
      <c r="CO49" s="1013">
        <v>44287</v>
      </c>
      <c r="CP49" s="1013">
        <v>44317</v>
      </c>
      <c r="CQ49" s="1013">
        <v>44348</v>
      </c>
      <c r="CR49" s="1013">
        <v>44378</v>
      </c>
      <c r="CS49" s="1013">
        <v>44409</v>
      </c>
      <c r="CT49" s="1013">
        <v>44440</v>
      </c>
      <c r="CU49" s="1013">
        <v>44470</v>
      </c>
      <c r="CV49" s="1013">
        <v>44501</v>
      </c>
      <c r="CW49" s="1013">
        <v>44531</v>
      </c>
      <c r="CX49" s="1013">
        <v>44562</v>
      </c>
      <c r="CY49" s="1013">
        <v>44593</v>
      </c>
      <c r="CZ49" s="1013">
        <v>44621</v>
      </c>
      <c r="DA49" s="1013">
        <v>44652</v>
      </c>
      <c r="DB49" s="1013">
        <v>44682</v>
      </c>
      <c r="DC49" s="1013">
        <v>44713</v>
      </c>
      <c r="DD49" s="1013">
        <v>44743</v>
      </c>
      <c r="DE49" s="1013">
        <v>44774</v>
      </c>
      <c r="DF49" s="1013">
        <v>44805</v>
      </c>
      <c r="DG49" s="1013">
        <v>44835</v>
      </c>
      <c r="DH49" s="1013">
        <v>44866</v>
      </c>
      <c r="DI49" s="1013">
        <v>44896</v>
      </c>
      <c r="DK49" s="961"/>
      <c r="DL49" s="947"/>
      <c r="DN49" s="964">
        <v>42583</v>
      </c>
      <c r="DO49" s="965">
        <v>42614</v>
      </c>
      <c r="DP49" s="965">
        <v>42644</v>
      </c>
      <c r="DQ49" s="965">
        <v>42675</v>
      </c>
      <c r="DR49" s="966">
        <v>42705</v>
      </c>
      <c r="DT49" s="964">
        <v>42583</v>
      </c>
      <c r="DU49" s="965">
        <v>42614</v>
      </c>
      <c r="DV49" s="965">
        <v>42644</v>
      </c>
      <c r="DW49" s="965">
        <v>42675</v>
      </c>
      <c r="DX49" s="966">
        <v>42705</v>
      </c>
      <c r="DZ49" s="964">
        <v>42583</v>
      </c>
      <c r="EA49" s="965">
        <v>42614</v>
      </c>
      <c r="EB49" s="965">
        <v>42644</v>
      </c>
      <c r="EC49" s="965">
        <v>42675</v>
      </c>
      <c r="ED49" s="966">
        <v>42705</v>
      </c>
      <c r="EF49" s="964">
        <v>42736</v>
      </c>
      <c r="EG49" s="965">
        <v>42767</v>
      </c>
      <c r="EH49" s="965">
        <v>42795</v>
      </c>
      <c r="EI49" s="965">
        <v>42826</v>
      </c>
      <c r="EJ49" s="965">
        <v>42856</v>
      </c>
      <c r="EK49" s="965">
        <v>42887</v>
      </c>
      <c r="EL49" s="965">
        <v>42917</v>
      </c>
      <c r="EM49" s="965">
        <v>42948</v>
      </c>
      <c r="EN49" s="965">
        <v>42979</v>
      </c>
      <c r="EO49" s="965">
        <v>43009</v>
      </c>
      <c r="EP49" s="965">
        <v>43040</v>
      </c>
      <c r="EQ49" s="966">
        <v>42705</v>
      </c>
      <c r="ES49" s="964">
        <v>43101</v>
      </c>
      <c r="ET49" s="1122">
        <v>43132</v>
      </c>
      <c r="EU49" s="1122">
        <v>43160</v>
      </c>
      <c r="EV49" s="1122">
        <v>43191</v>
      </c>
      <c r="EW49" s="1122">
        <v>43221</v>
      </c>
      <c r="EX49" s="1122">
        <v>43252</v>
      </c>
      <c r="EY49" s="1122">
        <v>43282</v>
      </c>
      <c r="EZ49" s="1122">
        <v>43313</v>
      </c>
      <c r="FA49" s="1122">
        <v>43344</v>
      </c>
      <c r="FB49" s="1122">
        <v>43374</v>
      </c>
      <c r="FC49" s="1122">
        <v>43405</v>
      </c>
      <c r="FD49" s="966">
        <v>43435</v>
      </c>
      <c r="FF49" s="964">
        <v>43466</v>
      </c>
      <c r="FG49" s="1122">
        <v>43497</v>
      </c>
      <c r="FH49" s="1122">
        <v>43525</v>
      </c>
      <c r="FI49" s="1122">
        <v>43556</v>
      </c>
      <c r="FJ49" s="1122">
        <v>43586</v>
      </c>
      <c r="FK49" s="1122">
        <v>43617</v>
      </c>
      <c r="FL49" s="1122">
        <v>43647</v>
      </c>
      <c r="FM49" s="1122">
        <v>43678</v>
      </c>
      <c r="FN49" s="1122">
        <v>43709</v>
      </c>
      <c r="FO49" s="1122">
        <v>43739</v>
      </c>
      <c r="FP49" s="1122">
        <v>43770</v>
      </c>
      <c r="FQ49" s="966">
        <v>43800</v>
      </c>
      <c r="FS49" s="964">
        <v>43831</v>
      </c>
      <c r="FT49" s="1122">
        <v>43862</v>
      </c>
      <c r="FU49" s="1122">
        <v>43891</v>
      </c>
      <c r="FV49" s="1122">
        <v>43922</v>
      </c>
      <c r="FW49" s="1122">
        <v>43952</v>
      </c>
      <c r="FX49" s="1122">
        <v>43983</v>
      </c>
      <c r="FY49" s="1122">
        <v>44013</v>
      </c>
      <c r="FZ49" s="1122">
        <v>44044</v>
      </c>
      <c r="GA49" s="1122">
        <v>44075</v>
      </c>
      <c r="GB49" s="1122">
        <v>44105</v>
      </c>
      <c r="GC49" s="1122">
        <v>44136</v>
      </c>
      <c r="GD49" s="966">
        <v>44166</v>
      </c>
      <c r="GF49" s="964">
        <v>44197</v>
      </c>
      <c r="GG49" s="1122">
        <v>44228</v>
      </c>
      <c r="GH49" s="1122">
        <v>44256</v>
      </c>
      <c r="GI49" s="1122">
        <v>44287</v>
      </c>
      <c r="GJ49" s="1122">
        <v>44317</v>
      </c>
      <c r="GK49" s="1122">
        <v>44348</v>
      </c>
      <c r="GL49" s="1122">
        <v>44378</v>
      </c>
      <c r="GM49" s="1122">
        <v>44409</v>
      </c>
      <c r="GN49" s="1122">
        <v>44440</v>
      </c>
      <c r="GO49" s="1122">
        <v>44470</v>
      </c>
      <c r="GP49" s="1122">
        <v>44501</v>
      </c>
      <c r="GQ49" s="966">
        <v>44531</v>
      </c>
      <c r="GS49" s="964">
        <v>44562</v>
      </c>
      <c r="GT49" s="1122">
        <v>44593</v>
      </c>
      <c r="GU49" s="1122">
        <v>44621</v>
      </c>
      <c r="GV49" s="1122">
        <v>44652</v>
      </c>
      <c r="GW49" s="1122">
        <v>44682</v>
      </c>
      <c r="GX49" s="1122">
        <v>44713</v>
      </c>
      <c r="GY49" s="1122">
        <v>44743</v>
      </c>
      <c r="GZ49" s="1122">
        <v>44774</v>
      </c>
      <c r="HA49" s="1122">
        <v>44805</v>
      </c>
      <c r="HB49" s="1122">
        <v>44835</v>
      </c>
      <c r="HC49" s="1122">
        <v>44866</v>
      </c>
      <c r="HD49" s="966">
        <v>44896</v>
      </c>
    </row>
    <row r="50" spans="2:212" ht="14.25">
      <c r="B50" s="984" t="s">
        <v>120</v>
      </c>
      <c r="C50" s="1076">
        <v>30</v>
      </c>
      <c r="D50" s="1025">
        <v>2</v>
      </c>
      <c r="E50" s="1079">
        <v>1</v>
      </c>
      <c r="F50" s="1079">
        <v>6</v>
      </c>
      <c r="G50" s="1027">
        <v>13</v>
      </c>
      <c r="H50" s="1078">
        <f t="shared" ref="H50:H57" si="243">G50/C50</f>
        <v>0.43333333333333335</v>
      </c>
      <c r="I50" s="1075"/>
      <c r="N50" s="931" t="s">
        <v>206</v>
      </c>
      <c r="O50" s="950"/>
      <c r="P50" s="951">
        <f>[5]Assumption!D4</f>
        <v>13641.9247</v>
      </c>
      <c r="Q50" s="951">
        <f>[5]Assumption!E4</f>
        <v>13892.638999999999</v>
      </c>
      <c r="R50" s="951">
        <f>[5]Assumption!F4</f>
        <v>33141.966699999997</v>
      </c>
      <c r="S50" s="951">
        <f>[5]Assumption!G4</f>
        <v>30639.373500000002</v>
      </c>
      <c r="T50" s="951">
        <f>[5]Assumption!H4</f>
        <v>27458.014999999999</v>
      </c>
      <c r="U50" s="951">
        <f>[5]Assumption!I4</f>
        <v>41468.133600000001</v>
      </c>
      <c r="V50" s="951">
        <f>[5]Assumption!J4</f>
        <v>29747.920999999998</v>
      </c>
      <c r="W50" s="951"/>
      <c r="X50" s="951"/>
      <c r="Y50" s="951"/>
      <c r="AA50" s="931" t="s">
        <v>206</v>
      </c>
      <c r="AB50" s="950"/>
      <c r="AC50" s="951"/>
      <c r="AD50" s="951"/>
      <c r="AE50" s="951"/>
      <c r="AF50" s="951"/>
      <c r="AG50" s="951"/>
      <c r="AH50" s="951"/>
      <c r="AI50" s="951"/>
      <c r="DK50" s="931" t="s">
        <v>206</v>
      </c>
      <c r="DL50" s="950"/>
      <c r="DN50" s="985">
        <f>[5]Assumption!K4</f>
        <v>31024.388999999999</v>
      </c>
      <c r="DO50" s="992">
        <f>[5]Assumption!L4</f>
        <v>57115.435752778605</v>
      </c>
      <c r="DP50" s="992">
        <f>[5]Assumption!M4</f>
        <v>47631.558536618817</v>
      </c>
      <c r="DQ50" s="992">
        <f>[5]Assumption!N4</f>
        <v>53942.523858297791</v>
      </c>
      <c r="DR50" s="986">
        <f>[5]Assumption!O4</f>
        <v>70376.045614909744</v>
      </c>
      <c r="DT50" s="985">
        <f>[5]Assumption!K4</f>
        <v>31024.388999999999</v>
      </c>
      <c r="DU50" s="992">
        <f>[5]Assumption!L4</f>
        <v>57115.435752778605</v>
      </c>
      <c r="DV50" s="992">
        <f>[5]Assumption!M4</f>
        <v>47631.558536618817</v>
      </c>
      <c r="DW50" s="992">
        <f>[5]Assumption!N4</f>
        <v>53942.523858297791</v>
      </c>
      <c r="DX50" s="986">
        <f>[5]Assumption!O4</f>
        <v>70376.045614909744</v>
      </c>
      <c r="DZ50" s="985">
        <f>[5]Assumption!K4</f>
        <v>31024.388999999999</v>
      </c>
      <c r="EA50" s="992">
        <f>[5]Assumption!L4</f>
        <v>57115.435752778605</v>
      </c>
      <c r="EB50" s="992">
        <f>[5]Assumption!M4</f>
        <v>47631.558536618817</v>
      </c>
      <c r="EC50" s="992">
        <f>[5]Assumption!N4</f>
        <v>53942.523858297791</v>
      </c>
      <c r="ED50" s="986">
        <f>[5]Assumption!O4</f>
        <v>70376.045614909744</v>
      </c>
      <c r="EF50" s="985">
        <f>EF7</f>
        <v>20736.276566486489</v>
      </c>
      <c r="EG50" s="992">
        <f t="shared" ref="EG50:EP50" si="244">EG7</f>
        <v>20450.289683551138</v>
      </c>
      <c r="EH50" s="992">
        <f t="shared" si="244"/>
        <v>48684.979787795397</v>
      </c>
      <c r="EI50" s="992">
        <f t="shared" si="244"/>
        <v>48320.230219621044</v>
      </c>
      <c r="EJ50" s="992">
        <f t="shared" si="244"/>
        <v>56564.783938693159</v>
      </c>
      <c r="EK50" s="992">
        <f t="shared" si="244"/>
        <v>63686.621018721395</v>
      </c>
      <c r="EL50" s="992">
        <f t="shared" si="244"/>
        <v>58694.06419691677</v>
      </c>
      <c r="EM50" s="992">
        <f t="shared" si="244"/>
        <v>65223.264761786886</v>
      </c>
      <c r="EN50" s="992">
        <f t="shared" si="244"/>
        <v>72867.135893726023</v>
      </c>
      <c r="EO50" s="992">
        <f t="shared" si="244"/>
        <v>68942.009470975565</v>
      </c>
      <c r="EP50" s="992">
        <f t="shared" si="244"/>
        <v>76422.789764412955</v>
      </c>
      <c r="EQ50" s="986">
        <f>EQ7</f>
        <v>85561.107264922015</v>
      </c>
      <c r="ES50" s="985">
        <f>ES7</f>
        <v>33634.87184066388</v>
      </c>
      <c r="ET50" s="992">
        <f t="shared" ref="ET50:FC50" si="245">ET7</f>
        <v>31605.909403366346</v>
      </c>
      <c r="EU50" s="992">
        <f t="shared" si="245"/>
        <v>69270.736047451515</v>
      </c>
      <c r="EV50" s="992">
        <f t="shared" si="245"/>
        <v>68993.157764707124</v>
      </c>
      <c r="EW50" s="992">
        <f t="shared" si="245"/>
        <v>79757.509393595945</v>
      </c>
      <c r="EX50" s="992">
        <f t="shared" si="245"/>
        <v>86426.017720658405</v>
      </c>
      <c r="EY50" s="992">
        <f t="shared" si="245"/>
        <v>81303.597495043112</v>
      </c>
      <c r="EZ50" s="992">
        <f t="shared" si="245"/>
        <v>90323.510560228984</v>
      </c>
      <c r="FA50" s="992">
        <f t="shared" si="245"/>
        <v>99856.734877479015</v>
      </c>
      <c r="FB50" s="992">
        <f t="shared" si="245"/>
        <v>94095.128673818224</v>
      </c>
      <c r="FC50" s="992">
        <f t="shared" si="245"/>
        <v>102732.11183509197</v>
      </c>
      <c r="FD50" s="986">
        <f>FD7</f>
        <v>110588.30482163659</v>
      </c>
      <c r="FF50" s="985">
        <f>FF7</f>
        <v>46318.349922487585</v>
      </c>
      <c r="FG50" s="992">
        <f t="shared" ref="FG50:FP50" si="246">FG7</f>
        <v>43005.179342212272</v>
      </c>
      <c r="FH50" s="992">
        <f t="shared" si="246"/>
        <v>98133.872946411808</v>
      </c>
      <c r="FI50" s="992">
        <f t="shared" si="246"/>
        <v>96299.872808433443</v>
      </c>
      <c r="FJ50" s="992">
        <f t="shared" si="246"/>
        <v>111182.80365888127</v>
      </c>
      <c r="FK50" s="992">
        <f t="shared" si="246"/>
        <v>119200.54428490785</v>
      </c>
      <c r="FL50" s="992">
        <f t="shared" si="246"/>
        <v>113362.15964138735</v>
      </c>
      <c r="FM50" s="992">
        <f t="shared" si="246"/>
        <v>125688.20032751787</v>
      </c>
      <c r="FN50" s="992">
        <f t="shared" si="246"/>
        <v>138762.26956290167</v>
      </c>
      <c r="FO50" s="992">
        <f t="shared" si="246"/>
        <v>132466.46696807331</v>
      </c>
      <c r="FP50" s="992">
        <f t="shared" si="246"/>
        <v>143880.03889398318</v>
      </c>
      <c r="FQ50" s="986">
        <f>FQ7</f>
        <v>155348.77457851273</v>
      </c>
      <c r="FS50" s="985">
        <f>FS7</f>
        <v>61647.896999521479</v>
      </c>
      <c r="FT50" s="992">
        <f t="shared" ref="FT50:GC50" si="247">FT7</f>
        <v>57434.081744434043</v>
      </c>
      <c r="FU50" s="992">
        <f t="shared" si="247"/>
        <v>129200.72136715053</v>
      </c>
      <c r="FV50" s="992">
        <f t="shared" si="247"/>
        <v>128308.48034392958</v>
      </c>
      <c r="FW50" s="992">
        <f t="shared" si="247"/>
        <v>146860.52938208671</v>
      </c>
      <c r="FX50" s="992">
        <f t="shared" si="247"/>
        <v>155524.25254895756</v>
      </c>
      <c r="FY50" s="992">
        <f t="shared" si="247"/>
        <v>148398.75353611138</v>
      </c>
      <c r="FZ50" s="992">
        <f t="shared" si="247"/>
        <v>163072.75855433659</v>
      </c>
      <c r="GA50" s="992">
        <f t="shared" si="247"/>
        <v>179474.28221131454</v>
      </c>
      <c r="GB50" s="992">
        <f t="shared" si="247"/>
        <v>169825.29204644155</v>
      </c>
      <c r="GC50" s="992">
        <f t="shared" si="247"/>
        <v>182638.97724914533</v>
      </c>
      <c r="GD50" s="986">
        <f>GD7</f>
        <v>195891.76575396219</v>
      </c>
      <c r="GF50" s="985">
        <f>GF7</f>
        <v>79773.566176795241</v>
      </c>
      <c r="GG50" s="992">
        <f t="shared" ref="GG50:GP50" si="248">GG7</f>
        <v>73960.874577816241</v>
      </c>
      <c r="GH50" s="992">
        <f t="shared" si="248"/>
        <v>166045.69701742672</v>
      </c>
      <c r="GI50" s="992">
        <f t="shared" si="248"/>
        <v>165098.28269728503</v>
      </c>
      <c r="GJ50" s="992">
        <f t="shared" si="248"/>
        <v>188943.1789052675</v>
      </c>
      <c r="GK50" s="992">
        <f t="shared" si="248"/>
        <v>200169.61300769183</v>
      </c>
      <c r="GL50" s="992">
        <f t="shared" si="248"/>
        <v>191093.14991266411</v>
      </c>
      <c r="GM50" s="992">
        <f t="shared" si="248"/>
        <v>212241.04562907212</v>
      </c>
      <c r="GN50" s="992">
        <f t="shared" si="248"/>
        <v>233831.69508343982</v>
      </c>
      <c r="GO50" s="992">
        <f t="shared" si="248"/>
        <v>221837.58026768558</v>
      </c>
      <c r="GP50" s="992">
        <f t="shared" si="248"/>
        <v>240114.07890424004</v>
      </c>
      <c r="GQ50" s="986">
        <f>GQ7</f>
        <v>258165.48648485605</v>
      </c>
      <c r="GS50" s="985">
        <f>GS7</f>
        <v>102243.17354613698</v>
      </c>
      <c r="GT50" s="992">
        <f t="shared" ref="GT50:HC50" si="249">GT7</f>
        <v>94914.436736920587</v>
      </c>
      <c r="GU50" s="992">
        <f t="shared" si="249"/>
        <v>213376.11169026361</v>
      </c>
      <c r="GV50" s="992">
        <f t="shared" si="249"/>
        <v>212686.06389340316</v>
      </c>
      <c r="GW50" s="992">
        <f t="shared" si="249"/>
        <v>243766.73602706607</v>
      </c>
      <c r="GX50" s="992">
        <f t="shared" si="249"/>
        <v>258677.59641993258</v>
      </c>
      <c r="GY50" s="992">
        <f t="shared" si="249"/>
        <v>247325.83416245971</v>
      </c>
      <c r="GZ50" s="992">
        <f t="shared" si="249"/>
        <v>274551.78277930809</v>
      </c>
      <c r="HA50" s="992">
        <f t="shared" si="249"/>
        <v>302543.5324840942</v>
      </c>
      <c r="HB50" s="992">
        <f t="shared" si="249"/>
        <v>290274.66133140703</v>
      </c>
      <c r="HC50" s="992">
        <f t="shared" si="249"/>
        <v>317209.68443916366</v>
      </c>
      <c r="HD50" s="986">
        <f>HD7</f>
        <v>341316.06647489819</v>
      </c>
    </row>
    <row r="51" spans="2:212" ht="14.25">
      <c r="B51" s="984" t="s">
        <v>121</v>
      </c>
      <c r="C51" s="1076">
        <v>35</v>
      </c>
      <c r="D51" s="1025">
        <v>3</v>
      </c>
      <c r="E51" s="1079">
        <v>2</v>
      </c>
      <c r="F51" s="1079">
        <v>9</v>
      </c>
      <c r="G51" s="1027">
        <v>13</v>
      </c>
      <c r="H51" s="1078">
        <f t="shared" si="243"/>
        <v>0.37142857142857144</v>
      </c>
      <c r="I51" s="1075"/>
      <c r="N51" s="931" t="s">
        <v>1035</v>
      </c>
      <c r="O51" s="950"/>
      <c r="P51" s="951">
        <f>[5]Assumption!D5</f>
        <v>4254.7024700000002</v>
      </c>
      <c r="Q51" s="951">
        <f>[5]Assumption!E5</f>
        <v>4245.9432999999999</v>
      </c>
      <c r="R51" s="951">
        <f>[5]Assumption!F5</f>
        <v>10233.976975</v>
      </c>
      <c r="S51" s="951">
        <f>[5]Assumption!G5</f>
        <v>9777.6431200000006</v>
      </c>
      <c r="T51" s="951">
        <f>[5]Assumption!H5</f>
        <v>8583.7165700000005</v>
      </c>
      <c r="U51" s="951">
        <f>[5]Assumption!I5</f>
        <v>12969.911534999999</v>
      </c>
      <c r="V51" s="951">
        <f>[5]Assumption!J5</f>
        <v>9370.4067799999993</v>
      </c>
      <c r="W51" s="951"/>
      <c r="X51" s="951"/>
      <c r="Y51" s="951"/>
      <c r="AA51" s="931" t="s">
        <v>1035</v>
      </c>
      <c r="AB51" s="950"/>
      <c r="AC51" s="951"/>
      <c r="AD51" s="951"/>
      <c r="AE51" s="951"/>
      <c r="AF51" s="951"/>
      <c r="AG51" s="951"/>
      <c r="AH51" s="951"/>
      <c r="AI51" s="951"/>
      <c r="DK51" s="931" t="s">
        <v>1035</v>
      </c>
      <c r="DL51" s="950"/>
      <c r="DN51" s="953">
        <f>[5]Assumption!K5</f>
        <v>9881.3886650000004</v>
      </c>
      <c r="DO51" s="967">
        <f>[5]Assumption!L5</f>
        <v>18276.939440889153</v>
      </c>
      <c r="DP51" s="967">
        <f>[5]Assumption!M5</f>
        <v>15242.098731718022</v>
      </c>
      <c r="DQ51" s="967">
        <f>[5]Assumption!N5</f>
        <v>17261.607634655295</v>
      </c>
      <c r="DR51" s="954">
        <f>[5]Assumption!O5</f>
        <v>22520.334596771118</v>
      </c>
      <c r="DT51" s="953">
        <f>[5]Assumption!K5</f>
        <v>9881.3886650000004</v>
      </c>
      <c r="DU51" s="967">
        <f>[5]Assumption!L5</f>
        <v>18276.939440889153</v>
      </c>
      <c r="DV51" s="967">
        <f>[5]Assumption!M5</f>
        <v>15242.098731718022</v>
      </c>
      <c r="DW51" s="967">
        <f>[5]Assumption!N5</f>
        <v>17261.607634655295</v>
      </c>
      <c r="DX51" s="954">
        <f>[5]Assumption!O5</f>
        <v>22520.334596771118</v>
      </c>
      <c r="DZ51" s="953">
        <f>[5]Assumption!K5</f>
        <v>9881.3886650000004</v>
      </c>
      <c r="EA51" s="967">
        <f>[5]Assumption!L5</f>
        <v>18276.939440889153</v>
      </c>
      <c r="EB51" s="967">
        <f>[5]Assumption!M5</f>
        <v>15242.098731718022</v>
      </c>
      <c r="EC51" s="967">
        <f>[5]Assumption!N5</f>
        <v>17261.607634655295</v>
      </c>
      <c r="ED51" s="954">
        <f>[5]Assumption!O5</f>
        <v>22520.334596771118</v>
      </c>
      <c r="EF51" s="953">
        <f>EF8</f>
        <v>6566.4125173686261</v>
      </c>
      <c r="EG51" s="967">
        <f t="shared" ref="EG51:EQ51" si="250">EG8</f>
        <v>6475.8510396660695</v>
      </c>
      <c r="EH51" s="967">
        <f t="shared" si="250"/>
        <v>15416.734034261828</v>
      </c>
      <c r="EI51" s="967">
        <f t="shared" si="250"/>
        <v>15301.231324675296</v>
      </c>
      <c r="EJ51" s="967">
        <f t="shared" si="250"/>
        <v>17911.976825076679</v>
      </c>
      <c r="EK51" s="967">
        <f t="shared" si="250"/>
        <v>20167.199453836263</v>
      </c>
      <c r="EL51" s="967">
        <f t="shared" si="250"/>
        <v>18586.241199192056</v>
      </c>
      <c r="EM51" s="967">
        <f t="shared" si="250"/>
        <v>20653.797743401374</v>
      </c>
      <c r="EN51" s="967">
        <f t="shared" si="250"/>
        <v>23074.329265585948</v>
      </c>
      <c r="EO51" s="967">
        <f t="shared" si="250"/>
        <v>21831.386773380847</v>
      </c>
      <c r="EP51" s="967">
        <f t="shared" si="250"/>
        <v>24200.273453736063</v>
      </c>
      <c r="EQ51" s="954">
        <f t="shared" si="250"/>
        <v>27094.040916309925</v>
      </c>
      <c r="ES51" s="953">
        <f>ES8</f>
        <v>10650.920996664106</v>
      </c>
      <c r="ET51" s="967">
        <f t="shared" ref="ET51:FD51" si="251">ET8</f>
        <v>10008.423569374116</v>
      </c>
      <c r="EU51" s="967">
        <f t="shared" si="251"/>
        <v>21935.482332660376</v>
      </c>
      <c r="EV51" s="967">
        <f t="shared" si="251"/>
        <v>21847.58354791383</v>
      </c>
      <c r="EW51" s="967">
        <f t="shared" si="251"/>
        <v>25256.255931823365</v>
      </c>
      <c r="EX51" s="967">
        <f t="shared" si="251"/>
        <v>27367.926096455009</v>
      </c>
      <c r="EY51" s="967">
        <f t="shared" si="251"/>
        <v>25745.844900688931</v>
      </c>
      <c r="EZ51" s="967">
        <f t="shared" si="251"/>
        <v>28602.118054015653</v>
      </c>
      <c r="FA51" s="967">
        <f t="shared" si="251"/>
        <v>31620.937912391037</v>
      </c>
      <c r="FB51" s="967">
        <f t="shared" si="251"/>
        <v>29796.450137328666</v>
      </c>
      <c r="FC51" s="967">
        <f t="shared" si="251"/>
        <v>32531.463540561814</v>
      </c>
      <c r="FD51" s="954">
        <f t="shared" si="251"/>
        <v>35019.229548133488</v>
      </c>
      <c r="FF51" s="953">
        <f>FF8</f>
        <v>14667.309810404229</v>
      </c>
      <c r="FG51" s="967">
        <f t="shared" ref="FG51:FQ51" si="252">FG8</f>
        <v>13618.151119800234</v>
      </c>
      <c r="FH51" s="967">
        <f t="shared" si="252"/>
        <v>31075.3712040389</v>
      </c>
      <c r="FI51" s="967">
        <f t="shared" si="252"/>
        <v>30494.611132467508</v>
      </c>
      <c r="FJ51" s="967">
        <f t="shared" si="252"/>
        <v>35207.485361269857</v>
      </c>
      <c r="FK51" s="967">
        <f t="shared" si="252"/>
        <v>37746.407536567429</v>
      </c>
      <c r="FL51" s="967">
        <f t="shared" si="252"/>
        <v>35897.606866808535</v>
      </c>
      <c r="FM51" s="967">
        <f t="shared" si="252"/>
        <v>39800.808465778937</v>
      </c>
      <c r="FN51" s="967">
        <f t="shared" si="252"/>
        <v>43940.883064268652</v>
      </c>
      <c r="FO51" s="967">
        <f t="shared" si="252"/>
        <v>41947.235032375742</v>
      </c>
      <c r="FP51" s="967">
        <f t="shared" si="252"/>
        <v>45561.491493601192</v>
      </c>
      <c r="FQ51" s="954">
        <f t="shared" si="252"/>
        <v>49193.216278705528</v>
      </c>
      <c r="FS51" s="953">
        <f>FS8</f>
        <v>19521.610894279223</v>
      </c>
      <c r="FT51" s="967">
        <f t="shared" ref="FT51:GD51" si="253">FT8</f>
        <v>18187.251316841677</v>
      </c>
      <c r="FU51" s="967">
        <f t="shared" si="253"/>
        <v>40913.094080229173</v>
      </c>
      <c r="FV51" s="967">
        <f t="shared" si="253"/>
        <v>40630.554319312949</v>
      </c>
      <c r="FW51" s="967">
        <f t="shared" si="253"/>
        <v>46505.30269259974</v>
      </c>
      <c r="FX51" s="967">
        <f t="shared" si="253"/>
        <v>49248.783667477415</v>
      </c>
      <c r="FY51" s="967">
        <f t="shared" si="253"/>
        <v>46992.401439914429</v>
      </c>
      <c r="FZ51" s="967">
        <f t="shared" si="253"/>
        <v>51639.116578124522</v>
      </c>
      <c r="GA51" s="967">
        <f t="shared" si="253"/>
        <v>56832.873031930634</v>
      </c>
      <c r="GB51" s="967">
        <f t="shared" si="253"/>
        <v>53777.394407528576</v>
      </c>
      <c r="GC51" s="967">
        <f t="shared" si="253"/>
        <v>57835.015004885019</v>
      </c>
      <c r="GD51" s="954">
        <f t="shared" si="253"/>
        <v>62031.683391759907</v>
      </c>
      <c r="GF51" s="953">
        <f>GF8</f>
        <v>25261.340521713475</v>
      </c>
      <c r="GG51" s="967">
        <f t="shared" ref="GG51:GQ51" si="254">GG8</f>
        <v>23420.675889721333</v>
      </c>
      <c r="GH51" s="967">
        <f t="shared" si="254"/>
        <v>52580.536329872622</v>
      </c>
      <c r="GI51" s="967">
        <f t="shared" si="254"/>
        <v>52280.525224650046</v>
      </c>
      <c r="GJ51" s="967">
        <f t="shared" si="254"/>
        <v>59831.322709117703</v>
      </c>
      <c r="GK51" s="967">
        <f t="shared" si="254"/>
        <v>63386.31953698185</v>
      </c>
      <c r="GL51" s="967">
        <f t="shared" si="254"/>
        <v>60512.139078907312</v>
      </c>
      <c r="GM51" s="967">
        <f t="shared" si="254"/>
        <v>67208.896170421984</v>
      </c>
      <c r="GN51" s="967">
        <f t="shared" si="254"/>
        <v>74045.857009592539</v>
      </c>
      <c r="GO51" s="967">
        <f t="shared" si="254"/>
        <v>70247.76406805584</v>
      </c>
      <c r="GP51" s="967">
        <f t="shared" si="254"/>
        <v>76035.255811617026</v>
      </c>
      <c r="GQ51" s="954">
        <f t="shared" si="254"/>
        <v>81751.469535591474</v>
      </c>
      <c r="GS51" s="953">
        <f>GS8</f>
        <v>32376.634852271472</v>
      </c>
      <c r="GT51" s="967">
        <f t="shared" ref="GT51:HD51" si="255">GT8</f>
        <v>30055.894724879705</v>
      </c>
      <c r="GU51" s="967">
        <f t="shared" si="255"/>
        <v>67568.329647707578</v>
      </c>
      <c r="GV51" s="967">
        <f t="shared" si="255"/>
        <v>67349.817009898237</v>
      </c>
      <c r="GW51" s="967">
        <f t="shared" si="255"/>
        <v>77191.917345141526</v>
      </c>
      <c r="GX51" s="967">
        <f t="shared" si="255"/>
        <v>81913.635827942635</v>
      </c>
      <c r="GY51" s="967">
        <f t="shared" si="255"/>
        <v>78318.95220464775</v>
      </c>
      <c r="GZ51" s="967">
        <f t="shared" si="255"/>
        <v>86940.404046385011</v>
      </c>
      <c r="HA51" s="967">
        <f t="shared" si="255"/>
        <v>95804.356793891246</v>
      </c>
      <c r="HB51" s="967">
        <f t="shared" si="255"/>
        <v>91919.258673566641</v>
      </c>
      <c r="HC51" s="967">
        <f t="shared" si="255"/>
        <v>100448.58515719553</v>
      </c>
      <c r="HD51" s="954">
        <f t="shared" si="255"/>
        <v>108082.18554058095</v>
      </c>
    </row>
    <row r="52" spans="2:212" ht="14.25">
      <c r="B52" s="984" t="s">
        <v>122</v>
      </c>
      <c r="C52" s="1076">
        <v>45</v>
      </c>
      <c r="D52" s="993">
        <v>5</v>
      </c>
      <c r="E52" s="1079">
        <v>2</v>
      </c>
      <c r="F52" s="1079"/>
      <c r="G52" s="1032">
        <v>9</v>
      </c>
      <c r="H52" s="1078">
        <f t="shared" si="243"/>
        <v>0.2</v>
      </c>
      <c r="I52" s="1075"/>
      <c r="N52" s="931" t="s">
        <v>1073</v>
      </c>
      <c r="O52" s="950"/>
      <c r="P52" s="951">
        <f>[5]Assumption!D15</f>
        <v>204</v>
      </c>
      <c r="Q52" s="951">
        <f>[5]Assumption!E15</f>
        <v>204</v>
      </c>
      <c r="R52" s="951">
        <f>[5]Assumption!F15</f>
        <v>216</v>
      </c>
      <c r="S52" s="951">
        <f>[5]Assumption!G15</f>
        <v>235</v>
      </c>
      <c r="T52" s="951">
        <f>[5]Assumption!H15</f>
        <v>256</v>
      </c>
      <c r="U52" s="951">
        <f>[5]Assumption!I15</f>
        <v>280</v>
      </c>
      <c r="V52" s="951">
        <f>[5]Assumption!J15</f>
        <v>282</v>
      </c>
      <c r="W52" s="951"/>
      <c r="X52" s="951"/>
      <c r="Y52" s="951"/>
      <c r="AA52" s="931" t="s">
        <v>1073</v>
      </c>
      <c r="AB52" s="950"/>
      <c r="AC52" s="951"/>
      <c r="AD52" s="951"/>
      <c r="AE52" s="951"/>
      <c r="AF52" s="951"/>
      <c r="AG52" s="951"/>
      <c r="AH52" s="951"/>
      <c r="AI52" s="951"/>
      <c r="DK52" s="931" t="s">
        <v>1073</v>
      </c>
      <c r="DL52" s="950"/>
      <c r="DN52" s="969">
        <f>[5]Assumption!K15</f>
        <v>297</v>
      </c>
      <c r="DO52" s="970">
        <f>[5]Assumption!L15</f>
        <v>337</v>
      </c>
      <c r="DP52" s="970">
        <f>[5]Assumption!M15</f>
        <v>350</v>
      </c>
      <c r="DQ52" s="970">
        <f>[5]Assumption!N15</f>
        <v>376</v>
      </c>
      <c r="DR52" s="950">
        <f>[5]Assumption!O15</f>
        <v>400</v>
      </c>
      <c r="DT52" s="969">
        <f>[5]Assumption!K15</f>
        <v>297</v>
      </c>
      <c r="DU52" s="970">
        <f>[5]Assumption!L15</f>
        <v>337</v>
      </c>
      <c r="DV52" s="970">
        <f>[5]Assumption!M15</f>
        <v>350</v>
      </c>
      <c r="DW52" s="970">
        <f>[5]Assumption!N15</f>
        <v>376</v>
      </c>
      <c r="DX52" s="950">
        <f>[5]Assumption!O15</f>
        <v>400</v>
      </c>
      <c r="DZ52" s="969">
        <f>[5]Assumption!K15</f>
        <v>297</v>
      </c>
      <c r="EA52" s="970">
        <f>[5]Assumption!L15</f>
        <v>337</v>
      </c>
      <c r="EB52" s="970">
        <f>[5]Assumption!M15</f>
        <v>350</v>
      </c>
      <c r="EC52" s="970">
        <f>[5]Assumption!N15</f>
        <v>376</v>
      </c>
      <c r="ED52" s="950">
        <f>[5]Assumption!O15</f>
        <v>400</v>
      </c>
      <c r="EF52" s="969"/>
      <c r="EG52" s="970"/>
      <c r="EH52" s="970"/>
      <c r="EI52" s="970"/>
      <c r="EJ52" s="970"/>
      <c r="EK52" s="970"/>
      <c r="EL52" s="970"/>
      <c r="EM52" s="970"/>
      <c r="EN52" s="970"/>
      <c r="EO52" s="970"/>
      <c r="EP52" s="970"/>
      <c r="EQ52" s="950"/>
      <c r="ES52" s="969"/>
      <c r="ET52" s="970"/>
      <c r="EU52" s="970"/>
      <c r="EV52" s="970"/>
      <c r="EW52" s="970"/>
      <c r="EX52" s="970"/>
      <c r="EY52" s="970"/>
      <c r="EZ52" s="970"/>
      <c r="FA52" s="970"/>
      <c r="FB52" s="970"/>
      <c r="FC52" s="970"/>
      <c r="FD52" s="950"/>
      <c r="FF52" s="969"/>
      <c r="FG52" s="970"/>
      <c r="FH52" s="970"/>
      <c r="FI52" s="970"/>
      <c r="FJ52" s="970"/>
      <c r="FK52" s="970"/>
      <c r="FL52" s="970"/>
      <c r="FM52" s="970"/>
      <c r="FN52" s="970"/>
      <c r="FO52" s="970"/>
      <c r="FP52" s="970"/>
      <c r="FQ52" s="950"/>
      <c r="FS52" s="969"/>
      <c r="FT52" s="970"/>
      <c r="FU52" s="970"/>
      <c r="FV52" s="970"/>
      <c r="FW52" s="970"/>
      <c r="FX52" s="970"/>
      <c r="FY52" s="970"/>
      <c r="FZ52" s="970"/>
      <c r="GA52" s="970"/>
      <c r="GB52" s="970"/>
      <c r="GC52" s="970"/>
      <c r="GD52" s="950"/>
      <c r="GF52" s="969"/>
      <c r="GG52" s="970"/>
      <c r="GH52" s="970"/>
      <c r="GI52" s="970"/>
      <c r="GJ52" s="970"/>
      <c r="GK52" s="970"/>
      <c r="GL52" s="970"/>
      <c r="GM52" s="970"/>
      <c r="GN52" s="970"/>
      <c r="GO52" s="970"/>
      <c r="GP52" s="970"/>
      <c r="GQ52" s="950"/>
      <c r="GS52" s="969"/>
      <c r="GT52" s="970"/>
      <c r="GU52" s="970"/>
      <c r="GV52" s="970"/>
      <c r="GW52" s="970"/>
      <c r="GX52" s="970"/>
      <c r="GY52" s="970"/>
      <c r="GZ52" s="970"/>
      <c r="HA52" s="970"/>
      <c r="HB52" s="970"/>
      <c r="HC52" s="970"/>
      <c r="HD52" s="950"/>
    </row>
    <row r="53" spans="2:212" ht="14.25">
      <c r="B53" s="984" t="s">
        <v>123</v>
      </c>
      <c r="C53" s="1076">
        <v>55</v>
      </c>
      <c r="D53" s="993">
        <v>6</v>
      </c>
      <c r="E53" s="1079">
        <v>2</v>
      </c>
      <c r="F53" s="1079"/>
      <c r="G53" s="1032">
        <v>9</v>
      </c>
      <c r="H53" s="1078">
        <f t="shared" si="243"/>
        <v>0.16363636363636364</v>
      </c>
      <c r="I53" s="1075"/>
      <c r="N53" s="931" t="s">
        <v>1074</v>
      </c>
      <c r="O53" s="950"/>
      <c r="P53" s="951">
        <f>SUM(P58:P66)</f>
        <v>108</v>
      </c>
      <c r="Q53" s="951">
        <f t="shared" ref="Q53:V53" si="256">SUM(Q58:Q66)</f>
        <v>87</v>
      </c>
      <c r="R53" s="951">
        <f t="shared" si="256"/>
        <v>82</v>
      </c>
      <c r="S53" s="951">
        <f t="shared" si="256"/>
        <v>85</v>
      </c>
      <c r="T53" s="951">
        <f t="shared" si="256"/>
        <v>80</v>
      </c>
      <c r="U53" s="951">
        <f t="shared" si="256"/>
        <v>89</v>
      </c>
      <c r="V53" s="951">
        <f t="shared" si="256"/>
        <v>87</v>
      </c>
      <c r="W53" s="951"/>
      <c r="X53" s="951"/>
      <c r="Y53" s="951"/>
      <c r="AA53" s="931" t="s">
        <v>1075</v>
      </c>
      <c r="AB53" s="950"/>
      <c r="AC53" s="610">
        <f t="shared" ref="AC53:AI53" si="257">P53/P52</f>
        <v>0.52941176470588236</v>
      </c>
      <c r="AD53" s="610">
        <f t="shared" si="257"/>
        <v>0.4264705882352941</v>
      </c>
      <c r="AE53" s="610">
        <f t="shared" si="257"/>
        <v>0.37962962962962965</v>
      </c>
      <c r="AF53" s="610">
        <f t="shared" si="257"/>
        <v>0.36170212765957449</v>
      </c>
      <c r="AG53" s="610">
        <f t="shared" si="257"/>
        <v>0.3125</v>
      </c>
      <c r="AH53" s="610">
        <f t="shared" si="257"/>
        <v>0.31785714285714284</v>
      </c>
      <c r="AI53" s="610">
        <f t="shared" si="257"/>
        <v>0.30851063829787234</v>
      </c>
      <c r="AJ53" s="952">
        <f>AVERAGE(AC53:AI53)</f>
        <v>0.37658312734077082</v>
      </c>
      <c r="AK53" s="952"/>
      <c r="AL53" s="952"/>
      <c r="AM53" s="952"/>
      <c r="AN53" s="952"/>
      <c r="AO53" s="952"/>
      <c r="AP53" s="952"/>
      <c r="AQ53" s="952"/>
      <c r="AR53" s="952"/>
      <c r="AS53" s="952"/>
      <c r="AT53" s="952"/>
      <c r="AU53" s="952"/>
      <c r="AV53" s="952"/>
      <c r="AW53" s="952"/>
      <c r="AX53" s="952"/>
      <c r="AY53" s="952"/>
      <c r="AZ53" s="952"/>
      <c r="BA53" s="952"/>
      <c r="BB53" s="952"/>
      <c r="BC53" s="952"/>
      <c r="BD53" s="952"/>
      <c r="BE53" s="952"/>
      <c r="BF53" s="952"/>
      <c r="BG53" s="952"/>
      <c r="BH53" s="952"/>
      <c r="BI53" s="952"/>
      <c r="BJ53" s="952"/>
      <c r="BK53" s="952"/>
      <c r="BL53" s="952"/>
      <c r="BM53" s="952"/>
      <c r="BN53" s="952"/>
      <c r="BO53" s="952"/>
      <c r="BP53" s="952"/>
      <c r="BQ53" s="952"/>
      <c r="BR53" s="952"/>
      <c r="BS53" s="952"/>
      <c r="BT53" s="952"/>
      <c r="BU53" s="952"/>
      <c r="BV53" s="952"/>
      <c r="BW53" s="952"/>
      <c r="BX53" s="952"/>
      <c r="BY53" s="952"/>
      <c r="BZ53" s="952"/>
      <c r="CA53" s="952"/>
      <c r="CB53" s="952"/>
      <c r="CC53" s="952"/>
      <c r="CD53" s="952"/>
      <c r="CE53" s="952"/>
      <c r="CF53" s="952"/>
      <c r="CG53" s="952"/>
      <c r="CH53" s="952"/>
      <c r="CI53" s="952"/>
      <c r="CJ53" s="952"/>
      <c r="CK53" s="952"/>
      <c r="CL53" s="952"/>
      <c r="CM53" s="952"/>
      <c r="CN53" s="952"/>
      <c r="CO53" s="952"/>
      <c r="CP53" s="952"/>
      <c r="CQ53" s="952"/>
      <c r="CR53" s="952"/>
      <c r="CS53" s="952"/>
      <c r="CT53" s="952"/>
      <c r="CU53" s="952"/>
      <c r="CV53" s="952"/>
      <c r="CW53" s="952"/>
      <c r="CX53" s="952"/>
      <c r="CY53" s="952"/>
      <c r="CZ53" s="952"/>
      <c r="DA53" s="952"/>
      <c r="DB53" s="952"/>
      <c r="DC53" s="952"/>
      <c r="DD53" s="952"/>
      <c r="DE53" s="952"/>
      <c r="DF53" s="952"/>
      <c r="DG53" s="952"/>
      <c r="DH53" s="952"/>
      <c r="DI53" s="952"/>
      <c r="DK53" s="931" t="s">
        <v>1074</v>
      </c>
      <c r="DL53" s="950"/>
      <c r="DN53" s="953">
        <f>SUM(DN58:DN66)</f>
        <v>96</v>
      </c>
      <c r="DO53" s="967">
        <f>SUM(DO58:DO66)</f>
        <v>117.5</v>
      </c>
      <c r="DP53" s="967">
        <f>SUM(DP58:DP66)</f>
        <v>140.75</v>
      </c>
      <c r="DQ53" s="967">
        <f>SUM(DQ58:DQ66)</f>
        <v>161.35</v>
      </c>
      <c r="DR53" s="954">
        <f>SUM(DR58:DR66)</f>
        <v>177.05</v>
      </c>
      <c r="DT53" s="953">
        <f>SUM(DT58:DT66)</f>
        <v>96</v>
      </c>
      <c r="DU53" s="967">
        <f>SUM(DU58:DU66)</f>
        <v>117.5</v>
      </c>
      <c r="DV53" s="967">
        <f>SUM(DV58:DV66)</f>
        <v>140.75</v>
      </c>
      <c r="DW53" s="967">
        <f>SUM(DW58:DW66)</f>
        <v>161.35</v>
      </c>
      <c r="DX53" s="954">
        <f>SUM(DX58:DX66)</f>
        <v>177.05</v>
      </c>
      <c r="DZ53" s="953">
        <f>SUM(DZ58:DZ66)</f>
        <v>96</v>
      </c>
      <c r="EA53" s="967">
        <f>SUM(EA58:EA66)</f>
        <v>113.5</v>
      </c>
      <c r="EB53" s="967">
        <f>SUM(EB58:EB66)</f>
        <v>137.75</v>
      </c>
      <c r="EC53" s="967">
        <f>SUM(EC58:EC66)</f>
        <v>158.35</v>
      </c>
      <c r="ED53" s="954">
        <f>SUM(ED58:ED66)</f>
        <v>174.05</v>
      </c>
      <c r="EF53" s="953">
        <f>SUM(EF58:EF66)</f>
        <v>170.4</v>
      </c>
      <c r="EG53" s="967">
        <f t="shared" ref="EG53:EQ53" si="258">SUM(EG58:EG66)</f>
        <v>165.4</v>
      </c>
      <c r="EH53" s="967">
        <f t="shared" si="258"/>
        <v>148.9</v>
      </c>
      <c r="EI53" s="967">
        <f t="shared" si="258"/>
        <v>139.4</v>
      </c>
      <c r="EJ53" s="967">
        <f t="shared" si="258"/>
        <v>127.9</v>
      </c>
      <c r="EK53" s="967">
        <f t="shared" si="258"/>
        <v>107.4</v>
      </c>
      <c r="EL53" s="967">
        <f t="shared" si="258"/>
        <v>85.15</v>
      </c>
      <c r="EM53" s="967">
        <f t="shared" si="258"/>
        <v>70.55</v>
      </c>
      <c r="EN53" s="967">
        <f t="shared" si="258"/>
        <v>56.85</v>
      </c>
      <c r="EO53" s="967">
        <f t="shared" si="258"/>
        <v>52.5</v>
      </c>
      <c r="EP53" s="967">
        <f t="shared" si="258"/>
        <v>56.5</v>
      </c>
      <c r="EQ53" s="954">
        <f t="shared" si="258"/>
        <v>58</v>
      </c>
      <c r="ES53" s="953">
        <f>SUM(ES58:ES66)</f>
        <v>56</v>
      </c>
      <c r="ET53" s="967">
        <f t="shared" ref="ET53:FD53" si="259">SUM(ET58:ET66)</f>
        <v>51.5</v>
      </c>
      <c r="EU53" s="967">
        <f t="shared" si="259"/>
        <v>49</v>
      </c>
      <c r="EV53" s="967">
        <f t="shared" si="259"/>
        <v>49</v>
      </c>
      <c r="EW53" s="967">
        <f t="shared" si="259"/>
        <v>49</v>
      </c>
      <c r="EX53" s="967">
        <f t="shared" si="259"/>
        <v>49</v>
      </c>
      <c r="EY53" s="967">
        <f t="shared" si="259"/>
        <v>49</v>
      </c>
      <c r="EZ53" s="967">
        <f t="shared" si="259"/>
        <v>50</v>
      </c>
      <c r="FA53" s="967">
        <f t="shared" si="259"/>
        <v>52</v>
      </c>
      <c r="FB53" s="967">
        <f t="shared" si="259"/>
        <v>55.5</v>
      </c>
      <c r="FC53" s="967">
        <f t="shared" si="259"/>
        <v>60.5</v>
      </c>
      <c r="FD53" s="954">
        <f t="shared" si="259"/>
        <v>63</v>
      </c>
      <c r="FF53" s="953">
        <f>SUM(FF58:FF66)</f>
        <v>60.5</v>
      </c>
      <c r="FG53" s="967">
        <f t="shared" ref="FG53:FQ53" si="260">SUM(FG58:FG66)</f>
        <v>55.5</v>
      </c>
      <c r="FH53" s="967">
        <f t="shared" si="260"/>
        <v>53</v>
      </c>
      <c r="FI53" s="967">
        <f t="shared" si="260"/>
        <v>52</v>
      </c>
      <c r="FJ53" s="967">
        <f t="shared" si="260"/>
        <v>50</v>
      </c>
      <c r="FK53" s="967">
        <f t="shared" si="260"/>
        <v>48</v>
      </c>
      <c r="FL53" s="967">
        <f t="shared" si="260"/>
        <v>46</v>
      </c>
      <c r="FM53" s="967">
        <f t="shared" si="260"/>
        <v>44</v>
      </c>
      <c r="FN53" s="967">
        <f t="shared" si="260"/>
        <v>42</v>
      </c>
      <c r="FO53" s="967">
        <f t="shared" si="260"/>
        <v>42.5</v>
      </c>
      <c r="FP53" s="967">
        <f t="shared" si="260"/>
        <v>45.5</v>
      </c>
      <c r="FQ53" s="954">
        <f t="shared" si="260"/>
        <v>46</v>
      </c>
      <c r="FS53" s="953">
        <f>SUM(FS58:FS66)</f>
        <v>43.5</v>
      </c>
      <c r="FT53" s="967">
        <f t="shared" ref="FT53:GD53" si="261">SUM(FT58:FT66)</f>
        <v>40.5</v>
      </c>
      <c r="FU53" s="967">
        <f t="shared" si="261"/>
        <v>37.5</v>
      </c>
      <c r="FV53" s="967">
        <f t="shared" si="261"/>
        <v>34.5</v>
      </c>
      <c r="FW53" s="967">
        <f t="shared" si="261"/>
        <v>31.5</v>
      </c>
      <c r="FX53" s="967">
        <f t="shared" si="261"/>
        <v>28.5</v>
      </c>
      <c r="FY53" s="967">
        <f t="shared" si="261"/>
        <v>25.5</v>
      </c>
      <c r="FZ53" s="967">
        <f t="shared" si="261"/>
        <v>22.5</v>
      </c>
      <c r="GA53" s="967">
        <f t="shared" si="261"/>
        <v>19.5</v>
      </c>
      <c r="GB53" s="967">
        <f t="shared" si="261"/>
        <v>18</v>
      </c>
      <c r="GC53" s="967">
        <f t="shared" si="261"/>
        <v>18</v>
      </c>
      <c r="GD53" s="954">
        <f t="shared" si="261"/>
        <v>18</v>
      </c>
      <c r="GF53" s="953">
        <f>SUM(GF58:GF66)</f>
        <v>18</v>
      </c>
      <c r="GG53" s="967">
        <f t="shared" ref="GG53:GQ53" si="262">SUM(GG58:GG66)</f>
        <v>18</v>
      </c>
      <c r="GH53" s="967">
        <f t="shared" si="262"/>
        <v>18</v>
      </c>
      <c r="GI53" s="967">
        <f t="shared" si="262"/>
        <v>18</v>
      </c>
      <c r="GJ53" s="967">
        <f t="shared" si="262"/>
        <v>18</v>
      </c>
      <c r="GK53" s="967">
        <f t="shared" si="262"/>
        <v>18</v>
      </c>
      <c r="GL53" s="967">
        <f t="shared" si="262"/>
        <v>18</v>
      </c>
      <c r="GM53" s="967">
        <f t="shared" si="262"/>
        <v>18</v>
      </c>
      <c r="GN53" s="967">
        <f t="shared" si="262"/>
        <v>18</v>
      </c>
      <c r="GO53" s="967">
        <f t="shared" si="262"/>
        <v>18</v>
      </c>
      <c r="GP53" s="967">
        <f t="shared" si="262"/>
        <v>18</v>
      </c>
      <c r="GQ53" s="954">
        <f t="shared" si="262"/>
        <v>18</v>
      </c>
      <c r="GS53" s="953">
        <f>SUM(GS58:GS66)</f>
        <v>18</v>
      </c>
      <c r="GT53" s="967">
        <f t="shared" ref="GT53:HD53" si="263">SUM(GT58:GT66)</f>
        <v>18</v>
      </c>
      <c r="GU53" s="967">
        <f t="shared" si="263"/>
        <v>18</v>
      </c>
      <c r="GV53" s="967">
        <f t="shared" si="263"/>
        <v>18</v>
      </c>
      <c r="GW53" s="967">
        <f t="shared" si="263"/>
        <v>18</v>
      </c>
      <c r="GX53" s="967">
        <f t="shared" si="263"/>
        <v>18</v>
      </c>
      <c r="GY53" s="967">
        <f t="shared" si="263"/>
        <v>18</v>
      </c>
      <c r="GZ53" s="967">
        <f t="shared" si="263"/>
        <v>18</v>
      </c>
      <c r="HA53" s="967">
        <f t="shared" si="263"/>
        <v>18</v>
      </c>
      <c r="HB53" s="967">
        <f t="shared" si="263"/>
        <v>18</v>
      </c>
      <c r="HC53" s="967">
        <f t="shared" si="263"/>
        <v>18</v>
      </c>
      <c r="HD53" s="954">
        <f t="shared" si="263"/>
        <v>18</v>
      </c>
    </row>
    <row r="54" spans="2:212" ht="14.25">
      <c r="B54" s="984" t="s">
        <v>124</v>
      </c>
      <c r="C54" s="1076">
        <v>65</v>
      </c>
      <c r="D54" s="993">
        <v>8</v>
      </c>
      <c r="E54" s="1079">
        <v>2</v>
      </c>
      <c r="F54" s="1079"/>
      <c r="G54" s="1032">
        <v>9</v>
      </c>
      <c r="H54" s="1078">
        <f t="shared" si="243"/>
        <v>0.13846153846153847</v>
      </c>
      <c r="I54" s="1075"/>
      <c r="N54" s="931" t="s">
        <v>1076</v>
      </c>
      <c r="O54" s="950"/>
      <c r="P54" s="606">
        <f>[5]Assumption!D33</f>
        <v>1</v>
      </c>
      <c r="Q54" s="606">
        <f>[5]Assumption!E33</f>
        <v>1</v>
      </c>
      <c r="R54" s="606">
        <f>[5]Assumption!F33</f>
        <v>14</v>
      </c>
      <c r="S54" s="606">
        <f>[5]Assumption!G33</f>
        <v>9</v>
      </c>
      <c r="T54" s="606">
        <f>[5]Assumption!H33</f>
        <v>19</v>
      </c>
      <c r="U54" s="606">
        <f>[5]Assumption!I33</f>
        <v>20</v>
      </c>
      <c r="V54" s="606">
        <f>[5]Assumption!J33</f>
        <v>10</v>
      </c>
      <c r="X54" s="1080"/>
      <c r="AA54" s="931" t="s">
        <v>1076</v>
      </c>
      <c r="AB54" s="950"/>
      <c r="DK54" s="931" t="s">
        <v>1076</v>
      </c>
      <c r="DL54" s="950"/>
      <c r="DN54" s="969">
        <f>[5]Assumption!K33</f>
        <v>19</v>
      </c>
      <c r="DO54" s="970">
        <f>[5]Assumption!L33</f>
        <v>36</v>
      </c>
      <c r="DP54" s="970">
        <f>[5]Assumption!M33</f>
        <v>22.5</v>
      </c>
      <c r="DQ54" s="970">
        <f>[5]Assumption!N33</f>
        <v>20.7</v>
      </c>
      <c r="DR54" s="950">
        <f>[5]Assumption!O33</f>
        <v>20.7</v>
      </c>
      <c r="DT54" s="969">
        <f>[5]Assumption!K33</f>
        <v>19</v>
      </c>
      <c r="DU54" s="970">
        <f>[5]Assumption!L33</f>
        <v>36</v>
      </c>
      <c r="DV54" s="970">
        <f>[5]Assumption!M33</f>
        <v>22.5</v>
      </c>
      <c r="DW54" s="970">
        <f>[5]Assumption!N33</f>
        <v>20.7</v>
      </c>
      <c r="DX54" s="950">
        <f>[5]Assumption!O33</f>
        <v>20.7</v>
      </c>
      <c r="DZ54" s="969">
        <f>[5]Assumption!K33</f>
        <v>19</v>
      </c>
      <c r="EA54" s="970">
        <f>[5]Assumption!L33</f>
        <v>36</v>
      </c>
      <c r="EB54" s="995">
        <f>[5]Assumption!M33</f>
        <v>22.5</v>
      </c>
      <c r="EC54" s="995">
        <f>[5]Assumption!N33</f>
        <v>20.7</v>
      </c>
      <c r="ED54" s="996">
        <f>[5]Assumption!O33</f>
        <v>20.7</v>
      </c>
      <c r="EF54" s="994">
        <f>'[1]AL Promotion &amp; Recruited'!Z11</f>
        <v>2</v>
      </c>
      <c r="EG54" s="995">
        <f>'[1]AL Promotion &amp; Recruited'!AA11</f>
        <v>2</v>
      </c>
      <c r="EH54" s="970">
        <f>'[1]AL Promotion &amp; Recruited'!AB11</f>
        <v>5</v>
      </c>
      <c r="EI54" s="970">
        <f>'[1]AL Promotion &amp; Recruited'!AC11</f>
        <v>6</v>
      </c>
      <c r="EJ54" s="970">
        <f>'[1]AL Promotion &amp; Recruited'!AD11</f>
        <v>7</v>
      </c>
      <c r="EK54" s="970">
        <f>'[1]AL Promotion &amp; Recruited'!AE11</f>
        <v>7</v>
      </c>
      <c r="EL54" s="970">
        <f>'[1]AL Promotion &amp; Recruited'!AF11</f>
        <v>7</v>
      </c>
      <c r="EM54" s="970">
        <f>'[1]AL Promotion &amp; Recruited'!AG11</f>
        <v>7</v>
      </c>
      <c r="EN54" s="970">
        <f>'[1]AL Promotion &amp; Recruited'!AH11</f>
        <v>7</v>
      </c>
      <c r="EO54" s="970">
        <f>'[1]AL Promotion &amp; Recruited'!AI11</f>
        <v>7</v>
      </c>
      <c r="EP54" s="970">
        <f>'[1]AL Promotion &amp; Recruited'!AJ11</f>
        <v>5</v>
      </c>
      <c r="EQ54" s="950">
        <f>'[1]AL Promotion &amp; Recruited'!AK11</f>
        <v>5</v>
      </c>
      <c r="ES54" s="994">
        <f>'[6]AL Promotion &amp; Recruited'!AL$11</f>
        <v>2</v>
      </c>
      <c r="ET54" s="995">
        <f>'[6]AL Promotion &amp; Recruited'!AM$11</f>
        <v>2</v>
      </c>
      <c r="EU54" s="970">
        <f>'[6]AL Promotion &amp; Recruited'!AN$11</f>
        <v>7</v>
      </c>
      <c r="EV54" s="970">
        <f>'[6]AL Promotion &amp; Recruited'!AO$11</f>
        <v>7</v>
      </c>
      <c r="EW54" s="970">
        <f>'[6]AL Promotion &amp; Recruited'!AP$11</f>
        <v>7</v>
      </c>
      <c r="EX54" s="970">
        <f>'[6]AL Promotion &amp; Recruited'!AQ$11</f>
        <v>7</v>
      </c>
      <c r="EY54" s="970">
        <f>'[6]AL Promotion &amp; Recruited'!AR$11</f>
        <v>7</v>
      </c>
      <c r="EZ54" s="970">
        <f>'[6]AL Promotion &amp; Recruited'!AS$11</f>
        <v>7</v>
      </c>
      <c r="FA54" s="970">
        <f>'[6]AL Promotion &amp; Recruited'!AT$11</f>
        <v>7</v>
      </c>
      <c r="FB54" s="970">
        <f>'[6]AL Promotion &amp; Recruited'!AU$11</f>
        <v>7</v>
      </c>
      <c r="FC54" s="970">
        <f>'[6]AL Promotion &amp; Recruited'!AV$11</f>
        <v>7</v>
      </c>
      <c r="FD54" s="950">
        <f>'[6]AL Promotion &amp; Recruited'!AW$11</f>
        <v>7</v>
      </c>
      <c r="FF54" s="994">
        <f>'[6]AL Promotion &amp; Recruited'!AX$11</f>
        <v>2</v>
      </c>
      <c r="FG54" s="995">
        <f>'[6]AL Promotion &amp; Recruited'!AY$11</f>
        <v>2</v>
      </c>
      <c r="FH54" s="970">
        <f>'[6]AL Promotion &amp; Recruited'!AZ$11</f>
        <v>7</v>
      </c>
      <c r="FI54" s="970">
        <f>'[6]AL Promotion &amp; Recruited'!BA$11</f>
        <v>5</v>
      </c>
      <c r="FJ54" s="970">
        <f>'[6]AL Promotion &amp; Recruited'!BB$11</f>
        <v>5</v>
      </c>
      <c r="FK54" s="970">
        <f>'[6]AL Promotion &amp; Recruited'!BC$11</f>
        <v>5</v>
      </c>
      <c r="FL54" s="970">
        <f>'[6]AL Promotion &amp; Recruited'!BD$11</f>
        <v>5</v>
      </c>
      <c r="FM54" s="970">
        <f>'[6]AL Promotion &amp; Recruited'!BE$11</f>
        <v>5</v>
      </c>
      <c r="FN54" s="970">
        <f>'[6]AL Promotion &amp; Recruited'!BF$11</f>
        <v>5</v>
      </c>
      <c r="FO54" s="970">
        <f>'[6]AL Promotion &amp; Recruited'!BG$11</f>
        <v>5</v>
      </c>
      <c r="FP54" s="970">
        <f>'[6]AL Promotion &amp; Recruited'!BH$11</f>
        <v>5</v>
      </c>
      <c r="FQ54" s="950">
        <f>'[6]AL Promotion &amp; Recruited'!BI$11</f>
        <v>5</v>
      </c>
      <c r="FS54" s="994">
        <f>'[6]AL Promotion &amp; Recruited'!BJ$11</f>
        <v>2</v>
      </c>
      <c r="FT54" s="995">
        <f>'[6]AL Promotion &amp; Recruited'!BK$11</f>
        <v>2</v>
      </c>
      <c r="FU54" s="970">
        <f>'[6]AL Promotion &amp; Recruited'!BL$11</f>
        <v>2</v>
      </c>
      <c r="FV54" s="970">
        <f>'[6]AL Promotion &amp; Recruited'!BM$11</f>
        <v>2</v>
      </c>
      <c r="FW54" s="970">
        <f>'[6]AL Promotion &amp; Recruited'!BN$11</f>
        <v>2</v>
      </c>
      <c r="FX54" s="970">
        <f>'[6]AL Promotion &amp; Recruited'!BO$11</f>
        <v>2</v>
      </c>
      <c r="FY54" s="970">
        <f>'[6]AL Promotion &amp; Recruited'!BP$11</f>
        <v>2</v>
      </c>
      <c r="FZ54" s="970">
        <f>'[6]AL Promotion &amp; Recruited'!BQ$11</f>
        <v>2</v>
      </c>
      <c r="GA54" s="970">
        <f>'[6]AL Promotion &amp; Recruited'!BR$11</f>
        <v>2</v>
      </c>
      <c r="GB54" s="970">
        <f>'[6]AL Promotion &amp; Recruited'!BS$11</f>
        <v>2</v>
      </c>
      <c r="GC54" s="970">
        <f>'[6]AL Promotion &amp; Recruited'!BT$11</f>
        <v>2</v>
      </c>
      <c r="GD54" s="950">
        <f>'[6]AL Promotion &amp; Recruited'!BU$11</f>
        <v>2</v>
      </c>
      <c r="GF54" s="994">
        <f>'[6]AL Promotion &amp; Recruited'!BV$11</f>
        <v>2</v>
      </c>
      <c r="GG54" s="995">
        <f>'[6]AL Promotion &amp; Recruited'!BW$11</f>
        <v>2</v>
      </c>
      <c r="GH54" s="970">
        <f>'[6]AL Promotion &amp; Recruited'!BX$11</f>
        <v>2</v>
      </c>
      <c r="GI54" s="970">
        <f>'[6]AL Promotion &amp; Recruited'!BY$11</f>
        <v>2</v>
      </c>
      <c r="GJ54" s="970">
        <f>'[6]AL Promotion &amp; Recruited'!BZ$11</f>
        <v>2</v>
      </c>
      <c r="GK54" s="970">
        <f>'[6]AL Promotion &amp; Recruited'!CA$11</f>
        <v>2</v>
      </c>
      <c r="GL54" s="970">
        <f>'[6]AL Promotion &amp; Recruited'!CB$11</f>
        <v>2</v>
      </c>
      <c r="GM54" s="970">
        <f>'[6]AL Promotion &amp; Recruited'!CC$11</f>
        <v>2</v>
      </c>
      <c r="GN54" s="970">
        <f>'[6]AL Promotion &amp; Recruited'!CD$11</f>
        <v>2</v>
      </c>
      <c r="GO54" s="970">
        <f>'[6]AL Promotion &amp; Recruited'!CE$11</f>
        <v>2</v>
      </c>
      <c r="GP54" s="970">
        <f>'[6]AL Promotion &amp; Recruited'!CF$11</f>
        <v>2</v>
      </c>
      <c r="GQ54" s="950">
        <f>'[6]AL Promotion &amp; Recruited'!CG$11</f>
        <v>2</v>
      </c>
      <c r="GS54" s="994">
        <f>'[6]AL Promotion &amp; Recruited'!CH$11</f>
        <v>2</v>
      </c>
      <c r="GT54" s="995">
        <f>'[6]AL Promotion &amp; Recruited'!CI$11</f>
        <v>2</v>
      </c>
      <c r="GU54" s="970">
        <f>'[6]AL Promotion &amp; Recruited'!CJ$11</f>
        <v>2</v>
      </c>
      <c r="GV54" s="970">
        <f>'[6]AL Promotion &amp; Recruited'!CK$11</f>
        <v>2</v>
      </c>
      <c r="GW54" s="970">
        <f>'[6]AL Promotion &amp; Recruited'!CL$11</f>
        <v>2</v>
      </c>
      <c r="GX54" s="970">
        <f>'[6]AL Promotion &amp; Recruited'!CM$11</f>
        <v>2</v>
      </c>
      <c r="GY54" s="970">
        <f>'[6]AL Promotion &amp; Recruited'!CN$11</f>
        <v>2</v>
      </c>
      <c r="GZ54" s="970">
        <f>'[6]AL Promotion &amp; Recruited'!CO$11</f>
        <v>2</v>
      </c>
      <c r="HA54" s="970">
        <f>'[6]AL Promotion &amp; Recruited'!CP$11</f>
        <v>2</v>
      </c>
      <c r="HB54" s="970">
        <f>'[6]AL Promotion &amp; Recruited'!CQ$11</f>
        <v>2</v>
      </c>
      <c r="HC54" s="970">
        <f>'[6]AL Promotion &amp; Recruited'!CR$11</f>
        <v>2</v>
      </c>
      <c r="HD54" s="950">
        <f>'[6]AL Promotion &amp; Recruited'!CS$11</f>
        <v>2</v>
      </c>
    </row>
    <row r="55" spans="2:212" ht="14.25">
      <c r="B55" s="984" t="s">
        <v>125</v>
      </c>
      <c r="C55" s="1076">
        <v>75</v>
      </c>
      <c r="D55" s="993">
        <v>9</v>
      </c>
      <c r="E55" s="1079">
        <v>2</v>
      </c>
      <c r="F55" s="1079"/>
      <c r="G55" s="1032">
        <v>7</v>
      </c>
      <c r="H55" s="1078">
        <f t="shared" si="243"/>
        <v>9.3333333333333338E-2</v>
      </c>
      <c r="I55" s="1075"/>
      <c r="N55" s="931" t="s">
        <v>1041</v>
      </c>
      <c r="O55" s="950"/>
      <c r="P55" s="606">
        <v>201</v>
      </c>
      <c r="Q55" s="606">
        <v>292</v>
      </c>
      <c r="R55" s="606">
        <v>339</v>
      </c>
      <c r="S55" s="606">
        <v>366</v>
      </c>
      <c r="T55" s="606">
        <v>322</v>
      </c>
      <c r="U55" s="606">
        <v>651</v>
      </c>
      <c r="V55" s="606">
        <v>458</v>
      </c>
      <c r="X55" s="1080"/>
      <c r="AA55" s="931" t="s">
        <v>1042</v>
      </c>
      <c r="AB55" s="950"/>
      <c r="AC55" s="610">
        <f t="shared" ref="AC55:AI55" si="264">P55/P50</f>
        <v>1.4733991311357993E-2</v>
      </c>
      <c r="AD55" s="610">
        <f t="shared" si="264"/>
        <v>2.1018324884134687E-2</v>
      </c>
      <c r="AE55" s="610">
        <f t="shared" si="264"/>
        <v>1.0228723089025372E-2</v>
      </c>
      <c r="AF55" s="610">
        <f t="shared" si="264"/>
        <v>1.1945413962201282E-2</v>
      </c>
      <c r="AG55" s="610">
        <f t="shared" si="264"/>
        <v>1.1726994831927946E-2</v>
      </c>
      <c r="AH55" s="610">
        <f t="shared" si="264"/>
        <v>1.5698801549149054E-2</v>
      </c>
      <c r="AI55" s="610">
        <f t="shared" si="264"/>
        <v>1.5396033894267771E-2</v>
      </c>
      <c r="AJ55" s="952">
        <f>AVERAGE(AC55:AI55)</f>
        <v>1.4392611931723446E-2</v>
      </c>
      <c r="AK55" s="952"/>
      <c r="AL55" s="952"/>
      <c r="AM55" s="952"/>
      <c r="AN55" s="952"/>
      <c r="AO55" s="952"/>
      <c r="AP55" s="952"/>
      <c r="AQ55" s="952"/>
      <c r="AR55" s="952"/>
      <c r="AS55" s="952"/>
      <c r="AT55" s="952"/>
      <c r="AU55" s="952"/>
      <c r="AV55" s="952"/>
      <c r="AW55" s="952"/>
      <c r="AX55" s="952"/>
      <c r="AY55" s="952"/>
      <c r="AZ55" s="952"/>
      <c r="BA55" s="952"/>
      <c r="BB55" s="952"/>
      <c r="BC55" s="952"/>
      <c r="BD55" s="952"/>
      <c r="BE55" s="952"/>
      <c r="BF55" s="952"/>
      <c r="BG55" s="952"/>
      <c r="BH55" s="952"/>
      <c r="BI55" s="952"/>
      <c r="BJ55" s="952"/>
      <c r="BK55" s="952"/>
      <c r="BL55" s="952"/>
      <c r="BM55" s="952"/>
      <c r="BN55" s="952"/>
      <c r="BO55" s="952"/>
      <c r="BP55" s="952"/>
      <c r="BQ55" s="952"/>
      <c r="BR55" s="952"/>
      <c r="BS55" s="952"/>
      <c r="BT55" s="952"/>
      <c r="BU55" s="952"/>
      <c r="BV55" s="952"/>
      <c r="BW55" s="952"/>
      <c r="BX55" s="952"/>
      <c r="BY55" s="952"/>
      <c r="BZ55" s="952"/>
      <c r="CA55" s="952"/>
      <c r="CB55" s="952"/>
      <c r="CC55" s="952"/>
      <c r="CD55" s="952"/>
      <c r="CE55" s="952"/>
      <c r="CF55" s="952"/>
      <c r="CG55" s="952"/>
      <c r="CH55" s="952"/>
      <c r="CI55" s="952"/>
      <c r="CJ55" s="952"/>
      <c r="CK55" s="952"/>
      <c r="CL55" s="952"/>
      <c r="CM55" s="952"/>
      <c r="CN55" s="952"/>
      <c r="CO55" s="952"/>
      <c r="CP55" s="952"/>
      <c r="CQ55" s="952"/>
      <c r="CR55" s="952"/>
      <c r="CS55" s="952"/>
      <c r="CT55" s="952"/>
      <c r="CU55" s="952"/>
      <c r="CV55" s="952"/>
      <c r="CW55" s="952"/>
      <c r="CX55" s="952"/>
      <c r="CY55" s="952"/>
      <c r="CZ55" s="952"/>
      <c r="DA55" s="952"/>
      <c r="DB55" s="952"/>
      <c r="DC55" s="952"/>
      <c r="DD55" s="952"/>
      <c r="DE55" s="952"/>
      <c r="DF55" s="952"/>
      <c r="DG55" s="952"/>
      <c r="DH55" s="952"/>
      <c r="DI55" s="952"/>
      <c r="DK55" s="931" t="s">
        <v>1041</v>
      </c>
      <c r="DL55" s="950"/>
      <c r="DN55" s="994">
        <f>SUM(DN69:DN71)*13+SUM(DN72:DN74)*9+SUM(DN75:DN77)*7+DN78*30</f>
        <v>485</v>
      </c>
      <c r="DO55" s="995">
        <f>SUM(DO69:DO71)*13+SUM(DO72:DO74)*9+SUM(DO75:DO77)*7+DO78*30</f>
        <v>406.54159518702591</v>
      </c>
      <c r="DP55" s="995">
        <f>SUM(DP69:DP71)*13+SUM(DP72:DP74)*9+SUM(DP75:DP77)*7+DP78*30</f>
        <v>590.75501084757911</v>
      </c>
      <c r="DQ55" s="995">
        <f>SUM(DQ69:DQ71)*13+SUM(DQ72:DQ74)*9+SUM(DQ75:DQ77)*7+DQ78*30</f>
        <v>482.82503413370011</v>
      </c>
      <c r="DR55" s="996">
        <f>SUM(DR69:DR71)*13+SUM(DR72:DR74)*9+SUM(DR75:DR77)*7+DR78*30</f>
        <v>529.21380320659728</v>
      </c>
      <c r="DT55" s="994">
        <f>SUM(DT69:DT71)*13+SUM(DT72:DT74)*9+SUM(DT75:DT77)*7+DT78*30</f>
        <v>485</v>
      </c>
      <c r="DU55" s="995">
        <f>SUM(DU69:DU71)*13+SUM(DU72:DU74)*9+SUM(DU75:DU77)*7+DU78*30</f>
        <v>573.02738095238101</v>
      </c>
      <c r="DV55" s="995">
        <f>SUM(DV69:DV71)*13+SUM(DV72:DV74)*9+SUM(DV75:DV77)*7+DV78*30</f>
        <v>780.18988095238103</v>
      </c>
      <c r="DW55" s="995">
        <f>SUM(DW69:DW71)*13+SUM(DW72:DW74)*9+SUM(DW75:DW77)*7+DW78*30</f>
        <v>687.71553571428569</v>
      </c>
      <c r="DX55" s="996">
        <f>SUM(DX69:DX71)*13+SUM(DX72:DX74)*9+SUM(DX75:DX77)*7+DX78*30</f>
        <v>691.29714285714283</v>
      </c>
      <c r="DZ55" s="994">
        <f>SUM(DZ69:DZ71)*13+SUM(DZ72:DZ74)*9+SUM(DZ75:DZ77)*7+DZ78*30</f>
        <v>485</v>
      </c>
      <c r="EA55" s="995">
        <f>SUM(EA69:EA71)*13+SUM(EA72:EA74)*9+SUM(EA75:EA77)*7+EA78*30</f>
        <v>469.47729244903093</v>
      </c>
      <c r="EB55" s="995">
        <f>SUM(EB69:EB71)*13+SUM(EB72:EB74)*9+SUM(EB75:EB77)*7+EB78*30</f>
        <v>634.30435877876789</v>
      </c>
      <c r="EC55" s="995">
        <f>SUM(EC69:EC71)*13+SUM(EC72:EC74)*9+SUM(EC75:EC77)*7+EC78*30</f>
        <v>605.29339814451441</v>
      </c>
      <c r="ED55" s="996">
        <f>SUM(ED69:ED71)*13+SUM(ED72:ED74)*9+SUM(ED75:ED77)*7+ED78*30</f>
        <v>671.91613182996298</v>
      </c>
      <c r="EF55" s="994">
        <f>SUM(EF69:EF71)*13+SUM(EF72:EF74)*9+SUM(EF75:EF77)*7+EF78*30</f>
        <v>362.75249999999994</v>
      </c>
      <c r="EG55" s="995">
        <f t="shared" ref="EG55:EQ55" si="265">SUM(EG69:EG71)*13+SUM(EG72:EG74)*9+SUM(EG75:EG77)*7+EG78*30</f>
        <v>226.66725000000002</v>
      </c>
      <c r="EH55" s="995">
        <f t="shared" si="265"/>
        <v>170.41275000000002</v>
      </c>
      <c r="EI55" s="995">
        <f t="shared" si="265"/>
        <v>153.93825000000001</v>
      </c>
      <c r="EJ55" s="995">
        <f t="shared" si="265"/>
        <v>171.75510000000003</v>
      </c>
      <c r="EK55" s="995">
        <f t="shared" si="265"/>
        <v>183.90487500000003</v>
      </c>
      <c r="EL55" s="995">
        <f t="shared" si="265"/>
        <v>171.52294500000002</v>
      </c>
      <c r="EM55" s="995">
        <f t="shared" si="265"/>
        <v>179.57718900000003</v>
      </c>
      <c r="EN55" s="995">
        <f t="shared" si="265"/>
        <v>186.11712405000003</v>
      </c>
      <c r="EO55" s="995">
        <f t="shared" si="265"/>
        <v>182.50006500000006</v>
      </c>
      <c r="EP55" s="995">
        <f t="shared" si="265"/>
        <v>194.66234370000006</v>
      </c>
      <c r="EQ55" s="996">
        <f t="shared" si="265"/>
        <v>198.34396956000009</v>
      </c>
      <c r="ES55" s="994">
        <f>SUM(ES69:ES71)*13+SUM(ES72:ES74)*9+SUM(ES75:ES77)*7+ES78*30</f>
        <v>105.94999999999999</v>
      </c>
      <c r="ET55" s="995">
        <f t="shared" ref="ET55:FD55" si="266">SUM(ET69:ET71)*13+SUM(ET72:ET74)*9+SUM(ET75:ET77)*7+ET78*30</f>
        <v>74.857500000000002</v>
      </c>
      <c r="EU55" s="995">
        <f t="shared" si="266"/>
        <v>79.852500000000006</v>
      </c>
      <c r="EV55" s="995">
        <f t="shared" si="266"/>
        <v>99.810000000000016</v>
      </c>
      <c r="EW55" s="995">
        <f t="shared" si="266"/>
        <v>124.17075</v>
      </c>
      <c r="EX55" s="995">
        <f t="shared" si="266"/>
        <v>144.64642500000002</v>
      </c>
      <c r="EY55" s="995">
        <f t="shared" si="266"/>
        <v>146.63385</v>
      </c>
      <c r="EZ55" s="995">
        <f t="shared" si="266"/>
        <v>163.33366500000002</v>
      </c>
      <c r="FA55" s="995">
        <f t="shared" si="266"/>
        <v>182.17064250000004</v>
      </c>
      <c r="FB55" s="995">
        <f t="shared" si="266"/>
        <v>185.39898300000004</v>
      </c>
      <c r="FC55" s="995">
        <f t="shared" si="266"/>
        <v>209.0119878000001</v>
      </c>
      <c r="FD55" s="996">
        <f t="shared" si="266"/>
        <v>232.70339515500012</v>
      </c>
      <c r="FF55" s="994">
        <f>SUM(FF69:FF71)*13+SUM(FF72:FF74)*9+SUM(FF75:FF77)*7+FF78*30</f>
        <v>126.44999999999999</v>
      </c>
      <c r="FG55" s="995">
        <f t="shared" ref="FG55:FQ55" si="267">SUM(FG69:FG71)*13+SUM(FG72:FG74)*9+SUM(FG75:FG77)*7+FG78*30</f>
        <v>86.017499999999998</v>
      </c>
      <c r="FH55" s="995">
        <f t="shared" si="267"/>
        <v>86.017499999999998</v>
      </c>
      <c r="FI55" s="995">
        <f t="shared" si="267"/>
        <v>96.435000000000016</v>
      </c>
      <c r="FJ55" s="995">
        <f t="shared" si="267"/>
        <v>107.58825000000002</v>
      </c>
      <c r="FK55" s="995">
        <f t="shared" si="267"/>
        <v>117.47587500000002</v>
      </c>
      <c r="FL55" s="995">
        <f t="shared" si="267"/>
        <v>114.23610000000002</v>
      </c>
      <c r="FM55" s="995">
        <f t="shared" si="267"/>
        <v>124.16233500000004</v>
      </c>
      <c r="FN55" s="995">
        <f t="shared" si="267"/>
        <v>134.86557150000004</v>
      </c>
      <c r="FO55" s="995">
        <f t="shared" si="267"/>
        <v>135.06322500000005</v>
      </c>
      <c r="FP55" s="995">
        <f t="shared" si="267"/>
        <v>151.61341140000007</v>
      </c>
      <c r="FQ55" s="996">
        <f t="shared" si="267"/>
        <v>167.33279425500007</v>
      </c>
      <c r="FS55" s="994">
        <f>SUM(FS69:FS71)*13+SUM(FS72:FS74)*9+SUM(FS75:FS77)*7+FS78*30</f>
        <v>92.55</v>
      </c>
      <c r="FT55" s="995">
        <f t="shared" ref="FT55:GD55" si="268">SUM(FT69:FT71)*13+SUM(FT72:FT74)*9+SUM(FT75:FT77)*7+FT78*30</f>
        <v>66.622500000000002</v>
      </c>
      <c r="FU55" s="995">
        <f t="shared" si="268"/>
        <v>56.092500000000001</v>
      </c>
      <c r="FV55" s="995">
        <f t="shared" si="268"/>
        <v>49.882500000000007</v>
      </c>
      <c r="FW55" s="995">
        <f t="shared" si="268"/>
        <v>51.529500000000013</v>
      </c>
      <c r="FX55" s="995">
        <f t="shared" si="268"/>
        <v>53.742150000000009</v>
      </c>
      <c r="FY55" s="995">
        <f t="shared" si="268"/>
        <v>51.128550000000004</v>
      </c>
      <c r="FZ55" s="995">
        <f t="shared" si="268"/>
        <v>53.725815000000011</v>
      </c>
      <c r="GA55" s="995">
        <f t="shared" si="268"/>
        <v>56.331247500000018</v>
      </c>
      <c r="GB55" s="995">
        <f t="shared" si="268"/>
        <v>54.947673000000016</v>
      </c>
      <c r="GC55" s="995">
        <f t="shared" si="268"/>
        <v>60.44244030000003</v>
      </c>
      <c r="GD55" s="996">
        <f t="shared" si="268"/>
        <v>66.486684330000031</v>
      </c>
      <c r="GF55" s="994">
        <f>SUM(GF69:GF71)*13+SUM(GF72:GF74)*9+SUM(GF75:GF77)*7+GF78*30</f>
        <v>41.7</v>
      </c>
      <c r="GG55" s="995">
        <f t="shared" ref="GG55:GQ55" si="269">SUM(GG69:GG71)*13+SUM(GG72:GG74)*9+SUM(GG75:GG77)*7+GG78*30</f>
        <v>37.53</v>
      </c>
      <c r="GH55" s="995">
        <f t="shared" si="269"/>
        <v>37.53</v>
      </c>
      <c r="GI55" s="995">
        <f t="shared" si="269"/>
        <v>37.53</v>
      </c>
      <c r="GJ55" s="995">
        <f t="shared" si="269"/>
        <v>41.283000000000008</v>
      </c>
      <c r="GK55" s="995">
        <f t="shared" si="269"/>
        <v>45.411300000000004</v>
      </c>
      <c r="GL55" s="995">
        <f t="shared" si="269"/>
        <v>45.411300000000004</v>
      </c>
      <c r="GM55" s="995">
        <f t="shared" si="269"/>
        <v>49.952430000000007</v>
      </c>
      <c r="GN55" s="995">
        <f t="shared" si="269"/>
        <v>54.947673000000016</v>
      </c>
      <c r="GO55" s="995">
        <f t="shared" si="269"/>
        <v>54.947673000000016</v>
      </c>
      <c r="GP55" s="995">
        <f t="shared" si="269"/>
        <v>60.44244030000003</v>
      </c>
      <c r="GQ55" s="996">
        <f t="shared" si="269"/>
        <v>66.486684330000031</v>
      </c>
      <c r="GS55" s="994">
        <f>SUM(GS69:GS71)*13+SUM(GS72:GS74)*9+SUM(GS75:GS77)*7+GS78*30</f>
        <v>41.7</v>
      </c>
      <c r="GT55" s="995">
        <f t="shared" ref="GT55:HD55" si="270">SUM(GT69:GT71)*13+SUM(GT72:GT74)*9+SUM(GT75:GT77)*7+GT78*30</f>
        <v>37.53</v>
      </c>
      <c r="GU55" s="995">
        <f t="shared" si="270"/>
        <v>37.53</v>
      </c>
      <c r="GV55" s="995">
        <f t="shared" si="270"/>
        <v>37.53</v>
      </c>
      <c r="GW55" s="995">
        <f t="shared" si="270"/>
        <v>41.283000000000008</v>
      </c>
      <c r="GX55" s="995">
        <f t="shared" si="270"/>
        <v>45.411300000000004</v>
      </c>
      <c r="GY55" s="995">
        <f t="shared" si="270"/>
        <v>45.411300000000004</v>
      </c>
      <c r="GZ55" s="995">
        <f t="shared" si="270"/>
        <v>49.952430000000007</v>
      </c>
      <c r="HA55" s="995">
        <f t="shared" si="270"/>
        <v>54.947673000000016</v>
      </c>
      <c r="HB55" s="995">
        <f t="shared" si="270"/>
        <v>54.947673000000016</v>
      </c>
      <c r="HC55" s="995">
        <f t="shared" si="270"/>
        <v>60.44244030000003</v>
      </c>
      <c r="HD55" s="996">
        <f t="shared" si="270"/>
        <v>66.486684330000031</v>
      </c>
    </row>
    <row r="56" spans="2:212" ht="14.25">
      <c r="B56" s="984" t="s">
        <v>126</v>
      </c>
      <c r="C56" s="1076">
        <v>80</v>
      </c>
      <c r="D56" s="993">
        <v>10</v>
      </c>
      <c r="E56" s="1079">
        <v>2</v>
      </c>
      <c r="F56" s="1079"/>
      <c r="G56" s="1032">
        <v>7</v>
      </c>
      <c r="H56" s="1078">
        <f t="shared" si="243"/>
        <v>8.7499999999999994E-2</v>
      </c>
      <c r="I56" s="1075"/>
      <c r="N56" s="931"/>
      <c r="O56" s="950"/>
      <c r="P56" s="978"/>
      <c r="Q56" s="978"/>
      <c r="R56" s="978"/>
      <c r="S56" s="978"/>
      <c r="T56" s="978"/>
      <c r="U56" s="978"/>
      <c r="X56" s="1080"/>
      <c r="AA56" s="931"/>
      <c r="AB56" s="950"/>
      <c r="AC56" s="978"/>
      <c r="AD56" s="978"/>
      <c r="AE56" s="978"/>
      <c r="AF56" s="978"/>
      <c r="AG56" s="978"/>
      <c r="AH56" s="978"/>
      <c r="DK56" s="931"/>
      <c r="DL56" s="950"/>
      <c r="DM56" s="999">
        <v>1.1499999999999999</v>
      </c>
      <c r="DN56" s="1000">
        <f>DN55*$DM$56</f>
        <v>557.75</v>
      </c>
      <c r="DO56" s="1001">
        <f>DO55*$DM$56</f>
        <v>467.52283446507977</v>
      </c>
      <c r="DP56" s="1001">
        <f>DP55*$DM$56</f>
        <v>679.36826247471595</v>
      </c>
      <c r="DQ56" s="1001">
        <f>DQ55*$DM$56</f>
        <v>555.24878925375504</v>
      </c>
      <c r="DR56" s="1002">
        <f>DR55*$DM$56</f>
        <v>608.59587368758685</v>
      </c>
      <c r="DT56" s="1000">
        <f>DT55*$DM$56</f>
        <v>557.75</v>
      </c>
      <c r="DU56" s="1001">
        <f>DU55*$DM$56</f>
        <v>658.98148809523809</v>
      </c>
      <c r="DV56" s="1001">
        <f>DV55*$DM$56</f>
        <v>897.21836309523815</v>
      </c>
      <c r="DW56" s="1001">
        <f>DW55*$DM$56</f>
        <v>790.87286607142846</v>
      </c>
      <c r="DX56" s="1002">
        <f>DX55*$DM$56</f>
        <v>794.99171428571424</v>
      </c>
      <c r="DZ56" s="1000">
        <f>DZ55*$DM$56</f>
        <v>557.75</v>
      </c>
      <c r="EA56" s="1001">
        <f>EA55*$DM$56</f>
        <v>539.89888631638553</v>
      </c>
      <c r="EB56" s="1001">
        <f>EB55*$DM$56</f>
        <v>729.45001259558308</v>
      </c>
      <c r="EC56" s="1001">
        <f>EC55*$DM$56</f>
        <v>696.08740786619148</v>
      </c>
      <c r="ED56" s="1002">
        <f>ED55*$DM$56</f>
        <v>772.7035516044574</v>
      </c>
      <c r="EF56" s="1000">
        <f>EF55*$DM$56</f>
        <v>417.16537499999993</v>
      </c>
      <c r="EG56" s="1001">
        <f t="shared" ref="EG56:EQ56" si="271">EG55*$DM$56</f>
        <v>260.66733750000003</v>
      </c>
      <c r="EH56" s="1001">
        <f t="shared" si="271"/>
        <v>195.97466249999999</v>
      </c>
      <c r="EI56" s="1001">
        <f t="shared" si="271"/>
        <v>177.0289875</v>
      </c>
      <c r="EJ56" s="1001">
        <f t="shared" si="271"/>
        <v>197.51836500000002</v>
      </c>
      <c r="EK56" s="1001">
        <f t="shared" si="271"/>
        <v>211.49060625000001</v>
      </c>
      <c r="EL56" s="1001">
        <f t="shared" si="271"/>
        <v>197.25138675000002</v>
      </c>
      <c r="EM56" s="1001">
        <f t="shared" si="271"/>
        <v>206.51376735000002</v>
      </c>
      <c r="EN56" s="1001">
        <f t="shared" si="271"/>
        <v>214.03469265750002</v>
      </c>
      <c r="EO56" s="1001">
        <f t="shared" si="271"/>
        <v>209.87507475000007</v>
      </c>
      <c r="EP56" s="1001">
        <f t="shared" si="271"/>
        <v>223.86169525500006</v>
      </c>
      <c r="EQ56" s="1002">
        <f t="shared" si="271"/>
        <v>228.09556499400009</v>
      </c>
      <c r="ES56" s="1000">
        <f>ES55*$DM$56</f>
        <v>121.84249999999997</v>
      </c>
      <c r="ET56" s="1001">
        <f t="shared" ref="ET56:FD56" si="272">ET55*$DM$56</f>
        <v>86.086124999999996</v>
      </c>
      <c r="EU56" s="1001">
        <f t="shared" si="272"/>
        <v>91.830375000000004</v>
      </c>
      <c r="EV56" s="1001">
        <f t="shared" si="272"/>
        <v>114.78150000000001</v>
      </c>
      <c r="EW56" s="1001">
        <f t="shared" si="272"/>
        <v>142.79636249999999</v>
      </c>
      <c r="EX56" s="1001">
        <f t="shared" si="272"/>
        <v>166.34338875</v>
      </c>
      <c r="EY56" s="1001">
        <f t="shared" si="272"/>
        <v>168.62892749999997</v>
      </c>
      <c r="EZ56" s="1001">
        <f t="shared" si="272"/>
        <v>187.83371475000001</v>
      </c>
      <c r="FA56" s="1001">
        <f t="shared" si="272"/>
        <v>209.49623887500005</v>
      </c>
      <c r="FB56" s="1001">
        <f t="shared" si="272"/>
        <v>213.20883045000002</v>
      </c>
      <c r="FC56" s="1001">
        <f t="shared" si="272"/>
        <v>240.36378597000009</v>
      </c>
      <c r="FD56" s="1002">
        <f t="shared" si="272"/>
        <v>267.60890442825013</v>
      </c>
      <c r="FF56" s="1000">
        <f>FF55*$DM$56</f>
        <v>145.41749999999999</v>
      </c>
      <c r="FG56" s="1001">
        <f t="shared" ref="FG56:FQ56" si="273">FG55*$DM$56</f>
        <v>98.920124999999985</v>
      </c>
      <c r="FH56" s="1001">
        <f t="shared" si="273"/>
        <v>98.920124999999985</v>
      </c>
      <c r="FI56" s="1001">
        <f t="shared" si="273"/>
        <v>110.90025000000001</v>
      </c>
      <c r="FJ56" s="1001">
        <f t="shared" si="273"/>
        <v>123.7264875</v>
      </c>
      <c r="FK56" s="1001">
        <f t="shared" si="273"/>
        <v>135.09725625000002</v>
      </c>
      <c r="FL56" s="1001">
        <f t="shared" si="273"/>
        <v>131.37151500000002</v>
      </c>
      <c r="FM56" s="1001">
        <f t="shared" si="273"/>
        <v>142.78668525000003</v>
      </c>
      <c r="FN56" s="1001">
        <f t="shared" si="273"/>
        <v>155.09540722500003</v>
      </c>
      <c r="FO56" s="1001">
        <f t="shared" si="273"/>
        <v>155.32270875000003</v>
      </c>
      <c r="FP56" s="1001">
        <f t="shared" si="273"/>
        <v>174.35542311000006</v>
      </c>
      <c r="FQ56" s="1002">
        <f t="shared" si="273"/>
        <v>192.43271339325005</v>
      </c>
      <c r="FS56" s="1000">
        <f>FS55*$DM$56</f>
        <v>106.43249999999999</v>
      </c>
      <c r="FT56" s="1001">
        <f t="shared" ref="FT56:GD56" si="274">FT55*$DM$56</f>
        <v>76.615875000000003</v>
      </c>
      <c r="FU56" s="1001">
        <f t="shared" si="274"/>
        <v>64.506374999999991</v>
      </c>
      <c r="FV56" s="1001">
        <f t="shared" si="274"/>
        <v>57.364875000000005</v>
      </c>
      <c r="FW56" s="1001">
        <f t="shared" si="274"/>
        <v>59.258925000000012</v>
      </c>
      <c r="FX56" s="1001">
        <f t="shared" si="274"/>
        <v>61.803472500000005</v>
      </c>
      <c r="FY56" s="1001">
        <f t="shared" si="274"/>
        <v>58.797832499999998</v>
      </c>
      <c r="FZ56" s="1001">
        <f t="shared" si="274"/>
        <v>61.784687250000012</v>
      </c>
      <c r="GA56" s="1001">
        <f t="shared" si="274"/>
        <v>64.780934625000015</v>
      </c>
      <c r="GB56" s="1001">
        <f t="shared" si="274"/>
        <v>63.189823950000012</v>
      </c>
      <c r="GC56" s="1001">
        <f t="shared" si="274"/>
        <v>69.508806345000025</v>
      </c>
      <c r="GD56" s="1002">
        <f t="shared" si="274"/>
        <v>76.459686979500034</v>
      </c>
      <c r="GF56" s="1000">
        <f>GF55*$DM$56</f>
        <v>47.954999999999998</v>
      </c>
      <c r="GG56" s="1001">
        <f t="shared" ref="GG56:GQ56" si="275">GG55*$DM$56</f>
        <v>43.159500000000001</v>
      </c>
      <c r="GH56" s="1001">
        <f t="shared" si="275"/>
        <v>43.159500000000001</v>
      </c>
      <c r="GI56" s="1001">
        <f t="shared" si="275"/>
        <v>43.159500000000001</v>
      </c>
      <c r="GJ56" s="1001">
        <f t="shared" si="275"/>
        <v>47.475450000000009</v>
      </c>
      <c r="GK56" s="1001">
        <f t="shared" si="275"/>
        <v>52.222994999999997</v>
      </c>
      <c r="GL56" s="1001">
        <f t="shared" si="275"/>
        <v>52.222994999999997</v>
      </c>
      <c r="GM56" s="1001">
        <f t="shared" si="275"/>
        <v>57.445294500000003</v>
      </c>
      <c r="GN56" s="1001">
        <f t="shared" si="275"/>
        <v>63.189823950000012</v>
      </c>
      <c r="GO56" s="1001">
        <f t="shared" si="275"/>
        <v>63.189823950000012</v>
      </c>
      <c r="GP56" s="1001">
        <f t="shared" si="275"/>
        <v>69.508806345000025</v>
      </c>
      <c r="GQ56" s="1002">
        <f t="shared" si="275"/>
        <v>76.459686979500034</v>
      </c>
      <c r="GS56" s="1000">
        <f>GS55*$DM$56</f>
        <v>47.954999999999998</v>
      </c>
      <c r="GT56" s="1001">
        <f t="shared" ref="GT56:HD56" si="276">GT55*$DM$56</f>
        <v>43.159500000000001</v>
      </c>
      <c r="GU56" s="1001">
        <f t="shared" si="276"/>
        <v>43.159500000000001</v>
      </c>
      <c r="GV56" s="1001">
        <f t="shared" si="276"/>
        <v>43.159500000000001</v>
      </c>
      <c r="GW56" s="1001">
        <f t="shared" si="276"/>
        <v>47.475450000000009</v>
      </c>
      <c r="GX56" s="1001">
        <f t="shared" si="276"/>
        <v>52.222994999999997</v>
      </c>
      <c r="GY56" s="1001">
        <f t="shared" si="276"/>
        <v>52.222994999999997</v>
      </c>
      <c r="GZ56" s="1001">
        <f t="shared" si="276"/>
        <v>57.445294500000003</v>
      </c>
      <c r="HA56" s="1001">
        <f t="shared" si="276"/>
        <v>63.189823950000012</v>
      </c>
      <c r="HB56" s="1001">
        <f t="shared" si="276"/>
        <v>63.189823950000012</v>
      </c>
      <c r="HC56" s="1001">
        <f t="shared" si="276"/>
        <v>69.508806345000025</v>
      </c>
      <c r="HD56" s="1002">
        <f t="shared" si="276"/>
        <v>76.459686979500034</v>
      </c>
    </row>
    <row r="57" spans="2:212" ht="14.25">
      <c r="B57" s="997" t="s">
        <v>127</v>
      </c>
      <c r="C57" s="1081">
        <v>85</v>
      </c>
      <c r="D57" s="998">
        <v>10</v>
      </c>
      <c r="E57" s="1082">
        <v>2</v>
      </c>
      <c r="F57" s="1082"/>
      <c r="G57" s="1036">
        <v>7</v>
      </c>
      <c r="H57" s="1078">
        <f t="shared" si="243"/>
        <v>8.2352941176470587E-2</v>
      </c>
      <c r="I57" s="1075"/>
      <c r="N57" s="931"/>
      <c r="O57" s="950"/>
      <c r="X57" s="1080"/>
      <c r="AA57" s="931"/>
      <c r="AB57" s="950"/>
      <c r="DK57" s="931"/>
      <c r="DL57" s="950"/>
      <c r="DN57" s="971">
        <f>DN56/DN50</f>
        <v>1.7977791601310827E-2</v>
      </c>
      <c r="DO57" s="1003">
        <f>DO56/DO50</f>
        <v>8.1855776517004916E-3</v>
      </c>
      <c r="DP57" s="1003">
        <f>DP56/DP50</f>
        <v>1.4262986208028912E-2</v>
      </c>
      <c r="DQ57" s="1003">
        <f>DQ56/DQ50</f>
        <v>1.0293340940300535E-2</v>
      </c>
      <c r="DR57" s="972">
        <f>DR56/DR50</f>
        <v>8.6477702515108459E-3</v>
      </c>
      <c r="DT57" s="971">
        <f>DT56/DT50</f>
        <v>1.7977791601310827E-2</v>
      </c>
      <c r="DU57" s="1003">
        <f>DU56/DU50</f>
        <v>1.1537712693773492E-2</v>
      </c>
      <c r="DV57" s="1003">
        <f>DV56/DV50</f>
        <v>1.8836636689212316E-2</v>
      </c>
      <c r="DW57" s="1003">
        <f>DW56/DW50</f>
        <v>1.4661399013308703E-2</v>
      </c>
      <c r="DX57" s="972">
        <f>DX56/DX50</f>
        <v>1.1296339647098454E-2</v>
      </c>
      <c r="DZ57" s="971">
        <f>DZ56/DZ50</f>
        <v>1.7977791601310827E-2</v>
      </c>
      <c r="EA57" s="1003">
        <f>EA56/EA50</f>
        <v>9.4527666505655611E-3</v>
      </c>
      <c r="EB57" s="1003">
        <f>EB56/EB50</f>
        <v>1.5314426716370972E-2</v>
      </c>
      <c r="EC57" s="1003">
        <f>EC56/EC50</f>
        <v>1.2904242480287929E-2</v>
      </c>
      <c r="ED57" s="972">
        <f>ED56/ED50</f>
        <v>1.0979638666153669E-2</v>
      </c>
      <c r="EF57" s="971">
        <f>EF56/EF50</f>
        <v>2.0117660644737606E-2</v>
      </c>
      <c r="EG57" s="1003">
        <f t="shared" ref="EG57:EQ57" si="277">EG56/EG50</f>
        <v>1.2746388512514011E-2</v>
      </c>
      <c r="EH57" s="1003">
        <f t="shared" si="277"/>
        <v>4.0253618950690812E-3</v>
      </c>
      <c r="EI57" s="1003">
        <f t="shared" si="277"/>
        <v>3.663661921629569E-3</v>
      </c>
      <c r="EJ57" s="1003">
        <f t="shared" si="277"/>
        <v>3.491896392887793E-3</v>
      </c>
      <c r="EK57" s="1003">
        <f t="shared" si="277"/>
        <v>3.3208011803268693E-3</v>
      </c>
      <c r="EL57" s="1003">
        <f t="shared" si="277"/>
        <v>3.3606701026568501E-3</v>
      </c>
      <c r="EM57" s="1003">
        <f t="shared" si="277"/>
        <v>3.1662592804000919E-3</v>
      </c>
      <c r="EN57" s="1003">
        <f t="shared" si="277"/>
        <v>2.9373281937369071E-3</v>
      </c>
      <c r="EO57" s="1003">
        <f t="shared" si="277"/>
        <v>3.0442262469642261E-3</v>
      </c>
      <c r="EP57" s="1003">
        <f t="shared" si="277"/>
        <v>2.9292531186717228E-3</v>
      </c>
      <c r="EQ57" s="972">
        <f t="shared" si="277"/>
        <v>2.6658790691867747E-3</v>
      </c>
      <c r="ES57" s="971">
        <f>ES56/ES50</f>
        <v>3.6225052551767077E-3</v>
      </c>
      <c r="ET57" s="1003">
        <f t="shared" ref="ET57:FD57" si="278">ET56/ET50</f>
        <v>2.7237351060314993E-3</v>
      </c>
      <c r="EU57" s="1003">
        <f t="shared" si="278"/>
        <v>1.3256734407599594E-3</v>
      </c>
      <c r="EV57" s="1003">
        <f t="shared" si="278"/>
        <v>1.6636649737275183E-3</v>
      </c>
      <c r="EW57" s="1003">
        <f t="shared" si="278"/>
        <v>1.7903814146867742E-3</v>
      </c>
      <c r="EX57" s="1003">
        <f t="shared" si="278"/>
        <v>1.9246911189133612E-3</v>
      </c>
      <c r="EY57" s="1003">
        <f t="shared" si="278"/>
        <v>2.074064773213521E-3</v>
      </c>
      <c r="EZ57" s="1003">
        <f t="shared" si="278"/>
        <v>2.0795661460118941E-3</v>
      </c>
      <c r="FA57" s="1003">
        <f t="shared" si="278"/>
        <v>2.0979680452404654E-3</v>
      </c>
      <c r="FB57" s="1003">
        <f t="shared" si="278"/>
        <v>2.2658859545119569E-3</v>
      </c>
      <c r="FC57" s="1003">
        <f t="shared" si="278"/>
        <v>2.3397142497745766E-3</v>
      </c>
      <c r="FD57" s="972">
        <f t="shared" si="278"/>
        <v>2.4198662314235285E-3</v>
      </c>
      <c r="FF57" s="971">
        <f>FF56/FF50</f>
        <v>3.139522462336244E-3</v>
      </c>
      <c r="FG57" s="1003">
        <f t="shared" ref="FG57:FQ57" si="279">FG56/FG50</f>
        <v>2.3001909656705862E-3</v>
      </c>
      <c r="FH57" s="1003">
        <f t="shared" si="279"/>
        <v>1.008012035294047E-3</v>
      </c>
      <c r="FI57" s="1003">
        <f t="shared" si="279"/>
        <v>1.1516136705664263E-3</v>
      </c>
      <c r="FJ57" s="1003">
        <f t="shared" si="279"/>
        <v>1.1128203591591725E-3</v>
      </c>
      <c r="FK57" s="1003">
        <f t="shared" si="279"/>
        <v>1.1333610686130471E-3</v>
      </c>
      <c r="FL57" s="1003">
        <f t="shared" si="279"/>
        <v>1.1588656692461039E-3</v>
      </c>
      <c r="FM57" s="1003">
        <f t="shared" si="279"/>
        <v>1.1360389032377502E-3</v>
      </c>
      <c r="FN57" s="1003">
        <f t="shared" si="279"/>
        <v>1.117705898826442E-3</v>
      </c>
      <c r="FO57" s="1003">
        <f t="shared" si="279"/>
        <v>1.1725436052237694E-3</v>
      </c>
      <c r="FP57" s="1003">
        <f t="shared" si="279"/>
        <v>1.2118110646221914E-3</v>
      </c>
      <c r="FQ57" s="972">
        <f t="shared" si="279"/>
        <v>1.2387140736407627E-3</v>
      </c>
      <c r="FS57" s="971">
        <f>FS56/FS50</f>
        <v>1.7264579195755232E-3</v>
      </c>
      <c r="FT57" s="1003">
        <f t="shared" ref="FT57:GD57" si="280">FT56/FT50</f>
        <v>1.3339792797753727E-3</v>
      </c>
      <c r="FU57" s="1003">
        <f t="shared" si="280"/>
        <v>4.9927256069021327E-4</v>
      </c>
      <c r="FV57" s="1003">
        <f t="shared" si="280"/>
        <v>4.4708560841991146E-4</v>
      </c>
      <c r="FW57" s="1003">
        <f t="shared" si="280"/>
        <v>4.0350477592128377E-4</v>
      </c>
      <c r="FX57" s="1003">
        <f t="shared" si="280"/>
        <v>3.9738800532440984E-4</v>
      </c>
      <c r="FY57" s="1003">
        <f t="shared" si="280"/>
        <v>3.9621513724973518E-4</v>
      </c>
      <c r="FZ57" s="1003">
        <f t="shared" si="280"/>
        <v>3.7887804068398751E-4</v>
      </c>
      <c r="GA57" s="1003">
        <f t="shared" si="280"/>
        <v>3.6094828644432961E-4</v>
      </c>
      <c r="GB57" s="1003">
        <f t="shared" si="280"/>
        <v>3.7208723852934521E-4</v>
      </c>
      <c r="GC57" s="1003">
        <f t="shared" si="280"/>
        <v>3.8058035251796338E-4</v>
      </c>
      <c r="GD57" s="972">
        <f t="shared" si="280"/>
        <v>3.9031598232430314E-4</v>
      </c>
      <c r="GF57" s="971">
        <f>GF56/GF50</f>
        <v>6.0113897746180093E-4</v>
      </c>
      <c r="GG57" s="1003">
        <f t="shared" ref="GG57:GQ57" si="281">GG56/GG50</f>
        <v>5.8354501953043726E-4</v>
      </c>
      <c r="GH57" s="1003">
        <f t="shared" si="281"/>
        <v>2.5992543483659413E-4</v>
      </c>
      <c r="GI57" s="1003">
        <f t="shared" si="281"/>
        <v>2.6141701351997009E-4</v>
      </c>
      <c r="GJ57" s="1003">
        <f t="shared" si="281"/>
        <v>2.5126839865335015E-4</v>
      </c>
      <c r="GK57" s="1003">
        <f t="shared" si="281"/>
        <v>2.6089372015718112E-4</v>
      </c>
      <c r="GL57" s="1003">
        <f t="shared" si="281"/>
        <v>2.7328554175734521E-4</v>
      </c>
      <c r="GM57" s="1003">
        <f t="shared" si="281"/>
        <v>2.7066062707020196E-4</v>
      </c>
      <c r="GN57" s="1003">
        <f t="shared" si="281"/>
        <v>2.7023635066859326E-4</v>
      </c>
      <c r="GO57" s="1003">
        <f t="shared" si="281"/>
        <v>2.8484724668268791E-4</v>
      </c>
      <c r="GP57" s="1003">
        <f t="shared" si="281"/>
        <v>2.8948242711215969E-4</v>
      </c>
      <c r="GQ57" s="972">
        <f t="shared" si="281"/>
        <v>2.9616540932935723E-4</v>
      </c>
      <c r="GS57" s="971">
        <f>GS56/GS50</f>
        <v>4.6902886849810489E-4</v>
      </c>
      <c r="GT57" s="1003">
        <f t="shared" ref="GT57:HD57" si="282">GT56/GT50</f>
        <v>4.5472007719571145E-4</v>
      </c>
      <c r="GU57" s="1003">
        <f t="shared" si="282"/>
        <v>2.0226959643284838E-4</v>
      </c>
      <c r="GV57" s="1003">
        <f t="shared" si="282"/>
        <v>2.0292584859547382E-4</v>
      </c>
      <c r="GW57" s="1003">
        <f t="shared" si="282"/>
        <v>1.9475770473756799E-4</v>
      </c>
      <c r="GX57" s="1003">
        <f t="shared" si="282"/>
        <v>2.0188449143938281E-4</v>
      </c>
      <c r="GY57" s="1003">
        <f t="shared" si="282"/>
        <v>2.1115058674257432E-4</v>
      </c>
      <c r="GZ57" s="1003">
        <f t="shared" si="282"/>
        <v>2.0923300485787058E-4</v>
      </c>
      <c r="HA57" s="1003">
        <f t="shared" si="282"/>
        <v>2.0886192288153483E-4</v>
      </c>
      <c r="HB57" s="1003">
        <f t="shared" si="282"/>
        <v>2.1768976892494276E-4</v>
      </c>
      <c r="HC57" s="1003">
        <f t="shared" si="282"/>
        <v>2.1912573844614391E-4</v>
      </c>
      <c r="HD57" s="972">
        <f t="shared" si="282"/>
        <v>2.2401432129806641E-4</v>
      </c>
    </row>
    <row r="58" spans="2:212" ht="15" customHeight="1">
      <c r="B58" s="607" t="s">
        <v>146</v>
      </c>
      <c r="C58" s="1083">
        <f>SUM(C49:C57)</f>
        <v>485</v>
      </c>
      <c r="D58" s="1038">
        <f>SUM(D49:D57)</f>
        <v>54</v>
      </c>
      <c r="E58" s="1084">
        <v>2</v>
      </c>
      <c r="F58" s="1085"/>
      <c r="G58" s="1039">
        <f>SUM(G49:G57)</f>
        <v>87</v>
      </c>
      <c r="H58" s="1078">
        <f>G58/C58</f>
        <v>0.17938144329896907</v>
      </c>
      <c r="I58" s="1075"/>
      <c r="N58" s="1684" t="s">
        <v>1077</v>
      </c>
      <c r="O58" s="957" t="s">
        <v>119</v>
      </c>
      <c r="P58" s="606">
        <v>7</v>
      </c>
      <c r="Q58" s="606">
        <v>1</v>
      </c>
      <c r="R58" s="606">
        <v>5</v>
      </c>
      <c r="S58" s="606">
        <v>16</v>
      </c>
      <c r="T58" s="606">
        <v>8</v>
      </c>
      <c r="U58" s="606">
        <v>20</v>
      </c>
      <c r="V58" s="606">
        <v>15</v>
      </c>
      <c r="X58" s="1080"/>
      <c r="AA58" s="1684" t="s">
        <v>1077</v>
      </c>
      <c r="AB58" s="957" t="s">
        <v>119</v>
      </c>
      <c r="DK58" s="1684" t="s">
        <v>1077</v>
      </c>
      <c r="DL58" s="957" t="s">
        <v>119</v>
      </c>
      <c r="DN58" s="994">
        <v>18</v>
      </c>
      <c r="DO58" s="995">
        <f>DN54*0.5+DO54*0.5</f>
        <v>27.5</v>
      </c>
      <c r="DP58" s="995">
        <f>DO54*0.5+DP54*0.5</f>
        <v>29.25</v>
      </c>
      <c r="DQ58" s="995">
        <f>DP54*0.5+DQ54*0.5</f>
        <v>21.6</v>
      </c>
      <c r="DR58" s="996">
        <f>DQ54*0.5+DR54*0.5</f>
        <v>20.7</v>
      </c>
      <c r="DS58" s="978"/>
      <c r="DT58" s="994">
        <v>18</v>
      </c>
      <c r="DU58" s="995">
        <f>DT54*0.5+DU54*0.5</f>
        <v>27.5</v>
      </c>
      <c r="DV58" s="995">
        <f>DU54*0.5+DV54*0.5</f>
        <v>29.25</v>
      </c>
      <c r="DW58" s="995">
        <f>DV54*0.5+DW54*0.5</f>
        <v>21.6</v>
      </c>
      <c r="DX58" s="996">
        <f>DW54*0.5+DX54*0.5</f>
        <v>20.7</v>
      </c>
      <c r="DY58" s="978"/>
      <c r="DZ58" s="994">
        <v>18</v>
      </c>
      <c r="EA58" s="995">
        <f>DZ54*0.5+EA54*0.5</f>
        <v>27.5</v>
      </c>
      <c r="EB58" s="995">
        <f>EA54*0.5+EB54*0.5</f>
        <v>29.25</v>
      </c>
      <c r="EC58" s="995">
        <f>EB54*0.5+EC54*0.5</f>
        <v>21.6</v>
      </c>
      <c r="ED58" s="996">
        <f>EC54*0.5+ED54*0.5</f>
        <v>20.7</v>
      </c>
      <c r="EF58" s="994">
        <f>ED54*0.5+EF54*0.5</f>
        <v>11.35</v>
      </c>
      <c r="EG58" s="995">
        <f>EF54*0.5+EG54*0.5</f>
        <v>2</v>
      </c>
      <c r="EH58" s="995">
        <f t="shared" ref="EH58:EQ58" si="283">EG54*0.5+EH54*0.5</f>
        <v>3.5</v>
      </c>
      <c r="EI58" s="995">
        <f t="shared" si="283"/>
        <v>5.5</v>
      </c>
      <c r="EJ58" s="995">
        <f t="shared" si="283"/>
        <v>6.5</v>
      </c>
      <c r="EK58" s="995">
        <f t="shared" si="283"/>
        <v>7</v>
      </c>
      <c r="EL58" s="995">
        <f t="shared" si="283"/>
        <v>7</v>
      </c>
      <c r="EM58" s="995">
        <f t="shared" si="283"/>
        <v>7</v>
      </c>
      <c r="EN58" s="995">
        <f t="shared" si="283"/>
        <v>7</v>
      </c>
      <c r="EO58" s="995">
        <f t="shared" si="283"/>
        <v>7</v>
      </c>
      <c r="EP58" s="995">
        <f t="shared" si="283"/>
        <v>6</v>
      </c>
      <c r="EQ58" s="996">
        <f t="shared" si="283"/>
        <v>5</v>
      </c>
      <c r="ES58" s="994">
        <f>EQ54*0.5+ES54*0.5</f>
        <v>3.5</v>
      </c>
      <c r="ET58" s="995">
        <f>ES54*0.5+ET54*0.5</f>
        <v>2</v>
      </c>
      <c r="EU58" s="995">
        <f t="shared" ref="EU58" si="284">ET54*0.5+EU54*0.5</f>
        <v>4.5</v>
      </c>
      <c r="EV58" s="995">
        <f t="shared" ref="EV58" si="285">EU54*0.5+EV54*0.5</f>
        <v>7</v>
      </c>
      <c r="EW58" s="995">
        <f t="shared" ref="EW58" si="286">EV54*0.5+EW54*0.5</f>
        <v>7</v>
      </c>
      <c r="EX58" s="995">
        <f t="shared" ref="EX58" si="287">EW54*0.5+EX54*0.5</f>
        <v>7</v>
      </c>
      <c r="EY58" s="995">
        <f t="shared" ref="EY58" si="288">EX54*0.5+EY54*0.5</f>
        <v>7</v>
      </c>
      <c r="EZ58" s="995">
        <f t="shared" ref="EZ58" si="289">EY54*0.5+EZ54*0.5</f>
        <v>7</v>
      </c>
      <c r="FA58" s="995">
        <f t="shared" ref="FA58" si="290">EZ54*0.5+FA54*0.5</f>
        <v>7</v>
      </c>
      <c r="FB58" s="995">
        <f t="shared" ref="FB58" si="291">FA54*0.5+FB54*0.5</f>
        <v>7</v>
      </c>
      <c r="FC58" s="995">
        <f t="shared" ref="FC58" si="292">FB54*0.5+FC54*0.5</f>
        <v>7</v>
      </c>
      <c r="FD58" s="996">
        <f t="shared" ref="FD58" si="293">FC54*0.5+FD54*0.5</f>
        <v>7</v>
      </c>
      <c r="FF58" s="994">
        <f>FD54*0.5+FF54*0.5</f>
        <v>4.5</v>
      </c>
      <c r="FG58" s="995">
        <f>FF54*0.5+FG54*0.5</f>
        <v>2</v>
      </c>
      <c r="FH58" s="995">
        <f t="shared" ref="FH58" si="294">FG54*0.5+FH54*0.5</f>
        <v>4.5</v>
      </c>
      <c r="FI58" s="995">
        <f t="shared" ref="FI58" si="295">FH54*0.5+FI54*0.5</f>
        <v>6</v>
      </c>
      <c r="FJ58" s="995">
        <f t="shared" ref="FJ58" si="296">FI54*0.5+FJ54*0.5</f>
        <v>5</v>
      </c>
      <c r="FK58" s="995">
        <f t="shared" ref="FK58" si="297">FJ54*0.5+FK54*0.5</f>
        <v>5</v>
      </c>
      <c r="FL58" s="995">
        <f t="shared" ref="FL58" si="298">FK54*0.5+FL54*0.5</f>
        <v>5</v>
      </c>
      <c r="FM58" s="995">
        <f t="shared" ref="FM58" si="299">FL54*0.5+FM54*0.5</f>
        <v>5</v>
      </c>
      <c r="FN58" s="995">
        <f t="shared" ref="FN58" si="300">FM54*0.5+FN54*0.5</f>
        <v>5</v>
      </c>
      <c r="FO58" s="995">
        <f t="shared" ref="FO58" si="301">FN54*0.5+FO54*0.5</f>
        <v>5</v>
      </c>
      <c r="FP58" s="995">
        <f t="shared" ref="FP58" si="302">FO54*0.5+FP54*0.5</f>
        <v>5</v>
      </c>
      <c r="FQ58" s="996">
        <f t="shared" ref="FQ58" si="303">FP54*0.5+FQ54*0.5</f>
        <v>5</v>
      </c>
      <c r="FS58" s="994">
        <f>FQ54*0.5+FS54*0.5</f>
        <v>3.5</v>
      </c>
      <c r="FT58" s="995">
        <f>FS54*0.5+FT54*0.5</f>
        <v>2</v>
      </c>
      <c r="FU58" s="995">
        <f t="shared" ref="FU58" si="304">FT54*0.5+FU54*0.5</f>
        <v>2</v>
      </c>
      <c r="FV58" s="995">
        <f t="shared" ref="FV58" si="305">FU54*0.5+FV54*0.5</f>
        <v>2</v>
      </c>
      <c r="FW58" s="995">
        <f t="shared" ref="FW58" si="306">FV54*0.5+FW54*0.5</f>
        <v>2</v>
      </c>
      <c r="FX58" s="995">
        <f t="shared" ref="FX58" si="307">FW54*0.5+FX54*0.5</f>
        <v>2</v>
      </c>
      <c r="FY58" s="995">
        <f t="shared" ref="FY58" si="308">FX54*0.5+FY54*0.5</f>
        <v>2</v>
      </c>
      <c r="FZ58" s="995">
        <f t="shared" ref="FZ58" si="309">FY54*0.5+FZ54*0.5</f>
        <v>2</v>
      </c>
      <c r="GA58" s="995">
        <f t="shared" ref="GA58" si="310">FZ54*0.5+GA54*0.5</f>
        <v>2</v>
      </c>
      <c r="GB58" s="995">
        <f t="shared" ref="GB58" si="311">GA54*0.5+GB54*0.5</f>
        <v>2</v>
      </c>
      <c r="GC58" s="995">
        <f t="shared" ref="GC58" si="312">GB54*0.5+GC54*0.5</f>
        <v>2</v>
      </c>
      <c r="GD58" s="996">
        <f t="shared" ref="GD58" si="313">GC54*0.5+GD54*0.5</f>
        <v>2</v>
      </c>
      <c r="GF58" s="994">
        <f>GD54*0.5+GF54*0.5</f>
        <v>2</v>
      </c>
      <c r="GG58" s="995">
        <f>GF54*0.5+GG54*0.5</f>
        <v>2</v>
      </c>
      <c r="GH58" s="995">
        <f t="shared" ref="GH58" si="314">GG54*0.5+GH54*0.5</f>
        <v>2</v>
      </c>
      <c r="GI58" s="995">
        <f t="shared" ref="GI58" si="315">GH54*0.5+GI54*0.5</f>
        <v>2</v>
      </c>
      <c r="GJ58" s="995">
        <f t="shared" ref="GJ58" si="316">GI54*0.5+GJ54*0.5</f>
        <v>2</v>
      </c>
      <c r="GK58" s="995">
        <f t="shared" ref="GK58" si="317">GJ54*0.5+GK54*0.5</f>
        <v>2</v>
      </c>
      <c r="GL58" s="995">
        <f t="shared" ref="GL58" si="318">GK54*0.5+GL54*0.5</f>
        <v>2</v>
      </c>
      <c r="GM58" s="995">
        <f t="shared" ref="GM58" si="319">GL54*0.5+GM54*0.5</f>
        <v>2</v>
      </c>
      <c r="GN58" s="995">
        <f t="shared" ref="GN58" si="320">GM54*0.5+GN54*0.5</f>
        <v>2</v>
      </c>
      <c r="GO58" s="995">
        <f t="shared" ref="GO58" si="321">GN54*0.5+GO54*0.5</f>
        <v>2</v>
      </c>
      <c r="GP58" s="995">
        <f t="shared" ref="GP58" si="322">GO54*0.5+GP54*0.5</f>
        <v>2</v>
      </c>
      <c r="GQ58" s="996">
        <f t="shared" ref="GQ58" si="323">GP54*0.5+GQ54*0.5</f>
        <v>2</v>
      </c>
      <c r="GS58" s="994">
        <f>GQ54*0.5+GS54*0.5</f>
        <v>2</v>
      </c>
      <c r="GT58" s="995">
        <f>GS54*0.5+GT54*0.5</f>
        <v>2</v>
      </c>
      <c r="GU58" s="995">
        <f t="shared" ref="GU58" si="324">GT54*0.5+GU54*0.5</f>
        <v>2</v>
      </c>
      <c r="GV58" s="995">
        <f t="shared" ref="GV58" si="325">GU54*0.5+GV54*0.5</f>
        <v>2</v>
      </c>
      <c r="GW58" s="995">
        <f t="shared" ref="GW58" si="326">GV54*0.5+GW54*0.5</f>
        <v>2</v>
      </c>
      <c r="GX58" s="995">
        <f t="shared" ref="GX58" si="327">GW54*0.5+GX54*0.5</f>
        <v>2</v>
      </c>
      <c r="GY58" s="995">
        <f t="shared" ref="GY58" si="328">GX54*0.5+GY54*0.5</f>
        <v>2</v>
      </c>
      <c r="GZ58" s="995">
        <f t="shared" ref="GZ58" si="329">GY54*0.5+GZ54*0.5</f>
        <v>2</v>
      </c>
      <c r="HA58" s="995">
        <f t="shared" ref="HA58" si="330">GZ54*0.5+HA54*0.5</f>
        <v>2</v>
      </c>
      <c r="HB58" s="995">
        <f t="shared" ref="HB58" si="331">HA54*0.5+HB54*0.5</f>
        <v>2</v>
      </c>
      <c r="HC58" s="995">
        <f t="shared" ref="HC58" si="332">HB54*0.5+HC54*0.5</f>
        <v>2</v>
      </c>
      <c r="HD58" s="996">
        <f t="shared" ref="HD58" si="333">HC54*0.5+HD54*0.5</f>
        <v>2</v>
      </c>
    </row>
    <row r="59" spans="2:212" ht="14.25">
      <c r="B59" s="987"/>
      <c r="C59" s="31"/>
      <c r="D59" s="31"/>
      <c r="E59" s="31"/>
      <c r="F59" s="31"/>
      <c r="G59" s="1041"/>
      <c r="H59" s="979"/>
      <c r="I59" s="31"/>
      <c r="N59" s="1684"/>
      <c r="O59" s="957" t="s">
        <v>120</v>
      </c>
      <c r="P59" s="606">
        <v>10</v>
      </c>
      <c r="Q59" s="606">
        <v>7</v>
      </c>
      <c r="R59" s="606">
        <v>1</v>
      </c>
      <c r="S59" s="606">
        <v>5</v>
      </c>
      <c r="T59" s="606">
        <v>15</v>
      </c>
      <c r="U59" s="606">
        <v>8</v>
      </c>
      <c r="V59" s="606">
        <v>20</v>
      </c>
      <c r="X59" s="1080"/>
      <c r="AA59" s="1684"/>
      <c r="AB59" s="957" t="s">
        <v>120</v>
      </c>
      <c r="DK59" s="1684"/>
      <c r="DL59" s="957" t="s">
        <v>120</v>
      </c>
      <c r="DN59" s="994">
        <v>15</v>
      </c>
      <c r="DO59" s="995">
        <f>DN58</f>
        <v>18</v>
      </c>
      <c r="DP59" s="995">
        <f>DO58</f>
        <v>27.5</v>
      </c>
      <c r="DQ59" s="995">
        <f>DP58</f>
        <v>29.25</v>
      </c>
      <c r="DR59" s="996">
        <f>DQ58</f>
        <v>21.6</v>
      </c>
      <c r="DS59" s="978"/>
      <c r="DT59" s="994">
        <v>15</v>
      </c>
      <c r="DU59" s="995">
        <f>DT58</f>
        <v>18</v>
      </c>
      <c r="DV59" s="995">
        <f>DU58</f>
        <v>27.5</v>
      </c>
      <c r="DW59" s="995">
        <f>DV58</f>
        <v>29.25</v>
      </c>
      <c r="DX59" s="996">
        <f>DW58</f>
        <v>21.6</v>
      </c>
      <c r="DY59" s="978"/>
      <c r="DZ59" s="994">
        <v>15</v>
      </c>
      <c r="EA59" s="995">
        <f>DZ58</f>
        <v>18</v>
      </c>
      <c r="EB59" s="995">
        <f>EA58</f>
        <v>27.5</v>
      </c>
      <c r="EC59" s="995">
        <f>EB58</f>
        <v>29.25</v>
      </c>
      <c r="ED59" s="996">
        <f>EC58</f>
        <v>21.6</v>
      </c>
      <c r="EF59" s="994">
        <f>ED58</f>
        <v>20.7</v>
      </c>
      <c r="EG59" s="995">
        <f t="shared" ref="EG59:EQ66" si="334">EF58</f>
        <v>11.35</v>
      </c>
      <c r="EH59" s="995">
        <f t="shared" si="334"/>
        <v>2</v>
      </c>
      <c r="EI59" s="995">
        <f t="shared" si="334"/>
        <v>3.5</v>
      </c>
      <c r="EJ59" s="995">
        <f t="shared" si="334"/>
        <v>5.5</v>
      </c>
      <c r="EK59" s="995">
        <f t="shared" si="334"/>
        <v>6.5</v>
      </c>
      <c r="EL59" s="995">
        <f t="shared" si="334"/>
        <v>7</v>
      </c>
      <c r="EM59" s="995">
        <f t="shared" si="334"/>
        <v>7</v>
      </c>
      <c r="EN59" s="995">
        <f t="shared" si="334"/>
        <v>7</v>
      </c>
      <c r="EO59" s="995">
        <f t="shared" si="334"/>
        <v>7</v>
      </c>
      <c r="EP59" s="995">
        <f t="shared" si="334"/>
        <v>7</v>
      </c>
      <c r="EQ59" s="996">
        <f t="shared" si="334"/>
        <v>6</v>
      </c>
      <c r="ES59" s="994">
        <f>EQ58</f>
        <v>5</v>
      </c>
      <c r="ET59" s="995">
        <f t="shared" ref="ET59:ET66" si="335">ES58</f>
        <v>3.5</v>
      </c>
      <c r="EU59" s="995">
        <f t="shared" ref="EU59:EU66" si="336">ET58</f>
        <v>2</v>
      </c>
      <c r="EV59" s="995">
        <f t="shared" ref="EV59:EV66" si="337">EU58</f>
        <v>4.5</v>
      </c>
      <c r="EW59" s="995">
        <f t="shared" ref="EW59:EW66" si="338">EV58</f>
        <v>7</v>
      </c>
      <c r="EX59" s="995">
        <f t="shared" ref="EX59:EX66" si="339">EW58</f>
        <v>7</v>
      </c>
      <c r="EY59" s="995">
        <f t="shared" ref="EY59:EY66" si="340">EX58</f>
        <v>7</v>
      </c>
      <c r="EZ59" s="995">
        <f t="shared" ref="EZ59:EZ66" si="341">EY58</f>
        <v>7</v>
      </c>
      <c r="FA59" s="995">
        <f t="shared" ref="FA59:FA66" si="342">EZ58</f>
        <v>7</v>
      </c>
      <c r="FB59" s="995">
        <f t="shared" ref="FB59:FB66" si="343">FA58</f>
        <v>7</v>
      </c>
      <c r="FC59" s="995">
        <f t="shared" ref="FC59:FC66" si="344">FB58</f>
        <v>7</v>
      </c>
      <c r="FD59" s="996">
        <f t="shared" ref="FD59:FD66" si="345">FC58</f>
        <v>7</v>
      </c>
      <c r="FF59" s="994">
        <f>FD58</f>
        <v>7</v>
      </c>
      <c r="FG59" s="995">
        <f t="shared" ref="FG59:FG66" si="346">FF58</f>
        <v>4.5</v>
      </c>
      <c r="FH59" s="995">
        <f t="shared" ref="FH59:FH66" si="347">FG58</f>
        <v>2</v>
      </c>
      <c r="FI59" s="995">
        <f t="shared" ref="FI59:FI66" si="348">FH58</f>
        <v>4.5</v>
      </c>
      <c r="FJ59" s="995">
        <f t="shared" ref="FJ59:FJ66" si="349">FI58</f>
        <v>6</v>
      </c>
      <c r="FK59" s="995">
        <f t="shared" ref="FK59:FK66" si="350">FJ58</f>
        <v>5</v>
      </c>
      <c r="FL59" s="995">
        <f t="shared" ref="FL59:FL66" si="351">FK58</f>
        <v>5</v>
      </c>
      <c r="FM59" s="995">
        <f t="shared" ref="FM59:FM66" si="352">FL58</f>
        <v>5</v>
      </c>
      <c r="FN59" s="995">
        <f t="shared" ref="FN59:FN66" si="353">FM58</f>
        <v>5</v>
      </c>
      <c r="FO59" s="995">
        <f t="shared" ref="FO59:FO66" si="354">FN58</f>
        <v>5</v>
      </c>
      <c r="FP59" s="995">
        <f t="shared" ref="FP59:FP66" si="355">FO58</f>
        <v>5</v>
      </c>
      <c r="FQ59" s="996">
        <f t="shared" ref="FQ59:FQ66" si="356">FP58</f>
        <v>5</v>
      </c>
      <c r="FS59" s="994">
        <f>FQ58</f>
        <v>5</v>
      </c>
      <c r="FT59" s="995">
        <f t="shared" ref="FT59:FT66" si="357">FS58</f>
        <v>3.5</v>
      </c>
      <c r="FU59" s="995">
        <f t="shared" ref="FU59:FU66" si="358">FT58</f>
        <v>2</v>
      </c>
      <c r="FV59" s="995">
        <f t="shared" ref="FV59:FV66" si="359">FU58</f>
        <v>2</v>
      </c>
      <c r="FW59" s="995">
        <f t="shared" ref="FW59:FW66" si="360">FV58</f>
        <v>2</v>
      </c>
      <c r="FX59" s="995">
        <f t="shared" ref="FX59:FX66" si="361">FW58</f>
        <v>2</v>
      </c>
      <c r="FY59" s="995">
        <f t="shared" ref="FY59:FY66" si="362">FX58</f>
        <v>2</v>
      </c>
      <c r="FZ59" s="995">
        <f t="shared" ref="FZ59:FZ66" si="363">FY58</f>
        <v>2</v>
      </c>
      <c r="GA59" s="995">
        <f t="shared" ref="GA59:GA66" si="364">FZ58</f>
        <v>2</v>
      </c>
      <c r="GB59" s="995">
        <f t="shared" ref="GB59:GB66" si="365">GA58</f>
        <v>2</v>
      </c>
      <c r="GC59" s="995">
        <f t="shared" ref="GC59:GC66" si="366">GB58</f>
        <v>2</v>
      </c>
      <c r="GD59" s="996">
        <f t="shared" ref="GD59:GD66" si="367">GC58</f>
        <v>2</v>
      </c>
      <c r="GF59" s="994">
        <f>GD58</f>
        <v>2</v>
      </c>
      <c r="GG59" s="995">
        <f t="shared" ref="GG59:GG66" si="368">GF58</f>
        <v>2</v>
      </c>
      <c r="GH59" s="995">
        <f t="shared" ref="GH59:GH66" si="369">GG58</f>
        <v>2</v>
      </c>
      <c r="GI59" s="995">
        <f t="shared" ref="GI59:GI66" si="370">GH58</f>
        <v>2</v>
      </c>
      <c r="GJ59" s="995">
        <f t="shared" ref="GJ59:GJ66" si="371">GI58</f>
        <v>2</v>
      </c>
      <c r="GK59" s="995">
        <f t="shared" ref="GK59:GK66" si="372">GJ58</f>
        <v>2</v>
      </c>
      <c r="GL59" s="995">
        <f t="shared" ref="GL59:GL66" si="373">GK58</f>
        <v>2</v>
      </c>
      <c r="GM59" s="995">
        <f t="shared" ref="GM59:GM66" si="374">GL58</f>
        <v>2</v>
      </c>
      <c r="GN59" s="995">
        <f t="shared" ref="GN59:GN66" si="375">GM58</f>
        <v>2</v>
      </c>
      <c r="GO59" s="995">
        <f t="shared" ref="GO59:GO66" si="376">GN58</f>
        <v>2</v>
      </c>
      <c r="GP59" s="995">
        <f t="shared" ref="GP59:GP66" si="377">GO58</f>
        <v>2</v>
      </c>
      <c r="GQ59" s="996">
        <f t="shared" ref="GQ59:GQ66" si="378">GP58</f>
        <v>2</v>
      </c>
      <c r="GS59" s="994">
        <f>GQ58</f>
        <v>2</v>
      </c>
      <c r="GT59" s="995">
        <f t="shared" ref="GT59:GT66" si="379">GS58</f>
        <v>2</v>
      </c>
      <c r="GU59" s="995">
        <f t="shared" ref="GU59:GU66" si="380">GT58</f>
        <v>2</v>
      </c>
      <c r="GV59" s="995">
        <f t="shared" ref="GV59:GV66" si="381">GU58</f>
        <v>2</v>
      </c>
      <c r="GW59" s="995">
        <f t="shared" ref="GW59:GW66" si="382">GV58</f>
        <v>2</v>
      </c>
      <c r="GX59" s="995">
        <f t="shared" ref="GX59:GX66" si="383">GW58</f>
        <v>2</v>
      </c>
      <c r="GY59" s="995">
        <f t="shared" ref="GY59:GY66" si="384">GX58</f>
        <v>2</v>
      </c>
      <c r="GZ59" s="995">
        <f t="shared" ref="GZ59:GZ66" si="385">GY58</f>
        <v>2</v>
      </c>
      <c r="HA59" s="995">
        <f t="shared" ref="HA59:HA66" si="386">GZ58</f>
        <v>2</v>
      </c>
      <c r="HB59" s="995">
        <f t="shared" ref="HB59:HB66" si="387">HA58</f>
        <v>2</v>
      </c>
      <c r="HC59" s="995">
        <f t="shared" ref="HC59:HC66" si="388">HB58</f>
        <v>2</v>
      </c>
      <c r="HD59" s="996">
        <f t="shared" ref="HD59:HD66" si="389">HC58</f>
        <v>2</v>
      </c>
    </row>
    <row r="60" spans="2:212" ht="15">
      <c r="B60" s="607"/>
      <c r="C60" s="1086"/>
      <c r="D60" s="1038"/>
      <c r="E60" s="1084"/>
      <c r="F60" s="1085"/>
      <c r="G60" s="1039"/>
      <c r="H60" s="1078"/>
      <c r="I60" s="1075"/>
      <c r="N60" s="1684"/>
      <c r="O60" s="957" t="s">
        <v>121</v>
      </c>
      <c r="P60" s="606">
        <v>9</v>
      </c>
      <c r="Q60" s="606">
        <v>10</v>
      </c>
      <c r="R60" s="606">
        <v>7</v>
      </c>
      <c r="S60" s="606">
        <v>1</v>
      </c>
      <c r="T60" s="606">
        <v>5</v>
      </c>
      <c r="U60" s="606">
        <v>15</v>
      </c>
      <c r="V60" s="606">
        <v>8</v>
      </c>
      <c r="X60" s="1080"/>
      <c r="AA60" s="1684"/>
      <c r="AB60" s="957" t="s">
        <v>121</v>
      </c>
      <c r="DK60" s="1684"/>
      <c r="DL60" s="957" t="s">
        <v>121</v>
      </c>
      <c r="DN60" s="994">
        <v>20</v>
      </c>
      <c r="DO60" s="995">
        <v>17</v>
      </c>
      <c r="DP60" s="995">
        <f>DO59</f>
        <v>18</v>
      </c>
      <c r="DQ60" s="995">
        <f>DP59</f>
        <v>27.5</v>
      </c>
      <c r="DR60" s="996">
        <f>DQ59</f>
        <v>29.25</v>
      </c>
      <c r="DS60" s="978"/>
      <c r="DT60" s="994">
        <v>20</v>
      </c>
      <c r="DU60" s="995">
        <v>17</v>
      </c>
      <c r="DV60" s="995">
        <f>DU59</f>
        <v>18</v>
      </c>
      <c r="DW60" s="995">
        <f>DV59</f>
        <v>27.5</v>
      </c>
      <c r="DX60" s="996">
        <f>DW59</f>
        <v>29.25</v>
      </c>
      <c r="DY60" s="978"/>
      <c r="DZ60" s="994">
        <v>20</v>
      </c>
      <c r="EA60" s="995">
        <f t="shared" ref="EA60:ED66" si="390">DZ59</f>
        <v>15</v>
      </c>
      <c r="EB60" s="995">
        <f>EA59</f>
        <v>18</v>
      </c>
      <c r="EC60" s="995">
        <f>EB59</f>
        <v>27.5</v>
      </c>
      <c r="ED60" s="996">
        <f>EC59</f>
        <v>29.25</v>
      </c>
      <c r="EF60" s="994">
        <f t="shared" ref="EF60:EF66" si="391">ED59</f>
        <v>21.6</v>
      </c>
      <c r="EG60" s="995">
        <f t="shared" si="334"/>
        <v>20.7</v>
      </c>
      <c r="EH60" s="995">
        <f t="shared" si="334"/>
        <v>11.35</v>
      </c>
      <c r="EI60" s="995">
        <f t="shared" si="334"/>
        <v>2</v>
      </c>
      <c r="EJ60" s="995">
        <f t="shared" si="334"/>
        <v>3.5</v>
      </c>
      <c r="EK60" s="995">
        <f t="shared" si="334"/>
        <v>5.5</v>
      </c>
      <c r="EL60" s="995">
        <f t="shared" si="334"/>
        <v>6.5</v>
      </c>
      <c r="EM60" s="995">
        <f t="shared" si="334"/>
        <v>7</v>
      </c>
      <c r="EN60" s="995">
        <f t="shared" si="334"/>
        <v>7</v>
      </c>
      <c r="EO60" s="995">
        <f t="shared" si="334"/>
        <v>7</v>
      </c>
      <c r="EP60" s="995">
        <f t="shared" si="334"/>
        <v>7</v>
      </c>
      <c r="EQ60" s="996">
        <f t="shared" si="334"/>
        <v>7</v>
      </c>
      <c r="ES60" s="994">
        <f t="shared" ref="ES60:ES66" si="392">EQ59</f>
        <v>6</v>
      </c>
      <c r="ET60" s="995">
        <f t="shared" si="335"/>
        <v>5</v>
      </c>
      <c r="EU60" s="995">
        <f t="shared" si="336"/>
        <v>3.5</v>
      </c>
      <c r="EV60" s="995">
        <f t="shared" si="337"/>
        <v>2</v>
      </c>
      <c r="EW60" s="995">
        <f t="shared" si="338"/>
        <v>4.5</v>
      </c>
      <c r="EX60" s="995">
        <f t="shared" si="339"/>
        <v>7</v>
      </c>
      <c r="EY60" s="995">
        <f t="shared" si="340"/>
        <v>7</v>
      </c>
      <c r="EZ60" s="995">
        <f t="shared" si="341"/>
        <v>7</v>
      </c>
      <c r="FA60" s="995">
        <f t="shared" si="342"/>
        <v>7</v>
      </c>
      <c r="FB60" s="995">
        <f t="shared" si="343"/>
        <v>7</v>
      </c>
      <c r="FC60" s="995">
        <f t="shared" si="344"/>
        <v>7</v>
      </c>
      <c r="FD60" s="996">
        <f t="shared" si="345"/>
        <v>7</v>
      </c>
      <c r="FF60" s="994">
        <f t="shared" ref="FF60:FF66" si="393">FD59</f>
        <v>7</v>
      </c>
      <c r="FG60" s="995">
        <f t="shared" si="346"/>
        <v>7</v>
      </c>
      <c r="FH60" s="995">
        <f t="shared" si="347"/>
        <v>4.5</v>
      </c>
      <c r="FI60" s="995">
        <f t="shared" si="348"/>
        <v>2</v>
      </c>
      <c r="FJ60" s="995">
        <f t="shared" si="349"/>
        <v>4.5</v>
      </c>
      <c r="FK60" s="995">
        <f t="shared" si="350"/>
        <v>6</v>
      </c>
      <c r="FL60" s="995">
        <f t="shared" si="351"/>
        <v>5</v>
      </c>
      <c r="FM60" s="995">
        <f t="shared" si="352"/>
        <v>5</v>
      </c>
      <c r="FN60" s="995">
        <f t="shared" si="353"/>
        <v>5</v>
      </c>
      <c r="FO60" s="995">
        <f t="shared" si="354"/>
        <v>5</v>
      </c>
      <c r="FP60" s="995">
        <f t="shared" si="355"/>
        <v>5</v>
      </c>
      <c r="FQ60" s="996">
        <f t="shared" si="356"/>
        <v>5</v>
      </c>
      <c r="FS60" s="994">
        <f t="shared" ref="FS60:FS66" si="394">FQ59</f>
        <v>5</v>
      </c>
      <c r="FT60" s="995">
        <f t="shared" si="357"/>
        <v>5</v>
      </c>
      <c r="FU60" s="995">
        <f t="shared" si="358"/>
        <v>3.5</v>
      </c>
      <c r="FV60" s="995">
        <f t="shared" si="359"/>
        <v>2</v>
      </c>
      <c r="FW60" s="995">
        <f t="shared" si="360"/>
        <v>2</v>
      </c>
      <c r="FX60" s="995">
        <f t="shared" si="361"/>
        <v>2</v>
      </c>
      <c r="FY60" s="995">
        <f t="shared" si="362"/>
        <v>2</v>
      </c>
      <c r="FZ60" s="995">
        <f t="shared" si="363"/>
        <v>2</v>
      </c>
      <c r="GA60" s="995">
        <f t="shared" si="364"/>
        <v>2</v>
      </c>
      <c r="GB60" s="995">
        <f t="shared" si="365"/>
        <v>2</v>
      </c>
      <c r="GC60" s="995">
        <f t="shared" si="366"/>
        <v>2</v>
      </c>
      <c r="GD60" s="996">
        <f t="shared" si="367"/>
        <v>2</v>
      </c>
      <c r="GF60" s="994">
        <f t="shared" ref="GF60:GF66" si="395">GD59</f>
        <v>2</v>
      </c>
      <c r="GG60" s="995">
        <f t="shared" si="368"/>
        <v>2</v>
      </c>
      <c r="GH60" s="995">
        <f t="shared" si="369"/>
        <v>2</v>
      </c>
      <c r="GI60" s="995">
        <f t="shared" si="370"/>
        <v>2</v>
      </c>
      <c r="GJ60" s="995">
        <f t="shared" si="371"/>
        <v>2</v>
      </c>
      <c r="GK60" s="995">
        <f t="shared" si="372"/>
        <v>2</v>
      </c>
      <c r="GL60" s="995">
        <f t="shared" si="373"/>
        <v>2</v>
      </c>
      <c r="GM60" s="995">
        <f t="shared" si="374"/>
        <v>2</v>
      </c>
      <c r="GN60" s="995">
        <f t="shared" si="375"/>
        <v>2</v>
      </c>
      <c r="GO60" s="995">
        <f t="shared" si="376"/>
        <v>2</v>
      </c>
      <c r="GP60" s="995">
        <f t="shared" si="377"/>
        <v>2</v>
      </c>
      <c r="GQ60" s="996">
        <f t="shared" si="378"/>
        <v>2</v>
      </c>
      <c r="GS60" s="994">
        <f t="shared" ref="GS60:GS66" si="396">GQ59</f>
        <v>2</v>
      </c>
      <c r="GT60" s="995">
        <f t="shared" si="379"/>
        <v>2</v>
      </c>
      <c r="GU60" s="995">
        <f t="shared" si="380"/>
        <v>2</v>
      </c>
      <c r="GV60" s="995">
        <f t="shared" si="381"/>
        <v>2</v>
      </c>
      <c r="GW60" s="995">
        <f t="shared" si="382"/>
        <v>2</v>
      </c>
      <c r="GX60" s="995">
        <f t="shared" si="383"/>
        <v>2</v>
      </c>
      <c r="GY60" s="995">
        <f t="shared" si="384"/>
        <v>2</v>
      </c>
      <c r="GZ60" s="995">
        <f t="shared" si="385"/>
        <v>2</v>
      </c>
      <c r="HA60" s="995">
        <f t="shared" si="386"/>
        <v>2</v>
      </c>
      <c r="HB60" s="995">
        <f t="shared" si="387"/>
        <v>2</v>
      </c>
      <c r="HC60" s="995">
        <f t="shared" si="388"/>
        <v>2</v>
      </c>
      <c r="HD60" s="996">
        <f t="shared" si="389"/>
        <v>2</v>
      </c>
    </row>
    <row r="61" spans="2:212" ht="14.25">
      <c r="B61" s="1087"/>
      <c r="C61" s="946" t="s">
        <v>147</v>
      </c>
      <c r="D61" s="1087"/>
      <c r="E61" s="1087"/>
      <c r="F61" s="1087"/>
      <c r="G61" s="1087"/>
      <c r="H61" s="1088"/>
      <c r="I61" s="1088"/>
      <c r="N61" s="1684"/>
      <c r="O61" s="957" t="s">
        <v>122</v>
      </c>
      <c r="P61" s="606">
        <v>17</v>
      </c>
      <c r="Q61" s="606">
        <v>9</v>
      </c>
      <c r="R61" s="606">
        <v>10</v>
      </c>
      <c r="S61" s="606">
        <v>7</v>
      </c>
      <c r="T61" s="606">
        <v>1</v>
      </c>
      <c r="U61" s="606">
        <v>5</v>
      </c>
      <c r="V61" s="606">
        <v>15</v>
      </c>
      <c r="X61" s="1080"/>
      <c r="AA61" s="1684"/>
      <c r="AB61" s="957" t="s">
        <v>122</v>
      </c>
      <c r="DK61" s="1684"/>
      <c r="DL61" s="957" t="s">
        <v>122</v>
      </c>
      <c r="DN61" s="994">
        <v>7</v>
      </c>
      <c r="DO61" s="995">
        <v>20</v>
      </c>
      <c r="DP61" s="995">
        <v>17</v>
      </c>
      <c r="DQ61" s="995">
        <f>DP60</f>
        <v>18</v>
      </c>
      <c r="DR61" s="996">
        <f>DQ60</f>
        <v>27.5</v>
      </c>
      <c r="DS61" s="978"/>
      <c r="DT61" s="994">
        <v>7</v>
      </c>
      <c r="DU61" s="995">
        <v>20</v>
      </c>
      <c r="DV61" s="995">
        <v>17</v>
      </c>
      <c r="DW61" s="995">
        <f>DV60</f>
        <v>18</v>
      </c>
      <c r="DX61" s="996">
        <f>DW60</f>
        <v>27.5</v>
      </c>
      <c r="DY61" s="978"/>
      <c r="DZ61" s="994">
        <v>7</v>
      </c>
      <c r="EA61" s="995">
        <f t="shared" si="390"/>
        <v>20</v>
      </c>
      <c r="EB61" s="995">
        <f t="shared" si="390"/>
        <v>15</v>
      </c>
      <c r="EC61" s="995">
        <f>EB60</f>
        <v>18</v>
      </c>
      <c r="ED61" s="996">
        <f>EC60</f>
        <v>27.5</v>
      </c>
      <c r="EF61" s="994">
        <f t="shared" si="391"/>
        <v>29.25</v>
      </c>
      <c r="EG61" s="995">
        <f t="shared" si="334"/>
        <v>21.6</v>
      </c>
      <c r="EH61" s="995">
        <f t="shared" si="334"/>
        <v>20.7</v>
      </c>
      <c r="EI61" s="995">
        <f t="shared" si="334"/>
        <v>11.35</v>
      </c>
      <c r="EJ61" s="995">
        <f t="shared" si="334"/>
        <v>2</v>
      </c>
      <c r="EK61" s="995">
        <f t="shared" si="334"/>
        <v>3.5</v>
      </c>
      <c r="EL61" s="995">
        <f t="shared" si="334"/>
        <v>5.5</v>
      </c>
      <c r="EM61" s="995">
        <f t="shared" si="334"/>
        <v>6.5</v>
      </c>
      <c r="EN61" s="995">
        <f t="shared" si="334"/>
        <v>7</v>
      </c>
      <c r="EO61" s="995">
        <f t="shared" si="334"/>
        <v>7</v>
      </c>
      <c r="EP61" s="995">
        <f t="shared" si="334"/>
        <v>7</v>
      </c>
      <c r="EQ61" s="996">
        <f t="shared" si="334"/>
        <v>7</v>
      </c>
      <c r="ES61" s="994">
        <f t="shared" si="392"/>
        <v>7</v>
      </c>
      <c r="ET61" s="995">
        <f t="shared" si="335"/>
        <v>6</v>
      </c>
      <c r="EU61" s="995">
        <f t="shared" si="336"/>
        <v>5</v>
      </c>
      <c r="EV61" s="995">
        <f t="shared" si="337"/>
        <v>3.5</v>
      </c>
      <c r="EW61" s="995">
        <f t="shared" si="338"/>
        <v>2</v>
      </c>
      <c r="EX61" s="995">
        <f t="shared" si="339"/>
        <v>4.5</v>
      </c>
      <c r="EY61" s="995">
        <f t="shared" si="340"/>
        <v>7</v>
      </c>
      <c r="EZ61" s="995">
        <f t="shared" si="341"/>
        <v>7</v>
      </c>
      <c r="FA61" s="995">
        <f t="shared" si="342"/>
        <v>7</v>
      </c>
      <c r="FB61" s="995">
        <f t="shared" si="343"/>
        <v>7</v>
      </c>
      <c r="FC61" s="995">
        <f t="shared" si="344"/>
        <v>7</v>
      </c>
      <c r="FD61" s="996">
        <f t="shared" si="345"/>
        <v>7</v>
      </c>
      <c r="FF61" s="994">
        <f t="shared" si="393"/>
        <v>7</v>
      </c>
      <c r="FG61" s="995">
        <f t="shared" si="346"/>
        <v>7</v>
      </c>
      <c r="FH61" s="995">
        <f t="shared" si="347"/>
        <v>7</v>
      </c>
      <c r="FI61" s="995">
        <f t="shared" si="348"/>
        <v>4.5</v>
      </c>
      <c r="FJ61" s="995">
        <f t="shared" si="349"/>
        <v>2</v>
      </c>
      <c r="FK61" s="995">
        <f t="shared" si="350"/>
        <v>4.5</v>
      </c>
      <c r="FL61" s="995">
        <f t="shared" si="351"/>
        <v>6</v>
      </c>
      <c r="FM61" s="995">
        <f t="shared" si="352"/>
        <v>5</v>
      </c>
      <c r="FN61" s="995">
        <f t="shared" si="353"/>
        <v>5</v>
      </c>
      <c r="FO61" s="995">
        <f t="shared" si="354"/>
        <v>5</v>
      </c>
      <c r="FP61" s="995">
        <f t="shared" si="355"/>
        <v>5</v>
      </c>
      <c r="FQ61" s="996">
        <f t="shared" si="356"/>
        <v>5</v>
      </c>
      <c r="FS61" s="994">
        <f t="shared" si="394"/>
        <v>5</v>
      </c>
      <c r="FT61" s="995">
        <f t="shared" si="357"/>
        <v>5</v>
      </c>
      <c r="FU61" s="995">
        <f t="shared" si="358"/>
        <v>5</v>
      </c>
      <c r="FV61" s="995">
        <f t="shared" si="359"/>
        <v>3.5</v>
      </c>
      <c r="FW61" s="995">
        <f t="shared" si="360"/>
        <v>2</v>
      </c>
      <c r="FX61" s="995">
        <f t="shared" si="361"/>
        <v>2</v>
      </c>
      <c r="FY61" s="995">
        <f t="shared" si="362"/>
        <v>2</v>
      </c>
      <c r="FZ61" s="995">
        <f t="shared" si="363"/>
        <v>2</v>
      </c>
      <c r="GA61" s="995">
        <f t="shared" si="364"/>
        <v>2</v>
      </c>
      <c r="GB61" s="995">
        <f t="shared" si="365"/>
        <v>2</v>
      </c>
      <c r="GC61" s="995">
        <f t="shared" si="366"/>
        <v>2</v>
      </c>
      <c r="GD61" s="996">
        <f t="shared" si="367"/>
        <v>2</v>
      </c>
      <c r="GF61" s="994">
        <f t="shared" si="395"/>
        <v>2</v>
      </c>
      <c r="GG61" s="995">
        <f t="shared" si="368"/>
        <v>2</v>
      </c>
      <c r="GH61" s="995">
        <f t="shared" si="369"/>
        <v>2</v>
      </c>
      <c r="GI61" s="995">
        <f t="shared" si="370"/>
        <v>2</v>
      </c>
      <c r="GJ61" s="995">
        <f t="shared" si="371"/>
        <v>2</v>
      </c>
      <c r="GK61" s="995">
        <f t="shared" si="372"/>
        <v>2</v>
      </c>
      <c r="GL61" s="995">
        <f t="shared" si="373"/>
        <v>2</v>
      </c>
      <c r="GM61" s="995">
        <f t="shared" si="374"/>
        <v>2</v>
      </c>
      <c r="GN61" s="995">
        <f t="shared" si="375"/>
        <v>2</v>
      </c>
      <c r="GO61" s="995">
        <f t="shared" si="376"/>
        <v>2</v>
      </c>
      <c r="GP61" s="995">
        <f t="shared" si="377"/>
        <v>2</v>
      </c>
      <c r="GQ61" s="996">
        <f t="shared" si="378"/>
        <v>2</v>
      </c>
      <c r="GS61" s="994">
        <f t="shared" si="396"/>
        <v>2</v>
      </c>
      <c r="GT61" s="995">
        <f t="shared" si="379"/>
        <v>2</v>
      </c>
      <c r="GU61" s="995">
        <f t="shared" si="380"/>
        <v>2</v>
      </c>
      <c r="GV61" s="995">
        <f t="shared" si="381"/>
        <v>2</v>
      </c>
      <c r="GW61" s="995">
        <f t="shared" si="382"/>
        <v>2</v>
      </c>
      <c r="GX61" s="995">
        <f t="shared" si="383"/>
        <v>2</v>
      </c>
      <c r="GY61" s="995">
        <f t="shared" si="384"/>
        <v>2</v>
      </c>
      <c r="GZ61" s="995">
        <f t="shared" si="385"/>
        <v>2</v>
      </c>
      <c r="HA61" s="995">
        <f t="shared" si="386"/>
        <v>2</v>
      </c>
      <c r="HB61" s="995">
        <f t="shared" si="387"/>
        <v>2</v>
      </c>
      <c r="HC61" s="995">
        <f t="shared" si="388"/>
        <v>2</v>
      </c>
      <c r="HD61" s="996">
        <f t="shared" si="389"/>
        <v>2</v>
      </c>
    </row>
    <row r="62" spans="2:212" ht="14.25">
      <c r="B62" s="1087"/>
      <c r="C62" s="946" t="s">
        <v>148</v>
      </c>
      <c r="D62" s="1087"/>
      <c r="E62" s="1087"/>
      <c r="F62" s="1087"/>
      <c r="G62" s="1087"/>
      <c r="H62" s="1088"/>
      <c r="I62" s="1088"/>
      <c r="N62" s="1684"/>
      <c r="O62" s="957" t="s">
        <v>123</v>
      </c>
      <c r="P62" s="606">
        <v>10</v>
      </c>
      <c r="Q62" s="606">
        <v>17</v>
      </c>
      <c r="R62" s="606">
        <v>8</v>
      </c>
      <c r="S62" s="606">
        <v>10</v>
      </c>
      <c r="T62" s="606">
        <v>7</v>
      </c>
      <c r="U62" s="606">
        <v>1</v>
      </c>
      <c r="V62" s="606">
        <v>5</v>
      </c>
      <c r="X62" s="1080"/>
      <c r="AA62" s="1684"/>
      <c r="AB62" s="957" t="s">
        <v>123</v>
      </c>
      <c r="DK62" s="1684"/>
      <c r="DL62" s="957" t="s">
        <v>123</v>
      </c>
      <c r="DN62" s="994">
        <v>15</v>
      </c>
      <c r="DO62" s="995">
        <v>8</v>
      </c>
      <c r="DP62" s="995">
        <v>20</v>
      </c>
      <c r="DQ62" s="995">
        <v>17</v>
      </c>
      <c r="DR62" s="996">
        <f>DQ61</f>
        <v>18</v>
      </c>
      <c r="DS62" s="978"/>
      <c r="DT62" s="994">
        <v>15</v>
      </c>
      <c r="DU62" s="995">
        <v>8</v>
      </c>
      <c r="DV62" s="995">
        <v>20</v>
      </c>
      <c r="DW62" s="995">
        <v>17</v>
      </c>
      <c r="DX62" s="996">
        <f>DW61</f>
        <v>18</v>
      </c>
      <c r="DY62" s="978"/>
      <c r="DZ62" s="994">
        <v>15</v>
      </c>
      <c r="EA62" s="995">
        <f t="shared" si="390"/>
        <v>7</v>
      </c>
      <c r="EB62" s="995">
        <f t="shared" si="390"/>
        <v>20</v>
      </c>
      <c r="EC62" s="995">
        <f t="shared" si="390"/>
        <v>15</v>
      </c>
      <c r="ED62" s="996">
        <f>EC61</f>
        <v>18</v>
      </c>
      <c r="EF62" s="994">
        <f t="shared" si="391"/>
        <v>27.5</v>
      </c>
      <c r="EG62" s="995">
        <f t="shared" si="334"/>
        <v>29.25</v>
      </c>
      <c r="EH62" s="995">
        <f t="shared" si="334"/>
        <v>21.6</v>
      </c>
      <c r="EI62" s="995">
        <f t="shared" si="334"/>
        <v>20.7</v>
      </c>
      <c r="EJ62" s="995">
        <f t="shared" si="334"/>
        <v>11.35</v>
      </c>
      <c r="EK62" s="995">
        <f t="shared" si="334"/>
        <v>2</v>
      </c>
      <c r="EL62" s="995">
        <f t="shared" si="334"/>
        <v>3.5</v>
      </c>
      <c r="EM62" s="995">
        <f t="shared" si="334"/>
        <v>5.5</v>
      </c>
      <c r="EN62" s="995">
        <f t="shared" si="334"/>
        <v>6.5</v>
      </c>
      <c r="EO62" s="995">
        <f t="shared" si="334"/>
        <v>7</v>
      </c>
      <c r="EP62" s="995">
        <f t="shared" si="334"/>
        <v>7</v>
      </c>
      <c r="EQ62" s="996">
        <f t="shared" si="334"/>
        <v>7</v>
      </c>
      <c r="ES62" s="994">
        <f t="shared" si="392"/>
        <v>7</v>
      </c>
      <c r="ET62" s="995">
        <f t="shared" si="335"/>
        <v>7</v>
      </c>
      <c r="EU62" s="995">
        <f t="shared" si="336"/>
        <v>6</v>
      </c>
      <c r="EV62" s="995">
        <f t="shared" si="337"/>
        <v>5</v>
      </c>
      <c r="EW62" s="995">
        <f t="shared" si="338"/>
        <v>3.5</v>
      </c>
      <c r="EX62" s="995">
        <f t="shared" si="339"/>
        <v>2</v>
      </c>
      <c r="EY62" s="995">
        <f t="shared" si="340"/>
        <v>4.5</v>
      </c>
      <c r="EZ62" s="995">
        <f t="shared" si="341"/>
        <v>7</v>
      </c>
      <c r="FA62" s="995">
        <f t="shared" si="342"/>
        <v>7</v>
      </c>
      <c r="FB62" s="995">
        <f t="shared" si="343"/>
        <v>7</v>
      </c>
      <c r="FC62" s="995">
        <f t="shared" si="344"/>
        <v>7</v>
      </c>
      <c r="FD62" s="996">
        <f t="shared" si="345"/>
        <v>7</v>
      </c>
      <c r="FF62" s="994">
        <f t="shared" si="393"/>
        <v>7</v>
      </c>
      <c r="FG62" s="995">
        <f t="shared" si="346"/>
        <v>7</v>
      </c>
      <c r="FH62" s="995">
        <f t="shared" si="347"/>
        <v>7</v>
      </c>
      <c r="FI62" s="995">
        <f t="shared" si="348"/>
        <v>7</v>
      </c>
      <c r="FJ62" s="995">
        <f t="shared" si="349"/>
        <v>4.5</v>
      </c>
      <c r="FK62" s="995">
        <f t="shared" si="350"/>
        <v>2</v>
      </c>
      <c r="FL62" s="995">
        <f t="shared" si="351"/>
        <v>4.5</v>
      </c>
      <c r="FM62" s="995">
        <f t="shared" si="352"/>
        <v>6</v>
      </c>
      <c r="FN62" s="995">
        <f t="shared" si="353"/>
        <v>5</v>
      </c>
      <c r="FO62" s="995">
        <f t="shared" si="354"/>
        <v>5</v>
      </c>
      <c r="FP62" s="995">
        <f t="shared" si="355"/>
        <v>5</v>
      </c>
      <c r="FQ62" s="996">
        <f t="shared" si="356"/>
        <v>5</v>
      </c>
      <c r="FS62" s="994">
        <f t="shared" si="394"/>
        <v>5</v>
      </c>
      <c r="FT62" s="995">
        <f t="shared" si="357"/>
        <v>5</v>
      </c>
      <c r="FU62" s="995">
        <f t="shared" si="358"/>
        <v>5</v>
      </c>
      <c r="FV62" s="995">
        <f t="shared" si="359"/>
        <v>5</v>
      </c>
      <c r="FW62" s="995">
        <f t="shared" si="360"/>
        <v>3.5</v>
      </c>
      <c r="FX62" s="995">
        <f t="shared" si="361"/>
        <v>2</v>
      </c>
      <c r="FY62" s="995">
        <f t="shared" si="362"/>
        <v>2</v>
      </c>
      <c r="FZ62" s="995">
        <f t="shared" si="363"/>
        <v>2</v>
      </c>
      <c r="GA62" s="995">
        <f t="shared" si="364"/>
        <v>2</v>
      </c>
      <c r="GB62" s="995">
        <f t="shared" si="365"/>
        <v>2</v>
      </c>
      <c r="GC62" s="995">
        <f t="shared" si="366"/>
        <v>2</v>
      </c>
      <c r="GD62" s="996">
        <f t="shared" si="367"/>
        <v>2</v>
      </c>
      <c r="GF62" s="994">
        <f t="shared" si="395"/>
        <v>2</v>
      </c>
      <c r="GG62" s="995">
        <f t="shared" si="368"/>
        <v>2</v>
      </c>
      <c r="GH62" s="995">
        <f t="shared" si="369"/>
        <v>2</v>
      </c>
      <c r="GI62" s="995">
        <f t="shared" si="370"/>
        <v>2</v>
      </c>
      <c r="GJ62" s="995">
        <f t="shared" si="371"/>
        <v>2</v>
      </c>
      <c r="GK62" s="995">
        <f t="shared" si="372"/>
        <v>2</v>
      </c>
      <c r="GL62" s="995">
        <f t="shared" si="373"/>
        <v>2</v>
      </c>
      <c r="GM62" s="995">
        <f t="shared" si="374"/>
        <v>2</v>
      </c>
      <c r="GN62" s="995">
        <f t="shared" si="375"/>
        <v>2</v>
      </c>
      <c r="GO62" s="995">
        <f t="shared" si="376"/>
        <v>2</v>
      </c>
      <c r="GP62" s="995">
        <f t="shared" si="377"/>
        <v>2</v>
      </c>
      <c r="GQ62" s="996">
        <f t="shared" si="378"/>
        <v>2</v>
      </c>
      <c r="GS62" s="994">
        <f t="shared" si="396"/>
        <v>2</v>
      </c>
      <c r="GT62" s="995">
        <f t="shared" si="379"/>
        <v>2</v>
      </c>
      <c r="GU62" s="995">
        <f t="shared" si="380"/>
        <v>2</v>
      </c>
      <c r="GV62" s="995">
        <f t="shared" si="381"/>
        <v>2</v>
      </c>
      <c r="GW62" s="995">
        <f t="shared" si="382"/>
        <v>2</v>
      </c>
      <c r="GX62" s="995">
        <f t="shared" si="383"/>
        <v>2</v>
      </c>
      <c r="GY62" s="995">
        <f t="shared" si="384"/>
        <v>2</v>
      </c>
      <c r="GZ62" s="995">
        <f t="shared" si="385"/>
        <v>2</v>
      </c>
      <c r="HA62" s="995">
        <f t="shared" si="386"/>
        <v>2</v>
      </c>
      <c r="HB62" s="995">
        <f t="shared" si="387"/>
        <v>2</v>
      </c>
      <c r="HC62" s="995">
        <f t="shared" si="388"/>
        <v>2</v>
      </c>
      <c r="HD62" s="996">
        <f t="shared" si="389"/>
        <v>2</v>
      </c>
    </row>
    <row r="63" spans="2:212" ht="14.25">
      <c r="B63" s="1087"/>
      <c r="C63" s="946" t="s">
        <v>149</v>
      </c>
      <c r="D63" s="1087"/>
      <c r="E63" s="1087"/>
      <c r="F63" s="1087"/>
      <c r="G63" s="1087"/>
      <c r="H63" s="1088"/>
      <c r="I63" s="1088"/>
      <c r="N63" s="1684"/>
      <c r="O63" s="957" t="s">
        <v>124</v>
      </c>
      <c r="P63" s="606">
        <v>13</v>
      </c>
      <c r="Q63" s="606">
        <v>10</v>
      </c>
      <c r="R63" s="606">
        <v>17</v>
      </c>
      <c r="S63" s="606">
        <v>8</v>
      </c>
      <c r="T63" s="606">
        <v>10</v>
      </c>
      <c r="U63" s="606">
        <v>7</v>
      </c>
      <c r="V63" s="606">
        <v>1</v>
      </c>
      <c r="X63" s="1080"/>
      <c r="AA63" s="1684"/>
      <c r="AB63" s="957" t="s">
        <v>124</v>
      </c>
      <c r="DK63" s="1684"/>
      <c r="DL63" s="957" t="s">
        <v>124</v>
      </c>
      <c r="DN63" s="994">
        <v>5</v>
      </c>
      <c r="DO63" s="995">
        <v>15</v>
      </c>
      <c r="DP63" s="995">
        <v>8</v>
      </c>
      <c r="DQ63" s="995">
        <v>20</v>
      </c>
      <c r="DR63" s="996">
        <v>17</v>
      </c>
      <c r="DS63" s="978"/>
      <c r="DT63" s="994">
        <v>5</v>
      </c>
      <c r="DU63" s="995">
        <v>15</v>
      </c>
      <c r="DV63" s="995">
        <v>8</v>
      </c>
      <c r="DW63" s="995">
        <v>20</v>
      </c>
      <c r="DX63" s="996">
        <v>17</v>
      </c>
      <c r="DY63" s="978"/>
      <c r="DZ63" s="994">
        <v>5</v>
      </c>
      <c r="EA63" s="995">
        <f t="shared" si="390"/>
        <v>15</v>
      </c>
      <c r="EB63" s="995">
        <f t="shared" si="390"/>
        <v>7</v>
      </c>
      <c r="EC63" s="995">
        <f t="shared" si="390"/>
        <v>20</v>
      </c>
      <c r="ED63" s="996">
        <f t="shared" si="390"/>
        <v>15</v>
      </c>
      <c r="EF63" s="994">
        <f t="shared" si="391"/>
        <v>18</v>
      </c>
      <c r="EG63" s="995">
        <f t="shared" si="334"/>
        <v>27.5</v>
      </c>
      <c r="EH63" s="995">
        <f t="shared" si="334"/>
        <v>29.25</v>
      </c>
      <c r="EI63" s="995">
        <f t="shared" si="334"/>
        <v>21.6</v>
      </c>
      <c r="EJ63" s="995">
        <f t="shared" si="334"/>
        <v>20.7</v>
      </c>
      <c r="EK63" s="995">
        <f t="shared" si="334"/>
        <v>11.35</v>
      </c>
      <c r="EL63" s="995">
        <f t="shared" si="334"/>
        <v>2</v>
      </c>
      <c r="EM63" s="995">
        <f t="shared" si="334"/>
        <v>3.5</v>
      </c>
      <c r="EN63" s="995">
        <f t="shared" si="334"/>
        <v>5.5</v>
      </c>
      <c r="EO63" s="995">
        <f t="shared" si="334"/>
        <v>6.5</v>
      </c>
      <c r="EP63" s="995">
        <f t="shared" si="334"/>
        <v>7</v>
      </c>
      <c r="EQ63" s="996">
        <f t="shared" si="334"/>
        <v>7</v>
      </c>
      <c r="ES63" s="994">
        <f t="shared" si="392"/>
        <v>7</v>
      </c>
      <c r="ET63" s="995">
        <f t="shared" si="335"/>
        <v>7</v>
      </c>
      <c r="EU63" s="995">
        <f t="shared" si="336"/>
        <v>7</v>
      </c>
      <c r="EV63" s="995">
        <f t="shared" si="337"/>
        <v>6</v>
      </c>
      <c r="EW63" s="995">
        <f t="shared" si="338"/>
        <v>5</v>
      </c>
      <c r="EX63" s="995">
        <f t="shared" si="339"/>
        <v>3.5</v>
      </c>
      <c r="EY63" s="995">
        <f t="shared" si="340"/>
        <v>2</v>
      </c>
      <c r="EZ63" s="995">
        <f t="shared" si="341"/>
        <v>4.5</v>
      </c>
      <c r="FA63" s="995">
        <f t="shared" si="342"/>
        <v>7</v>
      </c>
      <c r="FB63" s="995">
        <f t="shared" si="343"/>
        <v>7</v>
      </c>
      <c r="FC63" s="995">
        <f t="shared" si="344"/>
        <v>7</v>
      </c>
      <c r="FD63" s="996">
        <f t="shared" si="345"/>
        <v>7</v>
      </c>
      <c r="FF63" s="994">
        <f t="shared" si="393"/>
        <v>7</v>
      </c>
      <c r="FG63" s="995">
        <f t="shared" si="346"/>
        <v>7</v>
      </c>
      <c r="FH63" s="995">
        <f t="shared" si="347"/>
        <v>7</v>
      </c>
      <c r="FI63" s="995">
        <f t="shared" si="348"/>
        <v>7</v>
      </c>
      <c r="FJ63" s="995">
        <f t="shared" si="349"/>
        <v>7</v>
      </c>
      <c r="FK63" s="995">
        <f t="shared" si="350"/>
        <v>4.5</v>
      </c>
      <c r="FL63" s="995">
        <f t="shared" si="351"/>
        <v>2</v>
      </c>
      <c r="FM63" s="995">
        <f t="shared" si="352"/>
        <v>4.5</v>
      </c>
      <c r="FN63" s="995">
        <f t="shared" si="353"/>
        <v>6</v>
      </c>
      <c r="FO63" s="995">
        <f t="shared" si="354"/>
        <v>5</v>
      </c>
      <c r="FP63" s="995">
        <f t="shared" si="355"/>
        <v>5</v>
      </c>
      <c r="FQ63" s="996">
        <f t="shared" si="356"/>
        <v>5</v>
      </c>
      <c r="FS63" s="994">
        <f t="shared" si="394"/>
        <v>5</v>
      </c>
      <c r="FT63" s="995">
        <f t="shared" si="357"/>
        <v>5</v>
      </c>
      <c r="FU63" s="995">
        <f t="shared" si="358"/>
        <v>5</v>
      </c>
      <c r="FV63" s="995">
        <f t="shared" si="359"/>
        <v>5</v>
      </c>
      <c r="FW63" s="995">
        <f t="shared" si="360"/>
        <v>5</v>
      </c>
      <c r="FX63" s="995">
        <f t="shared" si="361"/>
        <v>3.5</v>
      </c>
      <c r="FY63" s="995">
        <f t="shared" si="362"/>
        <v>2</v>
      </c>
      <c r="FZ63" s="995">
        <f t="shared" si="363"/>
        <v>2</v>
      </c>
      <c r="GA63" s="995">
        <f t="shared" si="364"/>
        <v>2</v>
      </c>
      <c r="GB63" s="995">
        <f t="shared" si="365"/>
        <v>2</v>
      </c>
      <c r="GC63" s="995">
        <f t="shared" si="366"/>
        <v>2</v>
      </c>
      <c r="GD63" s="996">
        <f t="shared" si="367"/>
        <v>2</v>
      </c>
      <c r="GF63" s="994">
        <f t="shared" si="395"/>
        <v>2</v>
      </c>
      <c r="GG63" s="995">
        <f t="shared" si="368"/>
        <v>2</v>
      </c>
      <c r="GH63" s="995">
        <f t="shared" si="369"/>
        <v>2</v>
      </c>
      <c r="GI63" s="995">
        <f t="shared" si="370"/>
        <v>2</v>
      </c>
      <c r="GJ63" s="995">
        <f t="shared" si="371"/>
        <v>2</v>
      </c>
      <c r="GK63" s="995">
        <f t="shared" si="372"/>
        <v>2</v>
      </c>
      <c r="GL63" s="995">
        <f t="shared" si="373"/>
        <v>2</v>
      </c>
      <c r="GM63" s="995">
        <f t="shared" si="374"/>
        <v>2</v>
      </c>
      <c r="GN63" s="995">
        <f t="shared" si="375"/>
        <v>2</v>
      </c>
      <c r="GO63" s="995">
        <f t="shared" si="376"/>
        <v>2</v>
      </c>
      <c r="GP63" s="995">
        <f t="shared" si="377"/>
        <v>2</v>
      </c>
      <c r="GQ63" s="996">
        <f t="shared" si="378"/>
        <v>2</v>
      </c>
      <c r="GS63" s="994">
        <f t="shared" si="396"/>
        <v>2</v>
      </c>
      <c r="GT63" s="995">
        <f t="shared" si="379"/>
        <v>2</v>
      </c>
      <c r="GU63" s="995">
        <f t="shared" si="380"/>
        <v>2</v>
      </c>
      <c r="GV63" s="995">
        <f t="shared" si="381"/>
        <v>2</v>
      </c>
      <c r="GW63" s="995">
        <f t="shared" si="382"/>
        <v>2</v>
      </c>
      <c r="GX63" s="995">
        <f t="shared" si="383"/>
        <v>2</v>
      </c>
      <c r="GY63" s="995">
        <f t="shared" si="384"/>
        <v>2</v>
      </c>
      <c r="GZ63" s="995">
        <f t="shared" si="385"/>
        <v>2</v>
      </c>
      <c r="HA63" s="995">
        <f t="shared" si="386"/>
        <v>2</v>
      </c>
      <c r="HB63" s="995">
        <f t="shared" si="387"/>
        <v>2</v>
      </c>
      <c r="HC63" s="995">
        <f t="shared" si="388"/>
        <v>2</v>
      </c>
      <c r="HD63" s="996">
        <f t="shared" si="389"/>
        <v>2</v>
      </c>
    </row>
    <row r="64" spans="2:212" ht="14.25">
      <c r="C64" s="958" t="s">
        <v>150</v>
      </c>
      <c r="D64" s="31"/>
      <c r="E64" s="31"/>
      <c r="F64" s="31"/>
      <c r="G64" s="31"/>
      <c r="H64" s="1089"/>
      <c r="I64" s="1089"/>
      <c r="N64" s="1684"/>
      <c r="O64" s="957" t="s">
        <v>125</v>
      </c>
      <c r="P64" s="606">
        <v>14</v>
      </c>
      <c r="Q64" s="606">
        <v>11</v>
      </c>
      <c r="R64" s="606">
        <v>10</v>
      </c>
      <c r="S64" s="606">
        <v>17</v>
      </c>
      <c r="T64" s="606">
        <v>8</v>
      </c>
      <c r="U64" s="606">
        <v>10</v>
      </c>
      <c r="V64" s="606">
        <v>5</v>
      </c>
      <c r="X64" s="1080"/>
      <c r="AA64" s="1684"/>
      <c r="AB64" s="957" t="s">
        <v>125</v>
      </c>
      <c r="DK64" s="1684"/>
      <c r="DL64" s="957" t="s">
        <v>125</v>
      </c>
      <c r="DN64" s="994">
        <v>1</v>
      </c>
      <c r="DO64" s="995">
        <v>5</v>
      </c>
      <c r="DP64" s="995">
        <v>15</v>
      </c>
      <c r="DQ64" s="995">
        <v>8</v>
      </c>
      <c r="DR64" s="996">
        <v>20</v>
      </c>
      <c r="DS64" s="978"/>
      <c r="DT64" s="994">
        <v>1</v>
      </c>
      <c r="DU64" s="995">
        <v>5</v>
      </c>
      <c r="DV64" s="995">
        <v>15</v>
      </c>
      <c r="DW64" s="995">
        <v>8</v>
      </c>
      <c r="DX64" s="996">
        <v>20</v>
      </c>
      <c r="DY64" s="978"/>
      <c r="DZ64" s="994">
        <v>1</v>
      </c>
      <c r="EA64" s="995">
        <f t="shared" si="390"/>
        <v>5</v>
      </c>
      <c r="EB64" s="995">
        <f t="shared" si="390"/>
        <v>15</v>
      </c>
      <c r="EC64" s="995">
        <f t="shared" si="390"/>
        <v>7</v>
      </c>
      <c r="ED64" s="996">
        <f t="shared" si="390"/>
        <v>20</v>
      </c>
      <c r="EF64" s="994">
        <f t="shared" si="391"/>
        <v>15</v>
      </c>
      <c r="EG64" s="995">
        <f t="shared" si="334"/>
        <v>18</v>
      </c>
      <c r="EH64" s="995">
        <f t="shared" si="334"/>
        <v>27.5</v>
      </c>
      <c r="EI64" s="995">
        <f t="shared" si="334"/>
        <v>29.25</v>
      </c>
      <c r="EJ64" s="995">
        <f t="shared" si="334"/>
        <v>21.6</v>
      </c>
      <c r="EK64" s="995">
        <f t="shared" si="334"/>
        <v>20.7</v>
      </c>
      <c r="EL64" s="995">
        <f t="shared" si="334"/>
        <v>11.35</v>
      </c>
      <c r="EM64" s="995">
        <f t="shared" si="334"/>
        <v>2</v>
      </c>
      <c r="EN64" s="995">
        <f t="shared" si="334"/>
        <v>3.5</v>
      </c>
      <c r="EO64" s="995">
        <f t="shared" si="334"/>
        <v>5.5</v>
      </c>
      <c r="EP64" s="995">
        <f t="shared" si="334"/>
        <v>6.5</v>
      </c>
      <c r="EQ64" s="996">
        <f t="shared" si="334"/>
        <v>7</v>
      </c>
      <c r="ES64" s="994">
        <f t="shared" si="392"/>
        <v>7</v>
      </c>
      <c r="ET64" s="995">
        <f t="shared" si="335"/>
        <v>7</v>
      </c>
      <c r="EU64" s="995">
        <f t="shared" si="336"/>
        <v>7</v>
      </c>
      <c r="EV64" s="995">
        <f t="shared" si="337"/>
        <v>7</v>
      </c>
      <c r="EW64" s="995">
        <f t="shared" si="338"/>
        <v>6</v>
      </c>
      <c r="EX64" s="995">
        <f t="shared" si="339"/>
        <v>5</v>
      </c>
      <c r="EY64" s="995">
        <f t="shared" si="340"/>
        <v>3.5</v>
      </c>
      <c r="EZ64" s="995">
        <f t="shared" si="341"/>
        <v>2</v>
      </c>
      <c r="FA64" s="995">
        <f t="shared" si="342"/>
        <v>4.5</v>
      </c>
      <c r="FB64" s="995">
        <f t="shared" si="343"/>
        <v>7</v>
      </c>
      <c r="FC64" s="995">
        <f t="shared" si="344"/>
        <v>7</v>
      </c>
      <c r="FD64" s="996">
        <f t="shared" si="345"/>
        <v>7</v>
      </c>
      <c r="FF64" s="994">
        <f t="shared" si="393"/>
        <v>7</v>
      </c>
      <c r="FG64" s="995">
        <f t="shared" si="346"/>
        <v>7</v>
      </c>
      <c r="FH64" s="995">
        <f t="shared" si="347"/>
        <v>7</v>
      </c>
      <c r="FI64" s="995">
        <f t="shared" si="348"/>
        <v>7</v>
      </c>
      <c r="FJ64" s="995">
        <f t="shared" si="349"/>
        <v>7</v>
      </c>
      <c r="FK64" s="995">
        <f t="shared" si="350"/>
        <v>7</v>
      </c>
      <c r="FL64" s="995">
        <f t="shared" si="351"/>
        <v>4.5</v>
      </c>
      <c r="FM64" s="995">
        <f t="shared" si="352"/>
        <v>2</v>
      </c>
      <c r="FN64" s="995">
        <f t="shared" si="353"/>
        <v>4.5</v>
      </c>
      <c r="FO64" s="995">
        <f t="shared" si="354"/>
        <v>6</v>
      </c>
      <c r="FP64" s="995">
        <f t="shared" si="355"/>
        <v>5</v>
      </c>
      <c r="FQ64" s="996">
        <f t="shared" si="356"/>
        <v>5</v>
      </c>
      <c r="FS64" s="994">
        <f t="shared" si="394"/>
        <v>5</v>
      </c>
      <c r="FT64" s="995">
        <f t="shared" si="357"/>
        <v>5</v>
      </c>
      <c r="FU64" s="995">
        <f t="shared" si="358"/>
        <v>5</v>
      </c>
      <c r="FV64" s="995">
        <f t="shared" si="359"/>
        <v>5</v>
      </c>
      <c r="FW64" s="995">
        <f t="shared" si="360"/>
        <v>5</v>
      </c>
      <c r="FX64" s="995">
        <f t="shared" si="361"/>
        <v>5</v>
      </c>
      <c r="FY64" s="995">
        <f t="shared" si="362"/>
        <v>3.5</v>
      </c>
      <c r="FZ64" s="995">
        <f t="shared" si="363"/>
        <v>2</v>
      </c>
      <c r="GA64" s="995">
        <f t="shared" si="364"/>
        <v>2</v>
      </c>
      <c r="GB64" s="995">
        <f t="shared" si="365"/>
        <v>2</v>
      </c>
      <c r="GC64" s="995">
        <f t="shared" si="366"/>
        <v>2</v>
      </c>
      <c r="GD64" s="996">
        <f t="shared" si="367"/>
        <v>2</v>
      </c>
      <c r="GF64" s="994">
        <f t="shared" si="395"/>
        <v>2</v>
      </c>
      <c r="GG64" s="995">
        <f t="shared" si="368"/>
        <v>2</v>
      </c>
      <c r="GH64" s="995">
        <f t="shared" si="369"/>
        <v>2</v>
      </c>
      <c r="GI64" s="995">
        <f t="shared" si="370"/>
        <v>2</v>
      </c>
      <c r="GJ64" s="995">
        <f t="shared" si="371"/>
        <v>2</v>
      </c>
      <c r="GK64" s="995">
        <f t="shared" si="372"/>
        <v>2</v>
      </c>
      <c r="GL64" s="995">
        <f t="shared" si="373"/>
        <v>2</v>
      </c>
      <c r="GM64" s="995">
        <f t="shared" si="374"/>
        <v>2</v>
      </c>
      <c r="GN64" s="995">
        <f t="shared" si="375"/>
        <v>2</v>
      </c>
      <c r="GO64" s="995">
        <f t="shared" si="376"/>
        <v>2</v>
      </c>
      <c r="GP64" s="995">
        <f t="shared" si="377"/>
        <v>2</v>
      </c>
      <c r="GQ64" s="996">
        <f t="shared" si="378"/>
        <v>2</v>
      </c>
      <c r="GS64" s="994">
        <f t="shared" si="396"/>
        <v>2</v>
      </c>
      <c r="GT64" s="995">
        <f t="shared" si="379"/>
        <v>2</v>
      </c>
      <c r="GU64" s="995">
        <f t="shared" si="380"/>
        <v>2</v>
      </c>
      <c r="GV64" s="995">
        <f t="shared" si="381"/>
        <v>2</v>
      </c>
      <c r="GW64" s="995">
        <f t="shared" si="382"/>
        <v>2</v>
      </c>
      <c r="GX64" s="995">
        <f t="shared" si="383"/>
        <v>2</v>
      </c>
      <c r="GY64" s="995">
        <f t="shared" si="384"/>
        <v>2</v>
      </c>
      <c r="GZ64" s="995">
        <f t="shared" si="385"/>
        <v>2</v>
      </c>
      <c r="HA64" s="995">
        <f t="shared" si="386"/>
        <v>2</v>
      </c>
      <c r="HB64" s="995">
        <f t="shared" si="387"/>
        <v>2</v>
      </c>
      <c r="HC64" s="995">
        <f t="shared" si="388"/>
        <v>2</v>
      </c>
      <c r="HD64" s="996">
        <f t="shared" si="389"/>
        <v>2</v>
      </c>
    </row>
    <row r="65" spans="2:212" ht="14.25" customHeight="1">
      <c r="C65" s="958"/>
      <c r="D65" s="31"/>
      <c r="E65" s="31"/>
      <c r="F65" s="31"/>
      <c r="G65" s="31"/>
      <c r="H65" s="1089"/>
      <c r="I65" s="1089"/>
      <c r="N65" s="1684"/>
      <c r="O65" s="957" t="s">
        <v>126</v>
      </c>
      <c r="P65" s="606">
        <v>9</v>
      </c>
      <c r="Q65" s="606">
        <v>13</v>
      </c>
      <c r="R65" s="606">
        <v>11</v>
      </c>
      <c r="S65" s="606">
        <v>10</v>
      </c>
      <c r="T65" s="606">
        <v>16</v>
      </c>
      <c r="U65" s="606">
        <v>8</v>
      </c>
      <c r="V65" s="606">
        <v>10</v>
      </c>
      <c r="X65" s="1080"/>
      <c r="AA65" s="1684"/>
      <c r="AB65" s="957" t="s">
        <v>126</v>
      </c>
      <c r="DK65" s="1684"/>
      <c r="DL65" s="957" t="s">
        <v>126</v>
      </c>
      <c r="DN65" s="994">
        <v>5</v>
      </c>
      <c r="DO65" s="995">
        <v>1</v>
      </c>
      <c r="DP65" s="995">
        <v>5</v>
      </c>
      <c r="DQ65" s="995">
        <v>15</v>
      </c>
      <c r="DR65" s="996">
        <v>8</v>
      </c>
      <c r="DS65" s="978"/>
      <c r="DT65" s="994">
        <v>5</v>
      </c>
      <c r="DU65" s="995">
        <v>1</v>
      </c>
      <c r="DV65" s="995">
        <v>5</v>
      </c>
      <c r="DW65" s="995">
        <v>15</v>
      </c>
      <c r="DX65" s="996">
        <v>8</v>
      </c>
      <c r="DY65" s="978"/>
      <c r="DZ65" s="994">
        <v>5</v>
      </c>
      <c r="EA65" s="995">
        <f t="shared" si="390"/>
        <v>1</v>
      </c>
      <c r="EB65" s="995">
        <f t="shared" si="390"/>
        <v>5</v>
      </c>
      <c r="EC65" s="995">
        <f t="shared" si="390"/>
        <v>15</v>
      </c>
      <c r="ED65" s="996">
        <f t="shared" si="390"/>
        <v>7</v>
      </c>
      <c r="EF65" s="994">
        <f t="shared" si="391"/>
        <v>20</v>
      </c>
      <c r="EG65" s="995">
        <f t="shared" si="334"/>
        <v>15</v>
      </c>
      <c r="EH65" s="995">
        <f t="shared" si="334"/>
        <v>18</v>
      </c>
      <c r="EI65" s="995">
        <f t="shared" si="334"/>
        <v>27.5</v>
      </c>
      <c r="EJ65" s="995">
        <f t="shared" si="334"/>
        <v>29.25</v>
      </c>
      <c r="EK65" s="995">
        <f t="shared" si="334"/>
        <v>21.6</v>
      </c>
      <c r="EL65" s="995">
        <f t="shared" si="334"/>
        <v>20.7</v>
      </c>
      <c r="EM65" s="995">
        <f t="shared" si="334"/>
        <v>11.35</v>
      </c>
      <c r="EN65" s="995">
        <f t="shared" si="334"/>
        <v>2</v>
      </c>
      <c r="EO65" s="995">
        <f t="shared" si="334"/>
        <v>3.5</v>
      </c>
      <c r="EP65" s="995">
        <f t="shared" si="334"/>
        <v>5.5</v>
      </c>
      <c r="EQ65" s="996">
        <f t="shared" si="334"/>
        <v>6.5</v>
      </c>
      <c r="ES65" s="994">
        <f t="shared" si="392"/>
        <v>7</v>
      </c>
      <c r="ET65" s="995">
        <f t="shared" si="335"/>
        <v>7</v>
      </c>
      <c r="EU65" s="995">
        <f t="shared" si="336"/>
        <v>7</v>
      </c>
      <c r="EV65" s="995">
        <f t="shared" si="337"/>
        <v>7</v>
      </c>
      <c r="EW65" s="995">
        <f t="shared" si="338"/>
        <v>7</v>
      </c>
      <c r="EX65" s="995">
        <f t="shared" si="339"/>
        <v>6</v>
      </c>
      <c r="EY65" s="995">
        <f t="shared" si="340"/>
        <v>5</v>
      </c>
      <c r="EZ65" s="995">
        <f t="shared" si="341"/>
        <v>3.5</v>
      </c>
      <c r="FA65" s="995">
        <f t="shared" si="342"/>
        <v>2</v>
      </c>
      <c r="FB65" s="995">
        <f t="shared" si="343"/>
        <v>4.5</v>
      </c>
      <c r="FC65" s="995">
        <f t="shared" si="344"/>
        <v>7</v>
      </c>
      <c r="FD65" s="996">
        <f t="shared" si="345"/>
        <v>7</v>
      </c>
      <c r="FF65" s="994">
        <f t="shared" si="393"/>
        <v>7</v>
      </c>
      <c r="FG65" s="995">
        <f t="shared" si="346"/>
        <v>7</v>
      </c>
      <c r="FH65" s="995">
        <f t="shared" si="347"/>
        <v>7</v>
      </c>
      <c r="FI65" s="995">
        <f t="shared" si="348"/>
        <v>7</v>
      </c>
      <c r="FJ65" s="995">
        <f t="shared" si="349"/>
        <v>7</v>
      </c>
      <c r="FK65" s="995">
        <f t="shared" si="350"/>
        <v>7</v>
      </c>
      <c r="FL65" s="995">
        <f t="shared" si="351"/>
        <v>7</v>
      </c>
      <c r="FM65" s="995">
        <f t="shared" si="352"/>
        <v>4.5</v>
      </c>
      <c r="FN65" s="995">
        <f t="shared" si="353"/>
        <v>2</v>
      </c>
      <c r="FO65" s="995">
        <f t="shared" si="354"/>
        <v>4.5</v>
      </c>
      <c r="FP65" s="995">
        <f t="shared" si="355"/>
        <v>6</v>
      </c>
      <c r="FQ65" s="996">
        <f t="shared" si="356"/>
        <v>5</v>
      </c>
      <c r="FS65" s="994">
        <f t="shared" si="394"/>
        <v>5</v>
      </c>
      <c r="FT65" s="995">
        <f t="shared" si="357"/>
        <v>5</v>
      </c>
      <c r="FU65" s="995">
        <f t="shared" si="358"/>
        <v>5</v>
      </c>
      <c r="FV65" s="995">
        <f t="shared" si="359"/>
        <v>5</v>
      </c>
      <c r="FW65" s="995">
        <f t="shared" si="360"/>
        <v>5</v>
      </c>
      <c r="FX65" s="995">
        <f t="shared" si="361"/>
        <v>5</v>
      </c>
      <c r="FY65" s="995">
        <f t="shared" si="362"/>
        <v>5</v>
      </c>
      <c r="FZ65" s="995">
        <f t="shared" si="363"/>
        <v>3.5</v>
      </c>
      <c r="GA65" s="995">
        <f t="shared" si="364"/>
        <v>2</v>
      </c>
      <c r="GB65" s="995">
        <f t="shared" si="365"/>
        <v>2</v>
      </c>
      <c r="GC65" s="995">
        <f t="shared" si="366"/>
        <v>2</v>
      </c>
      <c r="GD65" s="996">
        <f t="shared" si="367"/>
        <v>2</v>
      </c>
      <c r="GF65" s="994">
        <f t="shared" si="395"/>
        <v>2</v>
      </c>
      <c r="GG65" s="995">
        <f t="shared" si="368"/>
        <v>2</v>
      </c>
      <c r="GH65" s="995">
        <f t="shared" si="369"/>
        <v>2</v>
      </c>
      <c r="GI65" s="995">
        <f t="shared" si="370"/>
        <v>2</v>
      </c>
      <c r="GJ65" s="995">
        <f t="shared" si="371"/>
        <v>2</v>
      </c>
      <c r="GK65" s="995">
        <f t="shared" si="372"/>
        <v>2</v>
      </c>
      <c r="GL65" s="995">
        <f t="shared" si="373"/>
        <v>2</v>
      </c>
      <c r="GM65" s="995">
        <f t="shared" si="374"/>
        <v>2</v>
      </c>
      <c r="GN65" s="995">
        <f t="shared" si="375"/>
        <v>2</v>
      </c>
      <c r="GO65" s="995">
        <f t="shared" si="376"/>
        <v>2</v>
      </c>
      <c r="GP65" s="995">
        <f t="shared" si="377"/>
        <v>2</v>
      </c>
      <c r="GQ65" s="996">
        <f t="shared" si="378"/>
        <v>2</v>
      </c>
      <c r="GS65" s="994">
        <f t="shared" si="396"/>
        <v>2</v>
      </c>
      <c r="GT65" s="995">
        <f t="shared" si="379"/>
        <v>2</v>
      </c>
      <c r="GU65" s="995">
        <f t="shared" si="380"/>
        <v>2</v>
      </c>
      <c r="GV65" s="995">
        <f t="shared" si="381"/>
        <v>2</v>
      </c>
      <c r="GW65" s="995">
        <f t="shared" si="382"/>
        <v>2</v>
      </c>
      <c r="GX65" s="995">
        <f t="shared" si="383"/>
        <v>2</v>
      </c>
      <c r="GY65" s="995">
        <f t="shared" si="384"/>
        <v>2</v>
      </c>
      <c r="GZ65" s="995">
        <f t="shared" si="385"/>
        <v>2</v>
      </c>
      <c r="HA65" s="995">
        <f t="shared" si="386"/>
        <v>2</v>
      </c>
      <c r="HB65" s="995">
        <f t="shared" si="387"/>
        <v>2</v>
      </c>
      <c r="HC65" s="995">
        <f t="shared" si="388"/>
        <v>2</v>
      </c>
      <c r="HD65" s="996">
        <f t="shared" si="389"/>
        <v>2</v>
      </c>
    </row>
    <row r="66" spans="2:212" ht="14.25">
      <c r="B66" s="946" t="s">
        <v>151</v>
      </c>
      <c r="C66" s="31"/>
      <c r="D66" s="31"/>
      <c r="E66" s="31"/>
      <c r="F66" s="31"/>
      <c r="G66" s="31"/>
      <c r="H66" s="1089"/>
      <c r="I66" s="1089"/>
      <c r="N66" s="1684"/>
      <c r="O66" s="957" t="s">
        <v>127</v>
      </c>
      <c r="P66" s="606">
        <v>19</v>
      </c>
      <c r="Q66" s="606">
        <v>9</v>
      </c>
      <c r="R66" s="606">
        <v>13</v>
      </c>
      <c r="S66" s="606">
        <v>11</v>
      </c>
      <c r="T66" s="606">
        <v>10</v>
      </c>
      <c r="U66" s="606">
        <v>15</v>
      </c>
      <c r="V66" s="606">
        <v>8</v>
      </c>
      <c r="X66" s="1080"/>
      <c r="Y66" s="606">
        <f>368+90</f>
        <v>458</v>
      </c>
      <c r="AA66" s="1684"/>
      <c r="AB66" s="957" t="s">
        <v>127</v>
      </c>
      <c r="DK66" s="1684"/>
      <c r="DL66" s="957" t="s">
        <v>127</v>
      </c>
      <c r="DN66" s="994">
        <v>10</v>
      </c>
      <c r="DO66" s="995">
        <v>6</v>
      </c>
      <c r="DP66" s="995">
        <v>1</v>
      </c>
      <c r="DQ66" s="995">
        <v>5</v>
      </c>
      <c r="DR66" s="996">
        <v>15</v>
      </c>
      <c r="DS66" s="978"/>
      <c r="DT66" s="994">
        <v>10</v>
      </c>
      <c r="DU66" s="995">
        <v>6</v>
      </c>
      <c r="DV66" s="995">
        <v>1</v>
      </c>
      <c r="DW66" s="995">
        <v>5</v>
      </c>
      <c r="DX66" s="996">
        <v>15</v>
      </c>
      <c r="DY66" s="978"/>
      <c r="DZ66" s="994">
        <v>10</v>
      </c>
      <c r="EA66" s="995">
        <f t="shared" si="390"/>
        <v>5</v>
      </c>
      <c r="EB66" s="995">
        <f t="shared" si="390"/>
        <v>1</v>
      </c>
      <c r="EC66" s="995">
        <f t="shared" si="390"/>
        <v>5</v>
      </c>
      <c r="ED66" s="996">
        <f t="shared" si="390"/>
        <v>15</v>
      </c>
      <c r="EF66" s="994">
        <f t="shared" si="391"/>
        <v>7</v>
      </c>
      <c r="EG66" s="995">
        <f t="shared" si="334"/>
        <v>20</v>
      </c>
      <c r="EH66" s="995">
        <f t="shared" si="334"/>
        <v>15</v>
      </c>
      <c r="EI66" s="995">
        <f t="shared" si="334"/>
        <v>18</v>
      </c>
      <c r="EJ66" s="995">
        <f t="shared" si="334"/>
        <v>27.5</v>
      </c>
      <c r="EK66" s="995">
        <f t="shared" si="334"/>
        <v>29.25</v>
      </c>
      <c r="EL66" s="995">
        <f t="shared" si="334"/>
        <v>21.6</v>
      </c>
      <c r="EM66" s="995">
        <f t="shared" si="334"/>
        <v>20.7</v>
      </c>
      <c r="EN66" s="995">
        <f t="shared" si="334"/>
        <v>11.35</v>
      </c>
      <c r="EO66" s="995">
        <f t="shared" si="334"/>
        <v>2</v>
      </c>
      <c r="EP66" s="995">
        <f t="shared" si="334"/>
        <v>3.5</v>
      </c>
      <c r="EQ66" s="996">
        <f t="shared" si="334"/>
        <v>5.5</v>
      </c>
      <c r="ES66" s="994">
        <f t="shared" si="392"/>
        <v>6.5</v>
      </c>
      <c r="ET66" s="995">
        <f t="shared" si="335"/>
        <v>7</v>
      </c>
      <c r="EU66" s="995">
        <f t="shared" si="336"/>
        <v>7</v>
      </c>
      <c r="EV66" s="995">
        <f t="shared" si="337"/>
        <v>7</v>
      </c>
      <c r="EW66" s="995">
        <f t="shared" si="338"/>
        <v>7</v>
      </c>
      <c r="EX66" s="995">
        <f t="shared" si="339"/>
        <v>7</v>
      </c>
      <c r="EY66" s="995">
        <f t="shared" si="340"/>
        <v>6</v>
      </c>
      <c r="EZ66" s="995">
        <f t="shared" si="341"/>
        <v>5</v>
      </c>
      <c r="FA66" s="995">
        <f t="shared" si="342"/>
        <v>3.5</v>
      </c>
      <c r="FB66" s="995">
        <f t="shared" si="343"/>
        <v>2</v>
      </c>
      <c r="FC66" s="995">
        <f t="shared" si="344"/>
        <v>4.5</v>
      </c>
      <c r="FD66" s="996">
        <f t="shared" si="345"/>
        <v>7</v>
      </c>
      <c r="FF66" s="994">
        <f t="shared" si="393"/>
        <v>7</v>
      </c>
      <c r="FG66" s="995">
        <f t="shared" si="346"/>
        <v>7</v>
      </c>
      <c r="FH66" s="995">
        <f t="shared" si="347"/>
        <v>7</v>
      </c>
      <c r="FI66" s="995">
        <f t="shared" si="348"/>
        <v>7</v>
      </c>
      <c r="FJ66" s="995">
        <f t="shared" si="349"/>
        <v>7</v>
      </c>
      <c r="FK66" s="995">
        <f t="shared" si="350"/>
        <v>7</v>
      </c>
      <c r="FL66" s="995">
        <f t="shared" si="351"/>
        <v>7</v>
      </c>
      <c r="FM66" s="995">
        <f t="shared" si="352"/>
        <v>7</v>
      </c>
      <c r="FN66" s="995">
        <f t="shared" si="353"/>
        <v>4.5</v>
      </c>
      <c r="FO66" s="995">
        <f t="shared" si="354"/>
        <v>2</v>
      </c>
      <c r="FP66" s="995">
        <f t="shared" si="355"/>
        <v>4.5</v>
      </c>
      <c r="FQ66" s="996">
        <f t="shared" si="356"/>
        <v>6</v>
      </c>
      <c r="FS66" s="994">
        <f t="shared" si="394"/>
        <v>5</v>
      </c>
      <c r="FT66" s="995">
        <f t="shared" si="357"/>
        <v>5</v>
      </c>
      <c r="FU66" s="995">
        <f t="shared" si="358"/>
        <v>5</v>
      </c>
      <c r="FV66" s="995">
        <f t="shared" si="359"/>
        <v>5</v>
      </c>
      <c r="FW66" s="995">
        <f t="shared" si="360"/>
        <v>5</v>
      </c>
      <c r="FX66" s="995">
        <f t="shared" si="361"/>
        <v>5</v>
      </c>
      <c r="FY66" s="995">
        <f t="shared" si="362"/>
        <v>5</v>
      </c>
      <c r="FZ66" s="995">
        <f t="shared" si="363"/>
        <v>5</v>
      </c>
      <c r="GA66" s="995">
        <f t="shared" si="364"/>
        <v>3.5</v>
      </c>
      <c r="GB66" s="995">
        <f t="shared" si="365"/>
        <v>2</v>
      </c>
      <c r="GC66" s="995">
        <f t="shared" si="366"/>
        <v>2</v>
      </c>
      <c r="GD66" s="996">
        <f t="shared" si="367"/>
        <v>2</v>
      </c>
      <c r="GF66" s="994">
        <f t="shared" si="395"/>
        <v>2</v>
      </c>
      <c r="GG66" s="995">
        <f t="shared" si="368"/>
        <v>2</v>
      </c>
      <c r="GH66" s="995">
        <f t="shared" si="369"/>
        <v>2</v>
      </c>
      <c r="GI66" s="995">
        <f t="shared" si="370"/>
        <v>2</v>
      </c>
      <c r="GJ66" s="995">
        <f t="shared" si="371"/>
        <v>2</v>
      </c>
      <c r="GK66" s="995">
        <f t="shared" si="372"/>
        <v>2</v>
      </c>
      <c r="GL66" s="995">
        <f t="shared" si="373"/>
        <v>2</v>
      </c>
      <c r="GM66" s="995">
        <f t="shared" si="374"/>
        <v>2</v>
      </c>
      <c r="GN66" s="995">
        <f t="shared" si="375"/>
        <v>2</v>
      </c>
      <c r="GO66" s="995">
        <f t="shared" si="376"/>
        <v>2</v>
      </c>
      <c r="GP66" s="995">
        <f t="shared" si="377"/>
        <v>2</v>
      </c>
      <c r="GQ66" s="996">
        <f t="shared" si="378"/>
        <v>2</v>
      </c>
      <c r="GS66" s="994">
        <f t="shared" si="396"/>
        <v>2</v>
      </c>
      <c r="GT66" s="995">
        <f t="shared" si="379"/>
        <v>2</v>
      </c>
      <c r="GU66" s="995">
        <f t="shared" si="380"/>
        <v>2</v>
      </c>
      <c r="GV66" s="995">
        <f t="shared" si="381"/>
        <v>2</v>
      </c>
      <c r="GW66" s="995">
        <f t="shared" si="382"/>
        <v>2</v>
      </c>
      <c r="GX66" s="995">
        <f t="shared" si="383"/>
        <v>2</v>
      </c>
      <c r="GY66" s="995">
        <f t="shared" si="384"/>
        <v>2</v>
      </c>
      <c r="GZ66" s="995">
        <f t="shared" si="385"/>
        <v>2</v>
      </c>
      <c r="HA66" s="995">
        <f t="shared" si="386"/>
        <v>2</v>
      </c>
      <c r="HB66" s="995">
        <f t="shared" si="387"/>
        <v>2</v>
      </c>
      <c r="HC66" s="995">
        <f t="shared" si="388"/>
        <v>2</v>
      </c>
      <c r="HD66" s="996">
        <f t="shared" si="389"/>
        <v>2</v>
      </c>
    </row>
    <row r="67" spans="2:212" ht="14.25">
      <c r="B67" s="1090" t="s">
        <v>152</v>
      </c>
      <c r="C67" s="217"/>
      <c r="D67" s="217"/>
      <c r="E67" s="31"/>
      <c r="F67" s="31"/>
      <c r="G67" s="31"/>
      <c r="H67" s="1089"/>
      <c r="I67" s="1089"/>
      <c r="N67" s="1047"/>
      <c r="O67" s="957" t="s">
        <v>1062</v>
      </c>
      <c r="X67" s="1080"/>
      <c r="AA67" s="1047"/>
      <c r="AB67" s="957" t="s">
        <v>1062</v>
      </c>
      <c r="DK67" s="1450"/>
      <c r="DL67" s="957" t="s">
        <v>1062</v>
      </c>
      <c r="DN67" s="994"/>
      <c r="DO67" s="995"/>
      <c r="DP67" s="995"/>
      <c r="DQ67" s="995"/>
      <c r="DR67" s="996"/>
      <c r="DT67" s="994"/>
      <c r="DU67" s="995"/>
      <c r="DV67" s="995"/>
      <c r="DW67" s="995"/>
      <c r="DX67" s="996"/>
      <c r="DZ67" s="994"/>
      <c r="EA67" s="995"/>
      <c r="EB67" s="995"/>
      <c r="EC67" s="995"/>
      <c r="ED67" s="996"/>
      <c r="EF67" s="994"/>
      <c r="EG67" s="995"/>
      <c r="EH67" s="995"/>
      <c r="EI67" s="995"/>
      <c r="EJ67" s="995"/>
      <c r="EK67" s="995"/>
      <c r="EL67" s="995"/>
      <c r="EM67" s="995"/>
      <c r="EN67" s="995"/>
      <c r="EO67" s="995"/>
      <c r="EP67" s="995"/>
      <c r="EQ67" s="996"/>
      <c r="ES67" s="994"/>
      <c r="ET67" s="995"/>
      <c r="EU67" s="995"/>
      <c r="EV67" s="995"/>
      <c r="EW67" s="995"/>
      <c r="EX67" s="995"/>
      <c r="EY67" s="995"/>
      <c r="EZ67" s="995"/>
      <c r="FA67" s="995"/>
      <c r="FB67" s="995"/>
      <c r="FC67" s="995"/>
      <c r="FD67" s="996"/>
      <c r="FF67" s="994"/>
      <c r="FG67" s="995"/>
      <c r="FH67" s="995"/>
      <c r="FI67" s="995"/>
      <c r="FJ67" s="995"/>
      <c r="FK67" s="995"/>
      <c r="FL67" s="995"/>
      <c r="FM67" s="995"/>
      <c r="FN67" s="995"/>
      <c r="FO67" s="995"/>
      <c r="FP67" s="995"/>
      <c r="FQ67" s="996"/>
      <c r="FS67" s="994"/>
      <c r="FT67" s="995"/>
      <c r="FU67" s="995"/>
      <c r="FV67" s="995"/>
      <c r="FW67" s="995"/>
      <c r="FX67" s="995"/>
      <c r="FY67" s="995"/>
      <c r="FZ67" s="995"/>
      <c r="GA67" s="995"/>
      <c r="GB67" s="995"/>
      <c r="GC67" s="995"/>
      <c r="GD67" s="996"/>
      <c r="GF67" s="994"/>
      <c r="GG67" s="995"/>
      <c r="GH67" s="995"/>
      <c r="GI67" s="995"/>
      <c r="GJ67" s="995"/>
      <c r="GK67" s="995"/>
      <c r="GL67" s="995"/>
      <c r="GM67" s="995"/>
      <c r="GN67" s="995"/>
      <c r="GO67" s="995"/>
      <c r="GP67" s="995"/>
      <c r="GQ67" s="996"/>
      <c r="GS67" s="994"/>
      <c r="GT67" s="995"/>
      <c r="GU67" s="995"/>
      <c r="GV67" s="995"/>
      <c r="GW67" s="995"/>
      <c r="GX67" s="995"/>
      <c r="GY67" s="995"/>
      <c r="GZ67" s="995"/>
      <c r="HA67" s="995"/>
      <c r="HB67" s="995"/>
      <c r="HC67" s="995"/>
      <c r="HD67" s="996"/>
    </row>
    <row r="68" spans="2:212" ht="15">
      <c r="B68" s="1090" t="s">
        <v>1078</v>
      </c>
      <c r="C68" s="1091"/>
      <c r="D68" s="1091"/>
      <c r="E68" s="1092"/>
      <c r="F68" s="1093"/>
      <c r="G68" s="1094"/>
      <c r="H68" s="1092"/>
      <c r="I68" s="1092"/>
      <c r="O68" s="957"/>
      <c r="X68" s="1080"/>
      <c r="AB68" s="957"/>
      <c r="AK68" s="956">
        <v>1</v>
      </c>
      <c r="AL68" s="956">
        <v>1.1000000000000001</v>
      </c>
      <c r="AM68" s="956">
        <v>1</v>
      </c>
      <c r="AN68" s="956">
        <v>1.1000000000000001</v>
      </c>
      <c r="AO68" s="956">
        <v>1.1000000000000001</v>
      </c>
      <c r="AP68" s="956">
        <v>1</v>
      </c>
      <c r="AQ68" s="956">
        <v>0.9</v>
      </c>
      <c r="AR68" s="956">
        <v>1</v>
      </c>
      <c r="AS68" s="956">
        <v>1</v>
      </c>
      <c r="AT68" s="956">
        <v>1.1000000000000001</v>
      </c>
      <c r="AU68" s="956">
        <v>1.1000000000000001</v>
      </c>
      <c r="AV68" s="956">
        <v>1</v>
      </c>
      <c r="AW68" s="956">
        <v>1.1000000000000001</v>
      </c>
      <c r="AX68" s="956">
        <v>1.1000000000000001</v>
      </c>
      <c r="AY68" s="956">
        <v>1</v>
      </c>
      <c r="AZ68" s="956">
        <v>1.1000000000000001</v>
      </c>
      <c r="BA68" s="956">
        <v>1.1000000000000001</v>
      </c>
      <c r="BB68" s="956">
        <v>1</v>
      </c>
      <c r="BC68" s="956">
        <v>0.9</v>
      </c>
      <c r="BD68" s="956">
        <v>1</v>
      </c>
      <c r="BE68" s="956">
        <v>1</v>
      </c>
      <c r="BF68" s="956">
        <v>1.1000000000000001</v>
      </c>
      <c r="BG68" s="956">
        <v>1.1000000000000001</v>
      </c>
      <c r="BH68" s="956">
        <v>1</v>
      </c>
      <c r="BI68" s="956">
        <v>1.1000000000000001</v>
      </c>
      <c r="BJ68" s="956">
        <v>1.1000000000000001</v>
      </c>
      <c r="BK68" s="956">
        <v>1</v>
      </c>
      <c r="BL68" s="956">
        <v>1.1000000000000001</v>
      </c>
      <c r="BM68" s="956">
        <v>1.1000000000000001</v>
      </c>
      <c r="BN68" s="956">
        <v>1</v>
      </c>
      <c r="BO68" s="956">
        <v>0.9</v>
      </c>
      <c r="BP68" s="956">
        <v>1</v>
      </c>
      <c r="BQ68" s="956">
        <v>1</v>
      </c>
      <c r="BR68" s="956">
        <v>1.1000000000000001</v>
      </c>
      <c r="BS68" s="956">
        <v>1.1000000000000001</v>
      </c>
      <c r="BT68" s="956">
        <v>1</v>
      </c>
      <c r="BU68" s="956">
        <v>1.1000000000000001</v>
      </c>
      <c r="BV68" s="956">
        <v>1.1000000000000001</v>
      </c>
      <c r="BW68" s="956">
        <v>1</v>
      </c>
      <c r="BX68" s="956">
        <v>1.1000000000000001</v>
      </c>
      <c r="BY68" s="956">
        <v>1.1000000000000001</v>
      </c>
      <c r="BZ68" s="956">
        <v>1</v>
      </c>
      <c r="CA68" s="956">
        <v>0.9</v>
      </c>
      <c r="CB68" s="956">
        <v>1</v>
      </c>
      <c r="CC68" s="956">
        <v>1</v>
      </c>
      <c r="CD68" s="956">
        <v>1.1000000000000001</v>
      </c>
      <c r="CE68" s="956">
        <v>1.1000000000000001</v>
      </c>
      <c r="CF68" s="956">
        <v>1</v>
      </c>
      <c r="CG68" s="956">
        <v>1.1000000000000001</v>
      </c>
      <c r="CH68" s="956">
        <v>1.1000000000000001</v>
      </c>
      <c r="CI68" s="956">
        <v>1</v>
      </c>
      <c r="CJ68" s="956">
        <v>1.1000000000000001</v>
      </c>
      <c r="CK68" s="956">
        <v>1.1000000000000001</v>
      </c>
      <c r="CL68" s="956">
        <v>1</v>
      </c>
      <c r="CM68" s="956">
        <v>0.9</v>
      </c>
      <c r="CN68" s="956">
        <v>1</v>
      </c>
      <c r="CO68" s="956">
        <v>1</v>
      </c>
      <c r="CP68" s="956">
        <v>1.1000000000000001</v>
      </c>
      <c r="CQ68" s="956">
        <v>1.1000000000000001</v>
      </c>
      <c r="CR68" s="956">
        <v>1</v>
      </c>
      <c r="CS68" s="956">
        <v>1.1000000000000001</v>
      </c>
      <c r="CT68" s="956">
        <v>1.1000000000000001</v>
      </c>
      <c r="CU68" s="956">
        <v>1</v>
      </c>
      <c r="CV68" s="956">
        <v>1.1000000000000001</v>
      </c>
      <c r="CW68" s="956">
        <v>1.1000000000000001</v>
      </c>
      <c r="CX68" s="956">
        <v>1</v>
      </c>
      <c r="CY68" s="956">
        <v>0.9</v>
      </c>
      <c r="CZ68" s="956">
        <v>1</v>
      </c>
      <c r="DA68" s="956">
        <v>1</v>
      </c>
      <c r="DB68" s="956">
        <v>1.1000000000000001</v>
      </c>
      <c r="DC68" s="956">
        <v>1.1000000000000001</v>
      </c>
      <c r="DD68" s="956">
        <v>1</v>
      </c>
      <c r="DE68" s="956">
        <v>1.1000000000000001</v>
      </c>
      <c r="DF68" s="956">
        <v>1.1000000000000001</v>
      </c>
      <c r="DG68" s="956">
        <v>1</v>
      </c>
      <c r="DH68" s="956">
        <v>1.1000000000000001</v>
      </c>
      <c r="DI68" s="956">
        <v>1.1000000000000001</v>
      </c>
      <c r="DL68" s="957"/>
      <c r="DN68" s="994"/>
      <c r="DO68" s="995"/>
      <c r="DP68" s="995"/>
      <c r="DQ68" s="995"/>
      <c r="DR68" s="996"/>
      <c r="DT68" s="994"/>
      <c r="DU68" s="995"/>
      <c r="DV68" s="995"/>
      <c r="DW68" s="995"/>
      <c r="DX68" s="996"/>
      <c r="DZ68" s="994"/>
      <c r="EA68" s="995"/>
      <c r="EB68" s="995"/>
      <c r="EC68" s="995"/>
      <c r="ED68" s="996"/>
      <c r="EF68" s="994"/>
      <c r="EG68" s="995"/>
      <c r="EH68" s="995"/>
      <c r="EI68" s="995"/>
      <c r="EJ68" s="995"/>
      <c r="EK68" s="995"/>
      <c r="EL68" s="995"/>
      <c r="EM68" s="995"/>
      <c r="EN68" s="995"/>
      <c r="EO68" s="995"/>
      <c r="EP68" s="995"/>
      <c r="EQ68" s="996"/>
      <c r="ES68" s="994"/>
      <c r="ET68" s="995"/>
      <c r="EU68" s="995"/>
      <c r="EV68" s="995"/>
      <c r="EW68" s="995"/>
      <c r="EX68" s="995"/>
      <c r="EY68" s="995"/>
      <c r="EZ68" s="995"/>
      <c r="FA68" s="995"/>
      <c r="FB68" s="995"/>
      <c r="FC68" s="995"/>
      <c r="FD68" s="996"/>
      <c r="FF68" s="994"/>
      <c r="FG68" s="995"/>
      <c r="FH68" s="995"/>
      <c r="FI68" s="995"/>
      <c r="FJ68" s="995"/>
      <c r="FK68" s="995"/>
      <c r="FL68" s="995"/>
      <c r="FM68" s="995"/>
      <c r="FN68" s="995"/>
      <c r="FO68" s="995"/>
      <c r="FP68" s="995"/>
      <c r="FQ68" s="996"/>
      <c r="FS68" s="994"/>
      <c r="FT68" s="995"/>
      <c r="FU68" s="995"/>
      <c r="FV68" s="995"/>
      <c r="FW68" s="995"/>
      <c r="FX68" s="995"/>
      <c r="FY68" s="995"/>
      <c r="FZ68" s="995"/>
      <c r="GA68" s="995"/>
      <c r="GB68" s="995"/>
      <c r="GC68" s="995"/>
      <c r="GD68" s="996"/>
      <c r="GF68" s="994"/>
      <c r="GG68" s="995"/>
      <c r="GH68" s="995"/>
      <c r="GI68" s="995"/>
      <c r="GJ68" s="995"/>
      <c r="GK68" s="995"/>
      <c r="GL68" s="995"/>
      <c r="GM68" s="995"/>
      <c r="GN68" s="995"/>
      <c r="GO68" s="995"/>
      <c r="GP68" s="995"/>
      <c r="GQ68" s="996"/>
      <c r="GS68" s="994"/>
      <c r="GT68" s="995"/>
      <c r="GU68" s="995"/>
      <c r="GV68" s="995"/>
      <c r="GW68" s="995"/>
      <c r="GX68" s="995"/>
      <c r="GY68" s="995"/>
      <c r="GZ68" s="995"/>
      <c r="HA68" s="995"/>
      <c r="HB68" s="995"/>
      <c r="HC68" s="995"/>
      <c r="HD68" s="996"/>
    </row>
    <row r="69" spans="2:212" ht="14.25" customHeight="1">
      <c r="B69" s="958" t="s">
        <v>154</v>
      </c>
      <c r="C69" s="31"/>
      <c r="D69" s="31"/>
      <c r="E69" s="32"/>
      <c r="F69" s="31"/>
      <c r="G69" s="31"/>
      <c r="H69" s="1089"/>
      <c r="I69" s="1089"/>
      <c r="N69" s="1684" t="s">
        <v>1044</v>
      </c>
      <c r="O69" s="957" t="s">
        <v>119</v>
      </c>
      <c r="P69" s="606">
        <v>4</v>
      </c>
      <c r="Q69" s="606">
        <v>0</v>
      </c>
      <c r="R69" s="606">
        <v>5</v>
      </c>
      <c r="S69" s="606">
        <v>9</v>
      </c>
      <c r="T69" s="606">
        <v>7</v>
      </c>
      <c r="U69" s="606">
        <v>18</v>
      </c>
      <c r="V69" s="606">
        <v>9</v>
      </c>
      <c r="X69" s="1080"/>
      <c r="AA69" s="1684" t="s">
        <v>1044</v>
      </c>
      <c r="AB69" s="957" t="s">
        <v>119</v>
      </c>
      <c r="AC69" s="610">
        <f t="shared" ref="AC69:AI77" si="397">P69/P58</f>
        <v>0.5714285714285714</v>
      </c>
      <c r="AD69" s="610">
        <f t="shared" si="397"/>
        <v>0</v>
      </c>
      <c r="AE69" s="610">
        <f t="shared" si="397"/>
        <v>1</v>
      </c>
      <c r="AF69" s="610">
        <f t="shared" si="397"/>
        <v>0.5625</v>
      </c>
      <c r="AG69" s="610">
        <f t="shared" si="397"/>
        <v>0.875</v>
      </c>
      <c r="AH69" s="610">
        <f t="shared" si="397"/>
        <v>0.9</v>
      </c>
      <c r="AI69" s="610">
        <f t="shared" si="397"/>
        <v>0.6</v>
      </c>
      <c r="AJ69" s="952">
        <f t="shared" ref="AJ69:AJ77" si="398">AVERAGE(AC69:AI69)</f>
        <v>0.64413265306122447</v>
      </c>
      <c r="AK69" s="952">
        <f t="shared" ref="AK69:AK77" si="399">AJ69*$AK$68</f>
        <v>0.64413265306122447</v>
      </c>
      <c r="AL69" s="952">
        <f>AK69*$AL$68</f>
        <v>0.70854591836734693</v>
      </c>
      <c r="AM69" s="952">
        <f t="shared" ref="AM69:AM77" si="400">AL69*$AM$68</f>
        <v>0.70854591836734693</v>
      </c>
      <c r="AN69" s="952">
        <f t="shared" ref="AN69:AN77" si="401">AM69*$AN$68</f>
        <v>0.77940051020408163</v>
      </c>
      <c r="AO69" s="952">
        <f t="shared" ref="AO69:AO77" si="402">AN69*$AO$68</f>
        <v>0.85734056122448987</v>
      </c>
      <c r="AP69" s="1053">
        <v>0.6</v>
      </c>
      <c r="AQ69" s="1053">
        <f>AP69*AQ$68</f>
        <v>0.54</v>
      </c>
      <c r="AR69" s="1053">
        <f>AQ69*AR$68</f>
        <v>0.54</v>
      </c>
      <c r="AS69" s="1053">
        <f t="shared" ref="AS69:BA69" si="403">AR69*AS$68</f>
        <v>0.54</v>
      </c>
      <c r="AT69" s="1053">
        <f t="shared" si="403"/>
        <v>0.59400000000000008</v>
      </c>
      <c r="AU69" s="1053">
        <f t="shared" si="403"/>
        <v>0.65340000000000009</v>
      </c>
      <c r="AV69" s="1053">
        <f t="shared" si="403"/>
        <v>0.65340000000000009</v>
      </c>
      <c r="AW69" s="1053">
        <f t="shared" si="403"/>
        <v>0.71874000000000016</v>
      </c>
      <c r="AX69" s="1053">
        <f t="shared" si="403"/>
        <v>0.79061400000000026</v>
      </c>
      <c r="AY69" s="1053">
        <f t="shared" si="403"/>
        <v>0.79061400000000026</v>
      </c>
      <c r="AZ69" s="1053">
        <f t="shared" si="403"/>
        <v>0.86967540000000032</v>
      </c>
      <c r="BA69" s="1053">
        <f t="shared" si="403"/>
        <v>0.95664294000000039</v>
      </c>
      <c r="BB69" s="1053">
        <v>0.6</v>
      </c>
      <c r="BC69" s="1053">
        <f>BB69*BC$68</f>
        <v>0.54</v>
      </c>
      <c r="BD69" s="1053">
        <f>BC69*BD$68</f>
        <v>0.54</v>
      </c>
      <c r="BE69" s="1053">
        <f t="shared" ref="BE69:BE77" si="404">BD69*BE$68</f>
        <v>0.54</v>
      </c>
      <c r="BF69" s="1053">
        <f t="shared" ref="BF69:BF77" si="405">BE69*BF$68</f>
        <v>0.59400000000000008</v>
      </c>
      <c r="BG69" s="1053">
        <f t="shared" ref="BG69:BG77" si="406">BF69*BG$68</f>
        <v>0.65340000000000009</v>
      </c>
      <c r="BH69" s="1053">
        <f t="shared" ref="BH69:BH77" si="407">BG69*BH$68</f>
        <v>0.65340000000000009</v>
      </c>
      <c r="BI69" s="1053">
        <f t="shared" ref="BI69:BI77" si="408">BH69*BI$68</f>
        <v>0.71874000000000016</v>
      </c>
      <c r="BJ69" s="1053">
        <f t="shared" ref="BJ69:BJ77" si="409">BI69*BJ$68</f>
        <v>0.79061400000000026</v>
      </c>
      <c r="BK69" s="1053">
        <f t="shared" ref="BK69:BK77" si="410">BJ69*BK$68</f>
        <v>0.79061400000000026</v>
      </c>
      <c r="BL69" s="1053">
        <f t="shared" ref="BL69:BL77" si="411">BK69*BL$68</f>
        <v>0.86967540000000032</v>
      </c>
      <c r="BM69" s="1053">
        <f t="shared" ref="BM69:BM77" si="412">BL69*BM$68</f>
        <v>0.95664294000000039</v>
      </c>
      <c r="BN69" s="1053">
        <v>0.6</v>
      </c>
      <c r="BO69" s="1053">
        <f>BN69*BO$68</f>
        <v>0.54</v>
      </c>
      <c r="BP69" s="1053">
        <f>BO69*BP$68</f>
        <v>0.54</v>
      </c>
      <c r="BQ69" s="1053">
        <f t="shared" ref="BQ69:BQ77" si="413">BP69*BQ$68</f>
        <v>0.54</v>
      </c>
      <c r="BR69" s="1053">
        <f t="shared" ref="BR69:BR77" si="414">BQ69*BR$68</f>
        <v>0.59400000000000008</v>
      </c>
      <c r="BS69" s="1053">
        <f t="shared" ref="BS69:BS77" si="415">BR69*BS$68</f>
        <v>0.65340000000000009</v>
      </c>
      <c r="BT69" s="1053">
        <f t="shared" ref="BT69:BT77" si="416">BS69*BT$68</f>
        <v>0.65340000000000009</v>
      </c>
      <c r="BU69" s="1053">
        <f t="shared" ref="BU69:BU77" si="417">BT69*BU$68</f>
        <v>0.71874000000000016</v>
      </c>
      <c r="BV69" s="1053">
        <f t="shared" ref="BV69:BV77" si="418">BU69*BV$68</f>
        <v>0.79061400000000026</v>
      </c>
      <c r="BW69" s="1053">
        <f t="shared" ref="BW69:BW77" si="419">BV69*BW$68</f>
        <v>0.79061400000000026</v>
      </c>
      <c r="BX69" s="1053">
        <f t="shared" ref="BX69:BX77" si="420">BW69*BX$68</f>
        <v>0.86967540000000032</v>
      </c>
      <c r="BY69" s="1053">
        <f t="shared" ref="BY69:BY77" si="421">BX69*BY$68</f>
        <v>0.95664294000000039</v>
      </c>
      <c r="BZ69" s="1053">
        <v>0.6</v>
      </c>
      <c r="CA69" s="1053">
        <f>BZ69*CA$68</f>
        <v>0.54</v>
      </c>
      <c r="CB69" s="1053">
        <f>CA69*CB$68</f>
        <v>0.54</v>
      </c>
      <c r="CC69" s="1053">
        <f t="shared" ref="CC69:CC77" si="422">CB69*CC$68</f>
        <v>0.54</v>
      </c>
      <c r="CD69" s="1053">
        <f t="shared" ref="CD69:CD77" si="423">CC69*CD$68</f>
        <v>0.59400000000000008</v>
      </c>
      <c r="CE69" s="1053">
        <f t="shared" ref="CE69:CE77" si="424">CD69*CE$68</f>
        <v>0.65340000000000009</v>
      </c>
      <c r="CF69" s="1053">
        <f t="shared" ref="CF69:CF77" si="425">CE69*CF$68</f>
        <v>0.65340000000000009</v>
      </c>
      <c r="CG69" s="1053">
        <f t="shared" ref="CG69:CG77" si="426">CF69*CG$68</f>
        <v>0.71874000000000016</v>
      </c>
      <c r="CH69" s="1053">
        <f t="shared" ref="CH69:CH77" si="427">CG69*CH$68</f>
        <v>0.79061400000000026</v>
      </c>
      <c r="CI69" s="1053">
        <f t="shared" ref="CI69:CI77" si="428">CH69*CI$68</f>
        <v>0.79061400000000026</v>
      </c>
      <c r="CJ69" s="1053">
        <f t="shared" ref="CJ69:CJ77" si="429">CI69*CJ$68</f>
        <v>0.86967540000000032</v>
      </c>
      <c r="CK69" s="1053">
        <f t="shared" ref="CK69:CK77" si="430">CJ69*CK$68</f>
        <v>0.95664294000000039</v>
      </c>
      <c r="CL69" s="1053">
        <v>0.6</v>
      </c>
      <c r="CM69" s="1053">
        <f>CL69*CM$68</f>
        <v>0.54</v>
      </c>
      <c r="CN69" s="1053">
        <f>CM69*CN$68</f>
        <v>0.54</v>
      </c>
      <c r="CO69" s="1053">
        <f t="shared" ref="CO69:CO77" si="431">CN69*CO$68</f>
        <v>0.54</v>
      </c>
      <c r="CP69" s="1053">
        <f t="shared" ref="CP69:CP77" si="432">CO69*CP$68</f>
        <v>0.59400000000000008</v>
      </c>
      <c r="CQ69" s="1053">
        <f t="shared" ref="CQ69:CQ77" si="433">CP69*CQ$68</f>
        <v>0.65340000000000009</v>
      </c>
      <c r="CR69" s="1053">
        <f t="shared" ref="CR69:CR77" si="434">CQ69*CR$68</f>
        <v>0.65340000000000009</v>
      </c>
      <c r="CS69" s="1053">
        <f t="shared" ref="CS69:CS77" si="435">CR69*CS$68</f>
        <v>0.71874000000000016</v>
      </c>
      <c r="CT69" s="1053">
        <f t="shared" ref="CT69:CT77" si="436">CS69*CT$68</f>
        <v>0.79061400000000026</v>
      </c>
      <c r="CU69" s="1053">
        <f t="shared" ref="CU69:CU77" si="437">CT69*CU$68</f>
        <v>0.79061400000000026</v>
      </c>
      <c r="CV69" s="1053">
        <f t="shared" ref="CV69:CV77" si="438">CU69*CV$68</f>
        <v>0.86967540000000032</v>
      </c>
      <c r="CW69" s="1053">
        <f t="shared" ref="CW69:CW77" si="439">CV69*CW$68</f>
        <v>0.95664294000000039</v>
      </c>
      <c r="CX69" s="1053">
        <v>0.6</v>
      </c>
      <c r="CY69" s="1053">
        <f>CX69*CY$68</f>
        <v>0.54</v>
      </c>
      <c r="CZ69" s="1053">
        <f>CY69*CZ$68</f>
        <v>0.54</v>
      </c>
      <c r="DA69" s="1053">
        <f t="shared" ref="DA69:DA77" si="440">CZ69*DA$68</f>
        <v>0.54</v>
      </c>
      <c r="DB69" s="1053">
        <f t="shared" ref="DB69:DB77" si="441">DA69*DB$68</f>
        <v>0.59400000000000008</v>
      </c>
      <c r="DC69" s="1053">
        <f t="shared" ref="DC69:DC77" si="442">DB69*DC$68</f>
        <v>0.65340000000000009</v>
      </c>
      <c r="DD69" s="1053">
        <f t="shared" ref="DD69:DD77" si="443">DC69*DD$68</f>
        <v>0.65340000000000009</v>
      </c>
      <c r="DE69" s="1053">
        <f t="shared" ref="DE69:DE77" si="444">DD69*DE$68</f>
        <v>0.71874000000000016</v>
      </c>
      <c r="DF69" s="1053">
        <f t="shared" ref="DF69:DF77" si="445">DE69*DF$68</f>
        <v>0.79061400000000026</v>
      </c>
      <c r="DG69" s="1053">
        <f t="shared" ref="DG69:DG77" si="446">DF69*DG$68</f>
        <v>0.79061400000000026</v>
      </c>
      <c r="DH69" s="1053">
        <f t="shared" ref="DH69:DH77" si="447">DG69*DH$68</f>
        <v>0.86967540000000032</v>
      </c>
      <c r="DI69" s="1053">
        <f t="shared" ref="DI69:DI77" si="448">DH69*DI$68</f>
        <v>0.95664294000000039</v>
      </c>
      <c r="DK69" s="1684" t="s">
        <v>1044</v>
      </c>
      <c r="DL69" s="957" t="s">
        <v>119</v>
      </c>
      <c r="DN69" s="994">
        <v>13</v>
      </c>
      <c r="DO69" s="995">
        <f>DO58*$AJ$69</f>
        <v>17.713647959183675</v>
      </c>
      <c r="DP69" s="995">
        <f>DP58*$AJ$69</f>
        <v>18.840880102040817</v>
      </c>
      <c r="DQ69" s="995">
        <f>DQ58*$AJ$69</f>
        <v>13.913265306122449</v>
      </c>
      <c r="DR69" s="996">
        <f>DR58*$AJ$69</f>
        <v>13.333545918367346</v>
      </c>
      <c r="DT69" s="994">
        <v>13</v>
      </c>
      <c r="DU69" s="995">
        <f>DU58*$AH$69</f>
        <v>24.75</v>
      </c>
      <c r="DV69" s="995">
        <f>DV58*$AH$69</f>
        <v>26.324999999999999</v>
      </c>
      <c r="DW69" s="995">
        <f>DW58*$AH$69</f>
        <v>19.440000000000001</v>
      </c>
      <c r="DX69" s="996">
        <f>DX58*$AH$69</f>
        <v>18.63</v>
      </c>
      <c r="DZ69" s="994">
        <v>13</v>
      </c>
      <c r="EA69" s="995">
        <f>EA58*AL$69</f>
        <v>19.485012755102041</v>
      </c>
      <c r="EB69" s="995">
        <f>EB58*AM$69</f>
        <v>20.724968112244898</v>
      </c>
      <c r="EC69" s="995">
        <f>EC58*AN$69</f>
        <v>16.835051020408166</v>
      </c>
      <c r="ED69" s="996">
        <f>ED58*AO$69</f>
        <v>17.746949617346939</v>
      </c>
      <c r="EF69" s="994">
        <f>EF58*$AP69</f>
        <v>6.81</v>
      </c>
      <c r="EG69" s="995">
        <f t="shared" ref="EG69:EG78" si="449">EG58*AQ69</f>
        <v>1.08</v>
      </c>
      <c r="EH69" s="995">
        <f t="shared" ref="EH69:EH78" si="450">EH58*AR69</f>
        <v>1.8900000000000001</v>
      </c>
      <c r="EI69" s="995">
        <f t="shared" ref="EI69:EI78" si="451">EI58*AS69</f>
        <v>2.97</v>
      </c>
      <c r="EJ69" s="995">
        <f t="shared" ref="EJ69:EJ78" si="452">EJ58*AT69</f>
        <v>3.8610000000000007</v>
      </c>
      <c r="EK69" s="995">
        <f t="shared" ref="EK69:EK78" si="453">EK58*AU69</f>
        <v>4.5738000000000003</v>
      </c>
      <c r="EL69" s="995">
        <f t="shared" ref="EL69:EL78" si="454">EL58*AV69</f>
        <v>4.5738000000000003</v>
      </c>
      <c r="EM69" s="995">
        <f t="shared" ref="EM69:EM78" si="455">EM58*AW69</f>
        <v>5.0311800000000009</v>
      </c>
      <c r="EN69" s="995">
        <f t="shared" ref="EN69:EN78" si="456">EN58*AX69</f>
        <v>5.5342980000000015</v>
      </c>
      <c r="EO69" s="995">
        <f t="shared" ref="EO69:EO78" si="457">EO58*AY69</f>
        <v>5.5342980000000015</v>
      </c>
      <c r="EP69" s="995">
        <f t="shared" ref="EP69:EP78" si="458">EP58*AZ69</f>
        <v>5.2180524000000021</v>
      </c>
      <c r="EQ69" s="996">
        <f t="shared" ref="EQ69:EQ78" si="459">EQ58*BA69</f>
        <v>4.783214700000002</v>
      </c>
      <c r="ES69" s="994">
        <f>ES58*BB69</f>
        <v>2.1</v>
      </c>
      <c r="ET69" s="995">
        <f t="shared" ref="ET69:FD78" si="460">ET58*BC69</f>
        <v>1.08</v>
      </c>
      <c r="EU69" s="995">
        <f t="shared" si="460"/>
        <v>2.4300000000000002</v>
      </c>
      <c r="EV69" s="995">
        <f t="shared" si="460"/>
        <v>3.7800000000000002</v>
      </c>
      <c r="EW69" s="995">
        <f t="shared" si="460"/>
        <v>4.1580000000000004</v>
      </c>
      <c r="EX69" s="995">
        <f t="shared" si="460"/>
        <v>4.5738000000000003</v>
      </c>
      <c r="EY69" s="995">
        <f t="shared" si="460"/>
        <v>4.5738000000000003</v>
      </c>
      <c r="EZ69" s="995">
        <f t="shared" si="460"/>
        <v>5.0311800000000009</v>
      </c>
      <c r="FA69" s="995">
        <f t="shared" si="460"/>
        <v>5.5342980000000015</v>
      </c>
      <c r="FB69" s="995">
        <f t="shared" si="460"/>
        <v>5.5342980000000015</v>
      </c>
      <c r="FC69" s="995">
        <f t="shared" si="460"/>
        <v>6.0877278000000024</v>
      </c>
      <c r="FD69" s="996">
        <f t="shared" si="460"/>
        <v>6.696500580000003</v>
      </c>
      <c r="FF69" s="994">
        <f>FF58*BN69</f>
        <v>2.6999999999999997</v>
      </c>
      <c r="FG69" s="995">
        <f t="shared" ref="FG69:FQ78" si="461">FG58*BO69</f>
        <v>1.08</v>
      </c>
      <c r="FH69" s="995">
        <f t="shared" si="461"/>
        <v>2.4300000000000002</v>
      </c>
      <c r="FI69" s="995">
        <f t="shared" si="461"/>
        <v>3.24</v>
      </c>
      <c r="FJ69" s="995">
        <f t="shared" si="461"/>
        <v>2.9700000000000006</v>
      </c>
      <c r="FK69" s="995">
        <f t="shared" si="461"/>
        <v>3.2670000000000003</v>
      </c>
      <c r="FL69" s="995">
        <f t="shared" si="461"/>
        <v>3.2670000000000003</v>
      </c>
      <c r="FM69" s="995">
        <f t="shared" si="461"/>
        <v>3.593700000000001</v>
      </c>
      <c r="FN69" s="995">
        <f t="shared" si="461"/>
        <v>3.9530700000000012</v>
      </c>
      <c r="FO69" s="995">
        <f t="shared" si="461"/>
        <v>3.9530700000000012</v>
      </c>
      <c r="FP69" s="995">
        <f t="shared" si="461"/>
        <v>4.3483770000000019</v>
      </c>
      <c r="FQ69" s="996">
        <f t="shared" si="461"/>
        <v>4.783214700000002</v>
      </c>
      <c r="FS69" s="994">
        <f>FS58*BZ69</f>
        <v>2.1</v>
      </c>
      <c r="FT69" s="995">
        <f t="shared" ref="FT69:GD78" si="462">FT58*CA69</f>
        <v>1.08</v>
      </c>
      <c r="FU69" s="995">
        <f t="shared" si="462"/>
        <v>1.08</v>
      </c>
      <c r="FV69" s="995">
        <f t="shared" si="462"/>
        <v>1.08</v>
      </c>
      <c r="FW69" s="995">
        <f t="shared" si="462"/>
        <v>1.1880000000000002</v>
      </c>
      <c r="FX69" s="995">
        <f t="shared" si="462"/>
        <v>1.3068000000000002</v>
      </c>
      <c r="FY69" s="995">
        <f t="shared" si="462"/>
        <v>1.3068000000000002</v>
      </c>
      <c r="FZ69" s="995">
        <f t="shared" si="462"/>
        <v>1.4374800000000003</v>
      </c>
      <c r="GA69" s="995">
        <f t="shared" si="462"/>
        <v>1.5812280000000005</v>
      </c>
      <c r="GB69" s="995">
        <f t="shared" si="462"/>
        <v>1.5812280000000005</v>
      </c>
      <c r="GC69" s="995">
        <f t="shared" si="462"/>
        <v>1.7393508000000006</v>
      </c>
      <c r="GD69" s="996">
        <f t="shared" si="462"/>
        <v>1.9132858800000008</v>
      </c>
      <c r="GF69" s="994">
        <f>GF58*CL69</f>
        <v>1.2</v>
      </c>
      <c r="GG69" s="995">
        <f t="shared" ref="GG69:GQ78" si="463">GG58*CM69</f>
        <v>1.08</v>
      </c>
      <c r="GH69" s="995">
        <f t="shared" si="463"/>
        <v>1.08</v>
      </c>
      <c r="GI69" s="995">
        <f t="shared" si="463"/>
        <v>1.08</v>
      </c>
      <c r="GJ69" s="995">
        <f t="shared" si="463"/>
        <v>1.1880000000000002</v>
      </c>
      <c r="GK69" s="995">
        <f t="shared" si="463"/>
        <v>1.3068000000000002</v>
      </c>
      <c r="GL69" s="995">
        <f t="shared" si="463"/>
        <v>1.3068000000000002</v>
      </c>
      <c r="GM69" s="995">
        <f t="shared" si="463"/>
        <v>1.4374800000000003</v>
      </c>
      <c r="GN69" s="995">
        <f t="shared" si="463"/>
        <v>1.5812280000000005</v>
      </c>
      <c r="GO69" s="995">
        <f t="shared" si="463"/>
        <v>1.5812280000000005</v>
      </c>
      <c r="GP69" s="995">
        <f t="shared" si="463"/>
        <v>1.7393508000000006</v>
      </c>
      <c r="GQ69" s="996">
        <f t="shared" si="463"/>
        <v>1.9132858800000008</v>
      </c>
      <c r="GS69" s="994">
        <f>GS58*CX69</f>
        <v>1.2</v>
      </c>
      <c r="GT69" s="995">
        <f t="shared" ref="GT69:HD78" si="464">GT58*CY69</f>
        <v>1.08</v>
      </c>
      <c r="GU69" s="995">
        <f t="shared" si="464"/>
        <v>1.08</v>
      </c>
      <c r="GV69" s="995">
        <f t="shared" si="464"/>
        <v>1.08</v>
      </c>
      <c r="GW69" s="995">
        <f t="shared" si="464"/>
        <v>1.1880000000000002</v>
      </c>
      <c r="GX69" s="995">
        <f t="shared" si="464"/>
        <v>1.3068000000000002</v>
      </c>
      <c r="GY69" s="995">
        <f t="shared" si="464"/>
        <v>1.3068000000000002</v>
      </c>
      <c r="GZ69" s="995">
        <f t="shared" si="464"/>
        <v>1.4374800000000003</v>
      </c>
      <c r="HA69" s="995">
        <f t="shared" si="464"/>
        <v>1.5812280000000005</v>
      </c>
      <c r="HB69" s="995">
        <f t="shared" si="464"/>
        <v>1.5812280000000005</v>
      </c>
      <c r="HC69" s="995">
        <f t="shared" si="464"/>
        <v>1.7393508000000006</v>
      </c>
      <c r="HD69" s="996">
        <f t="shared" si="464"/>
        <v>1.9132858800000008</v>
      </c>
    </row>
    <row r="70" spans="2:212" ht="14.25">
      <c r="B70" s="977" t="s">
        <v>155</v>
      </c>
      <c r="C70" s="32"/>
      <c r="D70" s="32"/>
      <c r="E70" s="32"/>
      <c r="F70" s="32"/>
      <c r="G70" s="31"/>
      <c r="H70" s="1089"/>
      <c r="I70" s="1089"/>
      <c r="N70" s="1684"/>
      <c r="O70" s="957" t="s">
        <v>120</v>
      </c>
      <c r="P70" s="606">
        <v>5</v>
      </c>
      <c r="Q70" s="606">
        <v>0</v>
      </c>
      <c r="R70" s="606">
        <v>0</v>
      </c>
      <c r="S70" s="606">
        <v>2</v>
      </c>
      <c r="T70" s="606">
        <v>5</v>
      </c>
      <c r="U70" s="606">
        <v>5</v>
      </c>
      <c r="V70" s="606">
        <v>11</v>
      </c>
      <c r="X70" s="1080"/>
      <c r="AA70" s="1684"/>
      <c r="AB70" s="957" t="s">
        <v>120</v>
      </c>
      <c r="AC70" s="610">
        <f t="shared" si="397"/>
        <v>0.5</v>
      </c>
      <c r="AD70" s="610">
        <f t="shared" si="397"/>
        <v>0</v>
      </c>
      <c r="AE70" s="610">
        <f t="shared" si="397"/>
        <v>0</v>
      </c>
      <c r="AF70" s="610">
        <f t="shared" si="397"/>
        <v>0.4</v>
      </c>
      <c r="AG70" s="610">
        <f t="shared" si="397"/>
        <v>0.33333333333333331</v>
      </c>
      <c r="AH70" s="610">
        <f t="shared" si="397"/>
        <v>0.625</v>
      </c>
      <c r="AI70" s="610">
        <f t="shared" si="397"/>
        <v>0.55000000000000004</v>
      </c>
      <c r="AJ70" s="952">
        <f t="shared" si="398"/>
        <v>0.34404761904761905</v>
      </c>
      <c r="AK70" s="952">
        <f t="shared" si="399"/>
        <v>0.34404761904761905</v>
      </c>
      <c r="AL70" s="952">
        <f t="shared" ref="AL70:AL77" si="465">AK70*$AL$68</f>
        <v>0.37845238095238098</v>
      </c>
      <c r="AM70" s="952">
        <f t="shared" si="400"/>
        <v>0.37845238095238098</v>
      </c>
      <c r="AN70" s="952">
        <f t="shared" si="401"/>
        <v>0.41629761904761914</v>
      </c>
      <c r="AO70" s="952">
        <f t="shared" si="402"/>
        <v>0.45792738095238111</v>
      </c>
      <c r="AP70" s="1053">
        <v>0.35</v>
      </c>
      <c r="AQ70" s="1053">
        <f t="shared" ref="AQ70:BA77" si="466">AP70*AQ$68</f>
        <v>0.315</v>
      </c>
      <c r="AR70" s="1053">
        <f t="shared" si="466"/>
        <v>0.315</v>
      </c>
      <c r="AS70" s="1053">
        <f t="shared" si="466"/>
        <v>0.315</v>
      </c>
      <c r="AT70" s="1053">
        <f t="shared" si="466"/>
        <v>0.34650000000000003</v>
      </c>
      <c r="AU70" s="1053">
        <f t="shared" si="466"/>
        <v>0.38115000000000004</v>
      </c>
      <c r="AV70" s="1053">
        <f t="shared" si="466"/>
        <v>0.38115000000000004</v>
      </c>
      <c r="AW70" s="1053">
        <f t="shared" si="466"/>
        <v>0.41926500000000011</v>
      </c>
      <c r="AX70" s="1053">
        <f t="shared" si="466"/>
        <v>0.46119150000000014</v>
      </c>
      <c r="AY70" s="1053">
        <f t="shared" si="466"/>
        <v>0.46119150000000014</v>
      </c>
      <c r="AZ70" s="1053">
        <f t="shared" si="466"/>
        <v>0.5073106500000002</v>
      </c>
      <c r="BA70" s="1053">
        <f t="shared" si="466"/>
        <v>0.55804171500000022</v>
      </c>
      <c r="BB70" s="1053">
        <v>0.35</v>
      </c>
      <c r="BC70" s="1053">
        <f t="shared" ref="BC70:BC77" si="467">BB70*BC$68</f>
        <v>0.315</v>
      </c>
      <c r="BD70" s="1053">
        <f t="shared" ref="BD70:BD77" si="468">BC70*BD$68</f>
        <v>0.315</v>
      </c>
      <c r="BE70" s="1053">
        <f t="shared" si="404"/>
        <v>0.315</v>
      </c>
      <c r="BF70" s="1053">
        <f t="shared" si="405"/>
        <v>0.34650000000000003</v>
      </c>
      <c r="BG70" s="1053">
        <f t="shared" si="406"/>
        <v>0.38115000000000004</v>
      </c>
      <c r="BH70" s="1053">
        <f t="shared" si="407"/>
        <v>0.38115000000000004</v>
      </c>
      <c r="BI70" s="1053">
        <f t="shared" si="408"/>
        <v>0.41926500000000011</v>
      </c>
      <c r="BJ70" s="1053">
        <f t="shared" si="409"/>
        <v>0.46119150000000014</v>
      </c>
      <c r="BK70" s="1053">
        <f t="shared" si="410"/>
        <v>0.46119150000000014</v>
      </c>
      <c r="BL70" s="1053">
        <f t="shared" si="411"/>
        <v>0.5073106500000002</v>
      </c>
      <c r="BM70" s="1053">
        <f t="shared" si="412"/>
        <v>0.55804171500000022</v>
      </c>
      <c r="BN70" s="1053">
        <v>0.35</v>
      </c>
      <c r="BO70" s="1053">
        <f t="shared" ref="BO70:BO77" si="469">BN70*BO$68</f>
        <v>0.315</v>
      </c>
      <c r="BP70" s="1053">
        <f t="shared" ref="BP70:BP77" si="470">BO70*BP$68</f>
        <v>0.315</v>
      </c>
      <c r="BQ70" s="1053">
        <f t="shared" si="413"/>
        <v>0.315</v>
      </c>
      <c r="BR70" s="1053">
        <f t="shared" si="414"/>
        <v>0.34650000000000003</v>
      </c>
      <c r="BS70" s="1053">
        <f t="shared" si="415"/>
        <v>0.38115000000000004</v>
      </c>
      <c r="BT70" s="1053">
        <f t="shared" si="416"/>
        <v>0.38115000000000004</v>
      </c>
      <c r="BU70" s="1053">
        <f t="shared" si="417"/>
        <v>0.41926500000000011</v>
      </c>
      <c r="BV70" s="1053">
        <f t="shared" si="418"/>
        <v>0.46119150000000014</v>
      </c>
      <c r="BW70" s="1053">
        <f t="shared" si="419"/>
        <v>0.46119150000000014</v>
      </c>
      <c r="BX70" s="1053">
        <f t="shared" si="420"/>
        <v>0.5073106500000002</v>
      </c>
      <c r="BY70" s="1053">
        <f t="shared" si="421"/>
        <v>0.55804171500000022</v>
      </c>
      <c r="BZ70" s="1053">
        <v>0.35</v>
      </c>
      <c r="CA70" s="1053">
        <f t="shared" ref="CA70:CA77" si="471">BZ70*CA$68</f>
        <v>0.315</v>
      </c>
      <c r="CB70" s="1053">
        <f t="shared" ref="CB70:CB77" si="472">CA70*CB$68</f>
        <v>0.315</v>
      </c>
      <c r="CC70" s="1053">
        <f t="shared" si="422"/>
        <v>0.315</v>
      </c>
      <c r="CD70" s="1053">
        <f t="shared" si="423"/>
        <v>0.34650000000000003</v>
      </c>
      <c r="CE70" s="1053">
        <f t="shared" si="424"/>
        <v>0.38115000000000004</v>
      </c>
      <c r="CF70" s="1053">
        <f t="shared" si="425"/>
        <v>0.38115000000000004</v>
      </c>
      <c r="CG70" s="1053">
        <f t="shared" si="426"/>
        <v>0.41926500000000011</v>
      </c>
      <c r="CH70" s="1053">
        <f t="shared" si="427"/>
        <v>0.46119150000000014</v>
      </c>
      <c r="CI70" s="1053">
        <f t="shared" si="428"/>
        <v>0.46119150000000014</v>
      </c>
      <c r="CJ70" s="1053">
        <f t="shared" si="429"/>
        <v>0.5073106500000002</v>
      </c>
      <c r="CK70" s="1053">
        <f t="shared" si="430"/>
        <v>0.55804171500000022</v>
      </c>
      <c r="CL70" s="1053">
        <v>0.35</v>
      </c>
      <c r="CM70" s="1053">
        <f t="shared" ref="CM70:CM77" si="473">CL70*CM$68</f>
        <v>0.315</v>
      </c>
      <c r="CN70" s="1053">
        <f t="shared" ref="CN70:CN77" si="474">CM70*CN$68</f>
        <v>0.315</v>
      </c>
      <c r="CO70" s="1053">
        <f t="shared" si="431"/>
        <v>0.315</v>
      </c>
      <c r="CP70" s="1053">
        <f t="shared" si="432"/>
        <v>0.34650000000000003</v>
      </c>
      <c r="CQ70" s="1053">
        <f t="shared" si="433"/>
        <v>0.38115000000000004</v>
      </c>
      <c r="CR70" s="1053">
        <f t="shared" si="434"/>
        <v>0.38115000000000004</v>
      </c>
      <c r="CS70" s="1053">
        <f t="shared" si="435"/>
        <v>0.41926500000000011</v>
      </c>
      <c r="CT70" s="1053">
        <f t="shared" si="436"/>
        <v>0.46119150000000014</v>
      </c>
      <c r="CU70" s="1053">
        <f t="shared" si="437"/>
        <v>0.46119150000000014</v>
      </c>
      <c r="CV70" s="1053">
        <f t="shared" si="438"/>
        <v>0.5073106500000002</v>
      </c>
      <c r="CW70" s="1053">
        <f t="shared" si="439"/>
        <v>0.55804171500000022</v>
      </c>
      <c r="CX70" s="1053">
        <v>0.35</v>
      </c>
      <c r="CY70" s="1053">
        <f t="shared" ref="CY70:CY77" si="475">CX70*CY$68</f>
        <v>0.315</v>
      </c>
      <c r="CZ70" s="1053">
        <f t="shared" ref="CZ70:CZ77" si="476">CY70*CZ$68</f>
        <v>0.315</v>
      </c>
      <c r="DA70" s="1053">
        <f t="shared" si="440"/>
        <v>0.315</v>
      </c>
      <c r="DB70" s="1053">
        <f t="shared" si="441"/>
        <v>0.34650000000000003</v>
      </c>
      <c r="DC70" s="1053">
        <f t="shared" si="442"/>
        <v>0.38115000000000004</v>
      </c>
      <c r="DD70" s="1053">
        <f t="shared" si="443"/>
        <v>0.38115000000000004</v>
      </c>
      <c r="DE70" s="1053">
        <f t="shared" si="444"/>
        <v>0.41926500000000011</v>
      </c>
      <c r="DF70" s="1053">
        <f t="shared" si="445"/>
        <v>0.46119150000000014</v>
      </c>
      <c r="DG70" s="1053">
        <f t="shared" si="446"/>
        <v>0.46119150000000014</v>
      </c>
      <c r="DH70" s="1053">
        <f t="shared" si="447"/>
        <v>0.5073106500000002</v>
      </c>
      <c r="DI70" s="1053">
        <f t="shared" si="448"/>
        <v>0.55804171500000022</v>
      </c>
      <c r="DK70" s="1684"/>
      <c r="DL70" s="957" t="s">
        <v>120</v>
      </c>
      <c r="DN70" s="994">
        <v>6</v>
      </c>
      <c r="DO70" s="995">
        <f>DO59*$AJ$70</f>
        <v>6.1928571428571431</v>
      </c>
      <c r="DP70" s="995">
        <f>DP59*$AJ$70</f>
        <v>9.4613095238095237</v>
      </c>
      <c r="DQ70" s="995">
        <f>DQ59*$AJ$70</f>
        <v>10.063392857142857</v>
      </c>
      <c r="DR70" s="996">
        <f>DR59*$AJ$70</f>
        <v>7.4314285714285715</v>
      </c>
      <c r="DT70" s="994">
        <v>6</v>
      </c>
      <c r="DU70" s="995">
        <f>DU59*$AH$70</f>
        <v>11.25</v>
      </c>
      <c r="DV70" s="995">
        <f>DV59*$AH$70</f>
        <v>17.1875</v>
      </c>
      <c r="DW70" s="995">
        <f>DW59*$AH$70</f>
        <v>18.28125</v>
      </c>
      <c r="DX70" s="996">
        <f>DX59*$AH$70</f>
        <v>13.5</v>
      </c>
      <c r="DZ70" s="994">
        <v>6</v>
      </c>
      <c r="EA70" s="995">
        <f>EA59*AL$70</f>
        <v>6.8121428571428577</v>
      </c>
      <c r="EB70" s="995">
        <f>EB59*AM$70</f>
        <v>10.407440476190477</v>
      </c>
      <c r="EC70" s="995">
        <f>EC59*AN$70</f>
        <v>12.176705357142859</v>
      </c>
      <c r="ED70" s="996">
        <f>ED59*AO$70</f>
        <v>9.891231428571432</v>
      </c>
      <c r="EF70" s="994">
        <f t="shared" ref="EF70:EF78" si="477">EF59*$AP70</f>
        <v>7.2449999999999992</v>
      </c>
      <c r="EG70" s="995">
        <f t="shared" si="449"/>
        <v>3.57525</v>
      </c>
      <c r="EH70" s="995">
        <f t="shared" si="450"/>
        <v>0.63</v>
      </c>
      <c r="EI70" s="995">
        <f t="shared" si="451"/>
        <v>1.1025</v>
      </c>
      <c r="EJ70" s="995">
        <f t="shared" si="452"/>
        <v>1.9057500000000003</v>
      </c>
      <c r="EK70" s="995">
        <f t="shared" si="453"/>
        <v>2.4774750000000001</v>
      </c>
      <c r="EL70" s="995">
        <f t="shared" si="454"/>
        <v>2.6680500000000005</v>
      </c>
      <c r="EM70" s="995">
        <f t="shared" si="455"/>
        <v>2.9348550000000007</v>
      </c>
      <c r="EN70" s="995">
        <f t="shared" si="456"/>
        <v>3.2283405000000012</v>
      </c>
      <c r="EO70" s="995">
        <f t="shared" si="457"/>
        <v>3.2283405000000012</v>
      </c>
      <c r="EP70" s="995">
        <f t="shared" si="458"/>
        <v>3.5511745500000016</v>
      </c>
      <c r="EQ70" s="996">
        <f t="shared" si="459"/>
        <v>3.3482502900000011</v>
      </c>
      <c r="ES70" s="994">
        <f t="shared" ref="ES70:ES78" si="478">ES59*BB70</f>
        <v>1.75</v>
      </c>
      <c r="ET70" s="995">
        <f t="shared" si="460"/>
        <v>1.1025</v>
      </c>
      <c r="EU70" s="995">
        <f t="shared" si="460"/>
        <v>0.63</v>
      </c>
      <c r="EV70" s="995">
        <f t="shared" si="460"/>
        <v>1.4175</v>
      </c>
      <c r="EW70" s="995">
        <f t="shared" si="460"/>
        <v>2.4255000000000004</v>
      </c>
      <c r="EX70" s="995">
        <f t="shared" si="460"/>
        <v>2.6680500000000005</v>
      </c>
      <c r="EY70" s="995">
        <f t="shared" si="460"/>
        <v>2.6680500000000005</v>
      </c>
      <c r="EZ70" s="995">
        <f t="shared" si="460"/>
        <v>2.9348550000000007</v>
      </c>
      <c r="FA70" s="995">
        <f t="shared" si="460"/>
        <v>3.2283405000000012</v>
      </c>
      <c r="FB70" s="995">
        <f t="shared" si="460"/>
        <v>3.2283405000000012</v>
      </c>
      <c r="FC70" s="995">
        <f t="shared" si="460"/>
        <v>3.5511745500000016</v>
      </c>
      <c r="FD70" s="996">
        <f t="shared" si="460"/>
        <v>3.9062920050000014</v>
      </c>
      <c r="FF70" s="994">
        <f t="shared" ref="FF70:FF78" si="479">FF59*BN70</f>
        <v>2.4499999999999997</v>
      </c>
      <c r="FG70" s="995">
        <f t="shared" si="461"/>
        <v>1.4175</v>
      </c>
      <c r="FH70" s="995">
        <f t="shared" si="461"/>
        <v>0.63</v>
      </c>
      <c r="FI70" s="995">
        <f t="shared" si="461"/>
        <v>1.4175</v>
      </c>
      <c r="FJ70" s="995">
        <f t="shared" si="461"/>
        <v>2.0790000000000002</v>
      </c>
      <c r="FK70" s="995">
        <f t="shared" si="461"/>
        <v>1.9057500000000003</v>
      </c>
      <c r="FL70" s="995">
        <f t="shared" si="461"/>
        <v>1.9057500000000003</v>
      </c>
      <c r="FM70" s="995">
        <f t="shared" si="461"/>
        <v>2.0963250000000007</v>
      </c>
      <c r="FN70" s="995">
        <f t="shared" si="461"/>
        <v>2.3059575000000008</v>
      </c>
      <c r="FO70" s="995">
        <f t="shared" si="461"/>
        <v>2.3059575000000008</v>
      </c>
      <c r="FP70" s="995">
        <f t="shared" si="461"/>
        <v>2.5365532500000008</v>
      </c>
      <c r="FQ70" s="996">
        <f t="shared" si="461"/>
        <v>2.7902085750000012</v>
      </c>
      <c r="FS70" s="994">
        <f t="shared" ref="FS70:FS78" si="480">FS59*BZ70</f>
        <v>1.75</v>
      </c>
      <c r="FT70" s="995">
        <f t="shared" si="462"/>
        <v>1.1025</v>
      </c>
      <c r="FU70" s="995">
        <f t="shared" si="462"/>
        <v>0.63</v>
      </c>
      <c r="FV70" s="995">
        <f t="shared" si="462"/>
        <v>0.63</v>
      </c>
      <c r="FW70" s="995">
        <f t="shared" si="462"/>
        <v>0.69300000000000006</v>
      </c>
      <c r="FX70" s="995">
        <f t="shared" si="462"/>
        <v>0.76230000000000009</v>
      </c>
      <c r="FY70" s="995">
        <f t="shared" si="462"/>
        <v>0.76230000000000009</v>
      </c>
      <c r="FZ70" s="995">
        <f t="shared" si="462"/>
        <v>0.83853000000000022</v>
      </c>
      <c r="GA70" s="995">
        <f t="shared" si="462"/>
        <v>0.92238300000000029</v>
      </c>
      <c r="GB70" s="995">
        <f t="shared" si="462"/>
        <v>0.92238300000000029</v>
      </c>
      <c r="GC70" s="995">
        <f t="shared" si="462"/>
        <v>1.0146213000000004</v>
      </c>
      <c r="GD70" s="996">
        <f t="shared" si="462"/>
        <v>1.1160834300000004</v>
      </c>
      <c r="GF70" s="994">
        <f t="shared" ref="GF70:GF78" si="481">GF59*CL70</f>
        <v>0.7</v>
      </c>
      <c r="GG70" s="995">
        <f t="shared" si="463"/>
        <v>0.63</v>
      </c>
      <c r="GH70" s="995">
        <f t="shared" si="463"/>
        <v>0.63</v>
      </c>
      <c r="GI70" s="995">
        <f t="shared" si="463"/>
        <v>0.63</v>
      </c>
      <c r="GJ70" s="995">
        <f t="shared" si="463"/>
        <v>0.69300000000000006</v>
      </c>
      <c r="GK70" s="995">
        <f t="shared" si="463"/>
        <v>0.76230000000000009</v>
      </c>
      <c r="GL70" s="995">
        <f t="shared" si="463"/>
        <v>0.76230000000000009</v>
      </c>
      <c r="GM70" s="995">
        <f t="shared" si="463"/>
        <v>0.83853000000000022</v>
      </c>
      <c r="GN70" s="995">
        <f t="shared" si="463"/>
        <v>0.92238300000000029</v>
      </c>
      <c r="GO70" s="995">
        <f t="shared" si="463"/>
        <v>0.92238300000000029</v>
      </c>
      <c r="GP70" s="995">
        <f t="shared" si="463"/>
        <v>1.0146213000000004</v>
      </c>
      <c r="GQ70" s="996">
        <f t="shared" si="463"/>
        <v>1.1160834300000004</v>
      </c>
      <c r="GS70" s="994">
        <f t="shared" ref="GS70:GS78" si="482">GS59*CX70</f>
        <v>0.7</v>
      </c>
      <c r="GT70" s="995">
        <f t="shared" si="464"/>
        <v>0.63</v>
      </c>
      <c r="GU70" s="995">
        <f t="shared" si="464"/>
        <v>0.63</v>
      </c>
      <c r="GV70" s="995">
        <f t="shared" si="464"/>
        <v>0.63</v>
      </c>
      <c r="GW70" s="995">
        <f t="shared" si="464"/>
        <v>0.69300000000000006</v>
      </c>
      <c r="GX70" s="995">
        <f t="shared" si="464"/>
        <v>0.76230000000000009</v>
      </c>
      <c r="GY70" s="995">
        <f t="shared" si="464"/>
        <v>0.76230000000000009</v>
      </c>
      <c r="GZ70" s="995">
        <f t="shared" si="464"/>
        <v>0.83853000000000022</v>
      </c>
      <c r="HA70" s="995">
        <f t="shared" si="464"/>
        <v>0.92238300000000029</v>
      </c>
      <c r="HB70" s="995">
        <f t="shared" si="464"/>
        <v>0.92238300000000029</v>
      </c>
      <c r="HC70" s="995">
        <f t="shared" si="464"/>
        <v>1.0146213000000004</v>
      </c>
      <c r="HD70" s="996">
        <f t="shared" si="464"/>
        <v>1.1160834300000004</v>
      </c>
    </row>
    <row r="71" spans="2:212" ht="14.25">
      <c r="B71" s="958"/>
      <c r="C71" s="31"/>
      <c r="D71" s="31"/>
      <c r="E71" s="31"/>
      <c r="F71" s="31"/>
      <c r="G71" s="31"/>
      <c r="H71" s="1089"/>
      <c r="I71" s="1089"/>
      <c r="N71" s="1684"/>
      <c r="O71" s="957" t="s">
        <v>121</v>
      </c>
      <c r="P71" s="606">
        <v>0</v>
      </c>
      <c r="Q71" s="606">
        <v>3</v>
      </c>
      <c r="R71" s="606">
        <v>1</v>
      </c>
      <c r="S71" s="606">
        <v>0</v>
      </c>
      <c r="T71" s="606">
        <v>0</v>
      </c>
      <c r="U71" s="606">
        <v>5</v>
      </c>
      <c r="V71" s="606">
        <v>5</v>
      </c>
      <c r="X71" s="1080"/>
      <c r="AA71" s="1684"/>
      <c r="AB71" s="957" t="s">
        <v>121</v>
      </c>
      <c r="AC71" s="610">
        <f t="shared" si="397"/>
        <v>0</v>
      </c>
      <c r="AD71" s="610">
        <f t="shared" si="397"/>
        <v>0.3</v>
      </c>
      <c r="AE71" s="610">
        <f t="shared" si="397"/>
        <v>0.14285714285714285</v>
      </c>
      <c r="AF71" s="610">
        <f t="shared" si="397"/>
        <v>0</v>
      </c>
      <c r="AG71" s="610">
        <f t="shared" si="397"/>
        <v>0</v>
      </c>
      <c r="AH71" s="610">
        <f t="shared" si="397"/>
        <v>0.33333333333333331</v>
      </c>
      <c r="AI71" s="610">
        <f t="shared" si="397"/>
        <v>0.625</v>
      </c>
      <c r="AJ71" s="952">
        <f t="shared" si="398"/>
        <v>0.20017006802721088</v>
      </c>
      <c r="AK71" s="952">
        <f t="shared" si="399"/>
        <v>0.20017006802721088</v>
      </c>
      <c r="AL71" s="952">
        <f t="shared" si="465"/>
        <v>0.22018707482993199</v>
      </c>
      <c r="AM71" s="952">
        <f t="shared" si="400"/>
        <v>0.22018707482993199</v>
      </c>
      <c r="AN71" s="952">
        <f t="shared" si="401"/>
        <v>0.24220578231292522</v>
      </c>
      <c r="AO71" s="952">
        <f t="shared" si="402"/>
        <v>0.26642636054421776</v>
      </c>
      <c r="AP71" s="1053">
        <v>0.25</v>
      </c>
      <c r="AQ71" s="1053">
        <f t="shared" si="466"/>
        <v>0.22500000000000001</v>
      </c>
      <c r="AR71" s="1053">
        <f t="shared" si="466"/>
        <v>0.22500000000000001</v>
      </c>
      <c r="AS71" s="1053">
        <f t="shared" si="466"/>
        <v>0.22500000000000001</v>
      </c>
      <c r="AT71" s="1053">
        <f t="shared" si="466"/>
        <v>0.24750000000000003</v>
      </c>
      <c r="AU71" s="1053">
        <f t="shared" si="466"/>
        <v>0.27225000000000005</v>
      </c>
      <c r="AV71" s="1053">
        <f t="shared" si="466"/>
        <v>0.27225000000000005</v>
      </c>
      <c r="AW71" s="1053">
        <f t="shared" si="466"/>
        <v>0.2994750000000001</v>
      </c>
      <c r="AX71" s="1053">
        <f t="shared" si="466"/>
        <v>0.32942250000000012</v>
      </c>
      <c r="AY71" s="1053">
        <f t="shared" si="466"/>
        <v>0.32942250000000012</v>
      </c>
      <c r="AZ71" s="1053">
        <f t="shared" si="466"/>
        <v>0.36236475000000018</v>
      </c>
      <c r="BA71" s="1053">
        <f t="shared" si="466"/>
        <v>0.39860122500000023</v>
      </c>
      <c r="BB71" s="1053">
        <v>0.25</v>
      </c>
      <c r="BC71" s="1053">
        <f t="shared" si="467"/>
        <v>0.22500000000000001</v>
      </c>
      <c r="BD71" s="1053">
        <f t="shared" si="468"/>
        <v>0.22500000000000001</v>
      </c>
      <c r="BE71" s="1053">
        <f t="shared" si="404"/>
        <v>0.22500000000000001</v>
      </c>
      <c r="BF71" s="1053">
        <f t="shared" si="405"/>
        <v>0.24750000000000003</v>
      </c>
      <c r="BG71" s="1053">
        <f t="shared" si="406"/>
        <v>0.27225000000000005</v>
      </c>
      <c r="BH71" s="1053">
        <f t="shared" si="407"/>
        <v>0.27225000000000005</v>
      </c>
      <c r="BI71" s="1053">
        <f t="shared" si="408"/>
        <v>0.2994750000000001</v>
      </c>
      <c r="BJ71" s="1053">
        <f t="shared" si="409"/>
        <v>0.32942250000000012</v>
      </c>
      <c r="BK71" s="1053">
        <f t="shared" si="410"/>
        <v>0.32942250000000012</v>
      </c>
      <c r="BL71" s="1053">
        <f t="shared" si="411"/>
        <v>0.36236475000000018</v>
      </c>
      <c r="BM71" s="1053">
        <f t="shared" si="412"/>
        <v>0.39860122500000023</v>
      </c>
      <c r="BN71" s="1053">
        <v>0.25</v>
      </c>
      <c r="BO71" s="1053">
        <f t="shared" si="469"/>
        <v>0.22500000000000001</v>
      </c>
      <c r="BP71" s="1053">
        <f t="shared" si="470"/>
        <v>0.22500000000000001</v>
      </c>
      <c r="BQ71" s="1053">
        <f t="shared" si="413"/>
        <v>0.22500000000000001</v>
      </c>
      <c r="BR71" s="1053">
        <f t="shared" si="414"/>
        <v>0.24750000000000003</v>
      </c>
      <c r="BS71" s="1053">
        <f t="shared" si="415"/>
        <v>0.27225000000000005</v>
      </c>
      <c r="BT71" s="1053">
        <f t="shared" si="416"/>
        <v>0.27225000000000005</v>
      </c>
      <c r="BU71" s="1053">
        <f t="shared" si="417"/>
        <v>0.2994750000000001</v>
      </c>
      <c r="BV71" s="1053">
        <f t="shared" si="418"/>
        <v>0.32942250000000012</v>
      </c>
      <c r="BW71" s="1053">
        <f t="shared" si="419"/>
        <v>0.32942250000000012</v>
      </c>
      <c r="BX71" s="1053">
        <f t="shared" si="420"/>
        <v>0.36236475000000018</v>
      </c>
      <c r="BY71" s="1053">
        <f t="shared" si="421"/>
        <v>0.39860122500000023</v>
      </c>
      <c r="BZ71" s="1053">
        <v>0.25</v>
      </c>
      <c r="CA71" s="1053">
        <f t="shared" si="471"/>
        <v>0.22500000000000001</v>
      </c>
      <c r="CB71" s="1053">
        <f t="shared" si="472"/>
        <v>0.22500000000000001</v>
      </c>
      <c r="CC71" s="1053">
        <f t="shared" si="422"/>
        <v>0.22500000000000001</v>
      </c>
      <c r="CD71" s="1053">
        <f t="shared" si="423"/>
        <v>0.24750000000000003</v>
      </c>
      <c r="CE71" s="1053">
        <f t="shared" si="424"/>
        <v>0.27225000000000005</v>
      </c>
      <c r="CF71" s="1053">
        <f t="shared" si="425"/>
        <v>0.27225000000000005</v>
      </c>
      <c r="CG71" s="1053">
        <f t="shared" si="426"/>
        <v>0.2994750000000001</v>
      </c>
      <c r="CH71" s="1053">
        <f t="shared" si="427"/>
        <v>0.32942250000000012</v>
      </c>
      <c r="CI71" s="1053">
        <f t="shared" si="428"/>
        <v>0.32942250000000012</v>
      </c>
      <c r="CJ71" s="1053">
        <f t="shared" si="429"/>
        <v>0.36236475000000018</v>
      </c>
      <c r="CK71" s="1053">
        <f t="shared" si="430"/>
        <v>0.39860122500000023</v>
      </c>
      <c r="CL71" s="1053">
        <v>0.25</v>
      </c>
      <c r="CM71" s="1053">
        <f t="shared" si="473"/>
        <v>0.22500000000000001</v>
      </c>
      <c r="CN71" s="1053">
        <f t="shared" si="474"/>
        <v>0.22500000000000001</v>
      </c>
      <c r="CO71" s="1053">
        <f t="shared" si="431"/>
        <v>0.22500000000000001</v>
      </c>
      <c r="CP71" s="1053">
        <f t="shared" si="432"/>
        <v>0.24750000000000003</v>
      </c>
      <c r="CQ71" s="1053">
        <f t="shared" si="433"/>
        <v>0.27225000000000005</v>
      </c>
      <c r="CR71" s="1053">
        <f t="shared" si="434"/>
        <v>0.27225000000000005</v>
      </c>
      <c r="CS71" s="1053">
        <f t="shared" si="435"/>
        <v>0.2994750000000001</v>
      </c>
      <c r="CT71" s="1053">
        <f t="shared" si="436"/>
        <v>0.32942250000000012</v>
      </c>
      <c r="CU71" s="1053">
        <f t="shared" si="437"/>
        <v>0.32942250000000012</v>
      </c>
      <c r="CV71" s="1053">
        <f t="shared" si="438"/>
        <v>0.36236475000000018</v>
      </c>
      <c r="CW71" s="1053">
        <f t="shared" si="439"/>
        <v>0.39860122500000023</v>
      </c>
      <c r="CX71" s="1053">
        <v>0.25</v>
      </c>
      <c r="CY71" s="1053">
        <f t="shared" si="475"/>
        <v>0.22500000000000001</v>
      </c>
      <c r="CZ71" s="1053">
        <f t="shared" si="476"/>
        <v>0.22500000000000001</v>
      </c>
      <c r="DA71" s="1053">
        <f t="shared" si="440"/>
        <v>0.22500000000000001</v>
      </c>
      <c r="DB71" s="1053">
        <f t="shared" si="441"/>
        <v>0.24750000000000003</v>
      </c>
      <c r="DC71" s="1053">
        <f t="shared" si="442"/>
        <v>0.27225000000000005</v>
      </c>
      <c r="DD71" s="1053">
        <f t="shared" si="443"/>
        <v>0.27225000000000005</v>
      </c>
      <c r="DE71" s="1053">
        <f t="shared" si="444"/>
        <v>0.2994750000000001</v>
      </c>
      <c r="DF71" s="1053">
        <f t="shared" si="445"/>
        <v>0.32942250000000012</v>
      </c>
      <c r="DG71" s="1053">
        <f t="shared" si="446"/>
        <v>0.32942250000000012</v>
      </c>
      <c r="DH71" s="1053">
        <f t="shared" si="447"/>
        <v>0.36236475000000018</v>
      </c>
      <c r="DI71" s="1053">
        <f t="shared" si="448"/>
        <v>0.39860122500000023</v>
      </c>
      <c r="DK71" s="1684"/>
      <c r="DL71" s="957" t="s">
        <v>121</v>
      </c>
      <c r="DN71" s="994">
        <v>12</v>
      </c>
      <c r="DO71" s="995">
        <f>DO60*$AJ$71</f>
        <v>3.402891156462585</v>
      </c>
      <c r="DP71" s="995">
        <f>DP60*$AJ$71</f>
        <v>3.6030612244897959</v>
      </c>
      <c r="DQ71" s="995">
        <f>DQ60*$AJ$71</f>
        <v>5.5046768707482991</v>
      </c>
      <c r="DR71" s="996">
        <f>DR60*$AJ$71</f>
        <v>5.8549744897959179</v>
      </c>
      <c r="DT71" s="994">
        <v>12</v>
      </c>
      <c r="DU71" s="995">
        <f>DU60*$AH$71</f>
        <v>5.6666666666666661</v>
      </c>
      <c r="DV71" s="995">
        <f>DV60*$AH$71</f>
        <v>6</v>
      </c>
      <c r="DW71" s="995">
        <f>DW60*$AH$71</f>
        <v>9.1666666666666661</v>
      </c>
      <c r="DX71" s="996">
        <f>DX60*$AH$71</f>
        <v>9.75</v>
      </c>
      <c r="DZ71" s="994">
        <v>12</v>
      </c>
      <c r="EA71" s="995">
        <f>EA60*AL$71</f>
        <v>3.3028061224489798</v>
      </c>
      <c r="EB71" s="995">
        <f>EB60*AM$71</f>
        <v>3.9633673469387758</v>
      </c>
      <c r="EC71" s="995">
        <f>EC60*AN$71</f>
        <v>6.6606590136054438</v>
      </c>
      <c r="ED71" s="996">
        <f>ED60*AO$71</f>
        <v>7.7929710459183692</v>
      </c>
      <c r="EF71" s="994">
        <f t="shared" si="477"/>
        <v>5.4</v>
      </c>
      <c r="EG71" s="995">
        <f t="shared" si="449"/>
        <v>4.6574999999999998</v>
      </c>
      <c r="EH71" s="995">
        <f t="shared" si="450"/>
        <v>2.55375</v>
      </c>
      <c r="EI71" s="995">
        <f t="shared" si="451"/>
        <v>0.45</v>
      </c>
      <c r="EJ71" s="995">
        <f t="shared" si="452"/>
        <v>0.86625000000000008</v>
      </c>
      <c r="EK71" s="995">
        <f t="shared" si="453"/>
        <v>1.4973750000000003</v>
      </c>
      <c r="EL71" s="995">
        <f t="shared" si="454"/>
        <v>1.7696250000000002</v>
      </c>
      <c r="EM71" s="995">
        <f t="shared" si="455"/>
        <v>2.0963250000000007</v>
      </c>
      <c r="EN71" s="995">
        <f t="shared" si="456"/>
        <v>2.3059575000000008</v>
      </c>
      <c r="EO71" s="995">
        <f t="shared" si="457"/>
        <v>2.3059575000000008</v>
      </c>
      <c r="EP71" s="995">
        <f t="shared" si="458"/>
        <v>2.5365532500000012</v>
      </c>
      <c r="EQ71" s="996">
        <f t="shared" si="459"/>
        <v>2.7902085750000016</v>
      </c>
      <c r="ES71" s="994">
        <f t="shared" si="478"/>
        <v>1.5</v>
      </c>
      <c r="ET71" s="995">
        <f t="shared" si="460"/>
        <v>1.125</v>
      </c>
      <c r="EU71" s="995">
        <f t="shared" si="460"/>
        <v>0.78749999999999998</v>
      </c>
      <c r="EV71" s="995">
        <f t="shared" si="460"/>
        <v>0.45</v>
      </c>
      <c r="EW71" s="995">
        <f t="shared" si="460"/>
        <v>1.11375</v>
      </c>
      <c r="EX71" s="995">
        <f t="shared" si="460"/>
        <v>1.9057500000000003</v>
      </c>
      <c r="EY71" s="995">
        <f t="shared" si="460"/>
        <v>1.9057500000000003</v>
      </c>
      <c r="EZ71" s="995">
        <f t="shared" si="460"/>
        <v>2.0963250000000007</v>
      </c>
      <c r="FA71" s="995">
        <f t="shared" si="460"/>
        <v>2.3059575000000008</v>
      </c>
      <c r="FB71" s="995">
        <f t="shared" si="460"/>
        <v>2.3059575000000008</v>
      </c>
      <c r="FC71" s="995">
        <f t="shared" si="460"/>
        <v>2.5365532500000012</v>
      </c>
      <c r="FD71" s="996">
        <f t="shared" si="460"/>
        <v>2.7902085750000016</v>
      </c>
      <c r="FF71" s="994">
        <f t="shared" si="479"/>
        <v>1.75</v>
      </c>
      <c r="FG71" s="995">
        <f t="shared" si="461"/>
        <v>1.575</v>
      </c>
      <c r="FH71" s="995">
        <f t="shared" si="461"/>
        <v>1.0125</v>
      </c>
      <c r="FI71" s="995">
        <f t="shared" si="461"/>
        <v>0.45</v>
      </c>
      <c r="FJ71" s="995">
        <f t="shared" si="461"/>
        <v>1.11375</v>
      </c>
      <c r="FK71" s="995">
        <f t="shared" si="461"/>
        <v>1.6335000000000002</v>
      </c>
      <c r="FL71" s="995">
        <f t="shared" si="461"/>
        <v>1.3612500000000003</v>
      </c>
      <c r="FM71" s="995">
        <f t="shared" si="461"/>
        <v>1.4973750000000006</v>
      </c>
      <c r="FN71" s="995">
        <f t="shared" si="461"/>
        <v>1.6471125000000006</v>
      </c>
      <c r="FO71" s="995">
        <f t="shared" si="461"/>
        <v>1.6471125000000006</v>
      </c>
      <c r="FP71" s="995">
        <f t="shared" si="461"/>
        <v>1.811823750000001</v>
      </c>
      <c r="FQ71" s="996">
        <f t="shared" si="461"/>
        <v>1.9930061250000011</v>
      </c>
      <c r="FS71" s="994">
        <f t="shared" si="480"/>
        <v>1.25</v>
      </c>
      <c r="FT71" s="995">
        <f t="shared" si="462"/>
        <v>1.125</v>
      </c>
      <c r="FU71" s="995">
        <f t="shared" si="462"/>
        <v>0.78749999999999998</v>
      </c>
      <c r="FV71" s="995">
        <f t="shared" si="462"/>
        <v>0.45</v>
      </c>
      <c r="FW71" s="995">
        <f t="shared" si="462"/>
        <v>0.49500000000000005</v>
      </c>
      <c r="FX71" s="995">
        <f t="shared" si="462"/>
        <v>0.5445000000000001</v>
      </c>
      <c r="FY71" s="995">
        <f t="shared" si="462"/>
        <v>0.5445000000000001</v>
      </c>
      <c r="FZ71" s="995">
        <f t="shared" si="462"/>
        <v>0.5989500000000002</v>
      </c>
      <c r="GA71" s="995">
        <f t="shared" si="462"/>
        <v>0.65884500000000024</v>
      </c>
      <c r="GB71" s="995">
        <f t="shared" si="462"/>
        <v>0.65884500000000024</v>
      </c>
      <c r="GC71" s="995">
        <f t="shared" si="462"/>
        <v>0.72472950000000036</v>
      </c>
      <c r="GD71" s="996">
        <f t="shared" si="462"/>
        <v>0.79720245000000045</v>
      </c>
      <c r="GF71" s="994">
        <f t="shared" si="481"/>
        <v>0.5</v>
      </c>
      <c r="GG71" s="995">
        <f t="shared" si="463"/>
        <v>0.45</v>
      </c>
      <c r="GH71" s="995">
        <f t="shared" si="463"/>
        <v>0.45</v>
      </c>
      <c r="GI71" s="995">
        <f t="shared" si="463"/>
        <v>0.45</v>
      </c>
      <c r="GJ71" s="995">
        <f t="shared" si="463"/>
        <v>0.49500000000000005</v>
      </c>
      <c r="GK71" s="995">
        <f t="shared" si="463"/>
        <v>0.5445000000000001</v>
      </c>
      <c r="GL71" s="995">
        <f t="shared" si="463"/>
        <v>0.5445000000000001</v>
      </c>
      <c r="GM71" s="995">
        <f t="shared" si="463"/>
        <v>0.5989500000000002</v>
      </c>
      <c r="GN71" s="995">
        <f t="shared" si="463"/>
        <v>0.65884500000000024</v>
      </c>
      <c r="GO71" s="995">
        <f t="shared" si="463"/>
        <v>0.65884500000000024</v>
      </c>
      <c r="GP71" s="995">
        <f t="shared" si="463"/>
        <v>0.72472950000000036</v>
      </c>
      <c r="GQ71" s="996">
        <f t="shared" si="463"/>
        <v>0.79720245000000045</v>
      </c>
      <c r="GS71" s="994">
        <f t="shared" si="482"/>
        <v>0.5</v>
      </c>
      <c r="GT71" s="995">
        <f t="shared" si="464"/>
        <v>0.45</v>
      </c>
      <c r="GU71" s="995">
        <f t="shared" si="464"/>
        <v>0.45</v>
      </c>
      <c r="GV71" s="995">
        <f t="shared" si="464"/>
        <v>0.45</v>
      </c>
      <c r="GW71" s="995">
        <f t="shared" si="464"/>
        <v>0.49500000000000005</v>
      </c>
      <c r="GX71" s="995">
        <f t="shared" si="464"/>
        <v>0.5445000000000001</v>
      </c>
      <c r="GY71" s="995">
        <f t="shared" si="464"/>
        <v>0.5445000000000001</v>
      </c>
      <c r="GZ71" s="995">
        <f t="shared" si="464"/>
        <v>0.5989500000000002</v>
      </c>
      <c r="HA71" s="995">
        <f t="shared" si="464"/>
        <v>0.65884500000000024</v>
      </c>
      <c r="HB71" s="995">
        <f t="shared" si="464"/>
        <v>0.65884500000000024</v>
      </c>
      <c r="HC71" s="995">
        <f t="shared" si="464"/>
        <v>0.72472950000000036</v>
      </c>
      <c r="HD71" s="996">
        <f t="shared" si="464"/>
        <v>0.79720245000000045</v>
      </c>
    </row>
    <row r="72" spans="2:212" ht="14.25">
      <c r="B72" s="958" t="s">
        <v>1079</v>
      </c>
      <c r="C72" s="31"/>
      <c r="D72" s="31"/>
      <c r="E72" s="31"/>
      <c r="F72" s="31"/>
      <c r="G72" s="31"/>
      <c r="H72" s="1089"/>
      <c r="I72" s="1089"/>
      <c r="N72" s="1684"/>
      <c r="O72" s="957" t="s">
        <v>122</v>
      </c>
      <c r="P72" s="606">
        <v>3</v>
      </c>
      <c r="Q72" s="606">
        <v>0</v>
      </c>
      <c r="R72" s="606">
        <v>4</v>
      </c>
      <c r="S72" s="606">
        <v>1</v>
      </c>
      <c r="T72" s="606">
        <v>0</v>
      </c>
      <c r="U72" s="606">
        <v>0</v>
      </c>
      <c r="V72" s="606">
        <v>4</v>
      </c>
      <c r="X72" s="1080"/>
      <c r="AA72" s="1684"/>
      <c r="AB72" s="957" t="s">
        <v>122</v>
      </c>
      <c r="AC72" s="610">
        <f t="shared" si="397"/>
        <v>0.17647058823529413</v>
      </c>
      <c r="AD72" s="610">
        <f t="shared" si="397"/>
        <v>0</v>
      </c>
      <c r="AE72" s="610">
        <f t="shared" si="397"/>
        <v>0.4</v>
      </c>
      <c r="AF72" s="610">
        <f t="shared" si="397"/>
        <v>0.14285714285714285</v>
      </c>
      <c r="AG72" s="610">
        <f t="shared" si="397"/>
        <v>0</v>
      </c>
      <c r="AH72" s="610">
        <f t="shared" si="397"/>
        <v>0</v>
      </c>
      <c r="AI72" s="610">
        <f t="shared" si="397"/>
        <v>0.26666666666666666</v>
      </c>
      <c r="AJ72" s="952">
        <f t="shared" si="398"/>
        <v>0.14085634253701482</v>
      </c>
      <c r="AK72" s="952">
        <f t="shared" si="399"/>
        <v>0.14085634253701482</v>
      </c>
      <c r="AL72" s="952">
        <f t="shared" si="465"/>
        <v>0.15494197679071631</v>
      </c>
      <c r="AM72" s="952">
        <f t="shared" si="400"/>
        <v>0.15494197679071631</v>
      </c>
      <c r="AN72" s="952">
        <f t="shared" si="401"/>
        <v>0.17043617446978795</v>
      </c>
      <c r="AO72" s="952">
        <f t="shared" si="402"/>
        <v>0.18747979191676675</v>
      </c>
      <c r="AP72" s="1053">
        <v>0.15</v>
      </c>
      <c r="AQ72" s="1053">
        <f t="shared" si="466"/>
        <v>0.13500000000000001</v>
      </c>
      <c r="AR72" s="1053">
        <f t="shared" si="466"/>
        <v>0.13500000000000001</v>
      </c>
      <c r="AS72" s="1053">
        <f t="shared" si="466"/>
        <v>0.13500000000000001</v>
      </c>
      <c r="AT72" s="1053">
        <f t="shared" si="466"/>
        <v>0.14850000000000002</v>
      </c>
      <c r="AU72" s="1053">
        <f t="shared" si="466"/>
        <v>0.16335000000000002</v>
      </c>
      <c r="AV72" s="1053">
        <f t="shared" si="466"/>
        <v>0.16335000000000002</v>
      </c>
      <c r="AW72" s="1053">
        <f t="shared" si="466"/>
        <v>0.17968500000000004</v>
      </c>
      <c r="AX72" s="1053">
        <f t="shared" si="466"/>
        <v>0.19765350000000007</v>
      </c>
      <c r="AY72" s="1053">
        <f t="shared" si="466"/>
        <v>0.19765350000000007</v>
      </c>
      <c r="AZ72" s="1053">
        <f t="shared" si="466"/>
        <v>0.21741885000000008</v>
      </c>
      <c r="BA72" s="1053">
        <f t="shared" si="466"/>
        <v>0.2391607350000001</v>
      </c>
      <c r="BB72" s="1053">
        <v>0.15</v>
      </c>
      <c r="BC72" s="1053">
        <f t="shared" si="467"/>
        <v>0.13500000000000001</v>
      </c>
      <c r="BD72" s="1053">
        <f t="shared" si="468"/>
        <v>0.13500000000000001</v>
      </c>
      <c r="BE72" s="1053">
        <f t="shared" si="404"/>
        <v>0.13500000000000001</v>
      </c>
      <c r="BF72" s="1053">
        <f t="shared" si="405"/>
        <v>0.14850000000000002</v>
      </c>
      <c r="BG72" s="1053">
        <f t="shared" si="406"/>
        <v>0.16335000000000002</v>
      </c>
      <c r="BH72" s="1053">
        <f t="shared" si="407"/>
        <v>0.16335000000000002</v>
      </c>
      <c r="BI72" s="1053">
        <f t="shared" si="408"/>
        <v>0.17968500000000004</v>
      </c>
      <c r="BJ72" s="1053">
        <f t="shared" si="409"/>
        <v>0.19765350000000007</v>
      </c>
      <c r="BK72" s="1053">
        <f t="shared" si="410"/>
        <v>0.19765350000000007</v>
      </c>
      <c r="BL72" s="1053">
        <f t="shared" si="411"/>
        <v>0.21741885000000008</v>
      </c>
      <c r="BM72" s="1053">
        <f t="shared" si="412"/>
        <v>0.2391607350000001</v>
      </c>
      <c r="BN72" s="1053">
        <v>0.15</v>
      </c>
      <c r="BO72" s="1053">
        <f t="shared" si="469"/>
        <v>0.13500000000000001</v>
      </c>
      <c r="BP72" s="1053">
        <f t="shared" si="470"/>
        <v>0.13500000000000001</v>
      </c>
      <c r="BQ72" s="1053">
        <f t="shared" si="413"/>
        <v>0.13500000000000001</v>
      </c>
      <c r="BR72" s="1053">
        <f t="shared" si="414"/>
        <v>0.14850000000000002</v>
      </c>
      <c r="BS72" s="1053">
        <f t="shared" si="415"/>
        <v>0.16335000000000002</v>
      </c>
      <c r="BT72" s="1053">
        <f t="shared" si="416"/>
        <v>0.16335000000000002</v>
      </c>
      <c r="BU72" s="1053">
        <f t="shared" si="417"/>
        <v>0.17968500000000004</v>
      </c>
      <c r="BV72" s="1053">
        <f t="shared" si="418"/>
        <v>0.19765350000000007</v>
      </c>
      <c r="BW72" s="1053">
        <f t="shared" si="419"/>
        <v>0.19765350000000007</v>
      </c>
      <c r="BX72" s="1053">
        <f t="shared" si="420"/>
        <v>0.21741885000000008</v>
      </c>
      <c r="BY72" s="1053">
        <f t="shared" si="421"/>
        <v>0.2391607350000001</v>
      </c>
      <c r="BZ72" s="1053">
        <v>0.15</v>
      </c>
      <c r="CA72" s="1053">
        <f t="shared" si="471"/>
        <v>0.13500000000000001</v>
      </c>
      <c r="CB72" s="1053">
        <f t="shared" si="472"/>
        <v>0.13500000000000001</v>
      </c>
      <c r="CC72" s="1053">
        <f t="shared" si="422"/>
        <v>0.13500000000000001</v>
      </c>
      <c r="CD72" s="1053">
        <f t="shared" si="423"/>
        <v>0.14850000000000002</v>
      </c>
      <c r="CE72" s="1053">
        <f t="shared" si="424"/>
        <v>0.16335000000000002</v>
      </c>
      <c r="CF72" s="1053">
        <f t="shared" si="425"/>
        <v>0.16335000000000002</v>
      </c>
      <c r="CG72" s="1053">
        <f t="shared" si="426"/>
        <v>0.17968500000000004</v>
      </c>
      <c r="CH72" s="1053">
        <f t="shared" si="427"/>
        <v>0.19765350000000007</v>
      </c>
      <c r="CI72" s="1053">
        <f t="shared" si="428"/>
        <v>0.19765350000000007</v>
      </c>
      <c r="CJ72" s="1053">
        <f t="shared" si="429"/>
        <v>0.21741885000000008</v>
      </c>
      <c r="CK72" s="1053">
        <f t="shared" si="430"/>
        <v>0.2391607350000001</v>
      </c>
      <c r="CL72" s="1053">
        <v>0.15</v>
      </c>
      <c r="CM72" s="1053">
        <f t="shared" si="473"/>
        <v>0.13500000000000001</v>
      </c>
      <c r="CN72" s="1053">
        <f t="shared" si="474"/>
        <v>0.13500000000000001</v>
      </c>
      <c r="CO72" s="1053">
        <f t="shared" si="431"/>
        <v>0.13500000000000001</v>
      </c>
      <c r="CP72" s="1053">
        <f t="shared" si="432"/>
        <v>0.14850000000000002</v>
      </c>
      <c r="CQ72" s="1053">
        <f t="shared" si="433"/>
        <v>0.16335000000000002</v>
      </c>
      <c r="CR72" s="1053">
        <f t="shared" si="434"/>
        <v>0.16335000000000002</v>
      </c>
      <c r="CS72" s="1053">
        <f t="shared" si="435"/>
        <v>0.17968500000000004</v>
      </c>
      <c r="CT72" s="1053">
        <f t="shared" si="436"/>
        <v>0.19765350000000007</v>
      </c>
      <c r="CU72" s="1053">
        <f t="shared" si="437"/>
        <v>0.19765350000000007</v>
      </c>
      <c r="CV72" s="1053">
        <f t="shared" si="438"/>
        <v>0.21741885000000008</v>
      </c>
      <c r="CW72" s="1053">
        <f t="shared" si="439"/>
        <v>0.2391607350000001</v>
      </c>
      <c r="CX72" s="1053">
        <v>0.15</v>
      </c>
      <c r="CY72" s="1053">
        <f t="shared" si="475"/>
        <v>0.13500000000000001</v>
      </c>
      <c r="CZ72" s="1053">
        <f t="shared" si="476"/>
        <v>0.13500000000000001</v>
      </c>
      <c r="DA72" s="1053">
        <f t="shared" si="440"/>
        <v>0.13500000000000001</v>
      </c>
      <c r="DB72" s="1053">
        <f t="shared" si="441"/>
        <v>0.14850000000000002</v>
      </c>
      <c r="DC72" s="1053">
        <f t="shared" si="442"/>
        <v>0.16335000000000002</v>
      </c>
      <c r="DD72" s="1053">
        <f t="shared" si="443"/>
        <v>0.16335000000000002</v>
      </c>
      <c r="DE72" s="1053">
        <f t="shared" si="444"/>
        <v>0.17968500000000004</v>
      </c>
      <c r="DF72" s="1053">
        <f t="shared" si="445"/>
        <v>0.19765350000000007</v>
      </c>
      <c r="DG72" s="1053">
        <f t="shared" si="446"/>
        <v>0.19765350000000007</v>
      </c>
      <c r="DH72" s="1053">
        <f t="shared" si="447"/>
        <v>0.21741885000000008</v>
      </c>
      <c r="DI72" s="1053">
        <f t="shared" si="448"/>
        <v>0.2391607350000001</v>
      </c>
      <c r="DK72" s="1684"/>
      <c r="DL72" s="957" t="s">
        <v>122</v>
      </c>
      <c r="DN72" s="994">
        <v>4</v>
      </c>
      <c r="DO72" s="995">
        <f>DO61*$AJ$72</f>
        <v>2.8171268507402965</v>
      </c>
      <c r="DP72" s="995">
        <f>DP61*$AJ$72</f>
        <v>2.3945578231292517</v>
      </c>
      <c r="DQ72" s="995">
        <f>DQ61*$AJ$72</f>
        <v>2.5354141656662668</v>
      </c>
      <c r="DR72" s="996">
        <f>DR61*$AJ$72</f>
        <v>3.8735494197679077</v>
      </c>
      <c r="DT72" s="994">
        <v>4</v>
      </c>
      <c r="DU72" s="995">
        <f>DU61*$AH$72</f>
        <v>0</v>
      </c>
      <c r="DV72" s="995">
        <f>DV61*$AH$72</f>
        <v>0</v>
      </c>
      <c r="DW72" s="995">
        <f>DW61*$AH$72</f>
        <v>0</v>
      </c>
      <c r="DX72" s="996">
        <f>DX61*$AH$72</f>
        <v>0</v>
      </c>
      <c r="DZ72" s="994">
        <v>4</v>
      </c>
      <c r="EA72" s="995">
        <f>EA61*AL$72</f>
        <v>3.0988395358143261</v>
      </c>
      <c r="EB72" s="995">
        <f>EB61*AM$72</f>
        <v>2.3241296518607446</v>
      </c>
      <c r="EC72" s="995">
        <f>EC61*AN$72</f>
        <v>3.0678511404561832</v>
      </c>
      <c r="ED72" s="996">
        <f>ED61*AO$72</f>
        <v>5.1556942777110857</v>
      </c>
      <c r="EF72" s="994">
        <f t="shared" si="477"/>
        <v>4.3875000000000002</v>
      </c>
      <c r="EG72" s="995">
        <f t="shared" si="449"/>
        <v>2.9160000000000004</v>
      </c>
      <c r="EH72" s="995">
        <f t="shared" si="450"/>
        <v>2.7945000000000002</v>
      </c>
      <c r="EI72" s="995">
        <f t="shared" si="451"/>
        <v>1.5322500000000001</v>
      </c>
      <c r="EJ72" s="995">
        <f t="shared" si="452"/>
        <v>0.29700000000000004</v>
      </c>
      <c r="EK72" s="995">
        <f t="shared" si="453"/>
        <v>0.57172500000000004</v>
      </c>
      <c r="EL72" s="995">
        <f t="shared" si="454"/>
        <v>0.89842500000000014</v>
      </c>
      <c r="EM72" s="995">
        <f t="shared" si="455"/>
        <v>1.1679525000000002</v>
      </c>
      <c r="EN72" s="995">
        <f t="shared" si="456"/>
        <v>1.3835745000000004</v>
      </c>
      <c r="EO72" s="995">
        <f t="shared" si="457"/>
        <v>1.3835745000000004</v>
      </c>
      <c r="EP72" s="995">
        <f t="shared" si="458"/>
        <v>1.5219319500000006</v>
      </c>
      <c r="EQ72" s="996">
        <f t="shared" si="459"/>
        <v>1.6741251450000008</v>
      </c>
      <c r="ES72" s="994">
        <f t="shared" si="478"/>
        <v>1.05</v>
      </c>
      <c r="ET72" s="995">
        <f t="shared" si="460"/>
        <v>0.81</v>
      </c>
      <c r="EU72" s="995">
        <f t="shared" si="460"/>
        <v>0.67500000000000004</v>
      </c>
      <c r="EV72" s="995">
        <f t="shared" si="460"/>
        <v>0.47250000000000003</v>
      </c>
      <c r="EW72" s="995">
        <f t="shared" si="460"/>
        <v>0.29700000000000004</v>
      </c>
      <c r="EX72" s="995">
        <f t="shared" si="460"/>
        <v>0.73507500000000014</v>
      </c>
      <c r="EY72" s="995">
        <f t="shared" si="460"/>
        <v>1.1434500000000001</v>
      </c>
      <c r="EZ72" s="995">
        <f t="shared" si="460"/>
        <v>1.2577950000000002</v>
      </c>
      <c r="FA72" s="995">
        <f t="shared" si="460"/>
        <v>1.3835745000000004</v>
      </c>
      <c r="FB72" s="995">
        <f t="shared" si="460"/>
        <v>1.3835745000000004</v>
      </c>
      <c r="FC72" s="995">
        <f t="shared" si="460"/>
        <v>1.5219319500000006</v>
      </c>
      <c r="FD72" s="996">
        <f t="shared" si="460"/>
        <v>1.6741251450000008</v>
      </c>
      <c r="FF72" s="994">
        <f t="shared" si="479"/>
        <v>1.05</v>
      </c>
      <c r="FG72" s="995">
        <f t="shared" si="461"/>
        <v>0.94500000000000006</v>
      </c>
      <c r="FH72" s="995">
        <f t="shared" si="461"/>
        <v>0.94500000000000006</v>
      </c>
      <c r="FI72" s="995">
        <f t="shared" si="461"/>
        <v>0.60750000000000004</v>
      </c>
      <c r="FJ72" s="995">
        <f t="shared" si="461"/>
        <v>0.29700000000000004</v>
      </c>
      <c r="FK72" s="995">
        <f t="shared" si="461"/>
        <v>0.73507500000000014</v>
      </c>
      <c r="FL72" s="995">
        <f t="shared" si="461"/>
        <v>0.98010000000000019</v>
      </c>
      <c r="FM72" s="995">
        <f t="shared" si="461"/>
        <v>0.89842500000000025</v>
      </c>
      <c r="FN72" s="995">
        <f t="shared" si="461"/>
        <v>0.9882675000000003</v>
      </c>
      <c r="FO72" s="995">
        <f t="shared" si="461"/>
        <v>0.9882675000000003</v>
      </c>
      <c r="FP72" s="995">
        <f t="shared" si="461"/>
        <v>1.0870942500000005</v>
      </c>
      <c r="FQ72" s="996">
        <f t="shared" si="461"/>
        <v>1.1958036750000005</v>
      </c>
      <c r="FS72" s="994">
        <f t="shared" si="480"/>
        <v>0.75</v>
      </c>
      <c r="FT72" s="995">
        <f t="shared" si="462"/>
        <v>0.67500000000000004</v>
      </c>
      <c r="FU72" s="995">
        <f t="shared" si="462"/>
        <v>0.67500000000000004</v>
      </c>
      <c r="FV72" s="995">
        <f t="shared" si="462"/>
        <v>0.47250000000000003</v>
      </c>
      <c r="FW72" s="995">
        <f t="shared" si="462"/>
        <v>0.29700000000000004</v>
      </c>
      <c r="FX72" s="995">
        <f t="shared" si="462"/>
        <v>0.32670000000000005</v>
      </c>
      <c r="FY72" s="995">
        <f t="shared" si="462"/>
        <v>0.32670000000000005</v>
      </c>
      <c r="FZ72" s="995">
        <f t="shared" si="462"/>
        <v>0.35937000000000008</v>
      </c>
      <c r="GA72" s="995">
        <f t="shared" si="462"/>
        <v>0.39530700000000013</v>
      </c>
      <c r="GB72" s="995">
        <f t="shared" si="462"/>
        <v>0.39530700000000013</v>
      </c>
      <c r="GC72" s="995">
        <f t="shared" si="462"/>
        <v>0.43483770000000016</v>
      </c>
      <c r="GD72" s="996">
        <f t="shared" si="462"/>
        <v>0.47832147000000019</v>
      </c>
      <c r="GF72" s="994">
        <f t="shared" si="481"/>
        <v>0.3</v>
      </c>
      <c r="GG72" s="995">
        <f t="shared" si="463"/>
        <v>0.27</v>
      </c>
      <c r="GH72" s="995">
        <f t="shared" si="463"/>
        <v>0.27</v>
      </c>
      <c r="GI72" s="995">
        <f t="shared" si="463"/>
        <v>0.27</v>
      </c>
      <c r="GJ72" s="995">
        <f t="shared" si="463"/>
        <v>0.29700000000000004</v>
      </c>
      <c r="GK72" s="995">
        <f t="shared" si="463"/>
        <v>0.32670000000000005</v>
      </c>
      <c r="GL72" s="995">
        <f t="shared" si="463"/>
        <v>0.32670000000000005</v>
      </c>
      <c r="GM72" s="995">
        <f t="shared" si="463"/>
        <v>0.35937000000000008</v>
      </c>
      <c r="GN72" s="995">
        <f t="shared" si="463"/>
        <v>0.39530700000000013</v>
      </c>
      <c r="GO72" s="995">
        <f t="shared" si="463"/>
        <v>0.39530700000000013</v>
      </c>
      <c r="GP72" s="995">
        <f t="shared" si="463"/>
        <v>0.43483770000000016</v>
      </c>
      <c r="GQ72" s="996">
        <f t="shared" si="463"/>
        <v>0.47832147000000019</v>
      </c>
      <c r="GS72" s="994">
        <f t="shared" si="482"/>
        <v>0.3</v>
      </c>
      <c r="GT72" s="995">
        <f t="shared" si="464"/>
        <v>0.27</v>
      </c>
      <c r="GU72" s="995">
        <f t="shared" si="464"/>
        <v>0.27</v>
      </c>
      <c r="GV72" s="995">
        <f t="shared" si="464"/>
        <v>0.27</v>
      </c>
      <c r="GW72" s="995">
        <f t="shared" si="464"/>
        <v>0.29700000000000004</v>
      </c>
      <c r="GX72" s="995">
        <f t="shared" si="464"/>
        <v>0.32670000000000005</v>
      </c>
      <c r="GY72" s="995">
        <f t="shared" si="464"/>
        <v>0.32670000000000005</v>
      </c>
      <c r="GZ72" s="995">
        <f t="shared" si="464"/>
        <v>0.35937000000000008</v>
      </c>
      <c r="HA72" s="995">
        <f t="shared" si="464"/>
        <v>0.39530700000000013</v>
      </c>
      <c r="HB72" s="995">
        <f t="shared" si="464"/>
        <v>0.39530700000000013</v>
      </c>
      <c r="HC72" s="995">
        <f t="shared" si="464"/>
        <v>0.43483770000000016</v>
      </c>
      <c r="HD72" s="996">
        <f t="shared" si="464"/>
        <v>0.47832147000000019</v>
      </c>
    </row>
    <row r="73" spans="2:212" ht="14.25">
      <c r="B73" s="958" t="s">
        <v>1080</v>
      </c>
      <c r="C73" s="31"/>
      <c r="D73" s="31"/>
      <c r="E73" s="31"/>
      <c r="F73" s="31"/>
      <c r="G73" s="31"/>
      <c r="H73" s="1089"/>
      <c r="I73" s="1089"/>
      <c r="N73" s="1684"/>
      <c r="O73" s="957" t="s">
        <v>123</v>
      </c>
      <c r="P73" s="606">
        <v>0</v>
      </c>
      <c r="Q73" s="606">
        <v>2</v>
      </c>
      <c r="R73" s="606">
        <v>2</v>
      </c>
      <c r="S73" s="606">
        <v>1</v>
      </c>
      <c r="T73" s="606">
        <v>1</v>
      </c>
      <c r="U73" s="606">
        <v>0</v>
      </c>
      <c r="V73" s="606">
        <v>0</v>
      </c>
      <c r="X73" s="1080"/>
      <c r="AA73" s="1684"/>
      <c r="AB73" s="957" t="s">
        <v>123</v>
      </c>
      <c r="AC73" s="610">
        <f t="shared" si="397"/>
        <v>0</v>
      </c>
      <c r="AD73" s="610">
        <f t="shared" si="397"/>
        <v>0.11764705882352941</v>
      </c>
      <c r="AE73" s="610">
        <f t="shared" si="397"/>
        <v>0.25</v>
      </c>
      <c r="AF73" s="610">
        <f t="shared" si="397"/>
        <v>0.1</v>
      </c>
      <c r="AG73" s="610">
        <f t="shared" si="397"/>
        <v>0.14285714285714285</v>
      </c>
      <c r="AH73" s="610">
        <f t="shared" si="397"/>
        <v>0</v>
      </c>
      <c r="AI73" s="610">
        <f t="shared" si="397"/>
        <v>0</v>
      </c>
      <c r="AJ73" s="952">
        <f t="shared" si="398"/>
        <v>8.721488595438176E-2</v>
      </c>
      <c r="AK73" s="952">
        <f t="shared" si="399"/>
        <v>8.721488595438176E-2</v>
      </c>
      <c r="AL73" s="952">
        <f t="shared" si="465"/>
        <v>9.5936374549819944E-2</v>
      </c>
      <c r="AM73" s="952">
        <f t="shared" si="400"/>
        <v>9.5936374549819944E-2</v>
      </c>
      <c r="AN73" s="952">
        <f t="shared" si="401"/>
        <v>0.10553001200480194</v>
      </c>
      <c r="AO73" s="952">
        <f t="shared" si="402"/>
        <v>0.11608301320528215</v>
      </c>
      <c r="AP73" s="1053">
        <v>0.1</v>
      </c>
      <c r="AQ73" s="1053">
        <f t="shared" si="466"/>
        <v>9.0000000000000011E-2</v>
      </c>
      <c r="AR73" s="1053">
        <f t="shared" si="466"/>
        <v>9.0000000000000011E-2</v>
      </c>
      <c r="AS73" s="1053">
        <f t="shared" si="466"/>
        <v>9.0000000000000011E-2</v>
      </c>
      <c r="AT73" s="1053">
        <f t="shared" si="466"/>
        <v>9.9000000000000019E-2</v>
      </c>
      <c r="AU73" s="1053">
        <f t="shared" si="466"/>
        <v>0.10890000000000002</v>
      </c>
      <c r="AV73" s="1053">
        <f t="shared" si="466"/>
        <v>0.10890000000000002</v>
      </c>
      <c r="AW73" s="1053">
        <f t="shared" si="466"/>
        <v>0.11979000000000004</v>
      </c>
      <c r="AX73" s="1053">
        <f t="shared" si="466"/>
        <v>0.13176900000000005</v>
      </c>
      <c r="AY73" s="1053">
        <f t="shared" si="466"/>
        <v>0.13176900000000005</v>
      </c>
      <c r="AZ73" s="1053">
        <f t="shared" si="466"/>
        <v>0.14494590000000007</v>
      </c>
      <c r="BA73" s="1053">
        <f t="shared" si="466"/>
        <v>0.1594404900000001</v>
      </c>
      <c r="BB73" s="1053">
        <v>0.1</v>
      </c>
      <c r="BC73" s="1053">
        <f t="shared" si="467"/>
        <v>9.0000000000000011E-2</v>
      </c>
      <c r="BD73" s="1053">
        <f t="shared" si="468"/>
        <v>9.0000000000000011E-2</v>
      </c>
      <c r="BE73" s="1053">
        <f t="shared" si="404"/>
        <v>9.0000000000000011E-2</v>
      </c>
      <c r="BF73" s="1053">
        <f t="shared" si="405"/>
        <v>9.9000000000000019E-2</v>
      </c>
      <c r="BG73" s="1053">
        <f t="shared" si="406"/>
        <v>0.10890000000000002</v>
      </c>
      <c r="BH73" s="1053">
        <f t="shared" si="407"/>
        <v>0.10890000000000002</v>
      </c>
      <c r="BI73" s="1053">
        <f t="shared" si="408"/>
        <v>0.11979000000000004</v>
      </c>
      <c r="BJ73" s="1053">
        <f t="shared" si="409"/>
        <v>0.13176900000000005</v>
      </c>
      <c r="BK73" s="1053">
        <f t="shared" si="410"/>
        <v>0.13176900000000005</v>
      </c>
      <c r="BL73" s="1053">
        <f t="shared" si="411"/>
        <v>0.14494590000000007</v>
      </c>
      <c r="BM73" s="1053">
        <f t="shared" si="412"/>
        <v>0.1594404900000001</v>
      </c>
      <c r="BN73" s="1053">
        <v>0.1</v>
      </c>
      <c r="BO73" s="1053">
        <f t="shared" si="469"/>
        <v>9.0000000000000011E-2</v>
      </c>
      <c r="BP73" s="1053">
        <f t="shared" si="470"/>
        <v>9.0000000000000011E-2</v>
      </c>
      <c r="BQ73" s="1053">
        <f t="shared" si="413"/>
        <v>9.0000000000000011E-2</v>
      </c>
      <c r="BR73" s="1053">
        <f t="shared" si="414"/>
        <v>9.9000000000000019E-2</v>
      </c>
      <c r="BS73" s="1053">
        <f t="shared" si="415"/>
        <v>0.10890000000000002</v>
      </c>
      <c r="BT73" s="1053">
        <f t="shared" si="416"/>
        <v>0.10890000000000002</v>
      </c>
      <c r="BU73" s="1053">
        <f t="shared" si="417"/>
        <v>0.11979000000000004</v>
      </c>
      <c r="BV73" s="1053">
        <f t="shared" si="418"/>
        <v>0.13176900000000005</v>
      </c>
      <c r="BW73" s="1053">
        <f t="shared" si="419"/>
        <v>0.13176900000000005</v>
      </c>
      <c r="BX73" s="1053">
        <f t="shared" si="420"/>
        <v>0.14494590000000007</v>
      </c>
      <c r="BY73" s="1053">
        <f t="shared" si="421"/>
        <v>0.1594404900000001</v>
      </c>
      <c r="BZ73" s="1053">
        <v>0.1</v>
      </c>
      <c r="CA73" s="1053">
        <f t="shared" si="471"/>
        <v>9.0000000000000011E-2</v>
      </c>
      <c r="CB73" s="1053">
        <f t="shared" si="472"/>
        <v>9.0000000000000011E-2</v>
      </c>
      <c r="CC73" s="1053">
        <f t="shared" si="422"/>
        <v>9.0000000000000011E-2</v>
      </c>
      <c r="CD73" s="1053">
        <f t="shared" si="423"/>
        <v>9.9000000000000019E-2</v>
      </c>
      <c r="CE73" s="1053">
        <f t="shared" si="424"/>
        <v>0.10890000000000002</v>
      </c>
      <c r="CF73" s="1053">
        <f t="shared" si="425"/>
        <v>0.10890000000000002</v>
      </c>
      <c r="CG73" s="1053">
        <f t="shared" si="426"/>
        <v>0.11979000000000004</v>
      </c>
      <c r="CH73" s="1053">
        <f t="shared" si="427"/>
        <v>0.13176900000000005</v>
      </c>
      <c r="CI73" s="1053">
        <f t="shared" si="428"/>
        <v>0.13176900000000005</v>
      </c>
      <c r="CJ73" s="1053">
        <f t="shared" si="429"/>
        <v>0.14494590000000007</v>
      </c>
      <c r="CK73" s="1053">
        <f t="shared" si="430"/>
        <v>0.1594404900000001</v>
      </c>
      <c r="CL73" s="1053">
        <v>0.1</v>
      </c>
      <c r="CM73" s="1053">
        <f t="shared" si="473"/>
        <v>9.0000000000000011E-2</v>
      </c>
      <c r="CN73" s="1053">
        <f t="shared" si="474"/>
        <v>9.0000000000000011E-2</v>
      </c>
      <c r="CO73" s="1053">
        <f t="shared" si="431"/>
        <v>9.0000000000000011E-2</v>
      </c>
      <c r="CP73" s="1053">
        <f t="shared" si="432"/>
        <v>9.9000000000000019E-2</v>
      </c>
      <c r="CQ73" s="1053">
        <f t="shared" si="433"/>
        <v>0.10890000000000002</v>
      </c>
      <c r="CR73" s="1053">
        <f t="shared" si="434"/>
        <v>0.10890000000000002</v>
      </c>
      <c r="CS73" s="1053">
        <f t="shared" si="435"/>
        <v>0.11979000000000004</v>
      </c>
      <c r="CT73" s="1053">
        <f t="shared" si="436"/>
        <v>0.13176900000000005</v>
      </c>
      <c r="CU73" s="1053">
        <f t="shared" si="437"/>
        <v>0.13176900000000005</v>
      </c>
      <c r="CV73" s="1053">
        <f t="shared" si="438"/>
        <v>0.14494590000000007</v>
      </c>
      <c r="CW73" s="1053">
        <f t="shared" si="439"/>
        <v>0.1594404900000001</v>
      </c>
      <c r="CX73" s="1053">
        <v>0.1</v>
      </c>
      <c r="CY73" s="1053">
        <f t="shared" si="475"/>
        <v>9.0000000000000011E-2</v>
      </c>
      <c r="CZ73" s="1053">
        <f t="shared" si="476"/>
        <v>9.0000000000000011E-2</v>
      </c>
      <c r="DA73" s="1053">
        <f t="shared" si="440"/>
        <v>9.0000000000000011E-2</v>
      </c>
      <c r="DB73" s="1053">
        <f t="shared" si="441"/>
        <v>9.9000000000000019E-2</v>
      </c>
      <c r="DC73" s="1053">
        <f t="shared" si="442"/>
        <v>0.10890000000000002</v>
      </c>
      <c r="DD73" s="1053">
        <f t="shared" si="443"/>
        <v>0.10890000000000002</v>
      </c>
      <c r="DE73" s="1053">
        <f t="shared" si="444"/>
        <v>0.11979000000000004</v>
      </c>
      <c r="DF73" s="1053">
        <f t="shared" si="445"/>
        <v>0.13176900000000005</v>
      </c>
      <c r="DG73" s="1053">
        <f t="shared" si="446"/>
        <v>0.13176900000000005</v>
      </c>
      <c r="DH73" s="1053">
        <f t="shared" si="447"/>
        <v>0.14494590000000007</v>
      </c>
      <c r="DI73" s="1053">
        <f t="shared" si="448"/>
        <v>0.1594404900000001</v>
      </c>
      <c r="DK73" s="1684"/>
      <c r="DL73" s="957" t="s">
        <v>123</v>
      </c>
      <c r="DN73" s="994">
        <v>1</v>
      </c>
      <c r="DO73" s="995">
        <f>DO62*$AJ$73</f>
        <v>0.69771908763505408</v>
      </c>
      <c r="DP73" s="995">
        <f>DP62*$AJ$73</f>
        <v>1.7442977190876352</v>
      </c>
      <c r="DQ73" s="995">
        <f>DQ62*$AJ$73</f>
        <v>1.4826530612244899</v>
      </c>
      <c r="DR73" s="996">
        <f>DR62*$AJ$73</f>
        <v>1.5698679471788717</v>
      </c>
      <c r="DT73" s="994">
        <v>1</v>
      </c>
      <c r="DU73" s="995">
        <f>DU62*$AH$73</f>
        <v>0</v>
      </c>
      <c r="DV73" s="995">
        <f>DV62*$AH$73</f>
        <v>0</v>
      </c>
      <c r="DW73" s="995">
        <f>DW62*$AH$73</f>
        <v>0</v>
      </c>
      <c r="DX73" s="996">
        <f>DX62*$AH$73</f>
        <v>0</v>
      </c>
      <c r="DZ73" s="994">
        <v>1</v>
      </c>
      <c r="EA73" s="995">
        <f>EA62*AL$73</f>
        <v>0.6715546218487396</v>
      </c>
      <c r="EB73" s="995">
        <f>EB62*AM$73</f>
        <v>1.9187274909963989</v>
      </c>
      <c r="EC73" s="995">
        <f>EC62*AN$73</f>
        <v>1.5829501800720291</v>
      </c>
      <c r="ED73" s="996">
        <f>ED62*AO$73</f>
        <v>2.0894942376950789</v>
      </c>
      <c r="EF73" s="994">
        <f t="shared" si="477"/>
        <v>2.75</v>
      </c>
      <c r="EG73" s="995">
        <f t="shared" si="449"/>
        <v>2.6325000000000003</v>
      </c>
      <c r="EH73" s="995">
        <f t="shared" si="450"/>
        <v>1.9440000000000004</v>
      </c>
      <c r="EI73" s="995">
        <f t="shared" si="451"/>
        <v>1.8630000000000002</v>
      </c>
      <c r="EJ73" s="995">
        <f t="shared" si="452"/>
        <v>1.1236500000000003</v>
      </c>
      <c r="EK73" s="995">
        <f t="shared" si="453"/>
        <v>0.21780000000000005</v>
      </c>
      <c r="EL73" s="995">
        <f t="shared" si="454"/>
        <v>0.3811500000000001</v>
      </c>
      <c r="EM73" s="995">
        <f t="shared" si="455"/>
        <v>0.65884500000000024</v>
      </c>
      <c r="EN73" s="995">
        <f t="shared" si="456"/>
        <v>0.85649850000000038</v>
      </c>
      <c r="EO73" s="995">
        <f t="shared" si="457"/>
        <v>0.9223830000000004</v>
      </c>
      <c r="EP73" s="995">
        <f t="shared" si="458"/>
        <v>1.0146213000000004</v>
      </c>
      <c r="EQ73" s="996">
        <f t="shared" si="459"/>
        <v>1.1160834300000007</v>
      </c>
      <c r="ES73" s="994">
        <f t="shared" si="478"/>
        <v>0.70000000000000007</v>
      </c>
      <c r="ET73" s="995">
        <f t="shared" si="460"/>
        <v>0.63000000000000012</v>
      </c>
      <c r="EU73" s="995">
        <f t="shared" si="460"/>
        <v>0.54</v>
      </c>
      <c r="EV73" s="995">
        <f t="shared" si="460"/>
        <v>0.45000000000000007</v>
      </c>
      <c r="EW73" s="995">
        <f t="shared" si="460"/>
        <v>0.34650000000000009</v>
      </c>
      <c r="EX73" s="995">
        <f t="shared" si="460"/>
        <v>0.21780000000000005</v>
      </c>
      <c r="EY73" s="995">
        <f t="shared" si="460"/>
        <v>0.4900500000000001</v>
      </c>
      <c r="EZ73" s="995">
        <f t="shared" si="460"/>
        <v>0.83853000000000022</v>
      </c>
      <c r="FA73" s="995">
        <f t="shared" si="460"/>
        <v>0.9223830000000004</v>
      </c>
      <c r="FB73" s="995">
        <f t="shared" si="460"/>
        <v>0.9223830000000004</v>
      </c>
      <c r="FC73" s="995">
        <f t="shared" si="460"/>
        <v>1.0146213000000004</v>
      </c>
      <c r="FD73" s="996">
        <f t="shared" si="460"/>
        <v>1.1160834300000007</v>
      </c>
      <c r="FF73" s="994">
        <f t="shared" si="479"/>
        <v>0.70000000000000007</v>
      </c>
      <c r="FG73" s="995">
        <f t="shared" si="461"/>
        <v>0.63000000000000012</v>
      </c>
      <c r="FH73" s="995">
        <f t="shared" si="461"/>
        <v>0.63000000000000012</v>
      </c>
      <c r="FI73" s="995">
        <f t="shared" si="461"/>
        <v>0.63000000000000012</v>
      </c>
      <c r="FJ73" s="995">
        <f t="shared" si="461"/>
        <v>0.44550000000000006</v>
      </c>
      <c r="FK73" s="995">
        <f t="shared" si="461"/>
        <v>0.21780000000000005</v>
      </c>
      <c r="FL73" s="995">
        <f t="shared" si="461"/>
        <v>0.4900500000000001</v>
      </c>
      <c r="FM73" s="995">
        <f t="shared" si="461"/>
        <v>0.71874000000000016</v>
      </c>
      <c r="FN73" s="995">
        <f t="shared" si="461"/>
        <v>0.65884500000000024</v>
      </c>
      <c r="FO73" s="995">
        <f t="shared" si="461"/>
        <v>0.65884500000000024</v>
      </c>
      <c r="FP73" s="995">
        <f t="shared" si="461"/>
        <v>0.72472950000000036</v>
      </c>
      <c r="FQ73" s="996">
        <f t="shared" si="461"/>
        <v>0.79720245000000056</v>
      </c>
      <c r="FS73" s="994">
        <f t="shared" si="480"/>
        <v>0.5</v>
      </c>
      <c r="FT73" s="995">
        <f t="shared" si="462"/>
        <v>0.45000000000000007</v>
      </c>
      <c r="FU73" s="995">
        <f t="shared" si="462"/>
        <v>0.45000000000000007</v>
      </c>
      <c r="FV73" s="995">
        <f t="shared" si="462"/>
        <v>0.45000000000000007</v>
      </c>
      <c r="FW73" s="995">
        <f t="shared" si="462"/>
        <v>0.34650000000000009</v>
      </c>
      <c r="FX73" s="995">
        <f t="shared" si="462"/>
        <v>0.21780000000000005</v>
      </c>
      <c r="FY73" s="995">
        <f t="shared" si="462"/>
        <v>0.21780000000000005</v>
      </c>
      <c r="FZ73" s="995">
        <f t="shared" si="462"/>
        <v>0.23958000000000007</v>
      </c>
      <c r="GA73" s="995">
        <f t="shared" si="462"/>
        <v>0.26353800000000011</v>
      </c>
      <c r="GB73" s="995">
        <f t="shared" si="462"/>
        <v>0.26353800000000011</v>
      </c>
      <c r="GC73" s="995">
        <f t="shared" si="462"/>
        <v>0.28989180000000014</v>
      </c>
      <c r="GD73" s="996">
        <f t="shared" si="462"/>
        <v>0.3188809800000002</v>
      </c>
      <c r="GF73" s="994">
        <f t="shared" si="481"/>
        <v>0.2</v>
      </c>
      <c r="GG73" s="995">
        <f t="shared" si="463"/>
        <v>0.18000000000000002</v>
      </c>
      <c r="GH73" s="995">
        <f t="shared" si="463"/>
        <v>0.18000000000000002</v>
      </c>
      <c r="GI73" s="995">
        <f t="shared" si="463"/>
        <v>0.18000000000000002</v>
      </c>
      <c r="GJ73" s="995">
        <f t="shared" si="463"/>
        <v>0.19800000000000004</v>
      </c>
      <c r="GK73" s="995">
        <f t="shared" si="463"/>
        <v>0.21780000000000005</v>
      </c>
      <c r="GL73" s="995">
        <f t="shared" si="463"/>
        <v>0.21780000000000005</v>
      </c>
      <c r="GM73" s="995">
        <f t="shared" si="463"/>
        <v>0.23958000000000007</v>
      </c>
      <c r="GN73" s="995">
        <f t="shared" si="463"/>
        <v>0.26353800000000011</v>
      </c>
      <c r="GO73" s="995">
        <f t="shared" si="463"/>
        <v>0.26353800000000011</v>
      </c>
      <c r="GP73" s="995">
        <f t="shared" si="463"/>
        <v>0.28989180000000014</v>
      </c>
      <c r="GQ73" s="996">
        <f t="shared" si="463"/>
        <v>0.3188809800000002</v>
      </c>
      <c r="GS73" s="994">
        <f t="shared" si="482"/>
        <v>0.2</v>
      </c>
      <c r="GT73" s="995">
        <f t="shared" si="464"/>
        <v>0.18000000000000002</v>
      </c>
      <c r="GU73" s="995">
        <f t="shared" si="464"/>
        <v>0.18000000000000002</v>
      </c>
      <c r="GV73" s="995">
        <f t="shared" si="464"/>
        <v>0.18000000000000002</v>
      </c>
      <c r="GW73" s="995">
        <f t="shared" si="464"/>
        <v>0.19800000000000004</v>
      </c>
      <c r="GX73" s="995">
        <f t="shared" si="464"/>
        <v>0.21780000000000005</v>
      </c>
      <c r="GY73" s="995">
        <f t="shared" si="464"/>
        <v>0.21780000000000005</v>
      </c>
      <c r="GZ73" s="995">
        <f t="shared" si="464"/>
        <v>0.23958000000000007</v>
      </c>
      <c r="HA73" s="995">
        <f t="shared" si="464"/>
        <v>0.26353800000000011</v>
      </c>
      <c r="HB73" s="995">
        <f t="shared" si="464"/>
        <v>0.26353800000000011</v>
      </c>
      <c r="HC73" s="995">
        <f t="shared" si="464"/>
        <v>0.28989180000000014</v>
      </c>
      <c r="HD73" s="996">
        <f t="shared" si="464"/>
        <v>0.3188809800000002</v>
      </c>
    </row>
    <row r="74" spans="2:212" ht="14.25">
      <c r="B74" s="1095" t="s">
        <v>1081</v>
      </c>
      <c r="C74" s="31"/>
      <c r="D74" s="31"/>
      <c r="E74" s="31"/>
      <c r="F74" s="31"/>
      <c r="G74" s="31"/>
      <c r="H74" s="1089"/>
      <c r="I74" s="1089"/>
      <c r="N74" s="1684"/>
      <c r="O74" s="957" t="s">
        <v>124</v>
      </c>
      <c r="P74" s="606">
        <v>1</v>
      </c>
      <c r="Q74" s="606">
        <v>0</v>
      </c>
      <c r="R74" s="606">
        <v>3</v>
      </c>
      <c r="S74" s="606">
        <v>1</v>
      </c>
      <c r="T74" s="606">
        <v>0</v>
      </c>
      <c r="U74" s="606">
        <v>1</v>
      </c>
      <c r="V74" s="606">
        <v>0</v>
      </c>
      <c r="X74" s="1080"/>
      <c r="AA74" s="1684"/>
      <c r="AB74" s="957" t="s">
        <v>124</v>
      </c>
      <c r="AC74" s="610">
        <f t="shared" si="397"/>
        <v>7.6923076923076927E-2</v>
      </c>
      <c r="AD74" s="610">
        <f t="shared" si="397"/>
        <v>0</v>
      </c>
      <c r="AE74" s="610">
        <f t="shared" si="397"/>
        <v>0.17647058823529413</v>
      </c>
      <c r="AF74" s="610">
        <f t="shared" si="397"/>
        <v>0.125</v>
      </c>
      <c r="AG74" s="610">
        <f t="shared" si="397"/>
        <v>0</v>
      </c>
      <c r="AH74" s="610">
        <f t="shared" si="397"/>
        <v>0.14285714285714285</v>
      </c>
      <c r="AI74" s="610">
        <f t="shared" si="397"/>
        <v>0</v>
      </c>
      <c r="AJ74" s="952">
        <f t="shared" si="398"/>
        <v>7.4464401145073397E-2</v>
      </c>
      <c r="AK74" s="952">
        <f t="shared" si="399"/>
        <v>7.4464401145073397E-2</v>
      </c>
      <c r="AL74" s="952">
        <f t="shared" si="465"/>
        <v>8.1910841259580744E-2</v>
      </c>
      <c r="AM74" s="952">
        <f t="shared" si="400"/>
        <v>8.1910841259580744E-2</v>
      </c>
      <c r="AN74" s="952">
        <f t="shared" si="401"/>
        <v>9.0101925385538822E-2</v>
      </c>
      <c r="AO74" s="952">
        <f t="shared" si="402"/>
        <v>9.9112117924092719E-2</v>
      </c>
      <c r="AP74" s="1053">
        <v>0.1</v>
      </c>
      <c r="AQ74" s="1053">
        <f t="shared" si="466"/>
        <v>9.0000000000000011E-2</v>
      </c>
      <c r="AR74" s="1053">
        <f t="shared" si="466"/>
        <v>9.0000000000000011E-2</v>
      </c>
      <c r="AS74" s="1053">
        <f t="shared" si="466"/>
        <v>9.0000000000000011E-2</v>
      </c>
      <c r="AT74" s="1053">
        <f t="shared" si="466"/>
        <v>9.9000000000000019E-2</v>
      </c>
      <c r="AU74" s="1053">
        <f t="shared" si="466"/>
        <v>0.10890000000000002</v>
      </c>
      <c r="AV74" s="1053">
        <f t="shared" si="466"/>
        <v>0.10890000000000002</v>
      </c>
      <c r="AW74" s="1053">
        <f t="shared" si="466"/>
        <v>0.11979000000000004</v>
      </c>
      <c r="AX74" s="1053">
        <f t="shared" si="466"/>
        <v>0.13176900000000005</v>
      </c>
      <c r="AY74" s="1053">
        <f t="shared" si="466"/>
        <v>0.13176900000000005</v>
      </c>
      <c r="AZ74" s="1053">
        <f t="shared" si="466"/>
        <v>0.14494590000000007</v>
      </c>
      <c r="BA74" s="1053">
        <f t="shared" si="466"/>
        <v>0.1594404900000001</v>
      </c>
      <c r="BB74" s="1053">
        <v>0.1</v>
      </c>
      <c r="BC74" s="1053">
        <f t="shared" si="467"/>
        <v>9.0000000000000011E-2</v>
      </c>
      <c r="BD74" s="1053">
        <f t="shared" si="468"/>
        <v>9.0000000000000011E-2</v>
      </c>
      <c r="BE74" s="1053">
        <f t="shared" si="404"/>
        <v>9.0000000000000011E-2</v>
      </c>
      <c r="BF74" s="1053">
        <f t="shared" si="405"/>
        <v>9.9000000000000019E-2</v>
      </c>
      <c r="BG74" s="1053">
        <f t="shared" si="406"/>
        <v>0.10890000000000002</v>
      </c>
      <c r="BH74" s="1053">
        <f t="shared" si="407"/>
        <v>0.10890000000000002</v>
      </c>
      <c r="BI74" s="1053">
        <f t="shared" si="408"/>
        <v>0.11979000000000004</v>
      </c>
      <c r="BJ74" s="1053">
        <f t="shared" si="409"/>
        <v>0.13176900000000005</v>
      </c>
      <c r="BK74" s="1053">
        <f t="shared" si="410"/>
        <v>0.13176900000000005</v>
      </c>
      <c r="BL74" s="1053">
        <f t="shared" si="411"/>
        <v>0.14494590000000007</v>
      </c>
      <c r="BM74" s="1053">
        <f t="shared" si="412"/>
        <v>0.1594404900000001</v>
      </c>
      <c r="BN74" s="1053">
        <v>0.1</v>
      </c>
      <c r="BO74" s="1053">
        <f t="shared" si="469"/>
        <v>9.0000000000000011E-2</v>
      </c>
      <c r="BP74" s="1053">
        <f t="shared" si="470"/>
        <v>9.0000000000000011E-2</v>
      </c>
      <c r="BQ74" s="1053">
        <f t="shared" si="413"/>
        <v>9.0000000000000011E-2</v>
      </c>
      <c r="BR74" s="1053">
        <f t="shared" si="414"/>
        <v>9.9000000000000019E-2</v>
      </c>
      <c r="BS74" s="1053">
        <f t="shared" si="415"/>
        <v>0.10890000000000002</v>
      </c>
      <c r="BT74" s="1053">
        <f t="shared" si="416"/>
        <v>0.10890000000000002</v>
      </c>
      <c r="BU74" s="1053">
        <f t="shared" si="417"/>
        <v>0.11979000000000004</v>
      </c>
      <c r="BV74" s="1053">
        <f t="shared" si="418"/>
        <v>0.13176900000000005</v>
      </c>
      <c r="BW74" s="1053">
        <f t="shared" si="419"/>
        <v>0.13176900000000005</v>
      </c>
      <c r="BX74" s="1053">
        <f t="shared" si="420"/>
        <v>0.14494590000000007</v>
      </c>
      <c r="BY74" s="1053">
        <f t="shared" si="421"/>
        <v>0.1594404900000001</v>
      </c>
      <c r="BZ74" s="1053">
        <v>0.1</v>
      </c>
      <c r="CA74" s="1053">
        <f t="shared" si="471"/>
        <v>9.0000000000000011E-2</v>
      </c>
      <c r="CB74" s="1053">
        <f t="shared" si="472"/>
        <v>9.0000000000000011E-2</v>
      </c>
      <c r="CC74" s="1053">
        <f t="shared" si="422"/>
        <v>9.0000000000000011E-2</v>
      </c>
      <c r="CD74" s="1053">
        <f t="shared" si="423"/>
        <v>9.9000000000000019E-2</v>
      </c>
      <c r="CE74" s="1053">
        <f t="shared" si="424"/>
        <v>0.10890000000000002</v>
      </c>
      <c r="CF74" s="1053">
        <f t="shared" si="425"/>
        <v>0.10890000000000002</v>
      </c>
      <c r="CG74" s="1053">
        <f t="shared" si="426"/>
        <v>0.11979000000000004</v>
      </c>
      <c r="CH74" s="1053">
        <f t="shared" si="427"/>
        <v>0.13176900000000005</v>
      </c>
      <c r="CI74" s="1053">
        <f t="shared" si="428"/>
        <v>0.13176900000000005</v>
      </c>
      <c r="CJ74" s="1053">
        <f t="shared" si="429"/>
        <v>0.14494590000000007</v>
      </c>
      <c r="CK74" s="1053">
        <f t="shared" si="430"/>
        <v>0.1594404900000001</v>
      </c>
      <c r="CL74" s="1053">
        <v>0.1</v>
      </c>
      <c r="CM74" s="1053">
        <f t="shared" si="473"/>
        <v>9.0000000000000011E-2</v>
      </c>
      <c r="CN74" s="1053">
        <f t="shared" si="474"/>
        <v>9.0000000000000011E-2</v>
      </c>
      <c r="CO74" s="1053">
        <f t="shared" si="431"/>
        <v>9.0000000000000011E-2</v>
      </c>
      <c r="CP74" s="1053">
        <f t="shared" si="432"/>
        <v>9.9000000000000019E-2</v>
      </c>
      <c r="CQ74" s="1053">
        <f t="shared" si="433"/>
        <v>0.10890000000000002</v>
      </c>
      <c r="CR74" s="1053">
        <f t="shared" si="434"/>
        <v>0.10890000000000002</v>
      </c>
      <c r="CS74" s="1053">
        <f t="shared" si="435"/>
        <v>0.11979000000000004</v>
      </c>
      <c r="CT74" s="1053">
        <f t="shared" si="436"/>
        <v>0.13176900000000005</v>
      </c>
      <c r="CU74" s="1053">
        <f t="shared" si="437"/>
        <v>0.13176900000000005</v>
      </c>
      <c r="CV74" s="1053">
        <f t="shared" si="438"/>
        <v>0.14494590000000007</v>
      </c>
      <c r="CW74" s="1053">
        <f t="shared" si="439"/>
        <v>0.1594404900000001</v>
      </c>
      <c r="CX74" s="1053">
        <v>0.1</v>
      </c>
      <c r="CY74" s="1053">
        <f t="shared" si="475"/>
        <v>9.0000000000000011E-2</v>
      </c>
      <c r="CZ74" s="1053">
        <f t="shared" si="476"/>
        <v>9.0000000000000011E-2</v>
      </c>
      <c r="DA74" s="1053">
        <f t="shared" si="440"/>
        <v>9.0000000000000011E-2</v>
      </c>
      <c r="DB74" s="1053">
        <f t="shared" si="441"/>
        <v>9.9000000000000019E-2</v>
      </c>
      <c r="DC74" s="1053">
        <f t="shared" si="442"/>
        <v>0.10890000000000002</v>
      </c>
      <c r="DD74" s="1053">
        <f t="shared" si="443"/>
        <v>0.10890000000000002</v>
      </c>
      <c r="DE74" s="1053">
        <f t="shared" si="444"/>
        <v>0.11979000000000004</v>
      </c>
      <c r="DF74" s="1053">
        <f t="shared" si="445"/>
        <v>0.13176900000000005</v>
      </c>
      <c r="DG74" s="1053">
        <f t="shared" si="446"/>
        <v>0.13176900000000005</v>
      </c>
      <c r="DH74" s="1053">
        <f t="shared" si="447"/>
        <v>0.14494590000000007</v>
      </c>
      <c r="DI74" s="1053">
        <f t="shared" si="448"/>
        <v>0.1594404900000001</v>
      </c>
      <c r="DK74" s="1684"/>
      <c r="DL74" s="957" t="s">
        <v>124</v>
      </c>
      <c r="DN74" s="994">
        <v>0</v>
      </c>
      <c r="DO74" s="995">
        <f>DO63*$AJ$74</f>
        <v>1.1169660171761009</v>
      </c>
      <c r="DP74" s="995">
        <f>DP63*$AJ$74</f>
        <v>0.59571520916058718</v>
      </c>
      <c r="DQ74" s="995">
        <f>DQ63*$AJ$74</f>
        <v>1.489288022901468</v>
      </c>
      <c r="DR74" s="996">
        <f>DR63*$AJ$74</f>
        <v>1.2658948194662478</v>
      </c>
      <c r="DT74" s="994">
        <v>0</v>
      </c>
      <c r="DU74" s="995">
        <f>DU63*$AH$74</f>
        <v>2.1428571428571428</v>
      </c>
      <c r="DV74" s="995">
        <f>DV63*$AH$74</f>
        <v>1.1428571428571428</v>
      </c>
      <c r="DW74" s="995">
        <f>DW63*$AH$74</f>
        <v>2.8571428571428568</v>
      </c>
      <c r="DX74" s="996">
        <f>DX63*$AH$74</f>
        <v>2.4285714285714284</v>
      </c>
      <c r="DZ74" s="994">
        <v>0</v>
      </c>
      <c r="EA74" s="995">
        <f>EA63*AL$74</f>
        <v>1.2286626188937111</v>
      </c>
      <c r="EB74" s="995">
        <f>EB63*AM$74</f>
        <v>0.57337588881706525</v>
      </c>
      <c r="EC74" s="995">
        <f>EC63*AN$74</f>
        <v>1.8020385077107766</v>
      </c>
      <c r="ED74" s="996">
        <f>ED63*AO$74</f>
        <v>1.4866817688613907</v>
      </c>
      <c r="EF74" s="994">
        <f t="shared" si="477"/>
        <v>1.8</v>
      </c>
      <c r="EG74" s="995">
        <f t="shared" si="449"/>
        <v>2.4750000000000001</v>
      </c>
      <c r="EH74" s="995">
        <f t="shared" si="450"/>
        <v>2.6325000000000003</v>
      </c>
      <c r="EI74" s="995">
        <f t="shared" si="451"/>
        <v>1.9440000000000004</v>
      </c>
      <c r="EJ74" s="995">
        <f t="shared" si="452"/>
        <v>2.0493000000000001</v>
      </c>
      <c r="EK74" s="995">
        <f t="shared" si="453"/>
        <v>1.2360150000000003</v>
      </c>
      <c r="EL74" s="995">
        <f t="shared" si="454"/>
        <v>0.21780000000000005</v>
      </c>
      <c r="EM74" s="995">
        <f t="shared" si="455"/>
        <v>0.41926500000000011</v>
      </c>
      <c r="EN74" s="995">
        <f t="shared" si="456"/>
        <v>0.72472950000000025</v>
      </c>
      <c r="EO74" s="995">
        <f t="shared" si="457"/>
        <v>0.85649850000000038</v>
      </c>
      <c r="EP74" s="995">
        <f t="shared" si="458"/>
        <v>1.0146213000000004</v>
      </c>
      <c r="EQ74" s="996">
        <f t="shared" si="459"/>
        <v>1.1160834300000007</v>
      </c>
      <c r="ES74" s="994">
        <f t="shared" si="478"/>
        <v>0.70000000000000007</v>
      </c>
      <c r="ET74" s="995">
        <f t="shared" si="460"/>
        <v>0.63000000000000012</v>
      </c>
      <c r="EU74" s="995">
        <f t="shared" si="460"/>
        <v>0.63000000000000012</v>
      </c>
      <c r="EV74" s="995">
        <f t="shared" si="460"/>
        <v>0.54</v>
      </c>
      <c r="EW74" s="995">
        <f t="shared" si="460"/>
        <v>0.49500000000000011</v>
      </c>
      <c r="EX74" s="995">
        <f t="shared" si="460"/>
        <v>0.3811500000000001</v>
      </c>
      <c r="EY74" s="995">
        <f t="shared" si="460"/>
        <v>0.21780000000000005</v>
      </c>
      <c r="EZ74" s="995">
        <f t="shared" si="460"/>
        <v>0.53905500000000017</v>
      </c>
      <c r="FA74" s="995">
        <f t="shared" si="460"/>
        <v>0.9223830000000004</v>
      </c>
      <c r="FB74" s="995">
        <f t="shared" si="460"/>
        <v>0.9223830000000004</v>
      </c>
      <c r="FC74" s="995">
        <f t="shared" si="460"/>
        <v>1.0146213000000004</v>
      </c>
      <c r="FD74" s="996">
        <f t="shared" si="460"/>
        <v>1.1160834300000007</v>
      </c>
      <c r="FF74" s="994">
        <f t="shared" si="479"/>
        <v>0.70000000000000007</v>
      </c>
      <c r="FG74" s="995">
        <f t="shared" si="461"/>
        <v>0.63000000000000012</v>
      </c>
      <c r="FH74" s="995">
        <f t="shared" si="461"/>
        <v>0.63000000000000012</v>
      </c>
      <c r="FI74" s="995">
        <f t="shared" si="461"/>
        <v>0.63000000000000012</v>
      </c>
      <c r="FJ74" s="995">
        <f t="shared" si="461"/>
        <v>0.69300000000000017</v>
      </c>
      <c r="FK74" s="995">
        <f t="shared" si="461"/>
        <v>0.4900500000000001</v>
      </c>
      <c r="FL74" s="995">
        <f t="shared" si="461"/>
        <v>0.21780000000000005</v>
      </c>
      <c r="FM74" s="995">
        <f t="shared" si="461"/>
        <v>0.53905500000000017</v>
      </c>
      <c r="FN74" s="995">
        <f t="shared" si="461"/>
        <v>0.79061400000000037</v>
      </c>
      <c r="FO74" s="995">
        <f t="shared" si="461"/>
        <v>0.65884500000000024</v>
      </c>
      <c r="FP74" s="995">
        <f t="shared" si="461"/>
        <v>0.72472950000000036</v>
      </c>
      <c r="FQ74" s="996">
        <f t="shared" si="461"/>
        <v>0.79720245000000056</v>
      </c>
      <c r="FS74" s="994">
        <f t="shared" si="480"/>
        <v>0.5</v>
      </c>
      <c r="FT74" s="995">
        <f t="shared" si="462"/>
        <v>0.45000000000000007</v>
      </c>
      <c r="FU74" s="995">
        <f t="shared" si="462"/>
        <v>0.45000000000000007</v>
      </c>
      <c r="FV74" s="995">
        <f t="shared" si="462"/>
        <v>0.45000000000000007</v>
      </c>
      <c r="FW74" s="995">
        <f t="shared" si="462"/>
        <v>0.49500000000000011</v>
      </c>
      <c r="FX74" s="995">
        <f t="shared" si="462"/>
        <v>0.3811500000000001</v>
      </c>
      <c r="FY74" s="995">
        <f t="shared" si="462"/>
        <v>0.21780000000000005</v>
      </c>
      <c r="FZ74" s="995">
        <f t="shared" si="462"/>
        <v>0.23958000000000007</v>
      </c>
      <c r="GA74" s="995">
        <f t="shared" si="462"/>
        <v>0.26353800000000011</v>
      </c>
      <c r="GB74" s="995">
        <f t="shared" si="462"/>
        <v>0.26353800000000011</v>
      </c>
      <c r="GC74" s="995">
        <f t="shared" si="462"/>
        <v>0.28989180000000014</v>
      </c>
      <c r="GD74" s="996">
        <f t="shared" si="462"/>
        <v>0.3188809800000002</v>
      </c>
      <c r="GF74" s="994">
        <f t="shared" si="481"/>
        <v>0.2</v>
      </c>
      <c r="GG74" s="995">
        <f t="shared" si="463"/>
        <v>0.18000000000000002</v>
      </c>
      <c r="GH74" s="995">
        <f t="shared" si="463"/>
        <v>0.18000000000000002</v>
      </c>
      <c r="GI74" s="995">
        <f t="shared" si="463"/>
        <v>0.18000000000000002</v>
      </c>
      <c r="GJ74" s="995">
        <f t="shared" si="463"/>
        <v>0.19800000000000004</v>
      </c>
      <c r="GK74" s="995">
        <f t="shared" si="463"/>
        <v>0.21780000000000005</v>
      </c>
      <c r="GL74" s="995">
        <f t="shared" si="463"/>
        <v>0.21780000000000005</v>
      </c>
      <c r="GM74" s="995">
        <f t="shared" si="463"/>
        <v>0.23958000000000007</v>
      </c>
      <c r="GN74" s="995">
        <f t="shared" si="463"/>
        <v>0.26353800000000011</v>
      </c>
      <c r="GO74" s="995">
        <f t="shared" si="463"/>
        <v>0.26353800000000011</v>
      </c>
      <c r="GP74" s="995">
        <f t="shared" si="463"/>
        <v>0.28989180000000014</v>
      </c>
      <c r="GQ74" s="996">
        <f t="shared" si="463"/>
        <v>0.3188809800000002</v>
      </c>
      <c r="GS74" s="994">
        <f t="shared" si="482"/>
        <v>0.2</v>
      </c>
      <c r="GT74" s="995">
        <f t="shared" si="464"/>
        <v>0.18000000000000002</v>
      </c>
      <c r="GU74" s="995">
        <f t="shared" si="464"/>
        <v>0.18000000000000002</v>
      </c>
      <c r="GV74" s="995">
        <f t="shared" si="464"/>
        <v>0.18000000000000002</v>
      </c>
      <c r="GW74" s="995">
        <f t="shared" si="464"/>
        <v>0.19800000000000004</v>
      </c>
      <c r="GX74" s="995">
        <f t="shared" si="464"/>
        <v>0.21780000000000005</v>
      </c>
      <c r="GY74" s="995">
        <f t="shared" si="464"/>
        <v>0.21780000000000005</v>
      </c>
      <c r="GZ74" s="995">
        <f t="shared" si="464"/>
        <v>0.23958000000000007</v>
      </c>
      <c r="HA74" s="995">
        <f t="shared" si="464"/>
        <v>0.26353800000000011</v>
      </c>
      <c r="HB74" s="995">
        <f t="shared" si="464"/>
        <v>0.26353800000000011</v>
      </c>
      <c r="HC74" s="995">
        <f t="shared" si="464"/>
        <v>0.28989180000000014</v>
      </c>
      <c r="HD74" s="996">
        <f t="shared" si="464"/>
        <v>0.3188809800000002</v>
      </c>
    </row>
    <row r="75" spans="2:212">
      <c r="B75" s="980"/>
      <c r="D75" s="948"/>
      <c r="E75" s="948"/>
      <c r="F75" s="948"/>
      <c r="G75" s="1006"/>
      <c r="H75" s="948"/>
      <c r="I75" s="607"/>
      <c r="N75" s="1684"/>
      <c r="O75" s="957" t="s">
        <v>125</v>
      </c>
      <c r="P75" s="606">
        <v>0</v>
      </c>
      <c r="Q75" s="606">
        <v>2</v>
      </c>
      <c r="R75" s="606">
        <v>1</v>
      </c>
      <c r="S75" s="606">
        <v>2</v>
      </c>
      <c r="T75" s="606">
        <v>0</v>
      </c>
      <c r="U75" s="606">
        <v>0</v>
      </c>
      <c r="V75" s="606">
        <v>1</v>
      </c>
      <c r="X75" s="1080"/>
      <c r="AA75" s="1684"/>
      <c r="AB75" s="957" t="s">
        <v>125</v>
      </c>
      <c r="AC75" s="610">
        <f t="shared" si="397"/>
        <v>0</v>
      </c>
      <c r="AD75" s="610">
        <f t="shared" si="397"/>
        <v>0.18181818181818182</v>
      </c>
      <c r="AE75" s="610">
        <f t="shared" si="397"/>
        <v>0.1</v>
      </c>
      <c r="AF75" s="610">
        <f t="shared" si="397"/>
        <v>0.11764705882352941</v>
      </c>
      <c r="AG75" s="610">
        <f t="shared" si="397"/>
        <v>0</v>
      </c>
      <c r="AH75" s="610">
        <f t="shared" si="397"/>
        <v>0</v>
      </c>
      <c r="AI75" s="610">
        <f t="shared" si="397"/>
        <v>0.2</v>
      </c>
      <c r="AJ75" s="952">
        <f t="shared" si="398"/>
        <v>8.563789152024448E-2</v>
      </c>
      <c r="AK75" s="952">
        <f t="shared" si="399"/>
        <v>8.563789152024448E-2</v>
      </c>
      <c r="AL75" s="952">
        <f t="shared" si="465"/>
        <v>9.4201680672268931E-2</v>
      </c>
      <c r="AM75" s="952">
        <f t="shared" si="400"/>
        <v>9.4201680672268931E-2</v>
      </c>
      <c r="AN75" s="952">
        <f t="shared" si="401"/>
        <v>0.10362184873949583</v>
      </c>
      <c r="AO75" s="952">
        <f t="shared" si="402"/>
        <v>0.11398403361344542</v>
      </c>
      <c r="AP75" s="1053">
        <v>0.1</v>
      </c>
      <c r="AQ75" s="1053">
        <f t="shared" si="466"/>
        <v>9.0000000000000011E-2</v>
      </c>
      <c r="AR75" s="1053">
        <f t="shared" si="466"/>
        <v>9.0000000000000011E-2</v>
      </c>
      <c r="AS75" s="1053">
        <f t="shared" si="466"/>
        <v>9.0000000000000011E-2</v>
      </c>
      <c r="AT75" s="1053">
        <f t="shared" si="466"/>
        <v>9.9000000000000019E-2</v>
      </c>
      <c r="AU75" s="1053">
        <f t="shared" si="466"/>
        <v>0.10890000000000002</v>
      </c>
      <c r="AV75" s="1053">
        <f t="shared" si="466"/>
        <v>0.10890000000000002</v>
      </c>
      <c r="AW75" s="1053">
        <f t="shared" si="466"/>
        <v>0.11979000000000004</v>
      </c>
      <c r="AX75" s="1053">
        <f t="shared" si="466"/>
        <v>0.13176900000000005</v>
      </c>
      <c r="AY75" s="1053">
        <f t="shared" si="466"/>
        <v>0.13176900000000005</v>
      </c>
      <c r="AZ75" s="1053">
        <f t="shared" si="466"/>
        <v>0.14494590000000007</v>
      </c>
      <c r="BA75" s="1053">
        <f t="shared" si="466"/>
        <v>0.1594404900000001</v>
      </c>
      <c r="BB75" s="1053">
        <v>0.1</v>
      </c>
      <c r="BC75" s="1053">
        <f t="shared" si="467"/>
        <v>9.0000000000000011E-2</v>
      </c>
      <c r="BD75" s="1053">
        <f t="shared" si="468"/>
        <v>9.0000000000000011E-2</v>
      </c>
      <c r="BE75" s="1053">
        <f t="shared" si="404"/>
        <v>9.0000000000000011E-2</v>
      </c>
      <c r="BF75" s="1053">
        <f t="shared" si="405"/>
        <v>9.9000000000000019E-2</v>
      </c>
      <c r="BG75" s="1053">
        <f t="shared" si="406"/>
        <v>0.10890000000000002</v>
      </c>
      <c r="BH75" s="1053">
        <f t="shared" si="407"/>
        <v>0.10890000000000002</v>
      </c>
      <c r="BI75" s="1053">
        <f t="shared" si="408"/>
        <v>0.11979000000000004</v>
      </c>
      <c r="BJ75" s="1053">
        <f t="shared" si="409"/>
        <v>0.13176900000000005</v>
      </c>
      <c r="BK75" s="1053">
        <f t="shared" si="410"/>
        <v>0.13176900000000005</v>
      </c>
      <c r="BL75" s="1053">
        <f t="shared" si="411"/>
        <v>0.14494590000000007</v>
      </c>
      <c r="BM75" s="1053">
        <f t="shared" si="412"/>
        <v>0.1594404900000001</v>
      </c>
      <c r="BN75" s="1053">
        <v>0.1</v>
      </c>
      <c r="BO75" s="1053">
        <f t="shared" si="469"/>
        <v>9.0000000000000011E-2</v>
      </c>
      <c r="BP75" s="1053">
        <f t="shared" si="470"/>
        <v>9.0000000000000011E-2</v>
      </c>
      <c r="BQ75" s="1053">
        <f t="shared" si="413"/>
        <v>9.0000000000000011E-2</v>
      </c>
      <c r="BR75" s="1053">
        <f t="shared" si="414"/>
        <v>9.9000000000000019E-2</v>
      </c>
      <c r="BS75" s="1053">
        <f t="shared" si="415"/>
        <v>0.10890000000000002</v>
      </c>
      <c r="BT75" s="1053">
        <f t="shared" si="416"/>
        <v>0.10890000000000002</v>
      </c>
      <c r="BU75" s="1053">
        <f t="shared" si="417"/>
        <v>0.11979000000000004</v>
      </c>
      <c r="BV75" s="1053">
        <f t="shared" si="418"/>
        <v>0.13176900000000005</v>
      </c>
      <c r="BW75" s="1053">
        <f t="shared" si="419"/>
        <v>0.13176900000000005</v>
      </c>
      <c r="BX75" s="1053">
        <f t="shared" si="420"/>
        <v>0.14494590000000007</v>
      </c>
      <c r="BY75" s="1053">
        <f t="shared" si="421"/>
        <v>0.1594404900000001</v>
      </c>
      <c r="BZ75" s="1053">
        <v>0.1</v>
      </c>
      <c r="CA75" s="1053">
        <f t="shared" si="471"/>
        <v>9.0000000000000011E-2</v>
      </c>
      <c r="CB75" s="1053">
        <f t="shared" si="472"/>
        <v>9.0000000000000011E-2</v>
      </c>
      <c r="CC75" s="1053">
        <f t="shared" si="422"/>
        <v>9.0000000000000011E-2</v>
      </c>
      <c r="CD75" s="1053">
        <f t="shared" si="423"/>
        <v>9.9000000000000019E-2</v>
      </c>
      <c r="CE75" s="1053">
        <f t="shared" si="424"/>
        <v>0.10890000000000002</v>
      </c>
      <c r="CF75" s="1053">
        <f t="shared" si="425"/>
        <v>0.10890000000000002</v>
      </c>
      <c r="CG75" s="1053">
        <f t="shared" si="426"/>
        <v>0.11979000000000004</v>
      </c>
      <c r="CH75" s="1053">
        <f t="shared" si="427"/>
        <v>0.13176900000000005</v>
      </c>
      <c r="CI75" s="1053">
        <f t="shared" si="428"/>
        <v>0.13176900000000005</v>
      </c>
      <c r="CJ75" s="1053">
        <f t="shared" si="429"/>
        <v>0.14494590000000007</v>
      </c>
      <c r="CK75" s="1053">
        <f t="shared" si="430"/>
        <v>0.1594404900000001</v>
      </c>
      <c r="CL75" s="1053">
        <v>0.1</v>
      </c>
      <c r="CM75" s="1053">
        <f t="shared" si="473"/>
        <v>9.0000000000000011E-2</v>
      </c>
      <c r="CN75" s="1053">
        <f t="shared" si="474"/>
        <v>9.0000000000000011E-2</v>
      </c>
      <c r="CO75" s="1053">
        <f t="shared" si="431"/>
        <v>9.0000000000000011E-2</v>
      </c>
      <c r="CP75" s="1053">
        <f t="shared" si="432"/>
        <v>9.9000000000000019E-2</v>
      </c>
      <c r="CQ75" s="1053">
        <f t="shared" si="433"/>
        <v>0.10890000000000002</v>
      </c>
      <c r="CR75" s="1053">
        <f t="shared" si="434"/>
        <v>0.10890000000000002</v>
      </c>
      <c r="CS75" s="1053">
        <f t="shared" si="435"/>
        <v>0.11979000000000004</v>
      </c>
      <c r="CT75" s="1053">
        <f t="shared" si="436"/>
        <v>0.13176900000000005</v>
      </c>
      <c r="CU75" s="1053">
        <f t="shared" si="437"/>
        <v>0.13176900000000005</v>
      </c>
      <c r="CV75" s="1053">
        <f t="shared" si="438"/>
        <v>0.14494590000000007</v>
      </c>
      <c r="CW75" s="1053">
        <f t="shared" si="439"/>
        <v>0.1594404900000001</v>
      </c>
      <c r="CX75" s="1053">
        <v>0.1</v>
      </c>
      <c r="CY75" s="1053">
        <f t="shared" si="475"/>
        <v>9.0000000000000011E-2</v>
      </c>
      <c r="CZ75" s="1053">
        <f t="shared" si="476"/>
        <v>9.0000000000000011E-2</v>
      </c>
      <c r="DA75" s="1053">
        <f t="shared" si="440"/>
        <v>9.0000000000000011E-2</v>
      </c>
      <c r="DB75" s="1053">
        <f t="shared" si="441"/>
        <v>9.9000000000000019E-2</v>
      </c>
      <c r="DC75" s="1053">
        <f t="shared" si="442"/>
        <v>0.10890000000000002</v>
      </c>
      <c r="DD75" s="1053">
        <f t="shared" si="443"/>
        <v>0.10890000000000002</v>
      </c>
      <c r="DE75" s="1053">
        <f t="shared" si="444"/>
        <v>0.11979000000000004</v>
      </c>
      <c r="DF75" s="1053">
        <f t="shared" si="445"/>
        <v>0.13176900000000005</v>
      </c>
      <c r="DG75" s="1053">
        <f t="shared" si="446"/>
        <v>0.13176900000000005</v>
      </c>
      <c r="DH75" s="1053">
        <f t="shared" si="447"/>
        <v>0.14494590000000007</v>
      </c>
      <c r="DI75" s="1053">
        <f t="shared" si="448"/>
        <v>0.1594404900000001</v>
      </c>
      <c r="DK75" s="1684"/>
      <c r="DL75" s="957" t="s">
        <v>125</v>
      </c>
      <c r="DN75" s="994">
        <v>0</v>
      </c>
      <c r="DO75" s="995">
        <f>DO64*$AJ$75</f>
        <v>0.4281894576012224</v>
      </c>
      <c r="DP75" s="995">
        <f>DP64*$AJ$75</f>
        <v>1.2845683728036672</v>
      </c>
      <c r="DQ75" s="995">
        <f>DQ64*$AJ$75</f>
        <v>0.68510313216195584</v>
      </c>
      <c r="DR75" s="996">
        <f>DR64*$AJ$75</f>
        <v>1.7127578304048896</v>
      </c>
      <c r="DT75" s="994">
        <v>0</v>
      </c>
      <c r="DU75" s="995">
        <f>DU64*$AH$75</f>
        <v>0</v>
      </c>
      <c r="DV75" s="995">
        <f>DV64*$AH$75</f>
        <v>0</v>
      </c>
      <c r="DW75" s="995">
        <f>DW64*$AH$75</f>
        <v>0</v>
      </c>
      <c r="DX75" s="996">
        <f>DX64*$AH$75</f>
        <v>0</v>
      </c>
      <c r="DZ75" s="994">
        <v>0</v>
      </c>
      <c r="EA75" s="995">
        <f>EA64*AL$75</f>
        <v>0.47100840336134464</v>
      </c>
      <c r="EB75" s="995">
        <f>EB64*AM$75</f>
        <v>1.4130252100840339</v>
      </c>
      <c r="EC75" s="995">
        <f>EC64*AN$75</f>
        <v>0.72535294117647076</v>
      </c>
      <c r="ED75" s="996">
        <f>ED64*AO$75</f>
        <v>2.2796806722689085</v>
      </c>
      <c r="EF75" s="994">
        <f t="shared" si="477"/>
        <v>1.5</v>
      </c>
      <c r="EG75" s="995">
        <f t="shared" si="449"/>
        <v>1.62</v>
      </c>
      <c r="EH75" s="995">
        <f t="shared" si="450"/>
        <v>2.4750000000000001</v>
      </c>
      <c r="EI75" s="995">
        <f t="shared" si="451"/>
        <v>2.6325000000000003</v>
      </c>
      <c r="EJ75" s="995">
        <f t="shared" si="452"/>
        <v>2.1384000000000007</v>
      </c>
      <c r="EK75" s="995">
        <f t="shared" si="453"/>
        <v>2.2542300000000006</v>
      </c>
      <c r="EL75" s="995">
        <f t="shared" si="454"/>
        <v>1.2360150000000003</v>
      </c>
      <c r="EM75" s="995">
        <f t="shared" si="455"/>
        <v>0.23958000000000007</v>
      </c>
      <c r="EN75" s="995">
        <f t="shared" si="456"/>
        <v>0.4611915000000002</v>
      </c>
      <c r="EO75" s="995">
        <f t="shared" si="457"/>
        <v>0.72472950000000025</v>
      </c>
      <c r="EP75" s="995">
        <f t="shared" si="458"/>
        <v>0.94214835000000052</v>
      </c>
      <c r="EQ75" s="996">
        <f t="shared" si="459"/>
        <v>1.1160834300000007</v>
      </c>
      <c r="ES75" s="994">
        <f t="shared" si="478"/>
        <v>0.70000000000000007</v>
      </c>
      <c r="ET75" s="995">
        <f t="shared" si="460"/>
        <v>0.63000000000000012</v>
      </c>
      <c r="EU75" s="995">
        <f t="shared" si="460"/>
        <v>0.63000000000000012</v>
      </c>
      <c r="EV75" s="995">
        <f t="shared" si="460"/>
        <v>0.63000000000000012</v>
      </c>
      <c r="EW75" s="995">
        <f t="shared" si="460"/>
        <v>0.59400000000000008</v>
      </c>
      <c r="EX75" s="995">
        <f t="shared" si="460"/>
        <v>0.5445000000000001</v>
      </c>
      <c r="EY75" s="995">
        <f t="shared" si="460"/>
        <v>0.3811500000000001</v>
      </c>
      <c r="EZ75" s="995">
        <f t="shared" si="460"/>
        <v>0.23958000000000007</v>
      </c>
      <c r="FA75" s="995">
        <f t="shared" si="460"/>
        <v>0.59296050000000022</v>
      </c>
      <c r="FB75" s="995">
        <f t="shared" si="460"/>
        <v>0.9223830000000004</v>
      </c>
      <c r="FC75" s="995">
        <f t="shared" si="460"/>
        <v>1.0146213000000004</v>
      </c>
      <c r="FD75" s="996">
        <f t="shared" si="460"/>
        <v>1.1160834300000007</v>
      </c>
      <c r="FF75" s="994">
        <f t="shared" si="479"/>
        <v>0.70000000000000007</v>
      </c>
      <c r="FG75" s="995">
        <f t="shared" si="461"/>
        <v>0.63000000000000012</v>
      </c>
      <c r="FH75" s="995">
        <f t="shared" si="461"/>
        <v>0.63000000000000012</v>
      </c>
      <c r="FI75" s="995">
        <f t="shared" si="461"/>
        <v>0.63000000000000012</v>
      </c>
      <c r="FJ75" s="995">
        <f t="shared" si="461"/>
        <v>0.69300000000000017</v>
      </c>
      <c r="FK75" s="995">
        <f t="shared" si="461"/>
        <v>0.7623000000000002</v>
      </c>
      <c r="FL75" s="995">
        <f t="shared" si="461"/>
        <v>0.4900500000000001</v>
      </c>
      <c r="FM75" s="995">
        <f t="shared" si="461"/>
        <v>0.23958000000000007</v>
      </c>
      <c r="FN75" s="995">
        <f t="shared" si="461"/>
        <v>0.59296050000000022</v>
      </c>
      <c r="FO75" s="995">
        <f t="shared" si="461"/>
        <v>0.79061400000000037</v>
      </c>
      <c r="FP75" s="995">
        <f t="shared" si="461"/>
        <v>0.72472950000000036</v>
      </c>
      <c r="FQ75" s="996">
        <f t="shared" si="461"/>
        <v>0.79720245000000056</v>
      </c>
      <c r="FS75" s="994">
        <f t="shared" si="480"/>
        <v>0.5</v>
      </c>
      <c r="FT75" s="995">
        <f t="shared" si="462"/>
        <v>0.45000000000000007</v>
      </c>
      <c r="FU75" s="995">
        <f t="shared" si="462"/>
        <v>0.45000000000000007</v>
      </c>
      <c r="FV75" s="995">
        <f t="shared" si="462"/>
        <v>0.45000000000000007</v>
      </c>
      <c r="FW75" s="995">
        <f t="shared" si="462"/>
        <v>0.49500000000000011</v>
      </c>
      <c r="FX75" s="995">
        <f t="shared" si="462"/>
        <v>0.5445000000000001</v>
      </c>
      <c r="FY75" s="995">
        <f t="shared" si="462"/>
        <v>0.3811500000000001</v>
      </c>
      <c r="FZ75" s="995">
        <f t="shared" si="462"/>
        <v>0.23958000000000007</v>
      </c>
      <c r="GA75" s="995">
        <f t="shared" si="462"/>
        <v>0.26353800000000011</v>
      </c>
      <c r="GB75" s="995">
        <f t="shared" si="462"/>
        <v>0.26353800000000011</v>
      </c>
      <c r="GC75" s="995">
        <f t="shared" si="462"/>
        <v>0.28989180000000014</v>
      </c>
      <c r="GD75" s="996">
        <f t="shared" si="462"/>
        <v>0.3188809800000002</v>
      </c>
      <c r="GF75" s="994">
        <f t="shared" si="481"/>
        <v>0.2</v>
      </c>
      <c r="GG75" s="995">
        <f t="shared" si="463"/>
        <v>0.18000000000000002</v>
      </c>
      <c r="GH75" s="995">
        <f t="shared" si="463"/>
        <v>0.18000000000000002</v>
      </c>
      <c r="GI75" s="995">
        <f t="shared" si="463"/>
        <v>0.18000000000000002</v>
      </c>
      <c r="GJ75" s="995">
        <f t="shared" si="463"/>
        <v>0.19800000000000004</v>
      </c>
      <c r="GK75" s="995">
        <f t="shared" si="463"/>
        <v>0.21780000000000005</v>
      </c>
      <c r="GL75" s="995">
        <f t="shared" si="463"/>
        <v>0.21780000000000005</v>
      </c>
      <c r="GM75" s="995">
        <f t="shared" si="463"/>
        <v>0.23958000000000007</v>
      </c>
      <c r="GN75" s="995">
        <f t="shared" si="463"/>
        <v>0.26353800000000011</v>
      </c>
      <c r="GO75" s="995">
        <f t="shared" si="463"/>
        <v>0.26353800000000011</v>
      </c>
      <c r="GP75" s="995">
        <f t="shared" si="463"/>
        <v>0.28989180000000014</v>
      </c>
      <c r="GQ75" s="996">
        <f t="shared" si="463"/>
        <v>0.3188809800000002</v>
      </c>
      <c r="GS75" s="994">
        <f t="shared" si="482"/>
        <v>0.2</v>
      </c>
      <c r="GT75" s="995">
        <f t="shared" si="464"/>
        <v>0.18000000000000002</v>
      </c>
      <c r="GU75" s="995">
        <f t="shared" si="464"/>
        <v>0.18000000000000002</v>
      </c>
      <c r="GV75" s="995">
        <f t="shared" si="464"/>
        <v>0.18000000000000002</v>
      </c>
      <c r="GW75" s="995">
        <f t="shared" si="464"/>
        <v>0.19800000000000004</v>
      </c>
      <c r="GX75" s="995">
        <f t="shared" si="464"/>
        <v>0.21780000000000005</v>
      </c>
      <c r="GY75" s="995">
        <f t="shared" si="464"/>
        <v>0.21780000000000005</v>
      </c>
      <c r="GZ75" s="995">
        <f t="shared" si="464"/>
        <v>0.23958000000000007</v>
      </c>
      <c r="HA75" s="995">
        <f t="shared" si="464"/>
        <v>0.26353800000000011</v>
      </c>
      <c r="HB75" s="995">
        <f t="shared" si="464"/>
        <v>0.26353800000000011</v>
      </c>
      <c r="HC75" s="995">
        <f t="shared" si="464"/>
        <v>0.28989180000000014</v>
      </c>
      <c r="HD75" s="996">
        <f t="shared" si="464"/>
        <v>0.3188809800000002</v>
      </c>
    </row>
    <row r="76" spans="2:212">
      <c r="B76" s="977"/>
      <c r="C76" s="983" t="s">
        <v>1045</v>
      </c>
      <c r="D76" s="983"/>
      <c r="E76" s="983"/>
      <c r="F76" s="983"/>
      <c r="G76" s="983"/>
      <c r="H76" s="982"/>
      <c r="I76" s="982"/>
      <c r="N76" s="1684"/>
      <c r="O76" s="957" t="s">
        <v>126</v>
      </c>
      <c r="P76" s="606">
        <v>0</v>
      </c>
      <c r="Q76" s="606">
        <v>1</v>
      </c>
      <c r="R76" s="606">
        <v>2</v>
      </c>
      <c r="S76" s="606">
        <v>1</v>
      </c>
      <c r="T76" s="606">
        <v>3</v>
      </c>
      <c r="U76" s="606">
        <v>1</v>
      </c>
      <c r="V76" s="606">
        <v>0</v>
      </c>
      <c r="X76" s="1080"/>
      <c r="AA76" s="1684"/>
      <c r="AB76" s="957" t="s">
        <v>126</v>
      </c>
      <c r="AC76" s="610">
        <f t="shared" si="397"/>
        <v>0</v>
      </c>
      <c r="AD76" s="610">
        <f t="shared" si="397"/>
        <v>7.6923076923076927E-2</v>
      </c>
      <c r="AE76" s="610">
        <f t="shared" si="397"/>
        <v>0.18181818181818182</v>
      </c>
      <c r="AF76" s="610">
        <f t="shared" si="397"/>
        <v>0.1</v>
      </c>
      <c r="AG76" s="610">
        <f t="shared" si="397"/>
        <v>0.1875</v>
      </c>
      <c r="AH76" s="610">
        <f t="shared" si="397"/>
        <v>0.125</v>
      </c>
      <c r="AI76" s="610">
        <f t="shared" si="397"/>
        <v>0</v>
      </c>
      <c r="AJ76" s="952">
        <f t="shared" si="398"/>
        <v>9.5891608391608388E-2</v>
      </c>
      <c r="AK76" s="952">
        <f t="shared" si="399"/>
        <v>9.5891608391608388E-2</v>
      </c>
      <c r="AL76" s="952">
        <f t="shared" si="465"/>
        <v>0.10548076923076924</v>
      </c>
      <c r="AM76" s="952">
        <f t="shared" si="400"/>
        <v>0.10548076923076924</v>
      </c>
      <c r="AN76" s="952">
        <f t="shared" si="401"/>
        <v>0.11602884615384618</v>
      </c>
      <c r="AO76" s="952">
        <f t="shared" si="402"/>
        <v>0.12763173076923082</v>
      </c>
      <c r="AP76" s="1053">
        <v>0.1</v>
      </c>
      <c r="AQ76" s="1053">
        <f t="shared" si="466"/>
        <v>9.0000000000000011E-2</v>
      </c>
      <c r="AR76" s="1053">
        <f t="shared" si="466"/>
        <v>9.0000000000000011E-2</v>
      </c>
      <c r="AS76" s="1053">
        <f t="shared" si="466"/>
        <v>9.0000000000000011E-2</v>
      </c>
      <c r="AT76" s="1053">
        <f t="shared" si="466"/>
        <v>9.9000000000000019E-2</v>
      </c>
      <c r="AU76" s="1053">
        <f t="shared" si="466"/>
        <v>0.10890000000000002</v>
      </c>
      <c r="AV76" s="1053">
        <f t="shared" si="466"/>
        <v>0.10890000000000002</v>
      </c>
      <c r="AW76" s="1053">
        <f t="shared" si="466"/>
        <v>0.11979000000000004</v>
      </c>
      <c r="AX76" s="1053">
        <f t="shared" si="466"/>
        <v>0.13176900000000005</v>
      </c>
      <c r="AY76" s="1053">
        <f t="shared" si="466"/>
        <v>0.13176900000000005</v>
      </c>
      <c r="AZ76" s="1053">
        <f t="shared" si="466"/>
        <v>0.14494590000000007</v>
      </c>
      <c r="BA76" s="1053">
        <f t="shared" si="466"/>
        <v>0.1594404900000001</v>
      </c>
      <c r="BB76" s="1053">
        <v>0.1</v>
      </c>
      <c r="BC76" s="1053">
        <f t="shared" si="467"/>
        <v>9.0000000000000011E-2</v>
      </c>
      <c r="BD76" s="1053">
        <f t="shared" si="468"/>
        <v>9.0000000000000011E-2</v>
      </c>
      <c r="BE76" s="1053">
        <f t="shared" si="404"/>
        <v>9.0000000000000011E-2</v>
      </c>
      <c r="BF76" s="1053">
        <f t="shared" si="405"/>
        <v>9.9000000000000019E-2</v>
      </c>
      <c r="BG76" s="1053">
        <f t="shared" si="406"/>
        <v>0.10890000000000002</v>
      </c>
      <c r="BH76" s="1053">
        <f t="shared" si="407"/>
        <v>0.10890000000000002</v>
      </c>
      <c r="BI76" s="1053">
        <f t="shared" si="408"/>
        <v>0.11979000000000004</v>
      </c>
      <c r="BJ76" s="1053">
        <f t="shared" si="409"/>
        <v>0.13176900000000005</v>
      </c>
      <c r="BK76" s="1053">
        <f t="shared" si="410"/>
        <v>0.13176900000000005</v>
      </c>
      <c r="BL76" s="1053">
        <f t="shared" si="411"/>
        <v>0.14494590000000007</v>
      </c>
      <c r="BM76" s="1053">
        <f t="shared" si="412"/>
        <v>0.1594404900000001</v>
      </c>
      <c r="BN76" s="1053">
        <v>0.1</v>
      </c>
      <c r="BO76" s="1053">
        <f t="shared" si="469"/>
        <v>9.0000000000000011E-2</v>
      </c>
      <c r="BP76" s="1053">
        <f t="shared" si="470"/>
        <v>9.0000000000000011E-2</v>
      </c>
      <c r="BQ76" s="1053">
        <f t="shared" si="413"/>
        <v>9.0000000000000011E-2</v>
      </c>
      <c r="BR76" s="1053">
        <f t="shared" si="414"/>
        <v>9.9000000000000019E-2</v>
      </c>
      <c r="BS76" s="1053">
        <f t="shared" si="415"/>
        <v>0.10890000000000002</v>
      </c>
      <c r="BT76" s="1053">
        <f t="shared" si="416"/>
        <v>0.10890000000000002</v>
      </c>
      <c r="BU76" s="1053">
        <f t="shared" si="417"/>
        <v>0.11979000000000004</v>
      </c>
      <c r="BV76" s="1053">
        <f t="shared" si="418"/>
        <v>0.13176900000000005</v>
      </c>
      <c r="BW76" s="1053">
        <f t="shared" si="419"/>
        <v>0.13176900000000005</v>
      </c>
      <c r="BX76" s="1053">
        <f t="shared" si="420"/>
        <v>0.14494590000000007</v>
      </c>
      <c r="BY76" s="1053">
        <f t="shared" si="421"/>
        <v>0.1594404900000001</v>
      </c>
      <c r="BZ76" s="1053">
        <v>0.1</v>
      </c>
      <c r="CA76" s="1053">
        <f t="shared" si="471"/>
        <v>9.0000000000000011E-2</v>
      </c>
      <c r="CB76" s="1053">
        <f t="shared" si="472"/>
        <v>9.0000000000000011E-2</v>
      </c>
      <c r="CC76" s="1053">
        <f t="shared" si="422"/>
        <v>9.0000000000000011E-2</v>
      </c>
      <c r="CD76" s="1053">
        <f t="shared" si="423"/>
        <v>9.9000000000000019E-2</v>
      </c>
      <c r="CE76" s="1053">
        <f t="shared" si="424"/>
        <v>0.10890000000000002</v>
      </c>
      <c r="CF76" s="1053">
        <f t="shared" si="425"/>
        <v>0.10890000000000002</v>
      </c>
      <c r="CG76" s="1053">
        <f t="shared" si="426"/>
        <v>0.11979000000000004</v>
      </c>
      <c r="CH76" s="1053">
        <f t="shared" si="427"/>
        <v>0.13176900000000005</v>
      </c>
      <c r="CI76" s="1053">
        <f t="shared" si="428"/>
        <v>0.13176900000000005</v>
      </c>
      <c r="CJ76" s="1053">
        <f t="shared" si="429"/>
        <v>0.14494590000000007</v>
      </c>
      <c r="CK76" s="1053">
        <f t="shared" si="430"/>
        <v>0.1594404900000001</v>
      </c>
      <c r="CL76" s="1053">
        <v>0.1</v>
      </c>
      <c r="CM76" s="1053">
        <f t="shared" si="473"/>
        <v>9.0000000000000011E-2</v>
      </c>
      <c r="CN76" s="1053">
        <f t="shared" si="474"/>
        <v>9.0000000000000011E-2</v>
      </c>
      <c r="CO76" s="1053">
        <f t="shared" si="431"/>
        <v>9.0000000000000011E-2</v>
      </c>
      <c r="CP76" s="1053">
        <f t="shared" si="432"/>
        <v>9.9000000000000019E-2</v>
      </c>
      <c r="CQ76" s="1053">
        <f t="shared" si="433"/>
        <v>0.10890000000000002</v>
      </c>
      <c r="CR76" s="1053">
        <f t="shared" si="434"/>
        <v>0.10890000000000002</v>
      </c>
      <c r="CS76" s="1053">
        <f t="shared" si="435"/>
        <v>0.11979000000000004</v>
      </c>
      <c r="CT76" s="1053">
        <f t="shared" si="436"/>
        <v>0.13176900000000005</v>
      </c>
      <c r="CU76" s="1053">
        <f t="shared" si="437"/>
        <v>0.13176900000000005</v>
      </c>
      <c r="CV76" s="1053">
        <f t="shared" si="438"/>
        <v>0.14494590000000007</v>
      </c>
      <c r="CW76" s="1053">
        <f t="shared" si="439"/>
        <v>0.1594404900000001</v>
      </c>
      <c r="CX76" s="1053">
        <v>0.1</v>
      </c>
      <c r="CY76" s="1053">
        <f t="shared" si="475"/>
        <v>9.0000000000000011E-2</v>
      </c>
      <c r="CZ76" s="1053">
        <f t="shared" si="476"/>
        <v>9.0000000000000011E-2</v>
      </c>
      <c r="DA76" s="1053">
        <f t="shared" si="440"/>
        <v>9.0000000000000011E-2</v>
      </c>
      <c r="DB76" s="1053">
        <f t="shared" si="441"/>
        <v>9.9000000000000019E-2</v>
      </c>
      <c r="DC76" s="1053">
        <f t="shared" si="442"/>
        <v>0.10890000000000002</v>
      </c>
      <c r="DD76" s="1053">
        <f t="shared" si="443"/>
        <v>0.10890000000000002</v>
      </c>
      <c r="DE76" s="1053">
        <f t="shared" si="444"/>
        <v>0.11979000000000004</v>
      </c>
      <c r="DF76" s="1053">
        <f t="shared" si="445"/>
        <v>0.13176900000000005</v>
      </c>
      <c r="DG76" s="1053">
        <f t="shared" si="446"/>
        <v>0.13176900000000005</v>
      </c>
      <c r="DH76" s="1053">
        <f t="shared" si="447"/>
        <v>0.14494590000000007</v>
      </c>
      <c r="DI76" s="1053">
        <f t="shared" si="448"/>
        <v>0.1594404900000001</v>
      </c>
      <c r="DK76" s="1684"/>
      <c r="DL76" s="957" t="s">
        <v>126</v>
      </c>
      <c r="DN76" s="994">
        <v>1</v>
      </c>
      <c r="DO76" s="995">
        <f>DO65*$AJ$76</f>
        <v>9.5891608391608388E-2</v>
      </c>
      <c r="DP76" s="995">
        <f>DP65*$AJ$76</f>
        <v>0.47945804195804193</v>
      </c>
      <c r="DQ76" s="995">
        <f>DQ65*$AJ$76</f>
        <v>1.4383741258741258</v>
      </c>
      <c r="DR76" s="996">
        <f>DR65*$AJ$76</f>
        <v>0.7671328671328671</v>
      </c>
      <c r="DT76" s="994">
        <v>1</v>
      </c>
      <c r="DU76" s="995">
        <f>DU65*$AH$76</f>
        <v>0.125</v>
      </c>
      <c r="DV76" s="995">
        <f>DV65*$AH$76</f>
        <v>0.625</v>
      </c>
      <c r="DW76" s="995">
        <f>DW65*$AH$76</f>
        <v>1.875</v>
      </c>
      <c r="DX76" s="996">
        <f>DX65*$AH$76</f>
        <v>1</v>
      </c>
      <c r="DZ76" s="994">
        <v>1</v>
      </c>
      <c r="EA76" s="995">
        <f>EA65*AL$76</f>
        <v>0.10548076923076924</v>
      </c>
      <c r="EB76" s="995">
        <f>EB65*AM$76</f>
        <v>0.52740384615384617</v>
      </c>
      <c r="EC76" s="995">
        <f>EC65*AN$76</f>
        <v>1.7404326923076927</v>
      </c>
      <c r="ED76" s="996">
        <f>ED65*AO$76</f>
        <v>0.89342211538461569</v>
      </c>
      <c r="EF76" s="994">
        <f t="shared" si="477"/>
        <v>2</v>
      </c>
      <c r="EG76" s="995">
        <f t="shared" si="449"/>
        <v>1.35</v>
      </c>
      <c r="EH76" s="995">
        <f t="shared" si="450"/>
        <v>1.62</v>
      </c>
      <c r="EI76" s="995">
        <f t="shared" si="451"/>
        <v>2.4750000000000001</v>
      </c>
      <c r="EJ76" s="995">
        <f t="shared" si="452"/>
        <v>2.8957500000000005</v>
      </c>
      <c r="EK76" s="995">
        <f t="shared" si="453"/>
        <v>2.3522400000000006</v>
      </c>
      <c r="EL76" s="995">
        <f t="shared" si="454"/>
        <v>2.2542300000000006</v>
      </c>
      <c r="EM76" s="995">
        <f t="shared" si="455"/>
        <v>1.3596165000000004</v>
      </c>
      <c r="EN76" s="995">
        <f t="shared" si="456"/>
        <v>0.26353800000000011</v>
      </c>
      <c r="EO76" s="995">
        <f t="shared" si="457"/>
        <v>0.4611915000000002</v>
      </c>
      <c r="EP76" s="995">
        <f t="shared" si="458"/>
        <v>0.79720245000000034</v>
      </c>
      <c r="EQ76" s="996">
        <f t="shared" si="459"/>
        <v>1.0363631850000006</v>
      </c>
      <c r="ES76" s="994">
        <f t="shared" si="478"/>
        <v>0.70000000000000007</v>
      </c>
      <c r="ET76" s="995">
        <f t="shared" si="460"/>
        <v>0.63000000000000012</v>
      </c>
      <c r="EU76" s="995">
        <f t="shared" si="460"/>
        <v>0.63000000000000012</v>
      </c>
      <c r="EV76" s="995">
        <f t="shared" si="460"/>
        <v>0.63000000000000012</v>
      </c>
      <c r="EW76" s="995">
        <f t="shared" si="460"/>
        <v>0.69300000000000017</v>
      </c>
      <c r="EX76" s="995">
        <f t="shared" si="460"/>
        <v>0.6534000000000002</v>
      </c>
      <c r="EY76" s="995">
        <f t="shared" si="460"/>
        <v>0.5445000000000001</v>
      </c>
      <c r="EZ76" s="995">
        <f t="shared" si="460"/>
        <v>0.41926500000000011</v>
      </c>
      <c r="FA76" s="995">
        <f t="shared" si="460"/>
        <v>0.26353800000000011</v>
      </c>
      <c r="FB76" s="995">
        <f t="shared" si="460"/>
        <v>0.59296050000000022</v>
      </c>
      <c r="FC76" s="995">
        <f t="shared" si="460"/>
        <v>1.0146213000000004</v>
      </c>
      <c r="FD76" s="996">
        <f t="shared" si="460"/>
        <v>1.1160834300000007</v>
      </c>
      <c r="FF76" s="994">
        <f t="shared" si="479"/>
        <v>0.70000000000000007</v>
      </c>
      <c r="FG76" s="995">
        <f t="shared" si="461"/>
        <v>0.63000000000000012</v>
      </c>
      <c r="FH76" s="995">
        <f t="shared" si="461"/>
        <v>0.63000000000000012</v>
      </c>
      <c r="FI76" s="995">
        <f t="shared" si="461"/>
        <v>0.63000000000000012</v>
      </c>
      <c r="FJ76" s="995">
        <f t="shared" si="461"/>
        <v>0.69300000000000017</v>
      </c>
      <c r="FK76" s="995">
        <f t="shared" si="461"/>
        <v>0.7623000000000002</v>
      </c>
      <c r="FL76" s="995">
        <f t="shared" si="461"/>
        <v>0.7623000000000002</v>
      </c>
      <c r="FM76" s="995">
        <f t="shared" si="461"/>
        <v>0.53905500000000017</v>
      </c>
      <c r="FN76" s="995">
        <f t="shared" si="461"/>
        <v>0.26353800000000011</v>
      </c>
      <c r="FO76" s="995">
        <f t="shared" si="461"/>
        <v>0.59296050000000022</v>
      </c>
      <c r="FP76" s="995">
        <f t="shared" si="461"/>
        <v>0.86967540000000043</v>
      </c>
      <c r="FQ76" s="996">
        <f t="shared" si="461"/>
        <v>0.79720245000000056</v>
      </c>
      <c r="FS76" s="994">
        <f t="shared" si="480"/>
        <v>0.5</v>
      </c>
      <c r="FT76" s="995">
        <f t="shared" si="462"/>
        <v>0.45000000000000007</v>
      </c>
      <c r="FU76" s="995">
        <f t="shared" si="462"/>
        <v>0.45000000000000007</v>
      </c>
      <c r="FV76" s="995">
        <f t="shared" si="462"/>
        <v>0.45000000000000007</v>
      </c>
      <c r="FW76" s="995">
        <f t="shared" si="462"/>
        <v>0.49500000000000011</v>
      </c>
      <c r="FX76" s="995">
        <f t="shared" si="462"/>
        <v>0.5445000000000001</v>
      </c>
      <c r="FY76" s="995">
        <f t="shared" si="462"/>
        <v>0.5445000000000001</v>
      </c>
      <c r="FZ76" s="995">
        <f t="shared" si="462"/>
        <v>0.41926500000000011</v>
      </c>
      <c r="GA76" s="995">
        <f t="shared" si="462"/>
        <v>0.26353800000000011</v>
      </c>
      <c r="GB76" s="995">
        <f t="shared" si="462"/>
        <v>0.26353800000000011</v>
      </c>
      <c r="GC76" s="995">
        <f t="shared" si="462"/>
        <v>0.28989180000000014</v>
      </c>
      <c r="GD76" s="996">
        <f t="shared" si="462"/>
        <v>0.3188809800000002</v>
      </c>
      <c r="GF76" s="994">
        <f t="shared" si="481"/>
        <v>0.2</v>
      </c>
      <c r="GG76" s="995">
        <f t="shared" si="463"/>
        <v>0.18000000000000002</v>
      </c>
      <c r="GH76" s="995">
        <f t="shared" si="463"/>
        <v>0.18000000000000002</v>
      </c>
      <c r="GI76" s="995">
        <f t="shared" si="463"/>
        <v>0.18000000000000002</v>
      </c>
      <c r="GJ76" s="995">
        <f t="shared" si="463"/>
        <v>0.19800000000000004</v>
      </c>
      <c r="GK76" s="995">
        <f t="shared" si="463"/>
        <v>0.21780000000000005</v>
      </c>
      <c r="GL76" s="995">
        <f t="shared" si="463"/>
        <v>0.21780000000000005</v>
      </c>
      <c r="GM76" s="995">
        <f t="shared" si="463"/>
        <v>0.23958000000000007</v>
      </c>
      <c r="GN76" s="995">
        <f t="shared" si="463"/>
        <v>0.26353800000000011</v>
      </c>
      <c r="GO76" s="995">
        <f t="shared" si="463"/>
        <v>0.26353800000000011</v>
      </c>
      <c r="GP76" s="995">
        <f t="shared" si="463"/>
        <v>0.28989180000000014</v>
      </c>
      <c r="GQ76" s="996">
        <f t="shared" si="463"/>
        <v>0.3188809800000002</v>
      </c>
      <c r="GS76" s="994">
        <f t="shared" si="482"/>
        <v>0.2</v>
      </c>
      <c r="GT76" s="995">
        <f t="shared" si="464"/>
        <v>0.18000000000000002</v>
      </c>
      <c r="GU76" s="995">
        <f t="shared" si="464"/>
        <v>0.18000000000000002</v>
      </c>
      <c r="GV76" s="995">
        <f t="shared" si="464"/>
        <v>0.18000000000000002</v>
      </c>
      <c r="GW76" s="995">
        <f t="shared" si="464"/>
        <v>0.19800000000000004</v>
      </c>
      <c r="GX76" s="995">
        <f t="shared" si="464"/>
        <v>0.21780000000000005</v>
      </c>
      <c r="GY76" s="995">
        <f t="shared" si="464"/>
        <v>0.21780000000000005</v>
      </c>
      <c r="GZ76" s="995">
        <f t="shared" si="464"/>
        <v>0.23958000000000007</v>
      </c>
      <c r="HA76" s="995">
        <f t="shared" si="464"/>
        <v>0.26353800000000011</v>
      </c>
      <c r="HB76" s="995">
        <f t="shared" si="464"/>
        <v>0.26353800000000011</v>
      </c>
      <c r="HC76" s="995">
        <f t="shared" si="464"/>
        <v>0.28989180000000014</v>
      </c>
      <c r="HD76" s="996">
        <f t="shared" si="464"/>
        <v>0.3188809800000002</v>
      </c>
    </row>
    <row r="77" spans="2:212">
      <c r="B77" s="977"/>
      <c r="C77" s="1007" t="s">
        <v>1046</v>
      </c>
      <c r="D77" s="977"/>
      <c r="E77" s="977"/>
      <c r="F77" s="977"/>
      <c r="G77" s="977"/>
      <c r="H77" s="981"/>
      <c r="I77" s="981"/>
      <c r="N77" s="1684"/>
      <c r="O77" s="957" t="s">
        <v>127</v>
      </c>
      <c r="P77" s="606">
        <v>0</v>
      </c>
      <c r="Q77" s="606">
        <v>1</v>
      </c>
      <c r="R77" s="606">
        <v>1</v>
      </c>
      <c r="S77" s="606">
        <v>3</v>
      </c>
      <c r="T77" s="606">
        <v>3</v>
      </c>
      <c r="U77" s="606">
        <v>4</v>
      </c>
      <c r="V77" s="606">
        <v>0</v>
      </c>
      <c r="X77" s="1080"/>
      <c r="AA77" s="1684"/>
      <c r="AB77" s="957" t="s">
        <v>127</v>
      </c>
      <c r="AC77" s="610">
        <f t="shared" si="397"/>
        <v>0</v>
      </c>
      <c r="AD77" s="610">
        <f t="shared" si="397"/>
        <v>0.1111111111111111</v>
      </c>
      <c r="AE77" s="610">
        <f t="shared" si="397"/>
        <v>7.6923076923076927E-2</v>
      </c>
      <c r="AF77" s="610">
        <f t="shared" si="397"/>
        <v>0.27272727272727271</v>
      </c>
      <c r="AG77" s="610">
        <f t="shared" si="397"/>
        <v>0.3</v>
      </c>
      <c r="AH77" s="610">
        <f t="shared" si="397"/>
        <v>0.26666666666666666</v>
      </c>
      <c r="AI77" s="610">
        <f t="shared" si="397"/>
        <v>0</v>
      </c>
      <c r="AJ77" s="952">
        <f t="shared" si="398"/>
        <v>0.14677544677544677</v>
      </c>
      <c r="AK77" s="952">
        <f t="shared" si="399"/>
        <v>0.14677544677544677</v>
      </c>
      <c r="AL77" s="952">
        <f t="shared" si="465"/>
        <v>0.16145299145299147</v>
      </c>
      <c r="AM77" s="952">
        <f t="shared" si="400"/>
        <v>0.16145299145299147</v>
      </c>
      <c r="AN77" s="952">
        <f t="shared" si="401"/>
        <v>0.17759829059829063</v>
      </c>
      <c r="AO77" s="952">
        <f t="shared" si="402"/>
        <v>0.19535811965811972</v>
      </c>
      <c r="AP77" s="1053">
        <v>0.1</v>
      </c>
      <c r="AQ77" s="1053">
        <f t="shared" si="466"/>
        <v>9.0000000000000011E-2</v>
      </c>
      <c r="AR77" s="1053">
        <f t="shared" si="466"/>
        <v>9.0000000000000011E-2</v>
      </c>
      <c r="AS77" s="1053">
        <f t="shared" si="466"/>
        <v>9.0000000000000011E-2</v>
      </c>
      <c r="AT77" s="1053">
        <f t="shared" si="466"/>
        <v>9.9000000000000019E-2</v>
      </c>
      <c r="AU77" s="1053">
        <f t="shared" si="466"/>
        <v>0.10890000000000002</v>
      </c>
      <c r="AV77" s="1053">
        <f t="shared" si="466"/>
        <v>0.10890000000000002</v>
      </c>
      <c r="AW77" s="1053">
        <f t="shared" si="466"/>
        <v>0.11979000000000004</v>
      </c>
      <c r="AX77" s="1053">
        <f t="shared" si="466"/>
        <v>0.13176900000000005</v>
      </c>
      <c r="AY77" s="1053">
        <f t="shared" si="466"/>
        <v>0.13176900000000005</v>
      </c>
      <c r="AZ77" s="1053">
        <f t="shared" si="466"/>
        <v>0.14494590000000007</v>
      </c>
      <c r="BA77" s="1053">
        <f t="shared" si="466"/>
        <v>0.1594404900000001</v>
      </c>
      <c r="BB77" s="1053">
        <v>0.1</v>
      </c>
      <c r="BC77" s="1053">
        <f t="shared" si="467"/>
        <v>9.0000000000000011E-2</v>
      </c>
      <c r="BD77" s="1053">
        <f t="shared" si="468"/>
        <v>9.0000000000000011E-2</v>
      </c>
      <c r="BE77" s="1053">
        <f t="shared" si="404"/>
        <v>9.0000000000000011E-2</v>
      </c>
      <c r="BF77" s="1053">
        <f t="shared" si="405"/>
        <v>9.9000000000000019E-2</v>
      </c>
      <c r="BG77" s="1053">
        <f t="shared" si="406"/>
        <v>0.10890000000000002</v>
      </c>
      <c r="BH77" s="1053">
        <f t="shared" si="407"/>
        <v>0.10890000000000002</v>
      </c>
      <c r="BI77" s="1053">
        <f t="shared" si="408"/>
        <v>0.11979000000000004</v>
      </c>
      <c r="BJ77" s="1053">
        <f t="shared" si="409"/>
        <v>0.13176900000000005</v>
      </c>
      <c r="BK77" s="1053">
        <f t="shared" si="410"/>
        <v>0.13176900000000005</v>
      </c>
      <c r="BL77" s="1053">
        <f t="shared" si="411"/>
        <v>0.14494590000000007</v>
      </c>
      <c r="BM77" s="1053">
        <f t="shared" si="412"/>
        <v>0.1594404900000001</v>
      </c>
      <c r="BN77" s="1053">
        <v>0.1</v>
      </c>
      <c r="BO77" s="1053">
        <f t="shared" si="469"/>
        <v>9.0000000000000011E-2</v>
      </c>
      <c r="BP77" s="1053">
        <f t="shared" si="470"/>
        <v>9.0000000000000011E-2</v>
      </c>
      <c r="BQ77" s="1053">
        <f t="shared" si="413"/>
        <v>9.0000000000000011E-2</v>
      </c>
      <c r="BR77" s="1053">
        <f t="shared" si="414"/>
        <v>9.9000000000000019E-2</v>
      </c>
      <c r="BS77" s="1053">
        <f t="shared" si="415"/>
        <v>0.10890000000000002</v>
      </c>
      <c r="BT77" s="1053">
        <f t="shared" si="416"/>
        <v>0.10890000000000002</v>
      </c>
      <c r="BU77" s="1053">
        <f t="shared" si="417"/>
        <v>0.11979000000000004</v>
      </c>
      <c r="BV77" s="1053">
        <f t="shared" si="418"/>
        <v>0.13176900000000005</v>
      </c>
      <c r="BW77" s="1053">
        <f t="shared" si="419"/>
        <v>0.13176900000000005</v>
      </c>
      <c r="BX77" s="1053">
        <f t="shared" si="420"/>
        <v>0.14494590000000007</v>
      </c>
      <c r="BY77" s="1053">
        <f t="shared" si="421"/>
        <v>0.1594404900000001</v>
      </c>
      <c r="BZ77" s="1053">
        <v>0.1</v>
      </c>
      <c r="CA77" s="1053">
        <f t="shared" si="471"/>
        <v>9.0000000000000011E-2</v>
      </c>
      <c r="CB77" s="1053">
        <f t="shared" si="472"/>
        <v>9.0000000000000011E-2</v>
      </c>
      <c r="CC77" s="1053">
        <f t="shared" si="422"/>
        <v>9.0000000000000011E-2</v>
      </c>
      <c r="CD77" s="1053">
        <f t="shared" si="423"/>
        <v>9.9000000000000019E-2</v>
      </c>
      <c r="CE77" s="1053">
        <f t="shared" si="424"/>
        <v>0.10890000000000002</v>
      </c>
      <c r="CF77" s="1053">
        <f t="shared" si="425"/>
        <v>0.10890000000000002</v>
      </c>
      <c r="CG77" s="1053">
        <f t="shared" si="426"/>
        <v>0.11979000000000004</v>
      </c>
      <c r="CH77" s="1053">
        <f t="shared" si="427"/>
        <v>0.13176900000000005</v>
      </c>
      <c r="CI77" s="1053">
        <f t="shared" si="428"/>
        <v>0.13176900000000005</v>
      </c>
      <c r="CJ77" s="1053">
        <f t="shared" si="429"/>
        <v>0.14494590000000007</v>
      </c>
      <c r="CK77" s="1053">
        <f t="shared" si="430"/>
        <v>0.1594404900000001</v>
      </c>
      <c r="CL77" s="1053">
        <v>0.1</v>
      </c>
      <c r="CM77" s="1053">
        <f t="shared" si="473"/>
        <v>9.0000000000000011E-2</v>
      </c>
      <c r="CN77" s="1053">
        <f t="shared" si="474"/>
        <v>9.0000000000000011E-2</v>
      </c>
      <c r="CO77" s="1053">
        <f t="shared" si="431"/>
        <v>9.0000000000000011E-2</v>
      </c>
      <c r="CP77" s="1053">
        <f t="shared" si="432"/>
        <v>9.9000000000000019E-2</v>
      </c>
      <c r="CQ77" s="1053">
        <f t="shared" si="433"/>
        <v>0.10890000000000002</v>
      </c>
      <c r="CR77" s="1053">
        <f t="shared" si="434"/>
        <v>0.10890000000000002</v>
      </c>
      <c r="CS77" s="1053">
        <f t="shared" si="435"/>
        <v>0.11979000000000004</v>
      </c>
      <c r="CT77" s="1053">
        <f t="shared" si="436"/>
        <v>0.13176900000000005</v>
      </c>
      <c r="CU77" s="1053">
        <f t="shared" si="437"/>
        <v>0.13176900000000005</v>
      </c>
      <c r="CV77" s="1053">
        <f t="shared" si="438"/>
        <v>0.14494590000000007</v>
      </c>
      <c r="CW77" s="1053">
        <f t="shared" si="439"/>
        <v>0.1594404900000001</v>
      </c>
      <c r="CX77" s="1053">
        <v>0.1</v>
      </c>
      <c r="CY77" s="1053">
        <f t="shared" si="475"/>
        <v>9.0000000000000011E-2</v>
      </c>
      <c r="CZ77" s="1053">
        <f t="shared" si="476"/>
        <v>9.0000000000000011E-2</v>
      </c>
      <c r="DA77" s="1053">
        <f t="shared" si="440"/>
        <v>9.0000000000000011E-2</v>
      </c>
      <c r="DB77" s="1053">
        <f t="shared" si="441"/>
        <v>9.9000000000000019E-2</v>
      </c>
      <c r="DC77" s="1053">
        <f t="shared" si="442"/>
        <v>0.10890000000000002</v>
      </c>
      <c r="DD77" s="1053">
        <f t="shared" si="443"/>
        <v>0.10890000000000002</v>
      </c>
      <c r="DE77" s="1053">
        <f t="shared" si="444"/>
        <v>0.11979000000000004</v>
      </c>
      <c r="DF77" s="1053">
        <f t="shared" si="445"/>
        <v>0.13176900000000005</v>
      </c>
      <c r="DG77" s="1053">
        <f t="shared" si="446"/>
        <v>0.13176900000000005</v>
      </c>
      <c r="DH77" s="1053">
        <f t="shared" si="447"/>
        <v>0.14494590000000007</v>
      </c>
      <c r="DI77" s="1053">
        <f t="shared" si="448"/>
        <v>0.1594404900000001</v>
      </c>
      <c r="DK77" s="1684"/>
      <c r="DL77" s="957" t="s">
        <v>127</v>
      </c>
      <c r="DN77" s="994">
        <v>0</v>
      </c>
      <c r="DO77" s="995">
        <f>DO66*$AJ$77</f>
        <v>0.88065268065268065</v>
      </c>
      <c r="DP77" s="995">
        <f>DP66*$AJ$77</f>
        <v>0.14677544677544677</v>
      </c>
      <c r="DQ77" s="995">
        <f>DQ66*$AJ$77</f>
        <v>0.7338772338772338</v>
      </c>
      <c r="DR77" s="996">
        <f>DR66*$AJ$77</f>
        <v>2.2016317016317015</v>
      </c>
      <c r="DT77" s="994">
        <v>0</v>
      </c>
      <c r="DU77" s="995">
        <f>DU66*$AH$77</f>
        <v>1.6</v>
      </c>
      <c r="DV77" s="995">
        <f>DV66*$AH$77</f>
        <v>0.26666666666666666</v>
      </c>
      <c r="DW77" s="995">
        <f>DW66*$AH$77</f>
        <v>1.3333333333333333</v>
      </c>
      <c r="DX77" s="996">
        <f>DX66*$AH$77</f>
        <v>4</v>
      </c>
      <c r="DZ77" s="994">
        <v>0</v>
      </c>
      <c r="EA77" s="995">
        <f>EA66*AL$77</f>
        <v>0.80726495726495728</v>
      </c>
      <c r="EB77" s="995">
        <f>EB66*AM$77</f>
        <v>0.16145299145299147</v>
      </c>
      <c r="EC77" s="995">
        <f>EC66*AN$77</f>
        <v>0.88799145299145321</v>
      </c>
      <c r="ED77" s="996">
        <f>ED66*AO$77</f>
        <v>2.930371794871796</v>
      </c>
      <c r="EF77" s="994">
        <f t="shared" si="477"/>
        <v>0.70000000000000007</v>
      </c>
      <c r="EG77" s="995">
        <f t="shared" si="449"/>
        <v>1.8000000000000003</v>
      </c>
      <c r="EH77" s="995">
        <f t="shared" si="450"/>
        <v>1.35</v>
      </c>
      <c r="EI77" s="995">
        <f t="shared" si="451"/>
        <v>1.62</v>
      </c>
      <c r="EJ77" s="995">
        <f t="shared" si="452"/>
        <v>2.7225000000000006</v>
      </c>
      <c r="EK77" s="995">
        <f t="shared" si="453"/>
        <v>3.1853250000000006</v>
      </c>
      <c r="EL77" s="995">
        <f t="shared" si="454"/>
        <v>2.3522400000000006</v>
      </c>
      <c r="EM77" s="995">
        <f t="shared" si="455"/>
        <v>2.4796530000000008</v>
      </c>
      <c r="EN77" s="995">
        <f t="shared" si="456"/>
        <v>1.4955781500000005</v>
      </c>
      <c r="EO77" s="995">
        <f t="shared" si="457"/>
        <v>0.26353800000000011</v>
      </c>
      <c r="EP77" s="995">
        <f t="shared" si="458"/>
        <v>0.5073106500000002</v>
      </c>
      <c r="EQ77" s="996">
        <f t="shared" si="459"/>
        <v>0.87692269500000053</v>
      </c>
      <c r="ES77" s="994">
        <f t="shared" si="478"/>
        <v>0.65</v>
      </c>
      <c r="ET77" s="995">
        <f t="shared" si="460"/>
        <v>0.63000000000000012</v>
      </c>
      <c r="EU77" s="995">
        <f t="shared" si="460"/>
        <v>0.63000000000000012</v>
      </c>
      <c r="EV77" s="995">
        <f t="shared" si="460"/>
        <v>0.63000000000000012</v>
      </c>
      <c r="EW77" s="995">
        <f t="shared" si="460"/>
        <v>0.69300000000000017</v>
      </c>
      <c r="EX77" s="995">
        <f t="shared" si="460"/>
        <v>0.7623000000000002</v>
      </c>
      <c r="EY77" s="995">
        <f t="shared" si="460"/>
        <v>0.6534000000000002</v>
      </c>
      <c r="EZ77" s="995">
        <f t="shared" si="460"/>
        <v>0.5989500000000002</v>
      </c>
      <c r="FA77" s="995">
        <f t="shared" si="460"/>
        <v>0.4611915000000002</v>
      </c>
      <c r="FB77" s="995">
        <f t="shared" si="460"/>
        <v>0.26353800000000011</v>
      </c>
      <c r="FC77" s="995">
        <f t="shared" si="460"/>
        <v>0.65225655000000038</v>
      </c>
      <c r="FD77" s="996">
        <f t="shared" si="460"/>
        <v>1.1160834300000007</v>
      </c>
      <c r="FF77" s="994">
        <f t="shared" si="479"/>
        <v>0.70000000000000007</v>
      </c>
      <c r="FG77" s="995">
        <f t="shared" si="461"/>
        <v>0.63000000000000012</v>
      </c>
      <c r="FH77" s="995">
        <f t="shared" si="461"/>
        <v>0.63000000000000012</v>
      </c>
      <c r="FI77" s="995">
        <f t="shared" si="461"/>
        <v>0.63000000000000012</v>
      </c>
      <c r="FJ77" s="995">
        <f t="shared" si="461"/>
        <v>0.69300000000000017</v>
      </c>
      <c r="FK77" s="995">
        <f t="shared" si="461"/>
        <v>0.7623000000000002</v>
      </c>
      <c r="FL77" s="995">
        <f t="shared" si="461"/>
        <v>0.7623000000000002</v>
      </c>
      <c r="FM77" s="995">
        <f t="shared" si="461"/>
        <v>0.83853000000000022</v>
      </c>
      <c r="FN77" s="995">
        <f t="shared" si="461"/>
        <v>0.59296050000000022</v>
      </c>
      <c r="FO77" s="995">
        <f t="shared" si="461"/>
        <v>0.26353800000000011</v>
      </c>
      <c r="FP77" s="995">
        <f t="shared" si="461"/>
        <v>0.65225655000000038</v>
      </c>
      <c r="FQ77" s="996">
        <f t="shared" si="461"/>
        <v>0.95664294000000061</v>
      </c>
      <c r="FS77" s="994">
        <f t="shared" si="480"/>
        <v>0.5</v>
      </c>
      <c r="FT77" s="995">
        <f t="shared" si="462"/>
        <v>0.45000000000000007</v>
      </c>
      <c r="FU77" s="995">
        <f t="shared" si="462"/>
        <v>0.45000000000000007</v>
      </c>
      <c r="FV77" s="995">
        <f t="shared" si="462"/>
        <v>0.45000000000000007</v>
      </c>
      <c r="FW77" s="995">
        <f t="shared" si="462"/>
        <v>0.49500000000000011</v>
      </c>
      <c r="FX77" s="995">
        <f t="shared" si="462"/>
        <v>0.5445000000000001</v>
      </c>
      <c r="FY77" s="995">
        <f t="shared" si="462"/>
        <v>0.5445000000000001</v>
      </c>
      <c r="FZ77" s="995">
        <f t="shared" si="462"/>
        <v>0.5989500000000002</v>
      </c>
      <c r="GA77" s="995">
        <f t="shared" si="462"/>
        <v>0.4611915000000002</v>
      </c>
      <c r="GB77" s="995">
        <f t="shared" si="462"/>
        <v>0.26353800000000011</v>
      </c>
      <c r="GC77" s="995">
        <f t="shared" si="462"/>
        <v>0.28989180000000014</v>
      </c>
      <c r="GD77" s="996">
        <f t="shared" si="462"/>
        <v>0.3188809800000002</v>
      </c>
      <c r="GF77" s="994">
        <f t="shared" si="481"/>
        <v>0.2</v>
      </c>
      <c r="GG77" s="995">
        <f t="shared" si="463"/>
        <v>0.18000000000000002</v>
      </c>
      <c r="GH77" s="995">
        <f t="shared" si="463"/>
        <v>0.18000000000000002</v>
      </c>
      <c r="GI77" s="995">
        <f t="shared" si="463"/>
        <v>0.18000000000000002</v>
      </c>
      <c r="GJ77" s="995">
        <f t="shared" si="463"/>
        <v>0.19800000000000004</v>
      </c>
      <c r="GK77" s="995">
        <f t="shared" si="463"/>
        <v>0.21780000000000005</v>
      </c>
      <c r="GL77" s="995">
        <f t="shared" si="463"/>
        <v>0.21780000000000005</v>
      </c>
      <c r="GM77" s="995">
        <f t="shared" si="463"/>
        <v>0.23958000000000007</v>
      </c>
      <c r="GN77" s="995">
        <f t="shared" si="463"/>
        <v>0.26353800000000011</v>
      </c>
      <c r="GO77" s="995">
        <f t="shared" si="463"/>
        <v>0.26353800000000011</v>
      </c>
      <c r="GP77" s="995">
        <f t="shared" si="463"/>
        <v>0.28989180000000014</v>
      </c>
      <c r="GQ77" s="996">
        <f t="shared" si="463"/>
        <v>0.3188809800000002</v>
      </c>
      <c r="GS77" s="994">
        <f t="shared" si="482"/>
        <v>0.2</v>
      </c>
      <c r="GT77" s="995">
        <f t="shared" si="464"/>
        <v>0.18000000000000002</v>
      </c>
      <c r="GU77" s="995">
        <f t="shared" si="464"/>
        <v>0.18000000000000002</v>
      </c>
      <c r="GV77" s="995">
        <f t="shared" si="464"/>
        <v>0.18000000000000002</v>
      </c>
      <c r="GW77" s="995">
        <f t="shared" si="464"/>
        <v>0.19800000000000004</v>
      </c>
      <c r="GX77" s="995">
        <f t="shared" si="464"/>
        <v>0.21780000000000005</v>
      </c>
      <c r="GY77" s="995">
        <f t="shared" si="464"/>
        <v>0.21780000000000005</v>
      </c>
      <c r="GZ77" s="995">
        <f t="shared" si="464"/>
        <v>0.23958000000000007</v>
      </c>
      <c r="HA77" s="995">
        <f t="shared" si="464"/>
        <v>0.26353800000000011</v>
      </c>
      <c r="HB77" s="995">
        <f t="shared" si="464"/>
        <v>0.26353800000000011</v>
      </c>
      <c r="HC77" s="995">
        <f t="shared" si="464"/>
        <v>0.28989180000000014</v>
      </c>
      <c r="HD77" s="996">
        <f t="shared" si="464"/>
        <v>0.3188809800000002</v>
      </c>
    </row>
    <row r="78" spans="2:212">
      <c r="B78" s="977"/>
      <c r="C78" s="977" t="s">
        <v>1047</v>
      </c>
      <c r="D78" s="977"/>
      <c r="E78" s="977"/>
      <c r="F78" s="977"/>
      <c r="G78" s="977"/>
      <c r="H78" s="981"/>
      <c r="I78" s="981"/>
      <c r="O78" s="957" t="s">
        <v>1062</v>
      </c>
      <c r="P78" s="606">
        <v>2</v>
      </c>
      <c r="Q78" s="606">
        <v>0</v>
      </c>
      <c r="R78" s="606">
        <v>2</v>
      </c>
      <c r="S78" s="606">
        <v>3</v>
      </c>
      <c r="T78" s="606">
        <v>1</v>
      </c>
      <c r="U78" s="606">
        <v>0</v>
      </c>
      <c r="V78" s="606">
        <v>3</v>
      </c>
      <c r="X78" s="1080"/>
      <c r="AB78" s="957" t="s">
        <v>1062</v>
      </c>
      <c r="DL78" s="957" t="s">
        <v>1062</v>
      </c>
      <c r="DN78" s="1063">
        <v>1</v>
      </c>
      <c r="DO78" s="614">
        <v>0</v>
      </c>
      <c r="DP78" s="614">
        <v>4</v>
      </c>
      <c r="DQ78" s="614">
        <v>1</v>
      </c>
      <c r="DR78" s="947">
        <v>3</v>
      </c>
      <c r="DT78" s="1063">
        <v>1</v>
      </c>
      <c r="DU78" s="614">
        <v>0</v>
      </c>
      <c r="DV78" s="614">
        <v>4</v>
      </c>
      <c r="DW78" s="614">
        <v>1</v>
      </c>
      <c r="DX78" s="947">
        <v>3</v>
      </c>
      <c r="DZ78" s="1063">
        <v>1</v>
      </c>
      <c r="EA78" s="614">
        <v>1</v>
      </c>
      <c r="EB78" s="614">
        <v>4</v>
      </c>
      <c r="EC78" s="614">
        <v>2</v>
      </c>
      <c r="ED78" s="947">
        <v>3</v>
      </c>
      <c r="EF78" s="1063">
        <f t="shared" si="477"/>
        <v>0</v>
      </c>
      <c r="EG78" s="1008">
        <f t="shared" si="449"/>
        <v>0</v>
      </c>
      <c r="EH78" s="1008">
        <f t="shared" si="450"/>
        <v>0</v>
      </c>
      <c r="EI78" s="1008">
        <f t="shared" si="451"/>
        <v>0</v>
      </c>
      <c r="EJ78" s="1008">
        <f t="shared" si="452"/>
        <v>0</v>
      </c>
      <c r="EK78" s="1008">
        <f t="shared" si="453"/>
        <v>0</v>
      </c>
      <c r="EL78" s="1008">
        <f t="shared" si="454"/>
        <v>0</v>
      </c>
      <c r="EM78" s="1008">
        <f t="shared" si="455"/>
        <v>0</v>
      </c>
      <c r="EN78" s="1008">
        <f t="shared" si="456"/>
        <v>0</v>
      </c>
      <c r="EO78" s="1008">
        <f t="shared" si="457"/>
        <v>0</v>
      </c>
      <c r="EP78" s="1008">
        <f t="shared" si="458"/>
        <v>0</v>
      </c>
      <c r="EQ78" s="1306">
        <f t="shared" si="459"/>
        <v>0</v>
      </c>
      <c r="ES78" s="1063">
        <f t="shared" si="478"/>
        <v>0</v>
      </c>
      <c r="ET78" s="1008">
        <f t="shared" si="460"/>
        <v>0</v>
      </c>
      <c r="EU78" s="1008">
        <f t="shared" si="460"/>
        <v>0</v>
      </c>
      <c r="EV78" s="1008">
        <f t="shared" si="460"/>
        <v>0</v>
      </c>
      <c r="EW78" s="1008">
        <f t="shared" si="460"/>
        <v>0</v>
      </c>
      <c r="EX78" s="1008">
        <f t="shared" si="460"/>
        <v>0</v>
      </c>
      <c r="EY78" s="1008">
        <f t="shared" si="460"/>
        <v>0</v>
      </c>
      <c r="EZ78" s="1008">
        <f t="shared" si="460"/>
        <v>0</v>
      </c>
      <c r="FA78" s="1008">
        <f t="shared" si="460"/>
        <v>0</v>
      </c>
      <c r="FB78" s="1008">
        <f t="shared" si="460"/>
        <v>0</v>
      </c>
      <c r="FC78" s="1008">
        <f t="shared" si="460"/>
        <v>0</v>
      </c>
      <c r="FD78" s="1306">
        <f t="shared" si="460"/>
        <v>0</v>
      </c>
      <c r="FF78" s="1063">
        <f t="shared" si="479"/>
        <v>0</v>
      </c>
      <c r="FG78" s="1008">
        <f t="shared" si="461"/>
        <v>0</v>
      </c>
      <c r="FH78" s="1008">
        <f t="shared" si="461"/>
        <v>0</v>
      </c>
      <c r="FI78" s="1008">
        <f t="shared" si="461"/>
        <v>0</v>
      </c>
      <c r="FJ78" s="1008">
        <f t="shared" si="461"/>
        <v>0</v>
      </c>
      <c r="FK78" s="1008">
        <f t="shared" si="461"/>
        <v>0</v>
      </c>
      <c r="FL78" s="1008">
        <f t="shared" si="461"/>
        <v>0</v>
      </c>
      <c r="FM78" s="1008">
        <f t="shared" si="461"/>
        <v>0</v>
      </c>
      <c r="FN78" s="1008">
        <f t="shared" si="461"/>
        <v>0</v>
      </c>
      <c r="FO78" s="1008">
        <f t="shared" si="461"/>
        <v>0</v>
      </c>
      <c r="FP78" s="1008">
        <f t="shared" si="461"/>
        <v>0</v>
      </c>
      <c r="FQ78" s="1306">
        <f t="shared" si="461"/>
        <v>0</v>
      </c>
      <c r="FS78" s="1063">
        <f t="shared" si="480"/>
        <v>0</v>
      </c>
      <c r="FT78" s="1008">
        <f t="shared" si="462"/>
        <v>0</v>
      </c>
      <c r="FU78" s="1008">
        <f t="shared" si="462"/>
        <v>0</v>
      </c>
      <c r="FV78" s="1008">
        <f t="shared" si="462"/>
        <v>0</v>
      </c>
      <c r="FW78" s="1008">
        <f t="shared" si="462"/>
        <v>0</v>
      </c>
      <c r="FX78" s="1008">
        <f t="shared" si="462"/>
        <v>0</v>
      </c>
      <c r="FY78" s="1008">
        <f t="shared" si="462"/>
        <v>0</v>
      </c>
      <c r="FZ78" s="1008">
        <f t="shared" si="462"/>
        <v>0</v>
      </c>
      <c r="GA78" s="1008">
        <f t="shared" si="462"/>
        <v>0</v>
      </c>
      <c r="GB78" s="1008">
        <f t="shared" si="462"/>
        <v>0</v>
      </c>
      <c r="GC78" s="1008">
        <f t="shared" si="462"/>
        <v>0</v>
      </c>
      <c r="GD78" s="1306">
        <f t="shared" si="462"/>
        <v>0</v>
      </c>
      <c r="GF78" s="1063">
        <f t="shared" si="481"/>
        <v>0</v>
      </c>
      <c r="GG78" s="1008">
        <f t="shared" si="463"/>
        <v>0</v>
      </c>
      <c r="GH78" s="1008">
        <f t="shared" si="463"/>
        <v>0</v>
      </c>
      <c r="GI78" s="1008">
        <f t="shared" si="463"/>
        <v>0</v>
      </c>
      <c r="GJ78" s="1008">
        <f t="shared" si="463"/>
        <v>0</v>
      </c>
      <c r="GK78" s="1008">
        <f t="shared" si="463"/>
        <v>0</v>
      </c>
      <c r="GL78" s="1008">
        <f t="shared" si="463"/>
        <v>0</v>
      </c>
      <c r="GM78" s="1008">
        <f t="shared" si="463"/>
        <v>0</v>
      </c>
      <c r="GN78" s="1008">
        <f t="shared" si="463"/>
        <v>0</v>
      </c>
      <c r="GO78" s="1008">
        <f t="shared" si="463"/>
        <v>0</v>
      </c>
      <c r="GP78" s="1008">
        <f t="shared" si="463"/>
        <v>0</v>
      </c>
      <c r="GQ78" s="1306">
        <f t="shared" si="463"/>
        <v>0</v>
      </c>
      <c r="GS78" s="1063">
        <f t="shared" si="482"/>
        <v>0</v>
      </c>
      <c r="GT78" s="1008">
        <f t="shared" si="464"/>
        <v>0</v>
      </c>
      <c r="GU78" s="1008">
        <f t="shared" si="464"/>
        <v>0</v>
      </c>
      <c r="GV78" s="1008">
        <f t="shared" si="464"/>
        <v>0</v>
      </c>
      <c r="GW78" s="1008">
        <f t="shared" si="464"/>
        <v>0</v>
      </c>
      <c r="GX78" s="1008">
        <f t="shared" si="464"/>
        <v>0</v>
      </c>
      <c r="GY78" s="1008">
        <f t="shared" si="464"/>
        <v>0</v>
      </c>
      <c r="GZ78" s="1008">
        <f t="shared" si="464"/>
        <v>0</v>
      </c>
      <c r="HA78" s="1008">
        <f t="shared" si="464"/>
        <v>0</v>
      </c>
      <c r="HB78" s="1008">
        <f t="shared" si="464"/>
        <v>0</v>
      </c>
      <c r="HC78" s="1008">
        <f t="shared" si="464"/>
        <v>0</v>
      </c>
      <c r="HD78" s="1306">
        <f t="shared" si="464"/>
        <v>0</v>
      </c>
    </row>
    <row r="79" spans="2:212">
      <c r="B79" s="1048"/>
      <c r="C79" s="1096"/>
      <c r="D79" s="1062"/>
      <c r="E79" s="1062"/>
      <c r="F79" s="1062"/>
      <c r="G79" s="1062"/>
      <c r="H79" s="1062"/>
      <c r="I79" s="1062"/>
      <c r="O79" s="1124" t="s">
        <v>221</v>
      </c>
      <c r="P79" s="1124">
        <f>SUM(P69:P78)</f>
        <v>15</v>
      </c>
      <c r="Q79" s="1124">
        <f t="shared" ref="Q79:V79" si="483">SUM(Q69:Q78)</f>
        <v>9</v>
      </c>
      <c r="R79" s="1124">
        <f t="shared" si="483"/>
        <v>21</v>
      </c>
      <c r="S79" s="1124">
        <f t="shared" si="483"/>
        <v>23</v>
      </c>
      <c r="T79" s="1124">
        <f t="shared" si="483"/>
        <v>20</v>
      </c>
      <c r="U79" s="1124">
        <f t="shared" si="483"/>
        <v>34</v>
      </c>
      <c r="V79" s="1124">
        <f t="shared" si="483"/>
        <v>33</v>
      </c>
      <c r="X79" s="1080"/>
      <c r="DN79" s="945" t="s">
        <v>1036</v>
      </c>
      <c r="DT79" s="945" t="s">
        <v>1038</v>
      </c>
      <c r="DZ79" s="945" t="s">
        <v>1039</v>
      </c>
      <c r="EF79" s="1279">
        <f>SUM(EF69:EF78)</f>
        <v>32.592500000000001</v>
      </c>
      <c r="EG79" s="1279">
        <f t="shared" ref="EG79" si="484">SUM(EG69:EG78)</f>
        <v>22.106250000000006</v>
      </c>
      <c r="EH79" s="1279">
        <f t="shared" ref="EH79" si="485">SUM(EH69:EH78)</f>
        <v>17.889750000000003</v>
      </c>
      <c r="EI79" s="1279">
        <f t="shared" ref="EI79" si="486">SUM(EI69:EI78)</f>
        <v>16.58925</v>
      </c>
      <c r="EJ79" s="1279">
        <f t="shared" ref="EJ79" si="487">SUM(EJ69:EJ78)</f>
        <v>17.859600000000004</v>
      </c>
      <c r="EK79" s="1279">
        <f t="shared" ref="EK79" si="488">SUM(EK69:EK78)</f>
        <v>18.365985000000002</v>
      </c>
      <c r="EL79" s="1279">
        <f t="shared" ref="EL79" si="489">SUM(EL69:EL78)</f>
        <v>16.351335000000002</v>
      </c>
      <c r="EM79" s="1279">
        <f>SUM(EM69:EM78)</f>
        <v>16.387272000000003</v>
      </c>
      <c r="EN79" s="1279">
        <f t="shared" ref="EN79" si="490">SUM(EN69:EN78)</f>
        <v>16.253706150000006</v>
      </c>
      <c r="EO79" s="1279">
        <f t="shared" ref="EO79" si="491">SUM(EO69:EO78)</f>
        <v>15.680511000000005</v>
      </c>
      <c r="EP79" s="1279">
        <f t="shared" ref="EP79" si="492">SUM(EP69:EP78)</f>
        <v>17.103616200000005</v>
      </c>
      <c r="EQ79" s="1279">
        <f t="shared" ref="EQ79" si="493">SUM(EQ69:EQ78)</f>
        <v>17.857334880000007</v>
      </c>
      <c r="ES79" s="1279">
        <f>SUM(ES69:ES78)</f>
        <v>9.85</v>
      </c>
      <c r="ET79" s="1279">
        <f t="shared" ref="ET79:EY79" si="494">SUM(ET69:ET78)</f>
        <v>7.2674999999999992</v>
      </c>
      <c r="EU79" s="1279">
        <f t="shared" si="494"/>
        <v>7.5824999999999996</v>
      </c>
      <c r="EV79" s="1279">
        <f t="shared" si="494"/>
        <v>9.0000000000000018</v>
      </c>
      <c r="EW79" s="1279">
        <f t="shared" si="494"/>
        <v>10.81575</v>
      </c>
      <c r="EX79" s="1279">
        <f t="shared" si="494"/>
        <v>12.441825</v>
      </c>
      <c r="EY79" s="1279">
        <f t="shared" si="494"/>
        <v>12.57795</v>
      </c>
      <c r="EZ79" s="1279">
        <f>SUM(EZ69:EZ78)</f>
        <v>13.955535000000001</v>
      </c>
      <c r="FA79" s="1279">
        <f t="shared" ref="FA79:FD79" si="495">SUM(FA69:FA78)</f>
        <v>15.614626500000004</v>
      </c>
      <c r="FB79" s="1279">
        <f t="shared" si="495"/>
        <v>16.075818000000002</v>
      </c>
      <c r="FC79" s="1279">
        <f t="shared" si="495"/>
        <v>18.408129300000009</v>
      </c>
      <c r="FD79" s="1279">
        <f t="shared" si="495"/>
        <v>20.647543455000008</v>
      </c>
      <c r="FF79" s="1279">
        <f>SUM(FF69:FF78)</f>
        <v>11.449999999999996</v>
      </c>
      <c r="FG79" s="1279">
        <f t="shared" ref="FG79:FL79" si="496">SUM(FG69:FG78)</f>
        <v>8.1675000000000004</v>
      </c>
      <c r="FH79" s="1279">
        <f t="shared" si="496"/>
        <v>8.1675000000000004</v>
      </c>
      <c r="FI79" s="1279">
        <f t="shared" si="496"/>
        <v>8.865000000000002</v>
      </c>
      <c r="FJ79" s="1279">
        <f t="shared" si="496"/>
        <v>9.6772500000000008</v>
      </c>
      <c r="FK79" s="1279">
        <f t="shared" si="496"/>
        <v>10.536075</v>
      </c>
      <c r="FL79" s="1279">
        <f t="shared" si="496"/>
        <v>10.236600000000001</v>
      </c>
      <c r="FM79" s="1279">
        <f>SUM(FM69:FM78)</f>
        <v>10.960785000000003</v>
      </c>
      <c r="FN79" s="1279">
        <f t="shared" ref="FN79:FQ79" si="497">SUM(FN69:FN78)</f>
        <v>11.793325500000003</v>
      </c>
      <c r="FO79" s="1279">
        <f t="shared" si="497"/>
        <v>11.859210000000003</v>
      </c>
      <c r="FP79" s="1279">
        <f t="shared" si="497"/>
        <v>13.479968700000006</v>
      </c>
      <c r="FQ79" s="1279">
        <f t="shared" si="497"/>
        <v>14.907685815000006</v>
      </c>
      <c r="FS79" s="1279">
        <f>SUM(FS69:FS78)</f>
        <v>8.35</v>
      </c>
      <c r="FT79" s="1279">
        <f t="shared" ref="FT79:FY79" si="498">SUM(FT69:FT78)</f>
        <v>6.2325000000000008</v>
      </c>
      <c r="FU79" s="1279">
        <f t="shared" si="498"/>
        <v>5.4225000000000012</v>
      </c>
      <c r="FV79" s="1279">
        <f t="shared" si="498"/>
        <v>4.8825000000000012</v>
      </c>
      <c r="FW79" s="1279">
        <f t="shared" si="498"/>
        <v>4.9995000000000012</v>
      </c>
      <c r="FX79" s="1279">
        <f t="shared" si="498"/>
        <v>5.1727500000000015</v>
      </c>
      <c r="FY79" s="1279">
        <f t="shared" si="498"/>
        <v>4.8460500000000009</v>
      </c>
      <c r="FZ79" s="1279">
        <f>SUM(FZ69:FZ78)</f>
        <v>4.9712850000000017</v>
      </c>
      <c r="GA79" s="1279">
        <f t="shared" ref="GA79:GD79" si="499">SUM(GA69:GA78)</f>
        <v>5.0731065000000024</v>
      </c>
      <c r="GB79" s="1279">
        <f t="shared" si="499"/>
        <v>4.8754530000000029</v>
      </c>
      <c r="GC79" s="1279">
        <f t="shared" si="499"/>
        <v>5.3629983000000037</v>
      </c>
      <c r="GD79" s="1279">
        <f t="shared" si="499"/>
        <v>5.8992981300000036</v>
      </c>
      <c r="GF79" s="1279">
        <f>SUM(GF69:GF78)</f>
        <v>3.7000000000000006</v>
      </c>
      <c r="GG79" s="1279">
        <f t="shared" ref="GG79:GL79" si="500">SUM(GG69:GG78)</f>
        <v>3.330000000000001</v>
      </c>
      <c r="GH79" s="1279">
        <f t="shared" si="500"/>
        <v>3.330000000000001</v>
      </c>
      <c r="GI79" s="1279">
        <f t="shared" si="500"/>
        <v>3.330000000000001</v>
      </c>
      <c r="GJ79" s="1279">
        <f t="shared" si="500"/>
        <v>3.6630000000000003</v>
      </c>
      <c r="GK79" s="1279">
        <f t="shared" si="500"/>
        <v>4.029300000000001</v>
      </c>
      <c r="GL79" s="1279">
        <f t="shared" si="500"/>
        <v>4.029300000000001</v>
      </c>
      <c r="GM79" s="1279">
        <f>SUM(GM69:GM78)</f>
        <v>4.4322300000000014</v>
      </c>
      <c r="GN79" s="1279">
        <f t="shared" ref="GN79:GQ79" si="501">SUM(GN69:GN78)</f>
        <v>4.8754530000000029</v>
      </c>
      <c r="GO79" s="1279">
        <f t="shared" si="501"/>
        <v>4.8754530000000029</v>
      </c>
      <c r="GP79" s="1279">
        <f t="shared" si="501"/>
        <v>5.3629983000000037</v>
      </c>
      <c r="GQ79" s="1279">
        <f t="shared" si="501"/>
        <v>5.8992981300000036</v>
      </c>
      <c r="GS79" s="1279">
        <f>SUM(GS69:GS78)</f>
        <v>3.7000000000000006</v>
      </c>
      <c r="GT79" s="1279">
        <f t="shared" ref="GT79:GY79" si="502">SUM(GT69:GT78)</f>
        <v>3.330000000000001</v>
      </c>
      <c r="GU79" s="1279">
        <f t="shared" si="502"/>
        <v>3.330000000000001</v>
      </c>
      <c r="GV79" s="1279">
        <f t="shared" si="502"/>
        <v>3.330000000000001</v>
      </c>
      <c r="GW79" s="1279">
        <f t="shared" si="502"/>
        <v>3.6630000000000003</v>
      </c>
      <c r="GX79" s="1279">
        <f t="shared" si="502"/>
        <v>4.029300000000001</v>
      </c>
      <c r="GY79" s="1279">
        <f t="shared" si="502"/>
        <v>4.029300000000001</v>
      </c>
      <c r="GZ79" s="1279">
        <f>SUM(GZ69:GZ78)</f>
        <v>4.4322300000000014</v>
      </c>
      <c r="HA79" s="1279">
        <f t="shared" ref="HA79:HD79" si="503">SUM(HA69:HA78)</f>
        <v>4.8754530000000029</v>
      </c>
      <c r="HB79" s="1279">
        <f t="shared" si="503"/>
        <v>4.8754530000000029</v>
      </c>
      <c r="HC79" s="1279">
        <f t="shared" si="503"/>
        <v>5.3629983000000037</v>
      </c>
      <c r="HD79" s="1279">
        <f t="shared" si="503"/>
        <v>5.8992981300000036</v>
      </c>
    </row>
    <row r="80" spans="2:212">
      <c r="B80" s="1054" t="s">
        <v>1082</v>
      </c>
      <c r="C80" s="1055"/>
      <c r="D80" s="1055"/>
      <c r="E80" s="1056"/>
      <c r="F80" s="1056"/>
      <c r="G80" s="1057"/>
      <c r="H80" s="1056"/>
      <c r="I80" s="1056"/>
      <c r="P80" s="1278">
        <f>P79/P53</f>
        <v>0.1388888888888889</v>
      </c>
      <c r="Q80" s="1278">
        <f t="shared" ref="Q80:V80" si="504">Q79/Q53</f>
        <v>0.10344827586206896</v>
      </c>
      <c r="R80" s="1278">
        <f t="shared" si="504"/>
        <v>0.25609756097560976</v>
      </c>
      <c r="S80" s="1278">
        <f t="shared" si="504"/>
        <v>0.27058823529411763</v>
      </c>
      <c r="T80" s="1278">
        <f t="shared" si="504"/>
        <v>0.25</v>
      </c>
      <c r="U80" s="1278">
        <f t="shared" si="504"/>
        <v>0.38202247191011235</v>
      </c>
      <c r="V80" s="1278">
        <f t="shared" si="504"/>
        <v>0.37931034482758619</v>
      </c>
      <c r="X80" s="1080"/>
      <c r="DN80" s="945" t="s">
        <v>1066</v>
      </c>
      <c r="DT80" s="945" t="s">
        <v>1066</v>
      </c>
      <c r="DZ80" s="945" t="s">
        <v>1066</v>
      </c>
      <c r="EF80" s="1278">
        <f>EF79/EF53</f>
        <v>0.19127053990610329</v>
      </c>
      <c r="EG80" s="1278">
        <f t="shared" ref="EG80" si="505">EG79/EG53</f>
        <v>0.13365326481257561</v>
      </c>
      <c r="EH80" s="1278">
        <f t="shared" ref="EH80" si="506">EH79/EH53</f>
        <v>0.12014607118871727</v>
      </c>
      <c r="EI80" s="1278">
        <f t="shared" ref="EI80" si="507">EI79/EI53</f>
        <v>0.11900466284074605</v>
      </c>
      <c r="EJ80" s="1278">
        <f t="shared" ref="EJ80" si="508">EJ79/EJ53</f>
        <v>0.13963721657544959</v>
      </c>
      <c r="EK80" s="1278">
        <f t="shared" ref="EK80" si="509">EK79/EK53</f>
        <v>0.17100544692737432</v>
      </c>
      <c r="EL80" s="1278">
        <f t="shared" ref="EL80" si="510">EL79/EL53</f>
        <v>0.19202977099236643</v>
      </c>
      <c r="EM80" s="1278">
        <f>EM79/EM53</f>
        <v>0.23227883770375626</v>
      </c>
      <c r="EN80" s="1278">
        <f t="shared" ref="EN80" si="511">EN79/EN53</f>
        <v>0.28590512137203178</v>
      </c>
      <c r="EO80" s="1278">
        <f t="shared" ref="EO80" si="512">EO79/EO53</f>
        <v>0.29867640000000006</v>
      </c>
      <c r="EP80" s="1278">
        <f t="shared" ref="EP80" si="513">EP79/EP53</f>
        <v>0.30271887079646026</v>
      </c>
      <c r="EQ80" s="1278">
        <f>EQ79/EQ53</f>
        <v>0.30788508413793114</v>
      </c>
      <c r="ES80" s="1278">
        <f>ES79/ES53</f>
        <v>0.17589285714285713</v>
      </c>
      <c r="ET80" s="1278">
        <f t="shared" ref="ET80:EY80" si="514">ET79/ET53</f>
        <v>0.14111650485436891</v>
      </c>
      <c r="EU80" s="1278">
        <f t="shared" si="514"/>
        <v>0.15474489795918367</v>
      </c>
      <c r="EV80" s="1278">
        <f t="shared" si="514"/>
        <v>0.18367346938775514</v>
      </c>
      <c r="EW80" s="1278">
        <f t="shared" si="514"/>
        <v>0.22072959183673468</v>
      </c>
      <c r="EX80" s="1278">
        <f t="shared" si="514"/>
        <v>0.25391479591836735</v>
      </c>
      <c r="EY80" s="1278">
        <f t="shared" si="514"/>
        <v>0.25669285714285711</v>
      </c>
      <c r="EZ80" s="1278">
        <f>EZ79/EZ53</f>
        <v>0.27911070000000004</v>
      </c>
      <c r="FA80" s="1278">
        <f t="shared" ref="FA80:FC80" si="515">FA79/FA53</f>
        <v>0.30028127884615391</v>
      </c>
      <c r="FB80" s="1278">
        <f t="shared" si="515"/>
        <v>0.28965437837837843</v>
      </c>
      <c r="FC80" s="1278">
        <f t="shared" si="515"/>
        <v>0.30426660000000016</v>
      </c>
      <c r="FD80" s="1278">
        <f>FD79/FD53</f>
        <v>0.32773878500000014</v>
      </c>
      <c r="FF80" s="1278">
        <f>FF79/FF53</f>
        <v>0.18925619834710736</v>
      </c>
      <c r="FG80" s="1278">
        <f t="shared" ref="FG80:FL80" si="516">FG79/FG53</f>
        <v>0.14716216216216216</v>
      </c>
      <c r="FH80" s="1278">
        <f t="shared" si="516"/>
        <v>0.15410377358490568</v>
      </c>
      <c r="FI80" s="1278">
        <f t="shared" si="516"/>
        <v>0.17048076923076927</v>
      </c>
      <c r="FJ80" s="1278">
        <f t="shared" si="516"/>
        <v>0.19354500000000002</v>
      </c>
      <c r="FK80" s="1278">
        <f t="shared" si="516"/>
        <v>0.2195015625</v>
      </c>
      <c r="FL80" s="1278">
        <f t="shared" si="516"/>
        <v>0.22253478260869566</v>
      </c>
      <c r="FM80" s="1278">
        <f>FM79/FM53</f>
        <v>0.24910875000000007</v>
      </c>
      <c r="FN80" s="1278">
        <f t="shared" ref="FN80:FP80" si="517">FN79/FN53</f>
        <v>0.28079346428571439</v>
      </c>
      <c r="FO80" s="1278">
        <f t="shared" si="517"/>
        <v>0.2790402352941177</v>
      </c>
      <c r="FP80" s="1278">
        <f t="shared" si="517"/>
        <v>0.29626304835164846</v>
      </c>
      <c r="FQ80" s="1278">
        <f>FQ79/FQ53</f>
        <v>0.32408012641304362</v>
      </c>
      <c r="FS80" s="1278">
        <f>FS79/FS53</f>
        <v>0.19195402298850575</v>
      </c>
      <c r="FT80" s="1278">
        <f t="shared" ref="FT80:FY80" si="518">FT79/FT53</f>
        <v>0.15388888888888891</v>
      </c>
      <c r="FU80" s="1278">
        <f t="shared" si="518"/>
        <v>0.14460000000000003</v>
      </c>
      <c r="FV80" s="1278">
        <f t="shared" si="518"/>
        <v>0.14152173913043481</v>
      </c>
      <c r="FW80" s="1278">
        <f t="shared" si="518"/>
        <v>0.15871428571428575</v>
      </c>
      <c r="FX80" s="1278">
        <f t="shared" si="518"/>
        <v>0.18150000000000005</v>
      </c>
      <c r="FY80" s="1278">
        <f t="shared" si="518"/>
        <v>0.19004117647058827</v>
      </c>
      <c r="FZ80" s="1278">
        <f>FZ79/FZ53</f>
        <v>0.22094600000000009</v>
      </c>
      <c r="GA80" s="1278">
        <f t="shared" ref="GA80:GC80" si="519">GA79/GA53</f>
        <v>0.26015930769230783</v>
      </c>
      <c r="GB80" s="1278">
        <f t="shared" si="519"/>
        <v>0.27085850000000017</v>
      </c>
      <c r="GC80" s="1278">
        <f t="shared" si="519"/>
        <v>0.29794435000000019</v>
      </c>
      <c r="GD80" s="1278">
        <f>GD79/GD53</f>
        <v>0.3277387850000002</v>
      </c>
      <c r="GF80" s="1278">
        <f>GF79/GF53</f>
        <v>0.2055555555555556</v>
      </c>
      <c r="GG80" s="1278">
        <f t="shared" ref="GG80:GL80" si="520">GG79/GG53</f>
        <v>0.18500000000000005</v>
      </c>
      <c r="GH80" s="1278">
        <f t="shared" si="520"/>
        <v>0.18500000000000005</v>
      </c>
      <c r="GI80" s="1278">
        <f t="shared" si="520"/>
        <v>0.18500000000000005</v>
      </c>
      <c r="GJ80" s="1278">
        <f t="shared" si="520"/>
        <v>0.20350000000000001</v>
      </c>
      <c r="GK80" s="1278">
        <f t="shared" si="520"/>
        <v>0.22385000000000005</v>
      </c>
      <c r="GL80" s="1278">
        <f t="shared" si="520"/>
        <v>0.22385000000000005</v>
      </c>
      <c r="GM80" s="1278">
        <f>GM79/GM53</f>
        <v>0.24623500000000009</v>
      </c>
      <c r="GN80" s="1278">
        <f t="shared" ref="GN80:GP80" si="521">GN79/GN53</f>
        <v>0.27085850000000017</v>
      </c>
      <c r="GO80" s="1278">
        <f t="shared" si="521"/>
        <v>0.27085850000000017</v>
      </c>
      <c r="GP80" s="1278">
        <f t="shared" si="521"/>
        <v>0.29794435000000019</v>
      </c>
      <c r="GQ80" s="1278">
        <f>GQ79/GQ53</f>
        <v>0.3277387850000002</v>
      </c>
      <c r="GS80" s="1278">
        <f>GS79/GS53</f>
        <v>0.2055555555555556</v>
      </c>
      <c r="GT80" s="1278">
        <f t="shared" ref="GT80:GY80" si="522">GT79/GT53</f>
        <v>0.18500000000000005</v>
      </c>
      <c r="GU80" s="1278">
        <f t="shared" si="522"/>
        <v>0.18500000000000005</v>
      </c>
      <c r="GV80" s="1278">
        <f t="shared" si="522"/>
        <v>0.18500000000000005</v>
      </c>
      <c r="GW80" s="1278">
        <f t="shared" si="522"/>
        <v>0.20350000000000001</v>
      </c>
      <c r="GX80" s="1278">
        <f t="shared" si="522"/>
        <v>0.22385000000000005</v>
      </c>
      <c r="GY80" s="1278">
        <f t="shared" si="522"/>
        <v>0.22385000000000005</v>
      </c>
      <c r="GZ80" s="1278">
        <f>GZ79/GZ53</f>
        <v>0.24623500000000009</v>
      </c>
      <c r="HA80" s="1278">
        <f t="shared" ref="HA80:HC80" si="523">HA79/HA53</f>
        <v>0.27085850000000017</v>
      </c>
      <c r="HB80" s="1278">
        <f t="shared" si="523"/>
        <v>0.27085850000000017</v>
      </c>
      <c r="HC80" s="1278">
        <f t="shared" si="523"/>
        <v>0.29794435000000019</v>
      </c>
      <c r="HD80" s="1278">
        <f>HD79/HD53</f>
        <v>0.3277387850000002</v>
      </c>
    </row>
    <row r="81" spans="1:212" ht="15">
      <c r="B81" s="1058">
        <v>30</v>
      </c>
      <c r="C81" s="1059" t="s">
        <v>1083</v>
      </c>
      <c r="D81" s="1059"/>
      <c r="E81" s="1059"/>
      <c r="F81" s="1059"/>
      <c r="G81" s="1059"/>
      <c r="H81" s="1059"/>
      <c r="I81" s="1097"/>
      <c r="J81" s="946"/>
      <c r="K81" s="946"/>
      <c r="X81" s="1080"/>
      <c r="DN81" s="945" t="s">
        <v>1048</v>
      </c>
      <c r="DT81" s="945" t="s">
        <v>1048</v>
      </c>
      <c r="DZ81" s="945" t="s">
        <v>1048</v>
      </c>
      <c r="EF81" s="945" t="s">
        <v>1039</v>
      </c>
      <c r="ES81" s="945" t="s">
        <v>1039</v>
      </c>
      <c r="FF81" s="945" t="s">
        <v>1039</v>
      </c>
      <c r="FS81" s="945" t="s">
        <v>1039</v>
      </c>
      <c r="GF81" s="945" t="s">
        <v>1039</v>
      </c>
      <c r="GS81" s="945" t="s">
        <v>1039</v>
      </c>
    </row>
    <row r="82" spans="1:212">
      <c r="B82" s="980"/>
      <c r="C82" s="946" t="s">
        <v>156</v>
      </c>
      <c r="D82" s="1098"/>
      <c r="E82" s="1099"/>
      <c r="F82" s="1100"/>
      <c r="G82" s="1005"/>
      <c r="H82" s="946"/>
      <c r="I82" s="1098"/>
      <c r="J82" s="946"/>
      <c r="K82" s="946"/>
      <c r="X82" s="1080"/>
      <c r="EF82" s="945" t="s">
        <v>1066</v>
      </c>
      <c r="ES82" s="945" t="s">
        <v>1066</v>
      </c>
      <c r="FF82" s="945" t="s">
        <v>1066</v>
      </c>
      <c r="FS82" s="945" t="s">
        <v>1066</v>
      </c>
      <c r="GF82" s="945" t="s">
        <v>1066</v>
      </c>
      <c r="GS82" s="945" t="s">
        <v>1066</v>
      </c>
    </row>
    <row r="83" spans="1:212">
      <c r="B83" s="1048"/>
      <c r="C83" s="1096"/>
      <c r="D83" s="1062"/>
      <c r="E83" s="1062"/>
      <c r="F83" s="1062"/>
      <c r="G83" s="1062"/>
      <c r="H83" s="1062"/>
      <c r="I83" s="1062"/>
      <c r="EF83" s="945" t="s">
        <v>1235</v>
      </c>
      <c r="ES83" s="945" t="s">
        <v>1235</v>
      </c>
      <c r="FF83" s="945" t="s">
        <v>1235</v>
      </c>
      <c r="FS83" s="945" t="s">
        <v>1235</v>
      </c>
      <c r="GF83" s="945" t="s">
        <v>1235</v>
      </c>
      <c r="GS83" s="945" t="s">
        <v>1235</v>
      </c>
    </row>
    <row r="84" spans="1:212" ht="14.25">
      <c r="B84" s="1065" t="s">
        <v>1037</v>
      </c>
      <c r="C84" s="31"/>
      <c r="D84" s="31"/>
      <c r="E84" s="31"/>
      <c r="F84" s="31"/>
      <c r="G84" s="31"/>
      <c r="H84" s="1089"/>
      <c r="I84" s="1089"/>
    </row>
    <row r="85" spans="1:212" ht="14.25">
      <c r="B85" s="1101" t="s">
        <v>1084</v>
      </c>
      <c r="C85" s="31"/>
      <c r="D85" s="31"/>
      <c r="E85" s="31"/>
      <c r="F85" s="31"/>
      <c r="G85" s="31"/>
      <c r="H85" s="1089"/>
      <c r="I85" s="1089"/>
    </row>
    <row r="86" spans="1:212" ht="14.25">
      <c r="B86" s="1067" t="s">
        <v>1067</v>
      </c>
      <c r="C86" s="31"/>
      <c r="D86" s="31"/>
      <c r="E86" s="31"/>
      <c r="F86" s="31"/>
      <c r="G86" s="31"/>
      <c r="H86" s="1089"/>
      <c r="I86" s="1089"/>
    </row>
    <row r="87" spans="1:212" ht="14.25">
      <c r="B87" s="1069" t="s">
        <v>1068</v>
      </c>
      <c r="C87" s="31"/>
      <c r="D87" s="31"/>
      <c r="E87" s="31"/>
      <c r="F87" s="31"/>
      <c r="G87" s="31"/>
      <c r="H87" s="1089"/>
      <c r="I87" s="1089"/>
    </row>
    <row r="88" spans="1:212" ht="14.25">
      <c r="B88" s="958"/>
      <c r="C88" s="31"/>
      <c r="D88" s="31"/>
      <c r="E88" s="31"/>
      <c r="F88" s="31"/>
      <c r="G88" s="31"/>
      <c r="H88" s="1089"/>
      <c r="I88" s="1089"/>
    </row>
    <row r="91" spans="1:212" s="935" customFormat="1">
      <c r="A91" s="932" t="s">
        <v>1085</v>
      </c>
      <c r="B91" s="933" t="s">
        <v>1086</v>
      </c>
      <c r="C91" s="934"/>
      <c r="D91" s="934"/>
      <c r="E91" s="934"/>
      <c r="F91" s="934"/>
      <c r="G91" s="934"/>
      <c r="H91" s="934"/>
      <c r="I91" s="934"/>
      <c r="J91" s="934"/>
      <c r="K91" s="934"/>
      <c r="L91" s="934"/>
      <c r="M91" s="934"/>
      <c r="N91" s="934"/>
      <c r="O91" s="934"/>
      <c r="P91" s="934"/>
      <c r="Q91" s="934"/>
      <c r="R91" s="934"/>
      <c r="S91" s="934"/>
      <c r="T91" s="934"/>
      <c r="U91" s="934"/>
      <c r="V91" s="934"/>
      <c r="W91" s="934"/>
      <c r="X91" s="934"/>
      <c r="Y91" s="934"/>
      <c r="Z91" s="934"/>
      <c r="AA91" s="934"/>
      <c r="AB91" s="934"/>
      <c r="AC91" s="934"/>
      <c r="AD91" s="934"/>
      <c r="AE91" s="934"/>
      <c r="AF91" s="934"/>
      <c r="AG91" s="934"/>
      <c r="AH91" s="934"/>
      <c r="AI91" s="934"/>
      <c r="AJ91" s="934"/>
      <c r="AK91" s="934"/>
      <c r="AL91" s="934"/>
      <c r="AM91" s="934"/>
      <c r="AN91" s="934"/>
      <c r="AO91" s="934"/>
      <c r="AP91" s="934"/>
      <c r="AQ91" s="934"/>
      <c r="AR91" s="934"/>
      <c r="AS91" s="934"/>
      <c r="AT91" s="934"/>
      <c r="AU91" s="934"/>
      <c r="AV91" s="934"/>
      <c r="AW91" s="934"/>
      <c r="AX91" s="934"/>
      <c r="AY91" s="934"/>
      <c r="AZ91" s="934"/>
      <c r="BA91" s="934"/>
      <c r="BB91" s="934"/>
      <c r="BC91" s="934"/>
      <c r="BD91" s="934"/>
      <c r="BE91" s="934"/>
      <c r="BF91" s="934"/>
      <c r="BG91" s="934"/>
      <c r="BH91" s="934"/>
      <c r="BI91" s="934"/>
      <c r="BJ91" s="934"/>
      <c r="BK91" s="934"/>
      <c r="BL91" s="934"/>
      <c r="BM91" s="934"/>
      <c r="BN91" s="934"/>
      <c r="BO91" s="934"/>
      <c r="BP91" s="934"/>
      <c r="BQ91" s="934"/>
      <c r="BR91" s="934"/>
      <c r="BS91" s="934"/>
      <c r="BT91" s="934"/>
      <c r="BU91" s="934"/>
      <c r="BV91" s="934"/>
      <c r="BW91" s="934"/>
      <c r="BX91" s="934"/>
      <c r="BY91" s="934"/>
      <c r="BZ91" s="934"/>
      <c r="CA91" s="934"/>
      <c r="CB91" s="934"/>
      <c r="CC91" s="934"/>
      <c r="CD91" s="934"/>
      <c r="CE91" s="934"/>
      <c r="CF91" s="934"/>
      <c r="CG91" s="934"/>
      <c r="CH91" s="934"/>
      <c r="CI91" s="934"/>
      <c r="CJ91" s="934"/>
      <c r="CK91" s="934"/>
      <c r="CL91" s="934"/>
      <c r="CM91" s="934"/>
      <c r="CN91" s="934"/>
      <c r="CO91" s="934"/>
      <c r="CP91" s="934"/>
      <c r="CQ91" s="934"/>
      <c r="CR91" s="934"/>
      <c r="CS91" s="934"/>
      <c r="CT91" s="934"/>
      <c r="CU91" s="934"/>
      <c r="CV91" s="934"/>
      <c r="CW91" s="934"/>
      <c r="CX91" s="934"/>
      <c r="CY91" s="934"/>
      <c r="CZ91" s="934"/>
      <c r="DA91" s="934"/>
      <c r="DB91" s="934"/>
      <c r="DC91" s="934"/>
      <c r="DD91" s="934"/>
      <c r="DE91" s="934"/>
      <c r="DF91" s="934"/>
      <c r="DG91" s="934"/>
      <c r="DH91" s="934"/>
      <c r="DI91" s="934"/>
      <c r="DJ91" s="934"/>
      <c r="DK91" s="934"/>
      <c r="DL91" s="934"/>
      <c r="DM91" s="934"/>
      <c r="DN91" s="934"/>
      <c r="DO91" s="934"/>
      <c r="DP91" s="934"/>
      <c r="DQ91" s="934"/>
      <c r="DR91" s="934"/>
      <c r="DS91" s="934"/>
      <c r="DT91" s="934"/>
      <c r="DU91" s="934"/>
      <c r="DV91" s="934"/>
      <c r="DW91" s="934"/>
      <c r="DX91" s="934"/>
      <c r="DY91" s="934"/>
      <c r="DZ91" s="934"/>
      <c r="EA91" s="934"/>
      <c r="EB91" s="934"/>
      <c r="EC91" s="934"/>
      <c r="ED91" s="934"/>
      <c r="EE91" s="934"/>
      <c r="EF91" s="934"/>
      <c r="EG91" s="934"/>
      <c r="EH91" s="934"/>
      <c r="EI91" s="934"/>
      <c r="EJ91" s="934"/>
      <c r="EK91" s="934"/>
      <c r="EL91" s="934"/>
      <c r="EM91" s="934"/>
      <c r="EN91" s="934"/>
      <c r="EO91" s="934"/>
      <c r="EP91" s="934"/>
      <c r="EQ91" s="934"/>
      <c r="ES91" s="934"/>
      <c r="ET91" s="934"/>
      <c r="EU91" s="934"/>
      <c r="EV91" s="934"/>
      <c r="EW91" s="934"/>
      <c r="EX91" s="934"/>
      <c r="EY91" s="934"/>
      <c r="EZ91" s="934"/>
      <c r="FA91" s="934"/>
      <c r="FB91" s="934"/>
      <c r="FC91" s="934"/>
      <c r="FD91" s="934"/>
      <c r="FF91" s="934"/>
      <c r="FG91" s="934"/>
      <c r="FH91" s="934"/>
      <c r="FI91" s="934"/>
      <c r="FJ91" s="934"/>
      <c r="FK91" s="934"/>
      <c r="FL91" s="934"/>
      <c r="FM91" s="934"/>
      <c r="FN91" s="934"/>
      <c r="FO91" s="934"/>
      <c r="FP91" s="934"/>
      <c r="FQ91" s="934"/>
      <c r="FS91" s="934"/>
      <c r="FT91" s="934"/>
      <c r="FU91" s="934"/>
      <c r="FV91" s="934"/>
      <c r="FW91" s="934"/>
      <c r="FX91" s="934"/>
      <c r="FY91" s="934"/>
      <c r="FZ91" s="934"/>
      <c r="GA91" s="934"/>
      <c r="GB91" s="934"/>
      <c r="GC91" s="934"/>
      <c r="GD91" s="934"/>
      <c r="GF91" s="934"/>
      <c r="GG91" s="934"/>
      <c r="GH91" s="934"/>
      <c r="GI91" s="934"/>
      <c r="GJ91" s="934"/>
      <c r="GK91" s="934"/>
      <c r="GL91" s="934"/>
      <c r="GM91" s="934"/>
      <c r="GN91" s="934"/>
      <c r="GO91" s="934"/>
      <c r="GP91" s="934"/>
      <c r="GQ91" s="934"/>
      <c r="GS91" s="934"/>
      <c r="GT91" s="934"/>
      <c r="GU91" s="934"/>
      <c r="GV91" s="934"/>
      <c r="GW91" s="934"/>
      <c r="GX91" s="934"/>
      <c r="GY91" s="934"/>
      <c r="GZ91" s="934"/>
      <c r="HA91" s="934"/>
      <c r="HB91" s="934"/>
      <c r="HC91" s="934"/>
      <c r="HD91" s="934"/>
    </row>
    <row r="93" spans="1:212">
      <c r="B93" s="936" t="s">
        <v>1030</v>
      </c>
      <c r="C93" s="937"/>
      <c r="D93" s="937"/>
      <c r="E93" s="937"/>
      <c r="F93" s="937"/>
      <c r="G93" s="937"/>
      <c r="H93" s="937"/>
      <c r="I93" s="937"/>
      <c r="J93" s="937"/>
      <c r="K93" s="937"/>
      <c r="L93" s="937"/>
      <c r="N93" s="938" t="s">
        <v>1031</v>
      </c>
      <c r="O93" s="939"/>
      <c r="P93" s="939"/>
      <c r="Q93" s="939"/>
      <c r="R93" s="939"/>
      <c r="S93" s="939"/>
      <c r="T93" s="939"/>
      <c r="U93" s="939"/>
      <c r="V93" s="939"/>
      <c r="W93" s="939"/>
      <c r="X93" s="939"/>
      <c r="Y93" s="939"/>
      <c r="AA93" s="940" t="s">
        <v>1032</v>
      </c>
      <c r="AB93" s="941"/>
      <c r="AC93" s="941"/>
      <c r="AD93" s="941"/>
      <c r="AE93" s="941"/>
      <c r="AF93" s="941"/>
      <c r="AG93" s="941"/>
      <c r="AH93" s="941"/>
      <c r="AI93" s="941"/>
      <c r="AJ93" s="941"/>
      <c r="AK93" s="941"/>
      <c r="AL93" s="941"/>
      <c r="AM93" s="941"/>
      <c r="AN93" s="941"/>
      <c r="AO93" s="941"/>
      <c r="AP93" s="941"/>
      <c r="AQ93" s="941"/>
      <c r="AR93" s="941"/>
      <c r="AS93" s="941"/>
      <c r="AT93" s="941"/>
      <c r="AU93" s="941"/>
      <c r="AV93" s="941"/>
      <c r="AW93" s="941"/>
      <c r="AX93" s="941"/>
      <c r="AY93" s="941"/>
      <c r="AZ93" s="941"/>
      <c r="BA93" s="941"/>
      <c r="BB93" s="941"/>
      <c r="BC93" s="941"/>
      <c r="BD93" s="941"/>
      <c r="BE93" s="941"/>
      <c r="BF93" s="941"/>
      <c r="BG93" s="941"/>
      <c r="BH93" s="941"/>
      <c r="BI93" s="941"/>
      <c r="BJ93" s="941"/>
      <c r="BK93" s="941"/>
      <c r="BL93" s="941"/>
      <c r="BM93" s="941"/>
      <c r="BN93" s="941"/>
      <c r="BO93" s="941"/>
      <c r="BP93" s="941"/>
      <c r="BQ93" s="941"/>
      <c r="BR93" s="941"/>
      <c r="BS93" s="941"/>
      <c r="BT93" s="941"/>
      <c r="BU93" s="941"/>
      <c r="BV93" s="941"/>
      <c r="BW93" s="941"/>
      <c r="BX93" s="941"/>
      <c r="BY93" s="941"/>
      <c r="BZ93" s="941"/>
      <c r="CA93" s="941"/>
      <c r="CB93" s="941"/>
      <c r="CC93" s="941"/>
      <c r="CD93" s="941"/>
      <c r="CE93" s="941"/>
      <c r="CF93" s="941"/>
      <c r="CG93" s="941"/>
      <c r="CH93" s="941"/>
      <c r="CI93" s="941"/>
      <c r="CJ93" s="941"/>
      <c r="CK93" s="941"/>
      <c r="CL93" s="941"/>
      <c r="CM93" s="941"/>
      <c r="CN93" s="941"/>
      <c r="CO93" s="941"/>
      <c r="CP93" s="941"/>
      <c r="CQ93" s="941"/>
      <c r="CR93" s="941"/>
      <c r="CS93" s="941"/>
      <c r="CT93" s="941"/>
      <c r="CU93" s="941"/>
      <c r="CV93" s="941"/>
      <c r="CW93" s="941"/>
      <c r="CX93" s="941"/>
      <c r="CY93" s="941"/>
      <c r="CZ93" s="941"/>
      <c r="DA93" s="941"/>
      <c r="DB93" s="941"/>
      <c r="DC93" s="941"/>
      <c r="DD93" s="941"/>
      <c r="DE93" s="941"/>
      <c r="DF93" s="941"/>
      <c r="DG93" s="941"/>
      <c r="DH93" s="941"/>
      <c r="DI93" s="941"/>
      <c r="DK93" s="942" t="s">
        <v>1033</v>
      </c>
      <c r="DL93" s="943"/>
      <c r="DM93" s="943"/>
      <c r="DN93" s="943"/>
      <c r="DO93" s="943"/>
      <c r="DP93" s="943"/>
      <c r="DQ93" s="943"/>
      <c r="DR93" s="943"/>
      <c r="DS93" s="943"/>
      <c r="DT93" s="943"/>
      <c r="DU93" s="943"/>
      <c r="DV93" s="943"/>
      <c r="DW93" s="943"/>
      <c r="DX93" s="943"/>
      <c r="DY93" s="943"/>
      <c r="DZ93" s="943"/>
      <c r="EA93" s="943"/>
      <c r="EB93" s="943"/>
      <c r="EC93" s="943"/>
      <c r="ED93" s="943"/>
      <c r="EE93" s="943"/>
      <c r="EF93" s="943"/>
      <c r="EG93" s="943"/>
      <c r="EH93" s="943"/>
      <c r="EI93" s="943"/>
      <c r="EJ93" s="943"/>
      <c r="EK93" s="943"/>
      <c r="EL93" s="943"/>
      <c r="EM93" s="943"/>
      <c r="EN93" s="943"/>
      <c r="EO93" s="943"/>
      <c r="EP93" s="943"/>
      <c r="EQ93" s="943"/>
      <c r="ES93" s="943"/>
      <c r="ET93" s="943"/>
      <c r="EU93" s="943"/>
      <c r="EV93" s="943"/>
      <c r="EW93" s="943"/>
      <c r="EX93" s="943"/>
      <c r="EY93" s="943"/>
      <c r="EZ93" s="943"/>
      <c r="FA93" s="943"/>
      <c r="FB93" s="943"/>
      <c r="FC93" s="943"/>
      <c r="FD93" s="943"/>
      <c r="FF93" s="943"/>
      <c r="FG93" s="943"/>
      <c r="FH93" s="943"/>
      <c r="FI93" s="943"/>
      <c r="FJ93" s="943"/>
      <c r="FK93" s="943"/>
      <c r="FL93" s="943"/>
      <c r="FM93" s="943"/>
      <c r="FN93" s="943"/>
      <c r="FO93" s="943"/>
      <c r="FP93" s="943"/>
      <c r="FQ93" s="943"/>
      <c r="FS93" s="943"/>
      <c r="FT93" s="943"/>
      <c r="FU93" s="943"/>
      <c r="FV93" s="943"/>
      <c r="FW93" s="943"/>
      <c r="FX93" s="943"/>
      <c r="FY93" s="943"/>
      <c r="FZ93" s="943"/>
      <c r="GA93" s="943"/>
      <c r="GB93" s="943"/>
      <c r="GC93" s="943"/>
      <c r="GD93" s="943"/>
      <c r="GF93" s="943"/>
      <c r="GG93" s="943"/>
      <c r="GH93" s="943"/>
      <c r="GI93" s="943"/>
      <c r="GJ93" s="943"/>
      <c r="GK93" s="943"/>
      <c r="GL93" s="943"/>
      <c r="GM93" s="943"/>
      <c r="GN93" s="943"/>
      <c r="GO93" s="943"/>
      <c r="GP93" s="943"/>
      <c r="GQ93" s="943"/>
      <c r="GS93" s="943"/>
      <c r="GT93" s="943"/>
      <c r="GU93" s="943"/>
      <c r="GV93" s="943"/>
      <c r="GW93" s="943"/>
      <c r="GX93" s="943"/>
      <c r="GY93" s="943"/>
      <c r="GZ93" s="943"/>
      <c r="HA93" s="943"/>
      <c r="HB93" s="943"/>
      <c r="HC93" s="943"/>
      <c r="HD93" s="943"/>
    </row>
    <row r="95" spans="1:212" ht="42.75">
      <c r="B95" s="997" t="s">
        <v>114</v>
      </c>
      <c r="C95" s="1071" t="s">
        <v>158</v>
      </c>
      <c r="D95" s="1102" t="s">
        <v>1087</v>
      </c>
      <c r="E95" s="1103" t="s">
        <v>1088</v>
      </c>
      <c r="F95" s="1104" t="s">
        <v>1089</v>
      </c>
      <c r="G95" s="1074" t="s">
        <v>162</v>
      </c>
      <c r="H95" s="1105" t="s">
        <v>118</v>
      </c>
      <c r="I95" s="955" t="s">
        <v>1040</v>
      </c>
    </row>
    <row r="96" spans="1:212" ht="14.25">
      <c r="B96" s="984" t="s">
        <v>119</v>
      </c>
      <c r="C96" s="1076">
        <v>20</v>
      </c>
      <c r="D96" s="1106">
        <v>10</v>
      </c>
      <c r="E96" s="1025">
        <v>2</v>
      </c>
      <c r="F96" s="1106">
        <v>1</v>
      </c>
      <c r="G96" s="1077">
        <v>5</v>
      </c>
      <c r="H96" s="1027">
        <v>18</v>
      </c>
      <c r="I96" s="1078">
        <f>H96/C96</f>
        <v>0.9</v>
      </c>
      <c r="N96" s="961"/>
      <c r="O96" s="947"/>
      <c r="P96" s="962">
        <v>42370</v>
      </c>
      <c r="Q96" s="962">
        <v>42401</v>
      </c>
      <c r="R96" s="962">
        <v>42430</v>
      </c>
      <c r="S96" s="962">
        <v>42461</v>
      </c>
      <c r="T96" s="962">
        <v>42491</v>
      </c>
      <c r="U96" s="962">
        <v>42522</v>
      </c>
      <c r="V96" s="962">
        <v>42552</v>
      </c>
      <c r="W96" s="1012"/>
      <c r="X96" s="1012"/>
      <c r="Y96" s="1012"/>
      <c r="AA96" s="961"/>
      <c r="AB96" s="947"/>
      <c r="AC96" s="962">
        <v>42370</v>
      </c>
      <c r="AD96" s="962">
        <v>42401</v>
      </c>
      <c r="AE96" s="962">
        <v>42430</v>
      </c>
      <c r="AF96" s="962">
        <v>42461</v>
      </c>
      <c r="AG96" s="962">
        <v>42491</v>
      </c>
      <c r="AH96" s="962">
        <v>42522</v>
      </c>
      <c r="AI96" s="962">
        <v>42552</v>
      </c>
      <c r="AJ96" s="949" t="s">
        <v>1034</v>
      </c>
      <c r="AK96" s="963">
        <v>42583</v>
      </c>
      <c r="AL96" s="963">
        <v>42614</v>
      </c>
      <c r="AM96" s="963">
        <v>42644</v>
      </c>
      <c r="AN96" s="963">
        <v>42675</v>
      </c>
      <c r="AO96" s="963">
        <v>42705</v>
      </c>
      <c r="AP96" s="1013">
        <v>42736</v>
      </c>
      <c r="AQ96" s="1013">
        <v>42767</v>
      </c>
      <c r="AR96" s="1013">
        <v>42795</v>
      </c>
      <c r="AS96" s="1013">
        <v>42826</v>
      </c>
      <c r="AT96" s="1013">
        <v>42856</v>
      </c>
      <c r="AU96" s="1013">
        <v>42887</v>
      </c>
      <c r="AV96" s="1013">
        <v>42917</v>
      </c>
      <c r="AW96" s="1013">
        <v>42948</v>
      </c>
      <c r="AX96" s="1013">
        <v>42979</v>
      </c>
      <c r="AY96" s="1013">
        <v>43009</v>
      </c>
      <c r="AZ96" s="1013">
        <v>43040</v>
      </c>
      <c r="BA96" s="1013">
        <v>43070</v>
      </c>
      <c r="BB96" s="1013">
        <v>43101</v>
      </c>
      <c r="BC96" s="1013">
        <v>43132</v>
      </c>
      <c r="BD96" s="1013">
        <v>43160</v>
      </c>
      <c r="BE96" s="1013">
        <v>43191</v>
      </c>
      <c r="BF96" s="1013">
        <v>43221</v>
      </c>
      <c r="BG96" s="1013">
        <v>43252</v>
      </c>
      <c r="BH96" s="1013">
        <v>43282</v>
      </c>
      <c r="BI96" s="1013">
        <v>43313</v>
      </c>
      <c r="BJ96" s="1013">
        <v>43344</v>
      </c>
      <c r="BK96" s="1013">
        <v>43374</v>
      </c>
      <c r="BL96" s="1013">
        <v>43405</v>
      </c>
      <c r="BM96" s="1013">
        <v>43435</v>
      </c>
      <c r="BN96" s="1013">
        <v>43466</v>
      </c>
      <c r="BO96" s="1013">
        <v>43497</v>
      </c>
      <c r="BP96" s="1013">
        <v>43525</v>
      </c>
      <c r="BQ96" s="1013">
        <v>43556</v>
      </c>
      <c r="BR96" s="1013">
        <v>43586</v>
      </c>
      <c r="BS96" s="1013">
        <v>43617</v>
      </c>
      <c r="BT96" s="1013">
        <v>43647</v>
      </c>
      <c r="BU96" s="1013">
        <v>43678</v>
      </c>
      <c r="BV96" s="1013">
        <v>43709</v>
      </c>
      <c r="BW96" s="1013">
        <v>43739</v>
      </c>
      <c r="BX96" s="1013">
        <v>43770</v>
      </c>
      <c r="BY96" s="1013">
        <v>43800</v>
      </c>
      <c r="BZ96" s="1013">
        <v>43831</v>
      </c>
      <c r="CA96" s="1013">
        <v>43862</v>
      </c>
      <c r="CB96" s="1013">
        <v>43891</v>
      </c>
      <c r="CC96" s="1013">
        <v>43922</v>
      </c>
      <c r="CD96" s="1013">
        <v>43952</v>
      </c>
      <c r="CE96" s="1013">
        <v>43983</v>
      </c>
      <c r="CF96" s="1013">
        <v>44013</v>
      </c>
      <c r="CG96" s="1013">
        <v>44044</v>
      </c>
      <c r="CH96" s="1013">
        <v>44075</v>
      </c>
      <c r="CI96" s="1013">
        <v>44105</v>
      </c>
      <c r="CJ96" s="1013">
        <v>44136</v>
      </c>
      <c r="CK96" s="1013">
        <v>44166</v>
      </c>
      <c r="CL96" s="1013">
        <v>44197</v>
      </c>
      <c r="CM96" s="1013">
        <v>44228</v>
      </c>
      <c r="CN96" s="1013">
        <v>44256</v>
      </c>
      <c r="CO96" s="1013">
        <v>44287</v>
      </c>
      <c r="CP96" s="1013">
        <v>44317</v>
      </c>
      <c r="CQ96" s="1013">
        <v>44348</v>
      </c>
      <c r="CR96" s="1013">
        <v>44378</v>
      </c>
      <c r="CS96" s="1013">
        <v>44409</v>
      </c>
      <c r="CT96" s="1013">
        <v>44440</v>
      </c>
      <c r="CU96" s="1013">
        <v>44470</v>
      </c>
      <c r="CV96" s="1013">
        <v>44501</v>
      </c>
      <c r="CW96" s="1013">
        <v>44531</v>
      </c>
      <c r="CX96" s="1013">
        <v>44562</v>
      </c>
      <c r="CY96" s="1013">
        <v>44593</v>
      </c>
      <c r="CZ96" s="1013">
        <v>44621</v>
      </c>
      <c r="DA96" s="1013">
        <v>44652</v>
      </c>
      <c r="DB96" s="1013">
        <v>44682</v>
      </c>
      <c r="DC96" s="1013">
        <v>44713</v>
      </c>
      <c r="DD96" s="1013">
        <v>44743</v>
      </c>
      <c r="DE96" s="1013">
        <v>44774</v>
      </c>
      <c r="DF96" s="1013">
        <v>44805</v>
      </c>
      <c r="DG96" s="1013">
        <v>44835</v>
      </c>
      <c r="DH96" s="1013">
        <v>44866</v>
      </c>
      <c r="DI96" s="1013">
        <v>44896</v>
      </c>
      <c r="DK96" s="961"/>
      <c r="DL96" s="947"/>
      <c r="DN96" s="964">
        <v>42583</v>
      </c>
      <c r="DO96" s="965">
        <v>42614</v>
      </c>
      <c r="DP96" s="965">
        <v>42644</v>
      </c>
      <c r="DQ96" s="965">
        <v>42675</v>
      </c>
      <c r="DR96" s="966">
        <v>42705</v>
      </c>
      <c r="DT96" s="964">
        <v>42583</v>
      </c>
      <c r="DU96" s="965">
        <v>42614</v>
      </c>
      <c r="DV96" s="965">
        <v>42644</v>
      </c>
      <c r="DW96" s="965">
        <v>42675</v>
      </c>
      <c r="DX96" s="966">
        <v>42705</v>
      </c>
      <c r="DZ96" s="964">
        <v>42583</v>
      </c>
      <c r="EA96" s="965">
        <v>42614</v>
      </c>
      <c r="EB96" s="965">
        <v>42644</v>
      </c>
      <c r="EC96" s="965">
        <v>42675</v>
      </c>
      <c r="ED96" s="966">
        <v>42705</v>
      </c>
      <c r="EF96" s="964">
        <v>42736</v>
      </c>
      <c r="EG96" s="965">
        <v>42767</v>
      </c>
      <c r="EH96" s="965">
        <v>42795</v>
      </c>
      <c r="EI96" s="965">
        <v>42826</v>
      </c>
      <c r="EJ96" s="965">
        <v>42856</v>
      </c>
      <c r="EK96" s="965">
        <v>42887</v>
      </c>
      <c r="EL96" s="965">
        <v>42917</v>
      </c>
      <c r="EM96" s="965">
        <v>42948</v>
      </c>
      <c r="EN96" s="965">
        <v>42979</v>
      </c>
      <c r="EO96" s="965">
        <v>43009</v>
      </c>
      <c r="EP96" s="965">
        <v>43040</v>
      </c>
      <c r="EQ96" s="966">
        <v>42705</v>
      </c>
      <c r="ES96" s="964">
        <v>43101</v>
      </c>
      <c r="ET96" s="1122">
        <v>43132</v>
      </c>
      <c r="EU96" s="1122">
        <v>43160</v>
      </c>
      <c r="EV96" s="1122">
        <v>43191</v>
      </c>
      <c r="EW96" s="1122">
        <v>43221</v>
      </c>
      <c r="EX96" s="1122">
        <v>43252</v>
      </c>
      <c r="EY96" s="1122">
        <v>43282</v>
      </c>
      <c r="EZ96" s="1122">
        <v>43313</v>
      </c>
      <c r="FA96" s="1122">
        <v>43344</v>
      </c>
      <c r="FB96" s="1122">
        <v>43374</v>
      </c>
      <c r="FC96" s="1122">
        <v>43405</v>
      </c>
      <c r="FD96" s="966">
        <v>43435</v>
      </c>
      <c r="FF96" s="964">
        <v>43466</v>
      </c>
      <c r="FG96" s="1122">
        <v>43497</v>
      </c>
      <c r="FH96" s="1122">
        <v>43525</v>
      </c>
      <c r="FI96" s="1122">
        <v>43556</v>
      </c>
      <c r="FJ96" s="1122">
        <v>43586</v>
      </c>
      <c r="FK96" s="1122">
        <v>43617</v>
      </c>
      <c r="FL96" s="1122">
        <v>43647</v>
      </c>
      <c r="FM96" s="1122">
        <v>43678</v>
      </c>
      <c r="FN96" s="1122">
        <v>43709</v>
      </c>
      <c r="FO96" s="1122">
        <v>43739</v>
      </c>
      <c r="FP96" s="1122">
        <v>43770</v>
      </c>
      <c r="FQ96" s="966">
        <v>43800</v>
      </c>
      <c r="FS96" s="964">
        <v>43831</v>
      </c>
      <c r="FT96" s="1122">
        <v>43862</v>
      </c>
      <c r="FU96" s="1122">
        <v>43891</v>
      </c>
      <c r="FV96" s="1122">
        <v>43922</v>
      </c>
      <c r="FW96" s="1122">
        <v>43952</v>
      </c>
      <c r="FX96" s="1122">
        <v>43983</v>
      </c>
      <c r="FY96" s="1122">
        <v>44013</v>
      </c>
      <c r="FZ96" s="1122">
        <v>44044</v>
      </c>
      <c r="GA96" s="1122">
        <v>44075</v>
      </c>
      <c r="GB96" s="1122">
        <v>44105</v>
      </c>
      <c r="GC96" s="1122">
        <v>44136</v>
      </c>
      <c r="GD96" s="966">
        <v>44166</v>
      </c>
      <c r="GF96" s="964">
        <v>44197</v>
      </c>
      <c r="GG96" s="1122">
        <v>44228</v>
      </c>
      <c r="GH96" s="1122">
        <v>44256</v>
      </c>
      <c r="GI96" s="1122">
        <v>44287</v>
      </c>
      <c r="GJ96" s="1122">
        <v>44317</v>
      </c>
      <c r="GK96" s="1122">
        <v>44348</v>
      </c>
      <c r="GL96" s="1122">
        <v>44378</v>
      </c>
      <c r="GM96" s="1122">
        <v>44409</v>
      </c>
      <c r="GN96" s="1122">
        <v>44440</v>
      </c>
      <c r="GO96" s="1122">
        <v>44470</v>
      </c>
      <c r="GP96" s="1122">
        <v>44501</v>
      </c>
      <c r="GQ96" s="966">
        <v>44531</v>
      </c>
      <c r="GS96" s="964">
        <v>44562</v>
      </c>
      <c r="GT96" s="1122">
        <v>44593</v>
      </c>
      <c r="GU96" s="1122">
        <v>44621</v>
      </c>
      <c r="GV96" s="1122">
        <v>44652</v>
      </c>
      <c r="GW96" s="1122">
        <v>44682</v>
      </c>
      <c r="GX96" s="1122">
        <v>44713</v>
      </c>
      <c r="GY96" s="1122">
        <v>44743</v>
      </c>
      <c r="GZ96" s="1122">
        <v>44774</v>
      </c>
      <c r="HA96" s="1122">
        <v>44805</v>
      </c>
      <c r="HB96" s="1122">
        <v>44835</v>
      </c>
      <c r="HC96" s="1122">
        <v>44866</v>
      </c>
      <c r="HD96" s="966">
        <v>44896</v>
      </c>
    </row>
    <row r="97" spans="2:212" ht="14.25">
      <c r="B97" s="984" t="s">
        <v>120</v>
      </c>
      <c r="C97" s="1076">
        <v>40</v>
      </c>
      <c r="D97" s="1107">
        <v>10</v>
      </c>
      <c r="E97" s="1025">
        <v>3</v>
      </c>
      <c r="F97" s="1107">
        <v>2</v>
      </c>
      <c r="G97" s="1079">
        <v>9</v>
      </c>
      <c r="H97" s="1027">
        <v>18</v>
      </c>
      <c r="I97" s="1078">
        <f t="shared" ref="I97:I107" si="524">H97/C97</f>
        <v>0.45</v>
      </c>
      <c r="N97" s="931" t="s">
        <v>206</v>
      </c>
      <c r="O97" s="950"/>
      <c r="P97" s="951">
        <f>[5]Assumption!D4</f>
        <v>13641.9247</v>
      </c>
      <c r="Q97" s="951">
        <f>[5]Assumption!E4</f>
        <v>13892.638999999999</v>
      </c>
      <c r="R97" s="951">
        <f>[5]Assumption!F4</f>
        <v>33141.966699999997</v>
      </c>
      <c r="S97" s="951">
        <f>[5]Assumption!G4</f>
        <v>30639.373500000002</v>
      </c>
      <c r="T97" s="951">
        <f>[5]Assumption!H4</f>
        <v>27458.014999999999</v>
      </c>
      <c r="U97" s="951">
        <f>[5]Assumption!I4</f>
        <v>41468.133600000001</v>
      </c>
      <c r="V97" s="951">
        <f>[5]Assumption!J4</f>
        <v>29747.920999999998</v>
      </c>
      <c r="W97" s="951"/>
      <c r="X97" s="951"/>
      <c r="Y97" s="951"/>
      <c r="AA97" s="931" t="s">
        <v>206</v>
      </c>
      <c r="AB97" s="950"/>
      <c r="AC97" s="951"/>
      <c r="AD97" s="951"/>
      <c r="AE97" s="951"/>
      <c r="AF97" s="951"/>
      <c r="AG97" s="951"/>
      <c r="AH97" s="951"/>
      <c r="AI97" s="951"/>
      <c r="DK97" s="931" t="s">
        <v>206</v>
      </c>
      <c r="DL97" s="950"/>
      <c r="DN97" s="985">
        <f>[5]Assumption!K4</f>
        <v>31024.388999999999</v>
      </c>
      <c r="DO97" s="992">
        <f>[5]Assumption!L4</f>
        <v>57115.435752778605</v>
      </c>
      <c r="DP97" s="992">
        <f>[5]Assumption!M4</f>
        <v>47631.558536618817</v>
      </c>
      <c r="DQ97" s="992">
        <f>[5]Assumption!N4</f>
        <v>53942.523858297791</v>
      </c>
      <c r="DR97" s="986">
        <f>[5]Assumption!O4</f>
        <v>70376.045614909744</v>
      </c>
      <c r="DT97" s="985">
        <f>[5]Assumption!K4</f>
        <v>31024.388999999999</v>
      </c>
      <c r="DU97" s="992">
        <f>[5]Assumption!L4</f>
        <v>57115.435752778605</v>
      </c>
      <c r="DV97" s="992">
        <f>[5]Assumption!M4</f>
        <v>47631.558536618817</v>
      </c>
      <c r="DW97" s="992">
        <f>[5]Assumption!N4</f>
        <v>53942.523858297791</v>
      </c>
      <c r="DX97" s="986">
        <f>[5]Assumption!O4</f>
        <v>70376.045614909744</v>
      </c>
      <c r="DZ97" s="985">
        <f>[5]Assumption!K4</f>
        <v>31024.388999999999</v>
      </c>
      <c r="EA97" s="992">
        <f>[5]Assumption!L4</f>
        <v>57115.435752778605</v>
      </c>
      <c r="EB97" s="992">
        <f>[5]Assumption!M4</f>
        <v>47631.558536618817</v>
      </c>
      <c r="EC97" s="992">
        <f>[5]Assumption!N4</f>
        <v>53942.523858297791</v>
      </c>
      <c r="ED97" s="986">
        <f>[5]Assumption!O4</f>
        <v>70376.045614909744</v>
      </c>
      <c r="EF97" s="985">
        <f>EF50</f>
        <v>20736.276566486489</v>
      </c>
      <c r="EG97" s="992">
        <f t="shared" ref="EG97:EQ97" si="525">EG50</f>
        <v>20450.289683551138</v>
      </c>
      <c r="EH97" s="992">
        <f t="shared" si="525"/>
        <v>48684.979787795397</v>
      </c>
      <c r="EI97" s="992">
        <f t="shared" si="525"/>
        <v>48320.230219621044</v>
      </c>
      <c r="EJ97" s="992">
        <f t="shared" si="525"/>
        <v>56564.783938693159</v>
      </c>
      <c r="EK97" s="992">
        <f t="shared" si="525"/>
        <v>63686.621018721395</v>
      </c>
      <c r="EL97" s="992">
        <f t="shared" si="525"/>
        <v>58694.06419691677</v>
      </c>
      <c r="EM97" s="992">
        <f t="shared" si="525"/>
        <v>65223.264761786886</v>
      </c>
      <c r="EN97" s="992">
        <f t="shared" si="525"/>
        <v>72867.135893726023</v>
      </c>
      <c r="EO97" s="992">
        <f t="shared" si="525"/>
        <v>68942.009470975565</v>
      </c>
      <c r="EP97" s="992">
        <f t="shared" si="525"/>
        <v>76422.789764412955</v>
      </c>
      <c r="EQ97" s="986">
        <f t="shared" si="525"/>
        <v>85561.107264922015</v>
      </c>
      <c r="ES97" s="985">
        <f>ES50</f>
        <v>33634.87184066388</v>
      </c>
      <c r="ET97" s="992">
        <f t="shared" ref="ET97:FD97" si="526">ET50</f>
        <v>31605.909403366346</v>
      </c>
      <c r="EU97" s="992">
        <f t="shared" si="526"/>
        <v>69270.736047451515</v>
      </c>
      <c r="EV97" s="992">
        <f t="shared" si="526"/>
        <v>68993.157764707124</v>
      </c>
      <c r="EW97" s="992">
        <f t="shared" si="526"/>
        <v>79757.509393595945</v>
      </c>
      <c r="EX97" s="992">
        <f t="shared" si="526"/>
        <v>86426.017720658405</v>
      </c>
      <c r="EY97" s="992">
        <f t="shared" si="526"/>
        <v>81303.597495043112</v>
      </c>
      <c r="EZ97" s="992">
        <f t="shared" si="526"/>
        <v>90323.510560228984</v>
      </c>
      <c r="FA97" s="992">
        <f t="shared" si="526"/>
        <v>99856.734877479015</v>
      </c>
      <c r="FB97" s="992">
        <f t="shared" si="526"/>
        <v>94095.128673818224</v>
      </c>
      <c r="FC97" s="992">
        <f t="shared" si="526"/>
        <v>102732.11183509197</v>
      </c>
      <c r="FD97" s="986">
        <f t="shared" si="526"/>
        <v>110588.30482163659</v>
      </c>
      <c r="FF97" s="985">
        <f>FF50</f>
        <v>46318.349922487585</v>
      </c>
      <c r="FG97" s="992">
        <f t="shared" ref="FG97:FQ97" si="527">FG50</f>
        <v>43005.179342212272</v>
      </c>
      <c r="FH97" s="992">
        <f t="shared" si="527"/>
        <v>98133.872946411808</v>
      </c>
      <c r="FI97" s="992">
        <f t="shared" si="527"/>
        <v>96299.872808433443</v>
      </c>
      <c r="FJ97" s="992">
        <f t="shared" si="527"/>
        <v>111182.80365888127</v>
      </c>
      <c r="FK97" s="992">
        <f t="shared" si="527"/>
        <v>119200.54428490785</v>
      </c>
      <c r="FL97" s="992">
        <f t="shared" si="527"/>
        <v>113362.15964138735</v>
      </c>
      <c r="FM97" s="992">
        <f t="shared" si="527"/>
        <v>125688.20032751787</v>
      </c>
      <c r="FN97" s="992">
        <f t="shared" si="527"/>
        <v>138762.26956290167</v>
      </c>
      <c r="FO97" s="992">
        <f t="shared" si="527"/>
        <v>132466.46696807331</v>
      </c>
      <c r="FP97" s="992">
        <f t="shared" si="527"/>
        <v>143880.03889398318</v>
      </c>
      <c r="FQ97" s="986">
        <f t="shared" si="527"/>
        <v>155348.77457851273</v>
      </c>
      <c r="FS97" s="985">
        <f>FS50</f>
        <v>61647.896999521479</v>
      </c>
      <c r="FT97" s="992">
        <f t="shared" ref="FT97:GD97" si="528">FT50</f>
        <v>57434.081744434043</v>
      </c>
      <c r="FU97" s="992">
        <f t="shared" si="528"/>
        <v>129200.72136715053</v>
      </c>
      <c r="FV97" s="992">
        <f t="shared" si="528"/>
        <v>128308.48034392958</v>
      </c>
      <c r="FW97" s="992">
        <f t="shared" si="528"/>
        <v>146860.52938208671</v>
      </c>
      <c r="FX97" s="992">
        <f t="shared" si="528"/>
        <v>155524.25254895756</v>
      </c>
      <c r="FY97" s="992">
        <f t="shared" si="528"/>
        <v>148398.75353611138</v>
      </c>
      <c r="FZ97" s="992">
        <f t="shared" si="528"/>
        <v>163072.75855433659</v>
      </c>
      <c r="GA97" s="992">
        <f t="shared" si="528"/>
        <v>179474.28221131454</v>
      </c>
      <c r="GB97" s="992">
        <f t="shared" si="528"/>
        <v>169825.29204644155</v>
      </c>
      <c r="GC97" s="992">
        <f t="shared" si="528"/>
        <v>182638.97724914533</v>
      </c>
      <c r="GD97" s="986">
        <f t="shared" si="528"/>
        <v>195891.76575396219</v>
      </c>
      <c r="GF97" s="985">
        <f>GF50</f>
        <v>79773.566176795241</v>
      </c>
      <c r="GG97" s="992">
        <f t="shared" ref="GG97:GQ97" si="529">GG50</f>
        <v>73960.874577816241</v>
      </c>
      <c r="GH97" s="992">
        <f t="shared" si="529"/>
        <v>166045.69701742672</v>
      </c>
      <c r="GI97" s="992">
        <f t="shared" si="529"/>
        <v>165098.28269728503</v>
      </c>
      <c r="GJ97" s="992">
        <f t="shared" si="529"/>
        <v>188943.1789052675</v>
      </c>
      <c r="GK97" s="992">
        <f t="shared" si="529"/>
        <v>200169.61300769183</v>
      </c>
      <c r="GL97" s="992">
        <f t="shared" si="529"/>
        <v>191093.14991266411</v>
      </c>
      <c r="GM97" s="992">
        <f t="shared" si="529"/>
        <v>212241.04562907212</v>
      </c>
      <c r="GN97" s="992">
        <f t="shared" si="529"/>
        <v>233831.69508343982</v>
      </c>
      <c r="GO97" s="992">
        <f t="shared" si="529"/>
        <v>221837.58026768558</v>
      </c>
      <c r="GP97" s="992">
        <f t="shared" si="529"/>
        <v>240114.07890424004</v>
      </c>
      <c r="GQ97" s="986">
        <f t="shared" si="529"/>
        <v>258165.48648485605</v>
      </c>
      <c r="GS97" s="985">
        <f>GS50</f>
        <v>102243.17354613698</v>
      </c>
      <c r="GT97" s="992">
        <f t="shared" ref="GT97:HD97" si="530">GT50</f>
        <v>94914.436736920587</v>
      </c>
      <c r="GU97" s="992">
        <f t="shared" si="530"/>
        <v>213376.11169026361</v>
      </c>
      <c r="GV97" s="992">
        <f t="shared" si="530"/>
        <v>212686.06389340316</v>
      </c>
      <c r="GW97" s="992">
        <f t="shared" si="530"/>
        <v>243766.73602706607</v>
      </c>
      <c r="GX97" s="992">
        <f t="shared" si="530"/>
        <v>258677.59641993258</v>
      </c>
      <c r="GY97" s="992">
        <f t="shared" si="530"/>
        <v>247325.83416245971</v>
      </c>
      <c r="GZ97" s="992">
        <f t="shared" si="530"/>
        <v>274551.78277930809</v>
      </c>
      <c r="HA97" s="992">
        <f t="shared" si="530"/>
        <v>302543.5324840942</v>
      </c>
      <c r="HB97" s="992">
        <f t="shared" si="530"/>
        <v>290274.66133140703</v>
      </c>
      <c r="HC97" s="992">
        <f t="shared" si="530"/>
        <v>317209.68443916366</v>
      </c>
      <c r="HD97" s="986">
        <f t="shared" si="530"/>
        <v>341316.06647489819</v>
      </c>
    </row>
    <row r="98" spans="2:212" ht="14.25">
      <c r="B98" s="984" t="s">
        <v>121</v>
      </c>
      <c r="C98" s="1076">
        <v>60</v>
      </c>
      <c r="D98" s="1107">
        <v>10</v>
      </c>
      <c r="E98" s="1025">
        <v>4</v>
      </c>
      <c r="F98" s="1107">
        <v>2</v>
      </c>
      <c r="G98" s="1079">
        <v>10</v>
      </c>
      <c r="H98" s="1027">
        <v>18</v>
      </c>
      <c r="I98" s="1078">
        <f t="shared" si="524"/>
        <v>0.3</v>
      </c>
      <c r="N98" s="931" t="s">
        <v>1035</v>
      </c>
      <c r="O98" s="950"/>
      <c r="P98" s="951">
        <f>[5]Assumption!D5</f>
        <v>4254.7024700000002</v>
      </c>
      <c r="Q98" s="951">
        <f>[5]Assumption!E5</f>
        <v>4245.9432999999999</v>
      </c>
      <c r="R98" s="951">
        <f>[5]Assumption!F5</f>
        <v>10233.976975</v>
      </c>
      <c r="S98" s="951">
        <f>[5]Assumption!G5</f>
        <v>9777.6431200000006</v>
      </c>
      <c r="T98" s="951">
        <f>[5]Assumption!H5</f>
        <v>8583.7165700000005</v>
      </c>
      <c r="U98" s="951">
        <f>[5]Assumption!I5</f>
        <v>12969.911534999999</v>
      </c>
      <c r="V98" s="951">
        <f>[5]Assumption!J5</f>
        <v>9370.4067799999993</v>
      </c>
      <c r="W98" s="951"/>
      <c r="X98" s="951"/>
      <c r="Y98" s="951"/>
      <c r="AA98" s="931" t="s">
        <v>1035</v>
      </c>
      <c r="AB98" s="950"/>
      <c r="AC98" s="951"/>
      <c r="AD98" s="951"/>
      <c r="AE98" s="951"/>
      <c r="AF98" s="951"/>
      <c r="AG98" s="951"/>
      <c r="AH98" s="951"/>
      <c r="AI98" s="951"/>
      <c r="DK98" s="931" t="s">
        <v>1035</v>
      </c>
      <c r="DL98" s="950"/>
      <c r="DN98" s="953">
        <f>[5]Assumption!K5</f>
        <v>9881.3886650000004</v>
      </c>
      <c r="DO98" s="967">
        <f>[5]Assumption!L5</f>
        <v>18276.939440889153</v>
      </c>
      <c r="DP98" s="967">
        <f>[5]Assumption!M5</f>
        <v>15242.098731718022</v>
      </c>
      <c r="DQ98" s="967">
        <f>[5]Assumption!N5</f>
        <v>17261.607634655295</v>
      </c>
      <c r="DR98" s="954">
        <f>[5]Assumption!O5</f>
        <v>22520.334596771118</v>
      </c>
      <c r="DT98" s="953">
        <f>[5]Assumption!K5</f>
        <v>9881.3886650000004</v>
      </c>
      <c r="DU98" s="967">
        <f>[5]Assumption!L5</f>
        <v>18276.939440889153</v>
      </c>
      <c r="DV98" s="967">
        <f>[5]Assumption!M5</f>
        <v>15242.098731718022</v>
      </c>
      <c r="DW98" s="967">
        <f>[5]Assumption!N5</f>
        <v>17261.607634655295</v>
      </c>
      <c r="DX98" s="954">
        <f>[5]Assumption!O5</f>
        <v>22520.334596771118</v>
      </c>
      <c r="DZ98" s="953">
        <f>[5]Assumption!K5</f>
        <v>9881.3886650000004</v>
      </c>
      <c r="EA98" s="967">
        <f>[5]Assumption!L5</f>
        <v>18276.939440889153</v>
      </c>
      <c r="EB98" s="967">
        <f>[5]Assumption!M5</f>
        <v>15242.098731718022</v>
      </c>
      <c r="EC98" s="967">
        <f>[5]Assumption!N5</f>
        <v>17261.607634655295</v>
      </c>
      <c r="ED98" s="954">
        <f>[5]Assumption!O5</f>
        <v>22520.334596771118</v>
      </c>
      <c r="EF98" s="953">
        <f>EF51</f>
        <v>6566.4125173686261</v>
      </c>
      <c r="EG98" s="967">
        <f t="shared" ref="EG98:EQ98" si="531">EG51</f>
        <v>6475.8510396660695</v>
      </c>
      <c r="EH98" s="967">
        <f t="shared" si="531"/>
        <v>15416.734034261828</v>
      </c>
      <c r="EI98" s="967">
        <f t="shared" si="531"/>
        <v>15301.231324675296</v>
      </c>
      <c r="EJ98" s="967">
        <f t="shared" si="531"/>
        <v>17911.976825076679</v>
      </c>
      <c r="EK98" s="967">
        <f t="shared" si="531"/>
        <v>20167.199453836263</v>
      </c>
      <c r="EL98" s="967">
        <f t="shared" si="531"/>
        <v>18586.241199192056</v>
      </c>
      <c r="EM98" s="967">
        <f t="shared" si="531"/>
        <v>20653.797743401374</v>
      </c>
      <c r="EN98" s="967">
        <f t="shared" si="531"/>
        <v>23074.329265585948</v>
      </c>
      <c r="EO98" s="967">
        <f t="shared" si="531"/>
        <v>21831.386773380847</v>
      </c>
      <c r="EP98" s="967">
        <f t="shared" si="531"/>
        <v>24200.273453736063</v>
      </c>
      <c r="EQ98" s="954">
        <f t="shared" si="531"/>
        <v>27094.040916309925</v>
      </c>
      <c r="ES98" s="953">
        <f>ES51</f>
        <v>10650.920996664106</v>
      </c>
      <c r="ET98" s="967">
        <f t="shared" ref="ET98:FD98" si="532">ET51</f>
        <v>10008.423569374116</v>
      </c>
      <c r="EU98" s="967">
        <f t="shared" si="532"/>
        <v>21935.482332660376</v>
      </c>
      <c r="EV98" s="967">
        <f t="shared" si="532"/>
        <v>21847.58354791383</v>
      </c>
      <c r="EW98" s="967">
        <f t="shared" si="532"/>
        <v>25256.255931823365</v>
      </c>
      <c r="EX98" s="967">
        <f t="shared" si="532"/>
        <v>27367.926096455009</v>
      </c>
      <c r="EY98" s="967">
        <f t="shared" si="532"/>
        <v>25745.844900688931</v>
      </c>
      <c r="EZ98" s="967">
        <f t="shared" si="532"/>
        <v>28602.118054015653</v>
      </c>
      <c r="FA98" s="967">
        <f t="shared" si="532"/>
        <v>31620.937912391037</v>
      </c>
      <c r="FB98" s="967">
        <f t="shared" si="532"/>
        <v>29796.450137328666</v>
      </c>
      <c r="FC98" s="967">
        <f t="shared" si="532"/>
        <v>32531.463540561814</v>
      </c>
      <c r="FD98" s="954">
        <f t="shared" si="532"/>
        <v>35019.229548133488</v>
      </c>
      <c r="FF98" s="953">
        <f>FF51</f>
        <v>14667.309810404229</v>
      </c>
      <c r="FG98" s="967">
        <f t="shared" ref="FG98:FQ98" si="533">FG51</f>
        <v>13618.151119800234</v>
      </c>
      <c r="FH98" s="967">
        <f t="shared" si="533"/>
        <v>31075.3712040389</v>
      </c>
      <c r="FI98" s="967">
        <f t="shared" si="533"/>
        <v>30494.611132467508</v>
      </c>
      <c r="FJ98" s="967">
        <f t="shared" si="533"/>
        <v>35207.485361269857</v>
      </c>
      <c r="FK98" s="967">
        <f t="shared" si="533"/>
        <v>37746.407536567429</v>
      </c>
      <c r="FL98" s="967">
        <f t="shared" si="533"/>
        <v>35897.606866808535</v>
      </c>
      <c r="FM98" s="967">
        <f t="shared" si="533"/>
        <v>39800.808465778937</v>
      </c>
      <c r="FN98" s="967">
        <f t="shared" si="533"/>
        <v>43940.883064268652</v>
      </c>
      <c r="FO98" s="967">
        <f t="shared" si="533"/>
        <v>41947.235032375742</v>
      </c>
      <c r="FP98" s="967">
        <f t="shared" si="533"/>
        <v>45561.491493601192</v>
      </c>
      <c r="FQ98" s="954">
        <f t="shared" si="533"/>
        <v>49193.216278705528</v>
      </c>
      <c r="FS98" s="953">
        <f>FS51</f>
        <v>19521.610894279223</v>
      </c>
      <c r="FT98" s="967">
        <f t="shared" ref="FT98:GD98" si="534">FT51</f>
        <v>18187.251316841677</v>
      </c>
      <c r="FU98" s="967">
        <f t="shared" si="534"/>
        <v>40913.094080229173</v>
      </c>
      <c r="FV98" s="967">
        <f t="shared" si="534"/>
        <v>40630.554319312949</v>
      </c>
      <c r="FW98" s="967">
        <f t="shared" si="534"/>
        <v>46505.30269259974</v>
      </c>
      <c r="FX98" s="967">
        <f t="shared" si="534"/>
        <v>49248.783667477415</v>
      </c>
      <c r="FY98" s="967">
        <f t="shared" si="534"/>
        <v>46992.401439914429</v>
      </c>
      <c r="FZ98" s="967">
        <f t="shared" si="534"/>
        <v>51639.116578124522</v>
      </c>
      <c r="GA98" s="967">
        <f t="shared" si="534"/>
        <v>56832.873031930634</v>
      </c>
      <c r="GB98" s="967">
        <f t="shared" si="534"/>
        <v>53777.394407528576</v>
      </c>
      <c r="GC98" s="967">
        <f t="shared" si="534"/>
        <v>57835.015004885019</v>
      </c>
      <c r="GD98" s="954">
        <f t="shared" si="534"/>
        <v>62031.683391759907</v>
      </c>
      <c r="GF98" s="953">
        <f>GF51</f>
        <v>25261.340521713475</v>
      </c>
      <c r="GG98" s="967">
        <f t="shared" ref="GG98:GQ98" si="535">GG51</f>
        <v>23420.675889721333</v>
      </c>
      <c r="GH98" s="967">
        <f t="shared" si="535"/>
        <v>52580.536329872622</v>
      </c>
      <c r="GI98" s="967">
        <f t="shared" si="535"/>
        <v>52280.525224650046</v>
      </c>
      <c r="GJ98" s="967">
        <f t="shared" si="535"/>
        <v>59831.322709117703</v>
      </c>
      <c r="GK98" s="967">
        <f t="shared" si="535"/>
        <v>63386.31953698185</v>
      </c>
      <c r="GL98" s="967">
        <f t="shared" si="535"/>
        <v>60512.139078907312</v>
      </c>
      <c r="GM98" s="967">
        <f t="shared" si="535"/>
        <v>67208.896170421984</v>
      </c>
      <c r="GN98" s="967">
        <f t="shared" si="535"/>
        <v>74045.857009592539</v>
      </c>
      <c r="GO98" s="967">
        <f t="shared" si="535"/>
        <v>70247.76406805584</v>
      </c>
      <c r="GP98" s="967">
        <f t="shared" si="535"/>
        <v>76035.255811617026</v>
      </c>
      <c r="GQ98" s="954">
        <f t="shared" si="535"/>
        <v>81751.469535591474</v>
      </c>
      <c r="GS98" s="953">
        <f>GS51</f>
        <v>32376.634852271472</v>
      </c>
      <c r="GT98" s="967">
        <f t="shared" ref="GT98:HD98" si="536">GT51</f>
        <v>30055.894724879705</v>
      </c>
      <c r="GU98" s="967">
        <f t="shared" si="536"/>
        <v>67568.329647707578</v>
      </c>
      <c r="GV98" s="967">
        <f t="shared" si="536"/>
        <v>67349.817009898237</v>
      </c>
      <c r="GW98" s="967">
        <f t="shared" si="536"/>
        <v>77191.917345141526</v>
      </c>
      <c r="GX98" s="967">
        <f t="shared" si="536"/>
        <v>81913.635827942635</v>
      </c>
      <c r="GY98" s="967">
        <f t="shared" si="536"/>
        <v>78318.95220464775</v>
      </c>
      <c r="GZ98" s="967">
        <f t="shared" si="536"/>
        <v>86940.404046385011</v>
      </c>
      <c r="HA98" s="967">
        <f t="shared" si="536"/>
        <v>95804.356793891246</v>
      </c>
      <c r="HB98" s="967">
        <f t="shared" si="536"/>
        <v>91919.258673566641</v>
      </c>
      <c r="HC98" s="967">
        <f t="shared" si="536"/>
        <v>100448.58515719553</v>
      </c>
      <c r="HD98" s="954">
        <f t="shared" si="536"/>
        <v>108082.18554058095</v>
      </c>
    </row>
    <row r="99" spans="2:212" ht="14.25">
      <c r="B99" s="984" t="s">
        <v>122</v>
      </c>
      <c r="C99" s="1076">
        <v>90</v>
      </c>
      <c r="D99" s="1107">
        <v>20</v>
      </c>
      <c r="E99" s="993">
        <v>6</v>
      </c>
      <c r="F99" s="1107">
        <v>2</v>
      </c>
      <c r="G99" s="1079"/>
      <c r="H99" s="1032">
        <v>15</v>
      </c>
      <c r="I99" s="1078">
        <f t="shared" si="524"/>
        <v>0.16666666666666666</v>
      </c>
      <c r="N99" s="931" t="s">
        <v>1090</v>
      </c>
      <c r="O99" s="950"/>
      <c r="P99" s="951">
        <f>[5]Assumption!D16</f>
        <v>70</v>
      </c>
      <c r="Q99" s="951">
        <f>[5]Assumption!E16</f>
        <v>67</v>
      </c>
      <c r="R99" s="951">
        <f>[5]Assumption!F16</f>
        <v>68</v>
      </c>
      <c r="S99" s="951">
        <f>[5]Assumption!G16</f>
        <v>68</v>
      </c>
      <c r="T99" s="951">
        <f>[5]Assumption!H16</f>
        <v>69</v>
      </c>
      <c r="U99" s="951">
        <f>[5]Assumption!I16</f>
        <v>75</v>
      </c>
      <c r="V99" s="951">
        <f>[5]Assumption!J16</f>
        <v>78</v>
      </c>
      <c r="W99" s="951"/>
      <c r="X99" s="951"/>
      <c r="Y99" s="951"/>
      <c r="AA99" s="931" t="s">
        <v>1090</v>
      </c>
      <c r="AB99" s="950"/>
      <c r="AC99" s="951"/>
      <c r="AD99" s="951"/>
      <c r="AE99" s="951"/>
      <c r="AF99" s="951"/>
      <c r="AG99" s="951"/>
      <c r="AH99" s="951"/>
      <c r="AI99" s="951"/>
      <c r="DK99" s="931" t="s">
        <v>1090</v>
      </c>
      <c r="DL99" s="950"/>
      <c r="DN99" s="969">
        <f>[5]Assumption!K16</f>
        <v>80</v>
      </c>
      <c r="DO99" s="970">
        <f>[5]Assumption!L16</f>
        <v>96</v>
      </c>
      <c r="DP99" s="970">
        <f>[5]Assumption!M16</f>
        <v>109</v>
      </c>
      <c r="DQ99" s="970">
        <f>[5]Assumption!N16</f>
        <v>114</v>
      </c>
      <c r="DR99" s="950">
        <f>[5]Assumption!O16</f>
        <v>119</v>
      </c>
      <c r="DT99" s="969">
        <f>[5]Assumption!K16</f>
        <v>80</v>
      </c>
      <c r="DU99" s="970">
        <f>[5]Assumption!L16</f>
        <v>96</v>
      </c>
      <c r="DV99" s="970">
        <f>[5]Assumption!M16</f>
        <v>109</v>
      </c>
      <c r="DW99" s="970">
        <f>[5]Assumption!N16</f>
        <v>114</v>
      </c>
      <c r="DX99" s="950">
        <f>[5]Assumption!O16</f>
        <v>119</v>
      </c>
      <c r="DZ99" s="969">
        <f>[5]Assumption!K16</f>
        <v>80</v>
      </c>
      <c r="EA99" s="970">
        <f>[5]Assumption!L16</f>
        <v>96</v>
      </c>
      <c r="EB99" s="970">
        <f>[5]Assumption!M16</f>
        <v>109</v>
      </c>
      <c r="EC99" s="970">
        <f>[5]Assumption!N16</f>
        <v>114</v>
      </c>
      <c r="ED99" s="950">
        <f>[5]Assumption!O16</f>
        <v>119</v>
      </c>
      <c r="EF99" s="969"/>
      <c r="EG99" s="970"/>
      <c r="EH99" s="970"/>
      <c r="EI99" s="970"/>
      <c r="EJ99" s="970"/>
      <c r="EK99" s="970"/>
      <c r="EL99" s="970"/>
      <c r="EM99" s="970"/>
      <c r="EN99" s="970"/>
      <c r="EO99" s="970"/>
      <c r="EP99" s="970"/>
      <c r="EQ99" s="950"/>
      <c r="ES99" s="969"/>
      <c r="ET99" s="970"/>
      <c r="EU99" s="970"/>
      <c r="EV99" s="970"/>
      <c r="EW99" s="970"/>
      <c r="EX99" s="970"/>
      <c r="EY99" s="970"/>
      <c r="EZ99" s="970"/>
      <c r="FA99" s="970"/>
      <c r="FB99" s="970"/>
      <c r="FC99" s="970"/>
      <c r="FD99" s="950"/>
      <c r="FF99" s="969"/>
      <c r="FG99" s="970"/>
      <c r="FH99" s="970"/>
      <c r="FI99" s="970"/>
      <c r="FJ99" s="970"/>
      <c r="FK99" s="970"/>
      <c r="FL99" s="970"/>
      <c r="FM99" s="970"/>
      <c r="FN99" s="970"/>
      <c r="FO99" s="970"/>
      <c r="FP99" s="970"/>
      <c r="FQ99" s="950"/>
      <c r="FS99" s="969"/>
      <c r="FT99" s="970"/>
      <c r="FU99" s="970"/>
      <c r="FV99" s="970"/>
      <c r="FW99" s="970"/>
      <c r="FX99" s="970"/>
      <c r="FY99" s="970"/>
      <c r="FZ99" s="970"/>
      <c r="GA99" s="970"/>
      <c r="GB99" s="970"/>
      <c r="GC99" s="970"/>
      <c r="GD99" s="950"/>
      <c r="GF99" s="969"/>
      <c r="GG99" s="970"/>
      <c r="GH99" s="970"/>
      <c r="GI99" s="970"/>
      <c r="GJ99" s="970"/>
      <c r="GK99" s="970"/>
      <c r="GL99" s="970"/>
      <c r="GM99" s="970"/>
      <c r="GN99" s="970"/>
      <c r="GO99" s="970"/>
      <c r="GP99" s="970"/>
      <c r="GQ99" s="950"/>
      <c r="GS99" s="969"/>
      <c r="GT99" s="970"/>
      <c r="GU99" s="970"/>
      <c r="GV99" s="970"/>
      <c r="GW99" s="970"/>
      <c r="GX99" s="970"/>
      <c r="GY99" s="970"/>
      <c r="GZ99" s="970"/>
      <c r="HA99" s="970"/>
      <c r="HB99" s="970"/>
      <c r="HC99" s="970"/>
      <c r="HD99" s="950"/>
    </row>
    <row r="100" spans="2:212" ht="14.25">
      <c r="B100" s="984" t="s">
        <v>123</v>
      </c>
      <c r="C100" s="1076">
        <v>100</v>
      </c>
      <c r="D100" s="1107">
        <v>20</v>
      </c>
      <c r="E100" s="993">
        <v>8</v>
      </c>
      <c r="F100" s="1107">
        <v>3</v>
      </c>
      <c r="G100" s="1079"/>
      <c r="H100" s="1032">
        <v>15</v>
      </c>
      <c r="I100" s="1078">
        <f t="shared" si="524"/>
        <v>0.15</v>
      </c>
      <c r="N100" s="931" t="s">
        <v>1091</v>
      </c>
      <c r="O100" s="950"/>
      <c r="P100" s="951">
        <f t="shared" ref="P100:V100" si="537">SUM(P105:P116)</f>
        <v>38</v>
      </c>
      <c r="Q100" s="951">
        <f t="shared" si="537"/>
        <v>29</v>
      </c>
      <c r="R100" s="951">
        <f t="shared" si="537"/>
        <v>30</v>
      </c>
      <c r="S100" s="951">
        <f t="shared" si="537"/>
        <v>25</v>
      </c>
      <c r="T100" s="951">
        <f t="shared" si="537"/>
        <v>20</v>
      </c>
      <c r="U100" s="951">
        <f t="shared" si="537"/>
        <v>22</v>
      </c>
      <c r="V100" s="951">
        <f t="shared" si="537"/>
        <v>29</v>
      </c>
      <c r="W100" s="951"/>
      <c r="X100" s="951"/>
      <c r="Y100" s="951"/>
      <c r="AA100" s="931" t="s">
        <v>1092</v>
      </c>
      <c r="AB100" s="950"/>
      <c r="AC100" s="610">
        <f t="shared" ref="AC100:AI100" si="538">P100/P99</f>
        <v>0.54285714285714282</v>
      </c>
      <c r="AD100" s="610">
        <f t="shared" si="538"/>
        <v>0.43283582089552236</v>
      </c>
      <c r="AE100" s="610">
        <f t="shared" si="538"/>
        <v>0.44117647058823528</v>
      </c>
      <c r="AF100" s="610">
        <f t="shared" si="538"/>
        <v>0.36764705882352944</v>
      </c>
      <c r="AG100" s="610">
        <f t="shared" si="538"/>
        <v>0.28985507246376813</v>
      </c>
      <c r="AH100" s="610">
        <f t="shared" si="538"/>
        <v>0.29333333333333333</v>
      </c>
      <c r="AI100" s="610">
        <f t="shared" si="538"/>
        <v>0.37179487179487181</v>
      </c>
      <c r="AJ100" s="952">
        <f>AVERAGE(AC100:AI100)</f>
        <v>0.39135711010805763</v>
      </c>
      <c r="AK100" s="952"/>
      <c r="AL100" s="952"/>
      <c r="AM100" s="952"/>
      <c r="AN100" s="952"/>
      <c r="AO100" s="952"/>
      <c r="AP100" s="952"/>
      <c r="AQ100" s="952"/>
      <c r="AR100" s="952"/>
      <c r="AS100" s="952"/>
      <c r="AT100" s="952"/>
      <c r="AU100" s="952"/>
      <c r="AV100" s="952"/>
      <c r="AW100" s="952"/>
      <c r="AX100" s="952"/>
      <c r="AY100" s="952"/>
      <c r="AZ100" s="952"/>
      <c r="BA100" s="952"/>
      <c r="BB100" s="952"/>
      <c r="BC100" s="952"/>
      <c r="BD100" s="952"/>
      <c r="BE100" s="952"/>
      <c r="BF100" s="952"/>
      <c r="BG100" s="952"/>
      <c r="BH100" s="952"/>
      <c r="BI100" s="952"/>
      <c r="BJ100" s="952"/>
      <c r="BK100" s="952"/>
      <c r="BL100" s="952"/>
      <c r="BM100" s="952"/>
      <c r="BN100" s="952"/>
      <c r="BO100" s="952"/>
      <c r="BP100" s="952"/>
      <c r="BQ100" s="952"/>
      <c r="BR100" s="952"/>
      <c r="BS100" s="952"/>
      <c r="BT100" s="952"/>
      <c r="BU100" s="952"/>
      <c r="BV100" s="952"/>
      <c r="BW100" s="952"/>
      <c r="BX100" s="952"/>
      <c r="BY100" s="952"/>
      <c r="BZ100" s="952"/>
      <c r="CA100" s="952"/>
      <c r="CB100" s="952"/>
      <c r="CC100" s="952"/>
      <c r="CD100" s="952"/>
      <c r="CE100" s="952"/>
      <c r="CF100" s="952"/>
      <c r="CG100" s="952"/>
      <c r="CH100" s="952"/>
      <c r="CI100" s="952"/>
      <c r="CJ100" s="952"/>
      <c r="CK100" s="952"/>
      <c r="CL100" s="952"/>
      <c r="CM100" s="952"/>
      <c r="CN100" s="952"/>
      <c r="CO100" s="952"/>
      <c r="CP100" s="952"/>
      <c r="CQ100" s="952"/>
      <c r="CR100" s="952"/>
      <c r="CS100" s="952"/>
      <c r="CT100" s="952"/>
      <c r="CU100" s="952"/>
      <c r="CV100" s="952"/>
      <c r="CW100" s="952"/>
      <c r="CX100" s="952"/>
      <c r="CY100" s="952"/>
      <c r="CZ100" s="952"/>
      <c r="DA100" s="952"/>
      <c r="DB100" s="952"/>
      <c r="DC100" s="952"/>
      <c r="DD100" s="952"/>
      <c r="DE100" s="952"/>
      <c r="DF100" s="952"/>
      <c r="DG100" s="952"/>
      <c r="DH100" s="952"/>
      <c r="DI100" s="952"/>
      <c r="DK100" s="931" t="s">
        <v>1091</v>
      </c>
      <c r="DL100" s="950"/>
      <c r="DN100" s="953">
        <f>SUM(DN105:DN116)</f>
        <v>12</v>
      </c>
      <c r="DO100" s="967">
        <f>SUM(DO105:DO116)</f>
        <v>36.25</v>
      </c>
      <c r="DP100" s="967">
        <f>SUM(DP105:DP116)</f>
        <v>46.85</v>
      </c>
      <c r="DQ100" s="967">
        <f>SUM(DQ105:DQ116)</f>
        <v>53.95</v>
      </c>
      <c r="DR100" s="954">
        <f>SUM(DR105:DR116)</f>
        <v>56.45</v>
      </c>
      <c r="DT100" s="953">
        <f>SUM(DT105:DT116)</f>
        <v>12</v>
      </c>
      <c r="DU100" s="967">
        <f>SUM(DU105:DU116)</f>
        <v>36.25</v>
      </c>
      <c r="DV100" s="967">
        <f>SUM(DV105:DV116)</f>
        <v>46.85</v>
      </c>
      <c r="DW100" s="967">
        <f>SUM(DW105:DW116)</f>
        <v>53.95</v>
      </c>
      <c r="DX100" s="954">
        <f>SUM(DX105:DX116)</f>
        <v>56.45</v>
      </c>
      <c r="DZ100" s="953">
        <f>SUM(DZ105:DZ116)</f>
        <v>12</v>
      </c>
      <c r="EA100" s="967">
        <f>SUM(EA105:EA116)</f>
        <v>21.25</v>
      </c>
      <c r="EB100" s="967">
        <f>SUM(EB105:EB116)</f>
        <v>33.85</v>
      </c>
      <c r="EC100" s="967">
        <f>SUM(EC105:EC116)</f>
        <v>41.95</v>
      </c>
      <c r="ED100" s="954">
        <f>SUM(ED105:ED116)</f>
        <v>46.45</v>
      </c>
      <c r="EF100" s="953">
        <f>SUM(EF105:EF116)</f>
        <v>48.2</v>
      </c>
      <c r="EG100" s="967">
        <f t="shared" ref="EG100:EQ100" si="539">SUM(EG105:EG116)</f>
        <v>49.2</v>
      </c>
      <c r="EH100" s="967">
        <f t="shared" si="539"/>
        <v>50.7</v>
      </c>
      <c r="EI100" s="967">
        <f t="shared" si="539"/>
        <v>52.7</v>
      </c>
      <c r="EJ100" s="967">
        <f t="shared" si="539"/>
        <v>53.7</v>
      </c>
      <c r="EK100" s="967">
        <f t="shared" si="539"/>
        <v>54.7</v>
      </c>
      <c r="EL100" s="967">
        <f t="shared" si="539"/>
        <v>50.7</v>
      </c>
      <c r="EM100" s="967">
        <f t="shared" si="539"/>
        <v>49.7</v>
      </c>
      <c r="EN100" s="967">
        <f t="shared" si="539"/>
        <v>42.45</v>
      </c>
      <c r="EO100" s="967">
        <f t="shared" si="539"/>
        <v>31.85</v>
      </c>
      <c r="EP100" s="967">
        <f t="shared" si="539"/>
        <v>25.75</v>
      </c>
      <c r="EQ100" s="954">
        <f t="shared" si="539"/>
        <v>23.25</v>
      </c>
      <c r="ES100" s="953">
        <f>SUM(ES105:ES116)</f>
        <v>22</v>
      </c>
      <c r="ET100" s="967">
        <f t="shared" ref="ET100:FD100" si="540">SUM(ET105:ET116)</f>
        <v>22</v>
      </c>
      <c r="EU100" s="967">
        <f t="shared" si="540"/>
        <v>22</v>
      </c>
      <c r="EV100" s="967">
        <f t="shared" si="540"/>
        <v>22</v>
      </c>
      <c r="EW100" s="967">
        <f t="shared" si="540"/>
        <v>22</v>
      </c>
      <c r="EX100" s="967">
        <f t="shared" si="540"/>
        <v>22</v>
      </c>
      <c r="EY100" s="967">
        <f t="shared" si="540"/>
        <v>22</v>
      </c>
      <c r="EZ100" s="967">
        <f t="shared" si="540"/>
        <v>22</v>
      </c>
      <c r="FA100" s="967">
        <f t="shared" si="540"/>
        <v>22</v>
      </c>
      <c r="FB100" s="967">
        <f t="shared" si="540"/>
        <v>22</v>
      </c>
      <c r="FC100" s="967">
        <f t="shared" si="540"/>
        <v>22</v>
      </c>
      <c r="FD100" s="954">
        <f t="shared" si="540"/>
        <v>22</v>
      </c>
      <c r="FF100" s="953">
        <f>SUM(FF105:FF116)</f>
        <v>22</v>
      </c>
      <c r="FG100" s="967">
        <f t="shared" ref="FG100:FQ100" si="541">SUM(FG105:FG116)</f>
        <v>22</v>
      </c>
      <c r="FH100" s="967">
        <f t="shared" si="541"/>
        <v>22</v>
      </c>
      <c r="FI100" s="967">
        <f t="shared" si="541"/>
        <v>22</v>
      </c>
      <c r="FJ100" s="967">
        <f t="shared" si="541"/>
        <v>22</v>
      </c>
      <c r="FK100" s="967">
        <f t="shared" si="541"/>
        <v>22</v>
      </c>
      <c r="FL100" s="967">
        <f t="shared" si="541"/>
        <v>22</v>
      </c>
      <c r="FM100" s="967">
        <f t="shared" si="541"/>
        <v>22</v>
      </c>
      <c r="FN100" s="967">
        <f t="shared" si="541"/>
        <v>22</v>
      </c>
      <c r="FO100" s="967">
        <f t="shared" si="541"/>
        <v>22</v>
      </c>
      <c r="FP100" s="967">
        <f t="shared" si="541"/>
        <v>22</v>
      </c>
      <c r="FQ100" s="954">
        <f t="shared" si="541"/>
        <v>22</v>
      </c>
      <c r="FS100" s="953">
        <f>SUM(FS105:FS116)</f>
        <v>22</v>
      </c>
      <c r="FT100" s="967">
        <f t="shared" ref="FT100:GD100" si="542">SUM(FT105:FT116)</f>
        <v>22</v>
      </c>
      <c r="FU100" s="967">
        <f t="shared" si="542"/>
        <v>21.5</v>
      </c>
      <c r="FV100" s="967">
        <f t="shared" si="542"/>
        <v>20.5</v>
      </c>
      <c r="FW100" s="967">
        <f t="shared" si="542"/>
        <v>19.5</v>
      </c>
      <c r="FX100" s="967">
        <f t="shared" si="542"/>
        <v>18.5</v>
      </c>
      <c r="FY100" s="967">
        <f t="shared" si="542"/>
        <v>17.5</v>
      </c>
      <c r="FZ100" s="967">
        <f t="shared" si="542"/>
        <v>16.5</v>
      </c>
      <c r="GA100" s="967">
        <f t="shared" si="542"/>
        <v>15.5</v>
      </c>
      <c r="GB100" s="967">
        <f t="shared" si="542"/>
        <v>14.5</v>
      </c>
      <c r="GC100" s="967">
        <f t="shared" si="542"/>
        <v>13.5</v>
      </c>
      <c r="GD100" s="954">
        <f t="shared" si="542"/>
        <v>12.5</v>
      </c>
      <c r="GF100" s="953">
        <f>SUM(GF105:GF116)</f>
        <v>12</v>
      </c>
      <c r="GG100" s="967">
        <f t="shared" ref="GG100:GQ100" si="543">SUM(GG105:GG116)</f>
        <v>12</v>
      </c>
      <c r="GH100" s="967">
        <f t="shared" si="543"/>
        <v>12</v>
      </c>
      <c r="GI100" s="967">
        <f t="shared" si="543"/>
        <v>12</v>
      </c>
      <c r="GJ100" s="967">
        <f t="shared" si="543"/>
        <v>12</v>
      </c>
      <c r="GK100" s="967">
        <f t="shared" si="543"/>
        <v>12</v>
      </c>
      <c r="GL100" s="967">
        <f t="shared" si="543"/>
        <v>12</v>
      </c>
      <c r="GM100" s="967">
        <f t="shared" si="543"/>
        <v>12</v>
      </c>
      <c r="GN100" s="967">
        <f t="shared" si="543"/>
        <v>12</v>
      </c>
      <c r="GO100" s="967">
        <f t="shared" si="543"/>
        <v>12</v>
      </c>
      <c r="GP100" s="967">
        <f t="shared" si="543"/>
        <v>12</v>
      </c>
      <c r="GQ100" s="954">
        <f t="shared" si="543"/>
        <v>12</v>
      </c>
      <c r="GS100" s="953">
        <f>SUM(GS105:GS116)</f>
        <v>12</v>
      </c>
      <c r="GT100" s="967">
        <f t="shared" ref="GT100:HD100" si="544">SUM(GT105:GT116)</f>
        <v>12</v>
      </c>
      <c r="GU100" s="967">
        <f t="shared" si="544"/>
        <v>12</v>
      </c>
      <c r="GV100" s="967">
        <f t="shared" si="544"/>
        <v>12</v>
      </c>
      <c r="GW100" s="967">
        <f t="shared" si="544"/>
        <v>12</v>
      </c>
      <c r="GX100" s="967">
        <f t="shared" si="544"/>
        <v>12</v>
      </c>
      <c r="GY100" s="967">
        <f t="shared" si="544"/>
        <v>12</v>
      </c>
      <c r="GZ100" s="967">
        <f t="shared" si="544"/>
        <v>12</v>
      </c>
      <c r="HA100" s="967">
        <f t="shared" si="544"/>
        <v>12</v>
      </c>
      <c r="HB100" s="967">
        <f t="shared" si="544"/>
        <v>12</v>
      </c>
      <c r="HC100" s="967">
        <f t="shared" si="544"/>
        <v>12</v>
      </c>
      <c r="HD100" s="954">
        <f t="shared" si="544"/>
        <v>12</v>
      </c>
    </row>
    <row r="101" spans="2:212" ht="14.25">
      <c r="B101" s="984" t="s">
        <v>124</v>
      </c>
      <c r="C101" s="1076">
        <v>100</v>
      </c>
      <c r="D101" s="1107">
        <v>20</v>
      </c>
      <c r="E101" s="993">
        <v>8</v>
      </c>
      <c r="F101" s="1107">
        <v>3</v>
      </c>
      <c r="G101" s="1079"/>
      <c r="H101" s="1032">
        <v>15</v>
      </c>
      <c r="I101" s="1078">
        <f t="shared" si="524"/>
        <v>0.15</v>
      </c>
      <c r="N101" s="931" t="s">
        <v>1093</v>
      </c>
      <c r="O101" s="950"/>
      <c r="P101" s="606">
        <f>[5]Assumption!D35</f>
        <v>0</v>
      </c>
      <c r="Q101" s="606">
        <f>[5]Assumption!E35</f>
        <v>0</v>
      </c>
      <c r="R101" s="606">
        <f>[5]Assumption!F35</f>
        <v>3</v>
      </c>
      <c r="S101" s="606">
        <f>[5]Assumption!G35</f>
        <v>1</v>
      </c>
      <c r="T101" s="606">
        <f>[5]Assumption!H35</f>
        <v>6</v>
      </c>
      <c r="U101" s="606">
        <f>[5]Assumption!I35</f>
        <v>6</v>
      </c>
      <c r="V101" s="606">
        <f>[5]Assumption!J35</f>
        <v>2</v>
      </c>
      <c r="X101" s="1080"/>
      <c r="AA101" s="931" t="s">
        <v>1093</v>
      </c>
      <c r="AB101" s="950"/>
      <c r="DK101" s="931" t="s">
        <v>1093</v>
      </c>
      <c r="DL101" s="950"/>
      <c r="DN101" s="969">
        <f>[5]Assumption!K35</f>
        <v>5</v>
      </c>
      <c r="DO101" s="970">
        <f>[5]Assumption!L35</f>
        <v>13.5</v>
      </c>
      <c r="DP101" s="970">
        <f>[5]Assumption!M35</f>
        <v>11.700000000000001</v>
      </c>
      <c r="DQ101" s="970">
        <f>[5]Assumption!N35</f>
        <v>4.5</v>
      </c>
      <c r="DR101" s="950">
        <f>[5]Assumption!O35</f>
        <v>4.5</v>
      </c>
      <c r="DT101" s="969">
        <f>[5]Assumption!K35</f>
        <v>5</v>
      </c>
      <c r="DU101" s="970">
        <f>[5]Assumption!L35</f>
        <v>13.5</v>
      </c>
      <c r="DV101" s="970">
        <f>[5]Assumption!M35</f>
        <v>11.700000000000001</v>
      </c>
      <c r="DW101" s="970">
        <f>[5]Assumption!N35</f>
        <v>4.5</v>
      </c>
      <c r="DX101" s="950">
        <f>[5]Assumption!O35</f>
        <v>4.5</v>
      </c>
      <c r="DZ101" s="994">
        <f>[5]Assumption!K35</f>
        <v>5</v>
      </c>
      <c r="EA101" s="995">
        <f>[5]Assumption!L35</f>
        <v>13.5</v>
      </c>
      <c r="EB101" s="995">
        <f>[5]Assumption!M35</f>
        <v>11.700000000000001</v>
      </c>
      <c r="EC101" s="995">
        <f>[5]Assumption!N35</f>
        <v>4.5</v>
      </c>
      <c r="ED101" s="996">
        <f>[5]Assumption!O35</f>
        <v>4.5</v>
      </c>
      <c r="EF101" s="994">
        <f>'[1]AL Promotion &amp; Recruited'!Z12</f>
        <v>1</v>
      </c>
      <c r="EG101" s="995">
        <f>'[1]AL Promotion &amp; Recruited'!AA12</f>
        <v>1</v>
      </c>
      <c r="EH101" s="995">
        <f>'[1]AL Promotion &amp; Recruited'!AB12</f>
        <v>2</v>
      </c>
      <c r="EI101" s="995">
        <f>'[1]AL Promotion &amp; Recruited'!AC12</f>
        <v>2</v>
      </c>
      <c r="EJ101" s="995">
        <f>'[1]AL Promotion &amp; Recruited'!AD12</f>
        <v>2</v>
      </c>
      <c r="EK101" s="995">
        <f>'[1]AL Promotion &amp; Recruited'!AE12</f>
        <v>2</v>
      </c>
      <c r="EL101" s="995">
        <f>'[1]AL Promotion &amp; Recruited'!AF12</f>
        <v>2</v>
      </c>
      <c r="EM101" s="995">
        <f>'[1]AL Promotion &amp; Recruited'!AG12</f>
        <v>2</v>
      </c>
      <c r="EN101" s="995">
        <f>'[1]AL Promotion &amp; Recruited'!AH12</f>
        <v>2</v>
      </c>
      <c r="EO101" s="995">
        <f>'[1]AL Promotion &amp; Recruited'!AI12</f>
        <v>2</v>
      </c>
      <c r="EP101" s="995">
        <f>'[1]AL Promotion &amp; Recruited'!AJ12</f>
        <v>2</v>
      </c>
      <c r="EQ101" s="996">
        <f>'[1]AL Promotion &amp; Recruited'!AK12</f>
        <v>2</v>
      </c>
      <c r="ES101" s="994">
        <f>'[6]AL Promotion &amp; Recruited'!AL$12</f>
        <v>1</v>
      </c>
      <c r="ET101" s="995">
        <f>'[6]AL Promotion &amp; Recruited'!AM$12</f>
        <v>1</v>
      </c>
      <c r="EU101" s="995">
        <f>'[6]AL Promotion &amp; Recruited'!AN$12</f>
        <v>2</v>
      </c>
      <c r="EV101" s="995">
        <f>'[6]AL Promotion &amp; Recruited'!AO$12</f>
        <v>2</v>
      </c>
      <c r="EW101" s="995">
        <f>'[6]AL Promotion &amp; Recruited'!AP$12</f>
        <v>2</v>
      </c>
      <c r="EX101" s="995">
        <f>'[6]AL Promotion &amp; Recruited'!AQ$12</f>
        <v>2</v>
      </c>
      <c r="EY101" s="995">
        <f>'[6]AL Promotion &amp; Recruited'!AR$12</f>
        <v>2</v>
      </c>
      <c r="EZ101" s="995">
        <f>'[6]AL Promotion &amp; Recruited'!AS$12</f>
        <v>2</v>
      </c>
      <c r="FA101" s="995">
        <f>'[6]AL Promotion &amp; Recruited'!AT$12</f>
        <v>2</v>
      </c>
      <c r="FB101" s="995">
        <f>'[6]AL Promotion &amp; Recruited'!AU$12</f>
        <v>2</v>
      </c>
      <c r="FC101" s="995">
        <f>'[6]AL Promotion &amp; Recruited'!AV$12</f>
        <v>2</v>
      </c>
      <c r="FD101" s="996">
        <f>'[6]AL Promotion &amp; Recruited'!AW$12</f>
        <v>2</v>
      </c>
      <c r="FF101" s="994">
        <f>'[6]AL Promotion &amp; Recruited'!AX$12</f>
        <v>1</v>
      </c>
      <c r="FG101" s="995">
        <f>'[6]AL Promotion &amp; Recruited'!AY$12</f>
        <v>1</v>
      </c>
      <c r="FH101" s="995">
        <f>'[6]AL Promotion &amp; Recruited'!AZ$12</f>
        <v>2</v>
      </c>
      <c r="FI101" s="995">
        <f>'[6]AL Promotion &amp; Recruited'!BA$12</f>
        <v>2</v>
      </c>
      <c r="FJ101" s="995">
        <f>'[6]AL Promotion &amp; Recruited'!BB$12</f>
        <v>2</v>
      </c>
      <c r="FK101" s="995">
        <f>'[6]AL Promotion &amp; Recruited'!BC$12</f>
        <v>2</v>
      </c>
      <c r="FL101" s="995">
        <f>'[6]AL Promotion &amp; Recruited'!BD$12</f>
        <v>2</v>
      </c>
      <c r="FM101" s="995">
        <f>'[6]AL Promotion &amp; Recruited'!BE$12</f>
        <v>2</v>
      </c>
      <c r="FN101" s="995">
        <f>'[6]AL Promotion &amp; Recruited'!BF$12</f>
        <v>2</v>
      </c>
      <c r="FO101" s="995">
        <f>'[6]AL Promotion &amp; Recruited'!BG$12</f>
        <v>2</v>
      </c>
      <c r="FP101" s="995">
        <f>'[6]AL Promotion &amp; Recruited'!BH$12</f>
        <v>2</v>
      </c>
      <c r="FQ101" s="996">
        <f>'[6]AL Promotion &amp; Recruited'!BI$12</f>
        <v>2</v>
      </c>
      <c r="FS101" s="994">
        <f>'[6]AL Promotion &amp; Recruited'!BJ$12</f>
        <v>1</v>
      </c>
      <c r="FT101" s="995">
        <f>'[6]AL Promotion &amp; Recruited'!BK$12</f>
        <v>1</v>
      </c>
      <c r="FU101" s="995">
        <f>'[6]AL Promotion &amp; Recruited'!BL$12</f>
        <v>1</v>
      </c>
      <c r="FV101" s="995">
        <f>'[6]AL Promotion &amp; Recruited'!BM$12</f>
        <v>1</v>
      </c>
      <c r="FW101" s="995">
        <f>'[6]AL Promotion &amp; Recruited'!BN$12</f>
        <v>1</v>
      </c>
      <c r="FX101" s="995">
        <f>'[6]AL Promotion &amp; Recruited'!BO$12</f>
        <v>1</v>
      </c>
      <c r="FY101" s="995">
        <f>'[6]AL Promotion &amp; Recruited'!BP$12</f>
        <v>1</v>
      </c>
      <c r="FZ101" s="995">
        <f>'[6]AL Promotion &amp; Recruited'!BQ$12</f>
        <v>1</v>
      </c>
      <c r="GA101" s="995">
        <f>'[6]AL Promotion &amp; Recruited'!BR$12</f>
        <v>1</v>
      </c>
      <c r="GB101" s="995">
        <f>'[6]AL Promotion &amp; Recruited'!BS$12</f>
        <v>1</v>
      </c>
      <c r="GC101" s="995">
        <f>'[6]AL Promotion &amp; Recruited'!BT$12</f>
        <v>1</v>
      </c>
      <c r="GD101" s="996">
        <f>'[6]AL Promotion &amp; Recruited'!BU$12</f>
        <v>1</v>
      </c>
      <c r="GF101" s="994">
        <f>'[6]AL Promotion &amp; Recruited'!BV$12</f>
        <v>1</v>
      </c>
      <c r="GG101" s="995">
        <f>'[6]AL Promotion &amp; Recruited'!BW$12</f>
        <v>1</v>
      </c>
      <c r="GH101" s="995">
        <f>'[6]AL Promotion &amp; Recruited'!BX$12</f>
        <v>1</v>
      </c>
      <c r="GI101" s="995">
        <f>'[6]AL Promotion &amp; Recruited'!BY$12</f>
        <v>1</v>
      </c>
      <c r="GJ101" s="995">
        <f>'[6]AL Promotion &amp; Recruited'!BZ$12</f>
        <v>1</v>
      </c>
      <c r="GK101" s="995">
        <f>'[6]AL Promotion &amp; Recruited'!CA$12</f>
        <v>1</v>
      </c>
      <c r="GL101" s="995">
        <f>'[6]AL Promotion &amp; Recruited'!CB$12</f>
        <v>1</v>
      </c>
      <c r="GM101" s="995">
        <f>'[6]AL Promotion &amp; Recruited'!CC$12</f>
        <v>1</v>
      </c>
      <c r="GN101" s="995">
        <f>'[6]AL Promotion &amp; Recruited'!CD$12</f>
        <v>1</v>
      </c>
      <c r="GO101" s="995">
        <f>'[6]AL Promotion &amp; Recruited'!CE$12</f>
        <v>1</v>
      </c>
      <c r="GP101" s="995">
        <f>'[6]AL Promotion &amp; Recruited'!CF$12</f>
        <v>1</v>
      </c>
      <c r="GQ101" s="996">
        <f>'[6]AL Promotion &amp; Recruited'!CG$12</f>
        <v>1</v>
      </c>
      <c r="GS101" s="994">
        <f>'[6]AL Promotion &amp; Recruited'!CH$12</f>
        <v>1</v>
      </c>
      <c r="GT101" s="995">
        <f>'[6]AL Promotion &amp; Recruited'!CI$12</f>
        <v>1</v>
      </c>
      <c r="GU101" s="995">
        <f>'[6]AL Promotion &amp; Recruited'!CJ$12</f>
        <v>1</v>
      </c>
      <c r="GV101" s="995">
        <f>'[6]AL Promotion &amp; Recruited'!CK$12</f>
        <v>1</v>
      </c>
      <c r="GW101" s="995">
        <f>'[6]AL Promotion &amp; Recruited'!CL$12</f>
        <v>1</v>
      </c>
      <c r="GX101" s="995">
        <f>'[6]AL Promotion &amp; Recruited'!CM$12</f>
        <v>1</v>
      </c>
      <c r="GY101" s="995">
        <f>'[6]AL Promotion &amp; Recruited'!CN$12</f>
        <v>1</v>
      </c>
      <c r="GZ101" s="995">
        <f>'[6]AL Promotion &amp; Recruited'!CO$12</f>
        <v>1</v>
      </c>
      <c r="HA101" s="995">
        <f>'[6]AL Promotion &amp; Recruited'!CP$12</f>
        <v>1</v>
      </c>
      <c r="HB101" s="995">
        <f>'[6]AL Promotion &amp; Recruited'!CQ$12</f>
        <v>1</v>
      </c>
      <c r="HC101" s="995">
        <f>'[6]AL Promotion &amp; Recruited'!CR$12</f>
        <v>1</v>
      </c>
      <c r="HD101" s="996">
        <f>'[6]AL Promotion &amp; Recruited'!CS$12</f>
        <v>1</v>
      </c>
    </row>
    <row r="102" spans="2:212" ht="14.25">
      <c r="B102" s="984" t="s">
        <v>125</v>
      </c>
      <c r="C102" s="1076">
        <v>125</v>
      </c>
      <c r="D102" s="1107">
        <v>20</v>
      </c>
      <c r="E102" s="993">
        <v>10</v>
      </c>
      <c r="F102" s="1107">
        <v>4</v>
      </c>
      <c r="G102" s="1079"/>
      <c r="H102" s="1032">
        <v>12</v>
      </c>
      <c r="I102" s="1078">
        <f t="shared" si="524"/>
        <v>9.6000000000000002E-2</v>
      </c>
      <c r="N102" s="931" t="s">
        <v>1041</v>
      </c>
      <c r="O102" s="950"/>
      <c r="P102" s="606">
        <v>430</v>
      </c>
      <c r="Q102" s="606">
        <v>65</v>
      </c>
      <c r="R102" s="606">
        <v>116</v>
      </c>
      <c r="S102" s="606">
        <v>202</v>
      </c>
      <c r="T102" s="606">
        <v>356</v>
      </c>
      <c r="U102" s="606">
        <v>353</v>
      </c>
      <c r="V102" s="606">
        <v>207</v>
      </c>
      <c r="X102" s="1080"/>
      <c r="AA102" s="931" t="s">
        <v>1042</v>
      </c>
      <c r="AB102" s="950"/>
      <c r="AC102" s="610">
        <f t="shared" ref="AC102:AI102" si="545">P102/P97</f>
        <v>3.152047892479571E-2</v>
      </c>
      <c r="AD102" s="610">
        <f t="shared" si="545"/>
        <v>4.6787367036601182E-3</v>
      </c>
      <c r="AE102" s="610">
        <f t="shared" si="545"/>
        <v>3.5000940363626642E-3</v>
      </c>
      <c r="AF102" s="610">
        <f t="shared" si="545"/>
        <v>6.592824099356992E-3</v>
      </c>
      <c r="AG102" s="610">
        <f t="shared" si="545"/>
        <v>1.296524894461599E-2</v>
      </c>
      <c r="AH102" s="610">
        <f t="shared" si="545"/>
        <v>8.5125605942390423E-3</v>
      </c>
      <c r="AI102" s="610">
        <f t="shared" si="545"/>
        <v>6.9584694674965693E-3</v>
      </c>
      <c r="AJ102" s="952">
        <f>AVERAGE(AC102:AI102)</f>
        <v>1.0675487538646725E-2</v>
      </c>
      <c r="AK102" s="952"/>
      <c r="AL102" s="952"/>
      <c r="AM102" s="952"/>
      <c r="AN102" s="952"/>
      <c r="AO102" s="952"/>
      <c r="AP102" s="952"/>
      <c r="AQ102" s="952"/>
      <c r="AR102" s="952"/>
      <c r="AS102" s="952"/>
      <c r="AT102" s="952"/>
      <c r="AU102" s="952"/>
      <c r="AV102" s="952"/>
      <c r="AW102" s="952"/>
      <c r="AX102" s="952"/>
      <c r="AY102" s="952"/>
      <c r="AZ102" s="952"/>
      <c r="BA102" s="952"/>
      <c r="BB102" s="952"/>
      <c r="BC102" s="952"/>
      <c r="BD102" s="952"/>
      <c r="BE102" s="952"/>
      <c r="BF102" s="952"/>
      <c r="BG102" s="952"/>
      <c r="BH102" s="952"/>
      <c r="BI102" s="952"/>
      <c r="BJ102" s="952"/>
      <c r="BK102" s="952"/>
      <c r="BL102" s="952"/>
      <c r="BM102" s="952"/>
      <c r="BN102" s="952"/>
      <c r="BO102" s="952"/>
      <c r="BP102" s="952"/>
      <c r="BQ102" s="952"/>
      <c r="BR102" s="952"/>
      <c r="BS102" s="952"/>
      <c r="BT102" s="952"/>
      <c r="BU102" s="952"/>
      <c r="BV102" s="952"/>
      <c r="BW102" s="952"/>
      <c r="BX102" s="952"/>
      <c r="BY102" s="952"/>
      <c r="BZ102" s="952"/>
      <c r="CA102" s="952"/>
      <c r="CB102" s="952"/>
      <c r="CC102" s="952"/>
      <c r="CD102" s="952"/>
      <c r="CE102" s="952"/>
      <c r="CF102" s="952"/>
      <c r="CG102" s="952"/>
      <c r="CH102" s="952"/>
      <c r="CI102" s="952"/>
      <c r="CJ102" s="952"/>
      <c r="CK102" s="952"/>
      <c r="CL102" s="952"/>
      <c r="CM102" s="952"/>
      <c r="CN102" s="952"/>
      <c r="CO102" s="952"/>
      <c r="CP102" s="952"/>
      <c r="CQ102" s="952"/>
      <c r="CR102" s="952"/>
      <c r="CS102" s="952"/>
      <c r="CT102" s="952"/>
      <c r="CU102" s="952"/>
      <c r="CV102" s="952"/>
      <c r="CW102" s="952"/>
      <c r="CX102" s="952"/>
      <c r="CY102" s="952"/>
      <c r="CZ102" s="952"/>
      <c r="DA102" s="952"/>
      <c r="DB102" s="952"/>
      <c r="DC102" s="952"/>
      <c r="DD102" s="952"/>
      <c r="DE102" s="952"/>
      <c r="DF102" s="952"/>
      <c r="DG102" s="952"/>
      <c r="DH102" s="952"/>
      <c r="DI102" s="952"/>
      <c r="DK102" s="931" t="s">
        <v>1041</v>
      </c>
      <c r="DL102" s="950"/>
      <c r="DN102" s="994">
        <f>SUM(DN119:DN121)*18+SUM(DN122:DN124)*15+SUM(DN125:DN130)*12+DN131*35</f>
        <v>175.66666666666666</v>
      </c>
      <c r="DO102" s="995">
        <f t="shared" ref="DO102:DX102" si="546">SUM(DO119:DO121)*18+SUM(DO122:DO124)*15+SUM(DO125:DO130)*12+DO131*35</f>
        <v>264.30714285714282</v>
      </c>
      <c r="DP102" s="995">
        <f t="shared" si="546"/>
        <v>401.7990476190476</v>
      </c>
      <c r="DQ102" s="995">
        <f t="shared" si="546"/>
        <v>454.78833333333336</v>
      </c>
      <c r="DR102" s="996">
        <f t="shared" si="546"/>
        <v>333.86964285714282</v>
      </c>
      <c r="DT102" s="994">
        <f t="shared" si="546"/>
        <v>174</v>
      </c>
      <c r="DU102" s="995">
        <f t="shared" si="546"/>
        <v>310.71428571428567</v>
      </c>
      <c r="DV102" s="995">
        <f t="shared" si="546"/>
        <v>428.90000000000003</v>
      </c>
      <c r="DW102" s="995">
        <f t="shared" si="546"/>
        <v>505.92142857142863</v>
      </c>
      <c r="DX102" s="996">
        <f t="shared" si="546"/>
        <v>409.40357142857141</v>
      </c>
      <c r="DZ102" s="994">
        <f>SUM(DZ119:DZ121)*18+SUM(DZ122:DZ124)*15+SUM(DZ125:DZ130)*12+DZ131*35</f>
        <v>175.66666666666666</v>
      </c>
      <c r="EA102" s="995">
        <f>SUM(EA119:EA121)*18+SUM(EA122:EA124)*15+SUM(EA125:EA130)*12+EA131*35</f>
        <v>265.3042857142857</v>
      </c>
      <c r="EB102" s="995">
        <f>SUM(EB119:EB121)*18+SUM(EB122:EB124)*15+SUM(EB125:EB130)*12+EB131*35</f>
        <v>431.03300000000002</v>
      </c>
      <c r="EC102" s="995">
        <f>SUM(EC119:EC121)*18+SUM(EC122:EC124)*15+SUM(EC125:EC130)*12+EC131*35</f>
        <v>471.59192857142858</v>
      </c>
      <c r="ED102" s="996">
        <f>SUM(ED119:ED121)*18+SUM(ED122:ED124)*15+SUM(ED125:ED130)*12+ED131*35</f>
        <v>353.13994047619047</v>
      </c>
      <c r="EF102" s="994">
        <f>SUM(EF119:EF121)*18+SUM(EF122:EF124)*15+SUM(EF125:EF130)*12+EF131*35</f>
        <v>379.12799999999999</v>
      </c>
      <c r="EG102" s="995">
        <f t="shared" ref="EG102:EQ102" si="547">SUM(EG119:EG121)*18+SUM(EG122:EG124)*15+SUM(EG125:EG130)*12+EG131*35</f>
        <v>363.35088000000007</v>
      </c>
      <c r="EH102" s="995">
        <f t="shared" si="547"/>
        <v>319.39110000000005</v>
      </c>
      <c r="EI102" s="995">
        <f t="shared" si="547"/>
        <v>261.40320000000008</v>
      </c>
      <c r="EJ102" s="995">
        <f t="shared" si="547"/>
        <v>224.10550800000004</v>
      </c>
      <c r="EK102" s="995">
        <f t="shared" si="547"/>
        <v>205.78199202000005</v>
      </c>
      <c r="EL102" s="995">
        <f t="shared" si="547"/>
        <v>175.99028436000003</v>
      </c>
      <c r="EM102" s="995">
        <f t="shared" si="547"/>
        <v>167.85545436000001</v>
      </c>
      <c r="EN102" s="995">
        <f t="shared" si="547"/>
        <v>151.60212936000005</v>
      </c>
      <c r="EO102" s="995">
        <f t="shared" si="547"/>
        <v>131.47740936000002</v>
      </c>
      <c r="EP102" s="995">
        <f t="shared" si="547"/>
        <v>121.64373936000001</v>
      </c>
      <c r="EQ102" s="996">
        <f t="shared" si="547"/>
        <v>117.39663936000002</v>
      </c>
      <c r="ES102" s="994">
        <f>SUM(ES119:ES121)*18+SUM(ES122:ES124)*15+SUM(ES125:ES130)*12+ES131*35</f>
        <v>106.26</v>
      </c>
      <c r="ET102" s="995">
        <f t="shared" ref="ET102:FD102" si="548">SUM(ET119:ET121)*18+SUM(ET122:ET124)*15+SUM(ET125:ET130)*12+ET131*35</f>
        <v>97.059600000000003</v>
      </c>
      <c r="EU102" s="995">
        <f t="shared" si="548"/>
        <v>97.869600000000005</v>
      </c>
      <c r="EV102" s="995">
        <f t="shared" si="548"/>
        <v>90.142200000000003</v>
      </c>
      <c r="EW102" s="995">
        <f t="shared" si="548"/>
        <v>85.406508000000002</v>
      </c>
      <c r="EX102" s="995">
        <f t="shared" si="548"/>
        <v>92.743792020000029</v>
      </c>
      <c r="EY102" s="995">
        <f t="shared" si="548"/>
        <v>100.73493936000001</v>
      </c>
      <c r="EZ102" s="995">
        <f t="shared" si="548"/>
        <v>106.61553936000001</v>
      </c>
      <c r="FA102" s="995">
        <f t="shared" si="548"/>
        <v>109.88253936000001</v>
      </c>
      <c r="FB102" s="995">
        <f t="shared" si="548"/>
        <v>112.16943936000001</v>
      </c>
      <c r="FC102" s="995">
        <f t="shared" si="548"/>
        <v>114.29298936000002</v>
      </c>
      <c r="FD102" s="996">
        <f t="shared" si="548"/>
        <v>114.94638936000003</v>
      </c>
      <c r="FF102" s="994">
        <f>SUM(FF119:FF121)*18+SUM(FF122:FF124)*15+SUM(FF125:FF130)*12+FF131*35</f>
        <v>106.26</v>
      </c>
      <c r="FG102" s="995">
        <f t="shared" ref="FG102:FQ102" si="549">SUM(FG119:FG121)*18+SUM(FG122:FG124)*15+SUM(FG125:FG130)*12+FG131*35</f>
        <v>97.059600000000003</v>
      </c>
      <c r="FH102" s="995">
        <f t="shared" si="549"/>
        <v>97.869600000000005</v>
      </c>
      <c r="FI102" s="995">
        <f t="shared" si="549"/>
        <v>90.142200000000003</v>
      </c>
      <c r="FJ102" s="995">
        <f t="shared" si="549"/>
        <v>85.406508000000002</v>
      </c>
      <c r="FK102" s="995">
        <f t="shared" si="549"/>
        <v>92.743792020000029</v>
      </c>
      <c r="FL102" s="995">
        <f t="shared" si="549"/>
        <v>100.73493936000001</v>
      </c>
      <c r="FM102" s="995">
        <f t="shared" si="549"/>
        <v>106.61553936000001</v>
      </c>
      <c r="FN102" s="995">
        <f t="shared" si="549"/>
        <v>109.88253936000001</v>
      </c>
      <c r="FO102" s="995">
        <f t="shared" si="549"/>
        <v>112.16943936000001</v>
      </c>
      <c r="FP102" s="995">
        <f t="shared" si="549"/>
        <v>114.29298936000002</v>
      </c>
      <c r="FQ102" s="996">
        <f t="shared" si="549"/>
        <v>114.94638936000003</v>
      </c>
      <c r="FS102" s="994">
        <f>SUM(FS119:FS121)*18+SUM(FS122:FS124)*15+SUM(FS125:FS130)*12+FS131*35</f>
        <v>106.26</v>
      </c>
      <c r="FT102" s="995">
        <f t="shared" ref="FT102:GD102" si="550">SUM(FT119:FT121)*18+SUM(FT122:FT124)*15+SUM(FT125:FT130)*12+FT131*35</f>
        <v>97.059600000000003</v>
      </c>
      <c r="FU102" s="995">
        <f t="shared" si="550"/>
        <v>97.869600000000005</v>
      </c>
      <c r="FV102" s="995">
        <f t="shared" si="550"/>
        <v>90.142200000000003</v>
      </c>
      <c r="FW102" s="995">
        <f t="shared" si="550"/>
        <v>85.406508000000002</v>
      </c>
      <c r="FX102" s="995">
        <f t="shared" si="550"/>
        <v>83.282494680000013</v>
      </c>
      <c r="FY102" s="995">
        <f t="shared" si="550"/>
        <v>75.931744680000008</v>
      </c>
      <c r="FZ102" s="995">
        <f t="shared" si="550"/>
        <v>71.031244680000015</v>
      </c>
      <c r="GA102" s="995">
        <f t="shared" si="550"/>
        <v>66.947494680000005</v>
      </c>
      <c r="GB102" s="995">
        <f t="shared" si="550"/>
        <v>64.333894680000014</v>
      </c>
      <c r="GC102" s="995">
        <f t="shared" si="550"/>
        <v>62.373694680000014</v>
      </c>
      <c r="GD102" s="996">
        <f t="shared" si="550"/>
        <v>60.413494680000014</v>
      </c>
      <c r="GF102" s="994">
        <f>SUM(GF119:GF121)*18+SUM(GF122:GF124)*15+SUM(GF125:GF130)*12+GF131*35</f>
        <v>54.48</v>
      </c>
      <c r="GG102" s="995">
        <f t="shared" ref="GG102:GQ102" si="551">SUM(GG119:GG121)*18+SUM(GG122:GG124)*15+SUM(GG125:GG130)*12+GG131*35</f>
        <v>48.934800000000003</v>
      </c>
      <c r="GH102" s="995">
        <f t="shared" si="551"/>
        <v>48.934800000000003</v>
      </c>
      <c r="GI102" s="995">
        <f t="shared" si="551"/>
        <v>48.934800000000003</v>
      </c>
      <c r="GJ102" s="995">
        <f t="shared" si="551"/>
        <v>53.92450800000001</v>
      </c>
      <c r="GK102" s="995">
        <f t="shared" si="551"/>
        <v>59.433394680000013</v>
      </c>
      <c r="GL102" s="995">
        <f t="shared" si="551"/>
        <v>59.433394680000013</v>
      </c>
      <c r="GM102" s="995">
        <f t="shared" si="551"/>
        <v>59.433394680000013</v>
      </c>
      <c r="GN102" s="995">
        <f t="shared" si="551"/>
        <v>59.433394680000013</v>
      </c>
      <c r="GO102" s="995">
        <f t="shared" si="551"/>
        <v>59.433394680000013</v>
      </c>
      <c r="GP102" s="995">
        <f t="shared" si="551"/>
        <v>59.433394680000013</v>
      </c>
      <c r="GQ102" s="996">
        <f t="shared" si="551"/>
        <v>59.433394680000013</v>
      </c>
      <c r="GS102" s="994">
        <f>SUM(GS119:GS121)*18+SUM(GS122:GS124)*15+SUM(GS125:GS130)*12+GS131*35</f>
        <v>54.48</v>
      </c>
      <c r="GT102" s="995">
        <f t="shared" ref="GT102:HD102" si="552">SUM(GT119:GT121)*18+SUM(GT122:GT124)*15+SUM(GT125:GT130)*12+GT131*35</f>
        <v>48.934800000000003</v>
      </c>
      <c r="GU102" s="995">
        <f t="shared" si="552"/>
        <v>48.934800000000003</v>
      </c>
      <c r="GV102" s="995">
        <f t="shared" si="552"/>
        <v>48.934800000000003</v>
      </c>
      <c r="GW102" s="995">
        <f t="shared" si="552"/>
        <v>53.92450800000001</v>
      </c>
      <c r="GX102" s="995">
        <f t="shared" si="552"/>
        <v>59.433394680000013</v>
      </c>
      <c r="GY102" s="995">
        <f t="shared" si="552"/>
        <v>59.433394680000013</v>
      </c>
      <c r="GZ102" s="995">
        <f t="shared" si="552"/>
        <v>59.433394680000013</v>
      </c>
      <c r="HA102" s="995">
        <f t="shared" si="552"/>
        <v>59.433394680000013</v>
      </c>
      <c r="HB102" s="995">
        <f t="shared" si="552"/>
        <v>59.433394680000013</v>
      </c>
      <c r="HC102" s="995">
        <f t="shared" si="552"/>
        <v>59.433394680000013</v>
      </c>
      <c r="HD102" s="996">
        <f t="shared" si="552"/>
        <v>59.433394680000013</v>
      </c>
    </row>
    <row r="103" spans="2:212" ht="14.25">
      <c r="B103" s="984" t="s">
        <v>126</v>
      </c>
      <c r="C103" s="1076">
        <v>125</v>
      </c>
      <c r="D103" s="1107">
        <v>20</v>
      </c>
      <c r="E103" s="993">
        <v>10</v>
      </c>
      <c r="F103" s="1107">
        <v>4</v>
      </c>
      <c r="G103" s="1079"/>
      <c r="H103" s="1032">
        <v>12</v>
      </c>
      <c r="I103" s="1078">
        <f t="shared" si="524"/>
        <v>9.6000000000000002E-2</v>
      </c>
      <c r="N103" s="931"/>
      <c r="O103" s="950"/>
      <c r="P103" s="978"/>
      <c r="Q103" s="978"/>
      <c r="R103" s="978"/>
      <c r="S103" s="978"/>
      <c r="T103" s="978"/>
      <c r="U103" s="978"/>
      <c r="X103" s="1080"/>
      <c r="AA103" s="931"/>
      <c r="AB103" s="950"/>
      <c r="AC103" s="978"/>
      <c r="AD103" s="978"/>
      <c r="AE103" s="978"/>
      <c r="AF103" s="978"/>
      <c r="AG103" s="978"/>
      <c r="AH103" s="978"/>
      <c r="DK103" s="931"/>
      <c r="DL103" s="950"/>
      <c r="DM103" s="999">
        <v>1.1499999999999999</v>
      </c>
      <c r="DN103" s="1000">
        <f>DN102*$DM$103</f>
        <v>202.01666666666665</v>
      </c>
      <c r="DO103" s="1001">
        <f>DO102*$DM$103</f>
        <v>303.95321428571424</v>
      </c>
      <c r="DP103" s="1001">
        <f>DP102*$DM$103</f>
        <v>462.06890476190472</v>
      </c>
      <c r="DQ103" s="1001">
        <f>DQ102*$DM$103</f>
        <v>523.00658333333331</v>
      </c>
      <c r="DR103" s="1002">
        <f>DR102*$DM$103</f>
        <v>383.95008928571423</v>
      </c>
      <c r="DT103" s="1000">
        <f>DT102*$DM$103</f>
        <v>200.1</v>
      </c>
      <c r="DU103" s="1001">
        <f>DU102*$DM$103</f>
        <v>357.3214285714285</v>
      </c>
      <c r="DV103" s="1001">
        <f>DV102*$DM$103</f>
        <v>493.23500000000001</v>
      </c>
      <c r="DW103" s="1001">
        <f>DW102*$DM$103</f>
        <v>581.80964285714288</v>
      </c>
      <c r="DX103" s="1002">
        <f>DX102*$DM$103</f>
        <v>470.8141071428571</v>
      </c>
      <c r="DZ103" s="1000">
        <f>DZ102*$DM$103</f>
        <v>202.01666666666665</v>
      </c>
      <c r="EA103" s="1001">
        <f>EA102*$DM$103</f>
        <v>305.09992857142851</v>
      </c>
      <c r="EB103" s="1001">
        <f>EB102*$DM$103</f>
        <v>495.68795</v>
      </c>
      <c r="EC103" s="1001">
        <f>EC102*$DM$103</f>
        <v>542.33071785714287</v>
      </c>
      <c r="ED103" s="1002">
        <f>ED102*$DM$103</f>
        <v>406.11093154761903</v>
      </c>
      <c r="EF103" s="1000">
        <f>EF102*$DM$103</f>
        <v>435.99719999999996</v>
      </c>
      <c r="EG103" s="1001">
        <f t="shared" ref="EG103:EQ103" si="553">EG102*$DM$103</f>
        <v>417.85351200000008</v>
      </c>
      <c r="EH103" s="1001">
        <f t="shared" si="553"/>
        <v>367.29976500000004</v>
      </c>
      <c r="EI103" s="1001">
        <f t="shared" si="553"/>
        <v>300.61368000000004</v>
      </c>
      <c r="EJ103" s="1001">
        <f t="shared" si="553"/>
        <v>257.7213342</v>
      </c>
      <c r="EK103" s="1001">
        <f t="shared" si="553"/>
        <v>236.64929082300003</v>
      </c>
      <c r="EL103" s="1001">
        <f t="shared" si="553"/>
        <v>202.38882701400001</v>
      </c>
      <c r="EM103" s="1001">
        <f t="shared" si="553"/>
        <v>193.03377251399999</v>
      </c>
      <c r="EN103" s="1001">
        <f t="shared" si="553"/>
        <v>174.34244876400004</v>
      </c>
      <c r="EO103" s="1001">
        <f t="shared" si="553"/>
        <v>151.19902076400001</v>
      </c>
      <c r="EP103" s="1001">
        <f t="shared" si="553"/>
        <v>139.89030026399999</v>
      </c>
      <c r="EQ103" s="1002">
        <f t="shared" si="553"/>
        <v>135.00613526400002</v>
      </c>
      <c r="ES103" s="1000">
        <f>ES102*$DM$103</f>
        <v>122.199</v>
      </c>
      <c r="ET103" s="1001">
        <f t="shared" ref="ET103:FD103" si="554">ET102*$DM$103</f>
        <v>111.61854</v>
      </c>
      <c r="EU103" s="1001">
        <f t="shared" si="554"/>
        <v>112.55004</v>
      </c>
      <c r="EV103" s="1001">
        <f t="shared" si="554"/>
        <v>103.66352999999999</v>
      </c>
      <c r="EW103" s="1001">
        <f t="shared" si="554"/>
        <v>98.217484200000001</v>
      </c>
      <c r="EX103" s="1001">
        <f t="shared" si="554"/>
        <v>106.65536082300002</v>
      </c>
      <c r="EY103" s="1001">
        <f t="shared" si="554"/>
        <v>115.84518026400001</v>
      </c>
      <c r="EZ103" s="1001">
        <f t="shared" si="554"/>
        <v>122.60787026400001</v>
      </c>
      <c r="FA103" s="1001">
        <f t="shared" si="554"/>
        <v>126.36492026400001</v>
      </c>
      <c r="FB103" s="1001">
        <f t="shared" si="554"/>
        <v>128.99485526399999</v>
      </c>
      <c r="FC103" s="1001">
        <f t="shared" si="554"/>
        <v>131.43693776400002</v>
      </c>
      <c r="FD103" s="1002">
        <f t="shared" si="554"/>
        <v>132.18834776400001</v>
      </c>
      <c r="FF103" s="1000">
        <f>FF102*$DM$103</f>
        <v>122.199</v>
      </c>
      <c r="FG103" s="1001">
        <f t="shared" ref="FG103:FQ103" si="555">FG102*$DM$103</f>
        <v>111.61854</v>
      </c>
      <c r="FH103" s="1001">
        <f t="shared" si="555"/>
        <v>112.55004</v>
      </c>
      <c r="FI103" s="1001">
        <f t="shared" si="555"/>
        <v>103.66352999999999</v>
      </c>
      <c r="FJ103" s="1001">
        <f t="shared" si="555"/>
        <v>98.217484200000001</v>
      </c>
      <c r="FK103" s="1001">
        <f t="shared" si="555"/>
        <v>106.65536082300002</v>
      </c>
      <c r="FL103" s="1001">
        <f t="shared" si="555"/>
        <v>115.84518026400001</v>
      </c>
      <c r="FM103" s="1001">
        <f t="shared" si="555"/>
        <v>122.60787026400001</v>
      </c>
      <c r="FN103" s="1001">
        <f t="shared" si="555"/>
        <v>126.36492026400001</v>
      </c>
      <c r="FO103" s="1001">
        <f t="shared" si="555"/>
        <v>128.99485526399999</v>
      </c>
      <c r="FP103" s="1001">
        <f t="shared" si="555"/>
        <v>131.43693776400002</v>
      </c>
      <c r="FQ103" s="1002">
        <f t="shared" si="555"/>
        <v>132.18834776400001</v>
      </c>
      <c r="FS103" s="1000">
        <f>FS102*$DM$103</f>
        <v>122.199</v>
      </c>
      <c r="FT103" s="1001">
        <f t="shared" ref="FT103:GD103" si="556">FT102*$DM$103</f>
        <v>111.61854</v>
      </c>
      <c r="FU103" s="1001">
        <f t="shared" si="556"/>
        <v>112.55004</v>
      </c>
      <c r="FV103" s="1001">
        <f t="shared" si="556"/>
        <v>103.66352999999999</v>
      </c>
      <c r="FW103" s="1001">
        <f t="shared" si="556"/>
        <v>98.217484200000001</v>
      </c>
      <c r="FX103" s="1001">
        <f t="shared" si="556"/>
        <v>95.774868882000007</v>
      </c>
      <c r="FY103" s="1001">
        <f t="shared" si="556"/>
        <v>87.32150638200001</v>
      </c>
      <c r="FZ103" s="1001">
        <f t="shared" si="556"/>
        <v>81.685931382000007</v>
      </c>
      <c r="GA103" s="1001">
        <f t="shared" si="556"/>
        <v>76.989618882000002</v>
      </c>
      <c r="GB103" s="1001">
        <f t="shared" si="556"/>
        <v>73.983978882000017</v>
      </c>
      <c r="GC103" s="1001">
        <f t="shared" si="556"/>
        <v>71.72974888200001</v>
      </c>
      <c r="GD103" s="1002">
        <f t="shared" si="556"/>
        <v>69.475518882000017</v>
      </c>
      <c r="GF103" s="1000">
        <f>GF102*$DM$103</f>
        <v>62.651999999999994</v>
      </c>
      <c r="GG103" s="1001">
        <f t="shared" ref="GG103:GQ103" si="557">GG102*$DM$103</f>
        <v>56.275019999999998</v>
      </c>
      <c r="GH103" s="1001">
        <f t="shared" si="557"/>
        <v>56.275019999999998</v>
      </c>
      <c r="GI103" s="1001">
        <f t="shared" si="557"/>
        <v>56.275019999999998</v>
      </c>
      <c r="GJ103" s="1001">
        <f t="shared" si="557"/>
        <v>62.013184200000005</v>
      </c>
      <c r="GK103" s="1001">
        <f t="shared" si="557"/>
        <v>68.348403882000014</v>
      </c>
      <c r="GL103" s="1001">
        <f t="shared" si="557"/>
        <v>68.348403882000014</v>
      </c>
      <c r="GM103" s="1001">
        <f t="shared" si="557"/>
        <v>68.348403882000014</v>
      </c>
      <c r="GN103" s="1001">
        <f t="shared" si="557"/>
        <v>68.348403882000014</v>
      </c>
      <c r="GO103" s="1001">
        <f t="shared" si="557"/>
        <v>68.348403882000014</v>
      </c>
      <c r="GP103" s="1001">
        <f t="shared" si="557"/>
        <v>68.348403882000014</v>
      </c>
      <c r="GQ103" s="1002">
        <f t="shared" si="557"/>
        <v>68.348403882000014</v>
      </c>
      <c r="GS103" s="1000">
        <f>GS102*$DM$103</f>
        <v>62.651999999999994</v>
      </c>
      <c r="GT103" s="1001">
        <f t="shared" ref="GT103:HD103" si="558">GT102*$DM$103</f>
        <v>56.275019999999998</v>
      </c>
      <c r="GU103" s="1001">
        <f t="shared" si="558"/>
        <v>56.275019999999998</v>
      </c>
      <c r="GV103" s="1001">
        <f t="shared" si="558"/>
        <v>56.275019999999998</v>
      </c>
      <c r="GW103" s="1001">
        <f t="shared" si="558"/>
        <v>62.013184200000005</v>
      </c>
      <c r="GX103" s="1001">
        <f t="shared" si="558"/>
        <v>68.348403882000014</v>
      </c>
      <c r="GY103" s="1001">
        <f t="shared" si="558"/>
        <v>68.348403882000014</v>
      </c>
      <c r="GZ103" s="1001">
        <f t="shared" si="558"/>
        <v>68.348403882000014</v>
      </c>
      <c r="HA103" s="1001">
        <f t="shared" si="558"/>
        <v>68.348403882000014</v>
      </c>
      <c r="HB103" s="1001">
        <f t="shared" si="558"/>
        <v>68.348403882000014</v>
      </c>
      <c r="HC103" s="1001">
        <f t="shared" si="558"/>
        <v>68.348403882000014</v>
      </c>
      <c r="HD103" s="1002">
        <f t="shared" si="558"/>
        <v>68.348403882000014</v>
      </c>
    </row>
    <row r="104" spans="2:212" ht="14.25">
      <c r="B104" s="984" t="s">
        <v>127</v>
      </c>
      <c r="C104" s="1076">
        <v>150</v>
      </c>
      <c r="D104" s="1107">
        <v>20</v>
      </c>
      <c r="E104" s="993">
        <v>12</v>
      </c>
      <c r="F104" s="1107">
        <v>5</v>
      </c>
      <c r="G104" s="1079"/>
      <c r="H104" s="1032">
        <v>12</v>
      </c>
      <c r="I104" s="1078">
        <f t="shared" si="524"/>
        <v>0.08</v>
      </c>
      <c r="N104" s="931"/>
      <c r="O104" s="950"/>
      <c r="X104" s="1080"/>
      <c r="AA104" s="931"/>
      <c r="AB104" s="950"/>
      <c r="DK104" s="931"/>
      <c r="DL104" s="950"/>
      <c r="DN104" s="971">
        <f>DN103/DN97</f>
        <v>6.5115437621242646E-3</v>
      </c>
      <c r="DO104" s="1003">
        <f>DO103/DO97</f>
        <v>5.3217350140049883E-3</v>
      </c>
      <c r="DP104" s="1003">
        <f>DP103/DP97</f>
        <v>9.7008982900836493E-3</v>
      </c>
      <c r="DQ104" s="1003">
        <f>DQ103/DQ97</f>
        <v>9.6956268621621235E-3</v>
      </c>
      <c r="DR104" s="972">
        <f>DR103/DR97</f>
        <v>5.4556928558709928E-3</v>
      </c>
      <c r="DT104" s="971">
        <f>DT103/DT97</f>
        <v>6.449764409542441E-3</v>
      </c>
      <c r="DU104" s="1003">
        <f>DU103/DU97</f>
        <v>6.2561271548041229E-3</v>
      </c>
      <c r="DV104" s="1003">
        <f>DV103/DV97</f>
        <v>1.0355214382095104E-2</v>
      </c>
      <c r="DW104" s="1003">
        <f>DW103/DW97</f>
        <v>1.0785732688101599E-2</v>
      </c>
      <c r="DX104" s="972">
        <f>DX103/DX97</f>
        <v>6.6899767247381578E-3</v>
      </c>
      <c r="DZ104" s="971">
        <f>DZ103/DZ97</f>
        <v>6.5115437621242646E-3</v>
      </c>
      <c r="EA104" s="1003">
        <f>EA103/EA97</f>
        <v>5.3418121485063821E-3</v>
      </c>
      <c r="EB104" s="1003">
        <f>EB103/EB97</f>
        <v>1.04067128019529E-2</v>
      </c>
      <c r="EC104" s="1003">
        <f>EC103/EC97</f>
        <v>1.0053862501535846E-2</v>
      </c>
      <c r="ED104" s="972">
        <f>ED103/ED97</f>
        <v>5.7705846925502884E-3</v>
      </c>
      <c r="EF104" s="971">
        <f>EF103/EF97</f>
        <v>2.1025819105087024E-2</v>
      </c>
      <c r="EG104" s="1003">
        <f t="shared" ref="EG104:EQ104" si="559">EG103/EG97</f>
        <v>2.0432645134415568E-2</v>
      </c>
      <c r="EH104" s="1003">
        <f t="shared" si="559"/>
        <v>7.5444165038367058E-3</v>
      </c>
      <c r="EI104" s="1003">
        <f t="shared" si="559"/>
        <v>6.2212799614918234E-3</v>
      </c>
      <c r="EJ104" s="1003">
        <f t="shared" si="559"/>
        <v>4.5562153031350246E-3</v>
      </c>
      <c r="EK104" s="1003">
        <f t="shared" si="559"/>
        <v>3.7158399525299723E-3</v>
      </c>
      <c r="EL104" s="1003">
        <f t="shared" si="559"/>
        <v>3.4481992307602307E-3</v>
      </c>
      <c r="EM104" s="1003">
        <f t="shared" si="559"/>
        <v>2.9595846393002845E-3</v>
      </c>
      <c r="EN104" s="1003">
        <f t="shared" si="559"/>
        <v>2.392607402852665E-3</v>
      </c>
      <c r="EO104" s="1003">
        <f t="shared" si="559"/>
        <v>2.1931333583720745E-3</v>
      </c>
      <c r="EP104" s="1003">
        <f t="shared" si="559"/>
        <v>1.8304788492442777E-3</v>
      </c>
      <c r="EQ104" s="972">
        <f t="shared" si="559"/>
        <v>1.5778913992543582E-3</v>
      </c>
      <c r="ES104" s="971">
        <f>ES103/ES97</f>
        <v>3.6331043739035117E-3</v>
      </c>
      <c r="ET104" s="1003">
        <f t="shared" ref="ET104:FD104" si="560">ET103/ET97</f>
        <v>3.5315718518167841E-3</v>
      </c>
      <c r="EU104" s="1003">
        <f t="shared" si="560"/>
        <v>1.6247848142237364E-3</v>
      </c>
      <c r="EV104" s="1003">
        <f t="shared" si="560"/>
        <v>1.5025189940360755E-3</v>
      </c>
      <c r="EW104" s="1003">
        <f t="shared" si="560"/>
        <v>1.2314512444879112E-3</v>
      </c>
      <c r="EX104" s="1003">
        <f t="shared" si="560"/>
        <v>1.2340654311728885E-3</v>
      </c>
      <c r="EY104" s="1003">
        <f t="shared" si="560"/>
        <v>1.424846917395787E-3</v>
      </c>
      <c r="EZ104" s="1003">
        <f t="shared" si="560"/>
        <v>1.3574303025151284E-3</v>
      </c>
      <c r="FA104" s="1003">
        <f t="shared" si="560"/>
        <v>1.2654621685662532E-3</v>
      </c>
      <c r="FB104" s="1003">
        <f t="shared" si="560"/>
        <v>1.3708983353555107E-3</v>
      </c>
      <c r="FC104" s="1003">
        <f t="shared" si="560"/>
        <v>1.2794143468498507E-3</v>
      </c>
      <c r="FD104" s="972">
        <f t="shared" si="560"/>
        <v>1.1953194144462317E-3</v>
      </c>
      <c r="FF104" s="971">
        <f>FF103/FF97</f>
        <v>2.6382416516239566E-3</v>
      </c>
      <c r="FG104" s="1003">
        <f t="shared" ref="FG104:FQ104" si="561">FG103/FG97</f>
        <v>2.5954673764245744E-3</v>
      </c>
      <c r="FH104" s="1003">
        <f t="shared" si="561"/>
        <v>1.146903068438565E-3</v>
      </c>
      <c r="FI104" s="1003">
        <f t="shared" si="561"/>
        <v>1.0764659077610087E-3</v>
      </c>
      <c r="FJ104" s="1003">
        <f t="shared" si="561"/>
        <v>8.8338736718080954E-4</v>
      </c>
      <c r="FK104" s="1003">
        <f t="shared" si="561"/>
        <v>8.9475565286075461E-4</v>
      </c>
      <c r="FL104" s="1003">
        <f t="shared" si="561"/>
        <v>1.0219034343599972E-3</v>
      </c>
      <c r="FM104" s="1003">
        <f t="shared" si="561"/>
        <v>9.754922892086039E-4</v>
      </c>
      <c r="FN104" s="1003">
        <f t="shared" si="561"/>
        <v>9.1065763526387204E-4</v>
      </c>
      <c r="FO104" s="1003">
        <f t="shared" si="561"/>
        <v>9.7379252437592356E-4</v>
      </c>
      <c r="FP104" s="1003">
        <f t="shared" si="561"/>
        <v>9.1351753011999291E-4</v>
      </c>
      <c r="FQ104" s="972">
        <f t="shared" si="561"/>
        <v>8.5091336009987311E-4</v>
      </c>
      <c r="FS104" s="971">
        <f>FS103/FS97</f>
        <v>1.9822087361868732E-3</v>
      </c>
      <c r="FT104" s="1003">
        <f t="shared" ref="FT104:GD104" si="562">FT103/FT97</f>
        <v>1.9434199452630231E-3</v>
      </c>
      <c r="FU104" s="1003">
        <f t="shared" si="562"/>
        <v>8.7112547677010109E-4</v>
      </c>
      <c r="FV104" s="1003">
        <f t="shared" si="562"/>
        <v>8.0792422856331054E-4</v>
      </c>
      <c r="FW104" s="1003">
        <f t="shared" si="562"/>
        <v>6.6878067655923941E-4</v>
      </c>
      <c r="FX104" s="1003">
        <f t="shared" si="562"/>
        <v>6.1581950925532333E-4</v>
      </c>
      <c r="FY104" s="1003">
        <f t="shared" si="562"/>
        <v>5.8842479671334421E-4</v>
      </c>
      <c r="FZ104" s="1003">
        <f t="shared" si="562"/>
        <v>5.0091708821361407E-4</v>
      </c>
      <c r="GA104" s="1003">
        <f t="shared" si="562"/>
        <v>4.2897298673328456E-4</v>
      </c>
      <c r="GB104" s="1003">
        <f t="shared" si="562"/>
        <v>4.3564758812113724E-4</v>
      </c>
      <c r="GC104" s="1003">
        <f t="shared" si="562"/>
        <v>3.927406403735524E-4</v>
      </c>
      <c r="GD104" s="972">
        <f t="shared" si="562"/>
        <v>3.546627833722244E-4</v>
      </c>
      <c r="GF104" s="971">
        <f>GF103/GF97</f>
        <v>7.8537293746088518E-4</v>
      </c>
      <c r="GG104" s="1003">
        <f t="shared" ref="GG104:GQ104" si="563">GG103/GG97</f>
        <v>7.6087553481796004E-4</v>
      </c>
      <c r="GH104" s="1003">
        <f t="shared" si="563"/>
        <v>3.3891284755240518E-4</v>
      </c>
      <c r="GI104" s="1003">
        <f t="shared" si="563"/>
        <v>3.4085769446301706E-4</v>
      </c>
      <c r="GJ104" s="1003">
        <f t="shared" si="563"/>
        <v>3.2821075923091263E-4</v>
      </c>
      <c r="GK104" s="1003">
        <f t="shared" si="563"/>
        <v>3.4145244552865082E-4</v>
      </c>
      <c r="GL104" s="1003">
        <f t="shared" si="563"/>
        <v>3.5767061201951768E-4</v>
      </c>
      <c r="GM104" s="1003">
        <f t="shared" si="563"/>
        <v>3.2203197868451258E-4</v>
      </c>
      <c r="GN104" s="1003">
        <f t="shared" si="563"/>
        <v>2.9229743152488701E-4</v>
      </c>
      <c r="GO104" s="1003">
        <f t="shared" si="563"/>
        <v>3.0810110622161399E-4</v>
      </c>
      <c r="GP104" s="1003">
        <f t="shared" si="563"/>
        <v>2.8464971397723854E-4</v>
      </c>
      <c r="GQ104" s="972">
        <f t="shared" si="563"/>
        <v>2.6474648030076368E-4</v>
      </c>
      <c r="GS104" s="971">
        <f>GS103/GS97</f>
        <v>6.1277440661335135E-4</v>
      </c>
      <c r="GT104" s="1003">
        <f t="shared" ref="GT104:HD104" si="564">GT103/GT97</f>
        <v>5.9290263878381824E-4</v>
      </c>
      <c r="GU104" s="1003">
        <f t="shared" si="564"/>
        <v>2.6373627091719019E-4</v>
      </c>
      <c r="GV104" s="1003">
        <f t="shared" si="564"/>
        <v>2.6459194819743648E-4</v>
      </c>
      <c r="GW104" s="1003">
        <f t="shared" si="564"/>
        <v>2.5439559642425745E-4</v>
      </c>
      <c r="GX104" s="1003">
        <f t="shared" si="564"/>
        <v>2.642223556579072E-4</v>
      </c>
      <c r="GY104" s="1003">
        <f t="shared" si="564"/>
        <v>2.7634963453556711E-4</v>
      </c>
      <c r="GZ104" s="1003">
        <f t="shared" si="564"/>
        <v>2.4894540181128692E-4</v>
      </c>
      <c r="HA104" s="1003">
        <f t="shared" si="564"/>
        <v>2.2591262593125614E-4</v>
      </c>
      <c r="HB104" s="1003">
        <f t="shared" si="564"/>
        <v>2.354611441746427E-4</v>
      </c>
      <c r="HC104" s="1003">
        <f t="shared" si="564"/>
        <v>2.1546758259553792E-4</v>
      </c>
      <c r="HD104" s="972">
        <f t="shared" si="564"/>
        <v>2.0024959442401942E-4</v>
      </c>
    </row>
    <row r="105" spans="2:212" ht="14.25" customHeight="1">
      <c r="B105" s="984" t="s">
        <v>163</v>
      </c>
      <c r="C105" s="1076">
        <v>150</v>
      </c>
      <c r="D105" s="1107">
        <v>20</v>
      </c>
      <c r="E105" s="993">
        <v>12</v>
      </c>
      <c r="F105" s="1107">
        <v>5</v>
      </c>
      <c r="G105" s="1079"/>
      <c r="H105" s="1032">
        <v>12</v>
      </c>
      <c r="I105" s="1078">
        <f t="shared" si="524"/>
        <v>0.08</v>
      </c>
      <c r="N105" s="1684" t="s">
        <v>1094</v>
      </c>
      <c r="O105" s="957" t="s">
        <v>119</v>
      </c>
      <c r="P105" s="606">
        <v>1</v>
      </c>
      <c r="Q105" s="606">
        <v>0</v>
      </c>
      <c r="R105" s="606">
        <v>2</v>
      </c>
      <c r="S105" s="606">
        <v>2</v>
      </c>
      <c r="T105" s="606">
        <v>3</v>
      </c>
      <c r="U105" s="606">
        <v>7</v>
      </c>
      <c r="V105" s="606">
        <v>5</v>
      </c>
      <c r="X105" s="1080"/>
      <c r="AA105" s="1684" t="s">
        <v>1094</v>
      </c>
      <c r="AB105" s="957" t="s">
        <v>119</v>
      </c>
      <c r="DK105" s="1684" t="s">
        <v>1094</v>
      </c>
      <c r="DL105" s="957" t="s">
        <v>119</v>
      </c>
      <c r="DN105" s="994">
        <v>3</v>
      </c>
      <c r="DO105" s="995">
        <f>DN101*0.5+DO101*0.5</f>
        <v>9.25</v>
      </c>
      <c r="DP105" s="995">
        <f>DO101*0.5+DP101*0.5</f>
        <v>12.600000000000001</v>
      </c>
      <c r="DQ105" s="995">
        <f>DP101*0.5+DQ101*0.5</f>
        <v>8.1000000000000014</v>
      </c>
      <c r="DR105" s="996">
        <f>DQ101*0.5+DR101*0.5</f>
        <v>4.5</v>
      </c>
      <c r="DS105" s="978"/>
      <c r="DT105" s="994">
        <v>3</v>
      </c>
      <c r="DU105" s="995">
        <f>DT101*0.5+DU101*0.5</f>
        <v>9.25</v>
      </c>
      <c r="DV105" s="995">
        <f>DU101*0.5+DV101*0.5</f>
        <v>12.600000000000001</v>
      </c>
      <c r="DW105" s="995">
        <f>DV101*0.5+DW101*0.5</f>
        <v>8.1000000000000014</v>
      </c>
      <c r="DX105" s="996">
        <f>DW101*0.5+DX101*0.5</f>
        <v>4.5</v>
      </c>
      <c r="DY105" s="978"/>
      <c r="DZ105" s="994">
        <v>3</v>
      </c>
      <c r="EA105" s="995">
        <f>DZ101*0.5+EA101*0.5</f>
        <v>9.25</v>
      </c>
      <c r="EB105" s="995">
        <f>EA101*0.5+EB101*0.5</f>
        <v>12.600000000000001</v>
      </c>
      <c r="EC105" s="995">
        <f>EB101*0.5+EC101*0.5</f>
        <v>8.1000000000000014</v>
      </c>
      <c r="ED105" s="996">
        <f>EC101*0.5+ED101*0.5</f>
        <v>4.5</v>
      </c>
      <c r="EF105" s="994">
        <f>ED101*0.5+EF101*0.5</f>
        <v>2.75</v>
      </c>
      <c r="EG105" s="995">
        <f>EF101*0.5+EG101*0.5</f>
        <v>1</v>
      </c>
      <c r="EH105" s="995">
        <f t="shared" ref="EH105:EQ105" si="565">EG101*0.5+EH101*0.5</f>
        <v>1.5</v>
      </c>
      <c r="EI105" s="995">
        <f t="shared" si="565"/>
        <v>2</v>
      </c>
      <c r="EJ105" s="995">
        <f t="shared" si="565"/>
        <v>2</v>
      </c>
      <c r="EK105" s="995">
        <f t="shared" si="565"/>
        <v>2</v>
      </c>
      <c r="EL105" s="995">
        <f t="shared" si="565"/>
        <v>2</v>
      </c>
      <c r="EM105" s="995">
        <f t="shared" si="565"/>
        <v>2</v>
      </c>
      <c r="EN105" s="995">
        <f t="shared" si="565"/>
        <v>2</v>
      </c>
      <c r="EO105" s="995">
        <f t="shared" si="565"/>
        <v>2</v>
      </c>
      <c r="EP105" s="995">
        <f t="shared" si="565"/>
        <v>2</v>
      </c>
      <c r="EQ105" s="996">
        <f t="shared" si="565"/>
        <v>2</v>
      </c>
      <c r="ES105" s="994">
        <f>EQ101*0.5+ES101*0.5</f>
        <v>1.5</v>
      </c>
      <c r="ET105" s="995">
        <f>ES101*0.5+ET101*0.5</f>
        <v>1</v>
      </c>
      <c r="EU105" s="995">
        <f t="shared" ref="EU105" si="566">ET101*0.5+EU101*0.5</f>
        <v>1.5</v>
      </c>
      <c r="EV105" s="995">
        <f t="shared" ref="EV105" si="567">EU101*0.5+EV101*0.5</f>
        <v>2</v>
      </c>
      <c r="EW105" s="995">
        <f t="shared" ref="EW105" si="568">EV101*0.5+EW101*0.5</f>
        <v>2</v>
      </c>
      <c r="EX105" s="995">
        <f t="shared" ref="EX105" si="569">EW101*0.5+EX101*0.5</f>
        <v>2</v>
      </c>
      <c r="EY105" s="995">
        <f t="shared" ref="EY105" si="570">EX101*0.5+EY101*0.5</f>
        <v>2</v>
      </c>
      <c r="EZ105" s="995">
        <f t="shared" ref="EZ105" si="571">EY101*0.5+EZ101*0.5</f>
        <v>2</v>
      </c>
      <c r="FA105" s="995">
        <f t="shared" ref="FA105" si="572">EZ101*0.5+FA101*0.5</f>
        <v>2</v>
      </c>
      <c r="FB105" s="995">
        <f t="shared" ref="FB105" si="573">FA101*0.5+FB101*0.5</f>
        <v>2</v>
      </c>
      <c r="FC105" s="995">
        <f t="shared" ref="FC105" si="574">FB101*0.5+FC101*0.5</f>
        <v>2</v>
      </c>
      <c r="FD105" s="996">
        <f t="shared" ref="FD105" si="575">FC101*0.5+FD101*0.5</f>
        <v>2</v>
      </c>
      <c r="FF105" s="994">
        <f>FD101*0.5+FF101*0.5</f>
        <v>1.5</v>
      </c>
      <c r="FG105" s="995">
        <f>FF101*0.5+FG101*0.5</f>
        <v>1</v>
      </c>
      <c r="FH105" s="995">
        <f t="shared" ref="FH105" si="576">FG101*0.5+FH101*0.5</f>
        <v>1.5</v>
      </c>
      <c r="FI105" s="995">
        <f t="shared" ref="FI105" si="577">FH101*0.5+FI101*0.5</f>
        <v>2</v>
      </c>
      <c r="FJ105" s="995">
        <f t="shared" ref="FJ105" si="578">FI101*0.5+FJ101*0.5</f>
        <v>2</v>
      </c>
      <c r="FK105" s="995">
        <f t="shared" ref="FK105" si="579">FJ101*0.5+FK101*0.5</f>
        <v>2</v>
      </c>
      <c r="FL105" s="995">
        <f t="shared" ref="FL105" si="580">FK101*0.5+FL101*0.5</f>
        <v>2</v>
      </c>
      <c r="FM105" s="995">
        <f t="shared" ref="FM105" si="581">FL101*0.5+FM101*0.5</f>
        <v>2</v>
      </c>
      <c r="FN105" s="995">
        <f t="shared" ref="FN105" si="582">FM101*0.5+FN101*0.5</f>
        <v>2</v>
      </c>
      <c r="FO105" s="995">
        <f t="shared" ref="FO105" si="583">FN101*0.5+FO101*0.5</f>
        <v>2</v>
      </c>
      <c r="FP105" s="995">
        <f t="shared" ref="FP105" si="584">FO101*0.5+FP101*0.5</f>
        <v>2</v>
      </c>
      <c r="FQ105" s="996">
        <f t="shared" ref="FQ105" si="585">FP101*0.5+FQ101*0.5</f>
        <v>2</v>
      </c>
      <c r="FS105" s="994">
        <f>FQ101*0.5+FS101*0.5</f>
        <v>1.5</v>
      </c>
      <c r="FT105" s="995">
        <f>FS101*0.5+FT101*0.5</f>
        <v>1</v>
      </c>
      <c r="FU105" s="995">
        <f t="shared" ref="FU105" si="586">FT101*0.5+FU101*0.5</f>
        <v>1</v>
      </c>
      <c r="FV105" s="995">
        <f t="shared" ref="FV105" si="587">FU101*0.5+FV101*0.5</f>
        <v>1</v>
      </c>
      <c r="FW105" s="995">
        <f t="shared" ref="FW105" si="588">FV101*0.5+FW101*0.5</f>
        <v>1</v>
      </c>
      <c r="FX105" s="995">
        <f t="shared" ref="FX105" si="589">FW101*0.5+FX101*0.5</f>
        <v>1</v>
      </c>
      <c r="FY105" s="995">
        <f t="shared" ref="FY105" si="590">FX101*0.5+FY101*0.5</f>
        <v>1</v>
      </c>
      <c r="FZ105" s="995">
        <f t="shared" ref="FZ105" si="591">FY101*0.5+FZ101*0.5</f>
        <v>1</v>
      </c>
      <c r="GA105" s="995">
        <f t="shared" ref="GA105" si="592">FZ101*0.5+GA101*0.5</f>
        <v>1</v>
      </c>
      <c r="GB105" s="995">
        <f t="shared" ref="GB105" si="593">GA101*0.5+GB101*0.5</f>
        <v>1</v>
      </c>
      <c r="GC105" s="995">
        <f t="shared" ref="GC105" si="594">GB101*0.5+GC101*0.5</f>
        <v>1</v>
      </c>
      <c r="GD105" s="996">
        <f t="shared" ref="GD105" si="595">GC101*0.5+GD101*0.5</f>
        <v>1</v>
      </c>
      <c r="GF105" s="994">
        <f>GD101*0.5+GF101*0.5</f>
        <v>1</v>
      </c>
      <c r="GG105" s="995">
        <f>GF101*0.5+GG101*0.5</f>
        <v>1</v>
      </c>
      <c r="GH105" s="995">
        <f t="shared" ref="GH105" si="596">GG101*0.5+GH101*0.5</f>
        <v>1</v>
      </c>
      <c r="GI105" s="995">
        <f t="shared" ref="GI105" si="597">GH101*0.5+GI101*0.5</f>
        <v>1</v>
      </c>
      <c r="GJ105" s="995">
        <f t="shared" ref="GJ105" si="598">GI101*0.5+GJ101*0.5</f>
        <v>1</v>
      </c>
      <c r="GK105" s="995">
        <f t="shared" ref="GK105" si="599">GJ101*0.5+GK101*0.5</f>
        <v>1</v>
      </c>
      <c r="GL105" s="995">
        <f t="shared" ref="GL105" si="600">GK101*0.5+GL101*0.5</f>
        <v>1</v>
      </c>
      <c r="GM105" s="995">
        <f t="shared" ref="GM105" si="601">GL101*0.5+GM101*0.5</f>
        <v>1</v>
      </c>
      <c r="GN105" s="995">
        <f t="shared" ref="GN105" si="602">GM101*0.5+GN101*0.5</f>
        <v>1</v>
      </c>
      <c r="GO105" s="995">
        <f t="shared" ref="GO105" si="603">GN101*0.5+GO101*0.5</f>
        <v>1</v>
      </c>
      <c r="GP105" s="995">
        <f t="shared" ref="GP105" si="604">GO101*0.5+GP101*0.5</f>
        <v>1</v>
      </c>
      <c r="GQ105" s="996">
        <f t="shared" ref="GQ105" si="605">GP101*0.5+GQ101*0.5</f>
        <v>1</v>
      </c>
      <c r="GS105" s="994">
        <f>GQ101*0.5+GS101*0.5</f>
        <v>1</v>
      </c>
      <c r="GT105" s="995">
        <f>GS101*0.5+GT101*0.5</f>
        <v>1</v>
      </c>
      <c r="GU105" s="995">
        <f t="shared" ref="GU105" si="606">GT101*0.5+GU101*0.5</f>
        <v>1</v>
      </c>
      <c r="GV105" s="995">
        <f t="shared" ref="GV105" si="607">GU101*0.5+GV101*0.5</f>
        <v>1</v>
      </c>
      <c r="GW105" s="995">
        <f t="shared" ref="GW105" si="608">GV101*0.5+GW101*0.5</f>
        <v>1</v>
      </c>
      <c r="GX105" s="995">
        <f t="shared" ref="GX105" si="609">GW101*0.5+GX101*0.5</f>
        <v>1</v>
      </c>
      <c r="GY105" s="995">
        <f t="shared" ref="GY105" si="610">GX101*0.5+GY101*0.5</f>
        <v>1</v>
      </c>
      <c r="GZ105" s="995">
        <f t="shared" ref="GZ105" si="611">GY101*0.5+GZ101*0.5</f>
        <v>1</v>
      </c>
      <c r="HA105" s="995">
        <f t="shared" ref="HA105" si="612">GZ101*0.5+HA101*0.5</f>
        <v>1</v>
      </c>
      <c r="HB105" s="995">
        <f t="shared" ref="HB105" si="613">HA101*0.5+HB101*0.5</f>
        <v>1</v>
      </c>
      <c r="HC105" s="995">
        <f t="shared" ref="HC105" si="614">HB101*0.5+HC101*0.5</f>
        <v>1</v>
      </c>
      <c r="HD105" s="996">
        <f t="shared" ref="HD105" si="615">HC101*0.5+HD101*0.5</f>
        <v>1</v>
      </c>
    </row>
    <row r="106" spans="2:212" ht="14.25">
      <c r="B106" s="984" t="s">
        <v>164</v>
      </c>
      <c r="C106" s="1076">
        <v>170</v>
      </c>
      <c r="D106" s="1107">
        <v>20</v>
      </c>
      <c r="E106" s="993">
        <v>12</v>
      </c>
      <c r="F106" s="1108" t="s">
        <v>165</v>
      </c>
      <c r="G106" s="1079"/>
      <c r="H106" s="1032">
        <v>12</v>
      </c>
      <c r="I106" s="1078">
        <f t="shared" si="524"/>
        <v>7.0588235294117646E-2</v>
      </c>
      <c r="N106" s="1684"/>
      <c r="O106" s="957" t="s">
        <v>120</v>
      </c>
      <c r="P106" s="606">
        <v>2</v>
      </c>
      <c r="Q106" s="606">
        <v>1</v>
      </c>
      <c r="R106" s="606">
        <v>0</v>
      </c>
      <c r="S106" s="606">
        <v>2</v>
      </c>
      <c r="T106" s="606">
        <v>2</v>
      </c>
      <c r="U106" s="606">
        <v>3</v>
      </c>
      <c r="V106" s="606">
        <v>6</v>
      </c>
      <c r="X106" s="1080"/>
      <c r="AA106" s="1684"/>
      <c r="AB106" s="957" t="s">
        <v>120</v>
      </c>
      <c r="DK106" s="1684"/>
      <c r="DL106" s="957" t="s">
        <v>120</v>
      </c>
      <c r="DN106" s="994">
        <v>6</v>
      </c>
      <c r="DO106" s="995">
        <f>DN105</f>
        <v>3</v>
      </c>
      <c r="DP106" s="995">
        <f>DO105</f>
        <v>9.25</v>
      </c>
      <c r="DQ106" s="995">
        <f>DP105</f>
        <v>12.600000000000001</v>
      </c>
      <c r="DR106" s="996">
        <f>DQ105</f>
        <v>8.1000000000000014</v>
      </c>
      <c r="DS106" s="978"/>
      <c r="DT106" s="994">
        <v>6</v>
      </c>
      <c r="DU106" s="995">
        <f>DT105</f>
        <v>3</v>
      </c>
      <c r="DV106" s="995">
        <f>DU105</f>
        <v>9.25</v>
      </c>
      <c r="DW106" s="995">
        <f>DV105</f>
        <v>12.600000000000001</v>
      </c>
      <c r="DX106" s="996">
        <f>DW105</f>
        <v>8.1000000000000014</v>
      </c>
      <c r="DY106" s="978"/>
      <c r="DZ106" s="994">
        <v>6</v>
      </c>
      <c r="EA106" s="995">
        <f>DZ105</f>
        <v>3</v>
      </c>
      <c r="EB106" s="995">
        <f>EA105</f>
        <v>9.25</v>
      </c>
      <c r="EC106" s="995">
        <f>EB105</f>
        <v>12.600000000000001</v>
      </c>
      <c r="ED106" s="996">
        <f>EC105</f>
        <v>8.1000000000000014</v>
      </c>
      <c r="EF106" s="994">
        <f>ED105</f>
        <v>4.5</v>
      </c>
      <c r="EG106" s="995">
        <f t="shared" ref="EG106:EQ116" si="616">EF105</f>
        <v>2.75</v>
      </c>
      <c r="EH106" s="995">
        <f t="shared" si="616"/>
        <v>1</v>
      </c>
      <c r="EI106" s="995">
        <f t="shared" si="616"/>
        <v>1.5</v>
      </c>
      <c r="EJ106" s="995">
        <f t="shared" si="616"/>
        <v>2</v>
      </c>
      <c r="EK106" s="995">
        <f t="shared" si="616"/>
        <v>2</v>
      </c>
      <c r="EL106" s="995">
        <f t="shared" si="616"/>
        <v>2</v>
      </c>
      <c r="EM106" s="995">
        <f t="shared" si="616"/>
        <v>2</v>
      </c>
      <c r="EN106" s="995">
        <f t="shared" si="616"/>
        <v>2</v>
      </c>
      <c r="EO106" s="995">
        <f t="shared" si="616"/>
        <v>2</v>
      </c>
      <c r="EP106" s="995">
        <f t="shared" si="616"/>
        <v>2</v>
      </c>
      <c r="EQ106" s="996">
        <f t="shared" si="616"/>
        <v>2</v>
      </c>
      <c r="ES106" s="994">
        <f>EQ105</f>
        <v>2</v>
      </c>
      <c r="ET106" s="995">
        <f t="shared" ref="ET106:ET116" si="617">ES105</f>
        <v>1.5</v>
      </c>
      <c r="EU106" s="995">
        <f t="shared" ref="EU106:EU116" si="618">ET105</f>
        <v>1</v>
      </c>
      <c r="EV106" s="995">
        <f t="shared" ref="EV106:EV116" si="619">EU105</f>
        <v>1.5</v>
      </c>
      <c r="EW106" s="995">
        <f t="shared" ref="EW106:EW116" si="620">EV105</f>
        <v>2</v>
      </c>
      <c r="EX106" s="995">
        <f t="shared" ref="EX106:EX116" si="621">EW105</f>
        <v>2</v>
      </c>
      <c r="EY106" s="995">
        <f t="shared" ref="EY106:EY116" si="622">EX105</f>
        <v>2</v>
      </c>
      <c r="EZ106" s="995">
        <f t="shared" ref="EZ106:EZ116" si="623">EY105</f>
        <v>2</v>
      </c>
      <c r="FA106" s="995">
        <f t="shared" ref="FA106:FA116" si="624">EZ105</f>
        <v>2</v>
      </c>
      <c r="FB106" s="995">
        <f t="shared" ref="FB106:FB116" si="625">FA105</f>
        <v>2</v>
      </c>
      <c r="FC106" s="995">
        <f t="shared" ref="FC106:FC116" si="626">FB105</f>
        <v>2</v>
      </c>
      <c r="FD106" s="996">
        <f t="shared" ref="FD106:FD116" si="627">FC105</f>
        <v>2</v>
      </c>
      <c r="FF106" s="994">
        <f>FD105</f>
        <v>2</v>
      </c>
      <c r="FG106" s="995">
        <f t="shared" ref="FG106:FG116" si="628">FF105</f>
        <v>1.5</v>
      </c>
      <c r="FH106" s="995">
        <f t="shared" ref="FH106:FH116" si="629">FG105</f>
        <v>1</v>
      </c>
      <c r="FI106" s="995">
        <f t="shared" ref="FI106:FI116" si="630">FH105</f>
        <v>1.5</v>
      </c>
      <c r="FJ106" s="995">
        <f t="shared" ref="FJ106:FJ116" si="631">FI105</f>
        <v>2</v>
      </c>
      <c r="FK106" s="995">
        <f t="shared" ref="FK106:FK116" si="632">FJ105</f>
        <v>2</v>
      </c>
      <c r="FL106" s="995">
        <f t="shared" ref="FL106:FL116" si="633">FK105</f>
        <v>2</v>
      </c>
      <c r="FM106" s="995">
        <f t="shared" ref="FM106:FM116" si="634">FL105</f>
        <v>2</v>
      </c>
      <c r="FN106" s="995">
        <f t="shared" ref="FN106:FN116" si="635">FM105</f>
        <v>2</v>
      </c>
      <c r="FO106" s="995">
        <f t="shared" ref="FO106:FO116" si="636">FN105</f>
        <v>2</v>
      </c>
      <c r="FP106" s="995">
        <f t="shared" ref="FP106:FP116" si="637">FO105</f>
        <v>2</v>
      </c>
      <c r="FQ106" s="996">
        <f t="shared" ref="FQ106:FQ116" si="638">FP105</f>
        <v>2</v>
      </c>
      <c r="FS106" s="994">
        <f>FQ105</f>
        <v>2</v>
      </c>
      <c r="FT106" s="995">
        <f t="shared" ref="FT106:FT116" si="639">FS105</f>
        <v>1.5</v>
      </c>
      <c r="FU106" s="995">
        <f t="shared" ref="FU106:FU116" si="640">FT105</f>
        <v>1</v>
      </c>
      <c r="FV106" s="995">
        <f t="shared" ref="FV106:FV116" si="641">FU105</f>
        <v>1</v>
      </c>
      <c r="FW106" s="995">
        <f t="shared" ref="FW106:FW116" si="642">FV105</f>
        <v>1</v>
      </c>
      <c r="FX106" s="995">
        <f t="shared" ref="FX106:FX116" si="643">FW105</f>
        <v>1</v>
      </c>
      <c r="FY106" s="995">
        <f t="shared" ref="FY106:FY116" si="644">FX105</f>
        <v>1</v>
      </c>
      <c r="FZ106" s="995">
        <f t="shared" ref="FZ106:FZ116" si="645">FY105</f>
        <v>1</v>
      </c>
      <c r="GA106" s="995">
        <f t="shared" ref="GA106:GA116" si="646">FZ105</f>
        <v>1</v>
      </c>
      <c r="GB106" s="995">
        <f t="shared" ref="GB106:GB116" si="647">GA105</f>
        <v>1</v>
      </c>
      <c r="GC106" s="995">
        <f t="shared" ref="GC106:GC116" si="648">GB105</f>
        <v>1</v>
      </c>
      <c r="GD106" s="996">
        <f t="shared" ref="GD106:GD116" si="649">GC105</f>
        <v>1</v>
      </c>
      <c r="GF106" s="994">
        <f>GD105</f>
        <v>1</v>
      </c>
      <c r="GG106" s="995">
        <f t="shared" ref="GG106:GG116" si="650">GF105</f>
        <v>1</v>
      </c>
      <c r="GH106" s="995">
        <f t="shared" ref="GH106:GH116" si="651">GG105</f>
        <v>1</v>
      </c>
      <c r="GI106" s="995">
        <f t="shared" ref="GI106:GI116" si="652">GH105</f>
        <v>1</v>
      </c>
      <c r="GJ106" s="995">
        <f t="shared" ref="GJ106:GJ116" si="653">GI105</f>
        <v>1</v>
      </c>
      <c r="GK106" s="995">
        <f t="shared" ref="GK106:GK116" si="654">GJ105</f>
        <v>1</v>
      </c>
      <c r="GL106" s="995">
        <f t="shared" ref="GL106:GL116" si="655">GK105</f>
        <v>1</v>
      </c>
      <c r="GM106" s="995">
        <f t="shared" ref="GM106:GM116" si="656">GL105</f>
        <v>1</v>
      </c>
      <c r="GN106" s="995">
        <f t="shared" ref="GN106:GN116" si="657">GM105</f>
        <v>1</v>
      </c>
      <c r="GO106" s="995">
        <f t="shared" ref="GO106:GO116" si="658">GN105</f>
        <v>1</v>
      </c>
      <c r="GP106" s="995">
        <f t="shared" ref="GP106:GP116" si="659">GO105</f>
        <v>1</v>
      </c>
      <c r="GQ106" s="996">
        <f t="shared" ref="GQ106:GQ116" si="660">GP105</f>
        <v>1</v>
      </c>
      <c r="GS106" s="994">
        <f>GQ105</f>
        <v>1</v>
      </c>
      <c r="GT106" s="995">
        <f t="shared" ref="GT106:GT116" si="661">GS105</f>
        <v>1</v>
      </c>
      <c r="GU106" s="995">
        <f t="shared" ref="GU106:GU116" si="662">GT105</f>
        <v>1</v>
      </c>
      <c r="GV106" s="995">
        <f t="shared" ref="GV106:GV116" si="663">GU105</f>
        <v>1</v>
      </c>
      <c r="GW106" s="995">
        <f t="shared" ref="GW106:GW116" si="664">GV105</f>
        <v>1</v>
      </c>
      <c r="GX106" s="995">
        <f t="shared" ref="GX106:GX116" si="665">GW105</f>
        <v>1</v>
      </c>
      <c r="GY106" s="995">
        <f t="shared" ref="GY106:GY116" si="666">GX105</f>
        <v>1</v>
      </c>
      <c r="GZ106" s="995">
        <f t="shared" ref="GZ106:GZ116" si="667">GY105</f>
        <v>1</v>
      </c>
      <c r="HA106" s="995">
        <f t="shared" ref="HA106:HA116" si="668">GZ105</f>
        <v>1</v>
      </c>
      <c r="HB106" s="995">
        <f t="shared" ref="HB106:HB116" si="669">HA105</f>
        <v>1</v>
      </c>
      <c r="HC106" s="995">
        <f t="shared" ref="HC106:HC116" si="670">HB105</f>
        <v>1</v>
      </c>
      <c r="HD106" s="996">
        <f t="shared" ref="HD106:HD116" si="671">HC105</f>
        <v>1</v>
      </c>
    </row>
    <row r="107" spans="2:212" ht="14.25">
      <c r="B107" s="997" t="s">
        <v>166</v>
      </c>
      <c r="C107" s="1081">
        <v>170</v>
      </c>
      <c r="D107" s="1109">
        <v>20</v>
      </c>
      <c r="E107" s="998">
        <v>12</v>
      </c>
      <c r="F107" s="1110" t="s">
        <v>165</v>
      </c>
      <c r="G107" s="1082"/>
      <c r="H107" s="1036">
        <v>12</v>
      </c>
      <c r="I107" s="1078">
        <f t="shared" si="524"/>
        <v>7.0588235294117646E-2</v>
      </c>
      <c r="N107" s="1684"/>
      <c r="O107" s="957" t="s">
        <v>121</v>
      </c>
      <c r="P107" s="606">
        <v>2</v>
      </c>
      <c r="Q107" s="606">
        <v>2</v>
      </c>
      <c r="R107" s="606">
        <v>1</v>
      </c>
      <c r="S107" s="606">
        <v>0</v>
      </c>
      <c r="T107" s="606">
        <v>2</v>
      </c>
      <c r="U107" s="606">
        <v>2</v>
      </c>
      <c r="V107" s="606">
        <v>3</v>
      </c>
      <c r="X107" s="1080"/>
      <c r="AA107" s="1684"/>
      <c r="AB107" s="957" t="s">
        <v>121</v>
      </c>
      <c r="DK107" s="1684"/>
      <c r="DL107" s="957" t="s">
        <v>121</v>
      </c>
      <c r="DN107" s="994">
        <v>1</v>
      </c>
      <c r="DO107" s="995">
        <v>5</v>
      </c>
      <c r="DP107" s="995">
        <f>DO106</f>
        <v>3</v>
      </c>
      <c r="DQ107" s="995">
        <f>DP106</f>
        <v>9.25</v>
      </c>
      <c r="DR107" s="996">
        <f>DQ106</f>
        <v>12.600000000000001</v>
      </c>
      <c r="DS107" s="978"/>
      <c r="DT107" s="994">
        <v>1</v>
      </c>
      <c r="DU107" s="995">
        <v>5</v>
      </c>
      <c r="DV107" s="995">
        <f>DU106</f>
        <v>3</v>
      </c>
      <c r="DW107" s="995">
        <f>DV106</f>
        <v>9.25</v>
      </c>
      <c r="DX107" s="996">
        <f>DW106</f>
        <v>12.600000000000001</v>
      </c>
      <c r="DY107" s="978"/>
      <c r="DZ107" s="994">
        <v>1</v>
      </c>
      <c r="EA107" s="995">
        <f t="shared" ref="EA107:ED116" si="672">DZ106</f>
        <v>6</v>
      </c>
      <c r="EB107" s="995">
        <f>EA106</f>
        <v>3</v>
      </c>
      <c r="EC107" s="995">
        <f>EB106</f>
        <v>9.25</v>
      </c>
      <c r="ED107" s="996">
        <f>EC106</f>
        <v>12.600000000000001</v>
      </c>
      <c r="EF107" s="994">
        <f t="shared" ref="EF107:EF116" si="673">ED106</f>
        <v>8.1000000000000014</v>
      </c>
      <c r="EG107" s="995">
        <f t="shared" si="616"/>
        <v>4.5</v>
      </c>
      <c r="EH107" s="995">
        <f t="shared" si="616"/>
        <v>2.75</v>
      </c>
      <c r="EI107" s="995">
        <f t="shared" si="616"/>
        <v>1</v>
      </c>
      <c r="EJ107" s="995">
        <f t="shared" si="616"/>
        <v>1.5</v>
      </c>
      <c r="EK107" s="995">
        <f t="shared" si="616"/>
        <v>2</v>
      </c>
      <c r="EL107" s="995">
        <f t="shared" si="616"/>
        <v>2</v>
      </c>
      <c r="EM107" s="995">
        <f t="shared" si="616"/>
        <v>2</v>
      </c>
      <c r="EN107" s="995">
        <f t="shared" si="616"/>
        <v>2</v>
      </c>
      <c r="EO107" s="995">
        <f t="shared" si="616"/>
        <v>2</v>
      </c>
      <c r="EP107" s="995">
        <f t="shared" si="616"/>
        <v>2</v>
      </c>
      <c r="EQ107" s="996">
        <f t="shared" si="616"/>
        <v>2</v>
      </c>
      <c r="ES107" s="994">
        <f t="shared" ref="ES107:ES116" si="674">EQ106</f>
        <v>2</v>
      </c>
      <c r="ET107" s="995">
        <f t="shared" si="617"/>
        <v>2</v>
      </c>
      <c r="EU107" s="995">
        <f t="shared" si="618"/>
        <v>1.5</v>
      </c>
      <c r="EV107" s="995">
        <f t="shared" si="619"/>
        <v>1</v>
      </c>
      <c r="EW107" s="995">
        <f t="shared" si="620"/>
        <v>1.5</v>
      </c>
      <c r="EX107" s="995">
        <f t="shared" si="621"/>
        <v>2</v>
      </c>
      <c r="EY107" s="995">
        <f t="shared" si="622"/>
        <v>2</v>
      </c>
      <c r="EZ107" s="995">
        <f t="shared" si="623"/>
        <v>2</v>
      </c>
      <c r="FA107" s="995">
        <f t="shared" si="624"/>
        <v>2</v>
      </c>
      <c r="FB107" s="995">
        <f t="shared" si="625"/>
        <v>2</v>
      </c>
      <c r="FC107" s="995">
        <f t="shared" si="626"/>
        <v>2</v>
      </c>
      <c r="FD107" s="996">
        <f t="shared" si="627"/>
        <v>2</v>
      </c>
      <c r="FF107" s="994">
        <f t="shared" ref="FF107:FF116" si="675">FD106</f>
        <v>2</v>
      </c>
      <c r="FG107" s="995">
        <f t="shared" si="628"/>
        <v>2</v>
      </c>
      <c r="FH107" s="995">
        <f t="shared" si="629"/>
        <v>1.5</v>
      </c>
      <c r="FI107" s="995">
        <f t="shared" si="630"/>
        <v>1</v>
      </c>
      <c r="FJ107" s="995">
        <f t="shared" si="631"/>
        <v>1.5</v>
      </c>
      <c r="FK107" s="995">
        <f t="shared" si="632"/>
        <v>2</v>
      </c>
      <c r="FL107" s="995">
        <f t="shared" si="633"/>
        <v>2</v>
      </c>
      <c r="FM107" s="995">
        <f t="shared" si="634"/>
        <v>2</v>
      </c>
      <c r="FN107" s="995">
        <f t="shared" si="635"/>
        <v>2</v>
      </c>
      <c r="FO107" s="995">
        <f t="shared" si="636"/>
        <v>2</v>
      </c>
      <c r="FP107" s="995">
        <f t="shared" si="637"/>
        <v>2</v>
      </c>
      <c r="FQ107" s="996">
        <f t="shared" si="638"/>
        <v>2</v>
      </c>
      <c r="FS107" s="994">
        <f t="shared" ref="FS107:FS116" si="676">FQ106</f>
        <v>2</v>
      </c>
      <c r="FT107" s="995">
        <f t="shared" si="639"/>
        <v>2</v>
      </c>
      <c r="FU107" s="995">
        <f t="shared" si="640"/>
        <v>1.5</v>
      </c>
      <c r="FV107" s="995">
        <f t="shared" si="641"/>
        <v>1</v>
      </c>
      <c r="FW107" s="995">
        <f t="shared" si="642"/>
        <v>1</v>
      </c>
      <c r="FX107" s="995">
        <f t="shared" si="643"/>
        <v>1</v>
      </c>
      <c r="FY107" s="995">
        <f t="shared" si="644"/>
        <v>1</v>
      </c>
      <c r="FZ107" s="995">
        <f t="shared" si="645"/>
        <v>1</v>
      </c>
      <c r="GA107" s="995">
        <f t="shared" si="646"/>
        <v>1</v>
      </c>
      <c r="GB107" s="995">
        <f t="shared" si="647"/>
        <v>1</v>
      </c>
      <c r="GC107" s="995">
        <f t="shared" si="648"/>
        <v>1</v>
      </c>
      <c r="GD107" s="996">
        <f t="shared" si="649"/>
        <v>1</v>
      </c>
      <c r="GF107" s="994">
        <f t="shared" ref="GF107:GF116" si="677">GD106</f>
        <v>1</v>
      </c>
      <c r="GG107" s="995">
        <f t="shared" si="650"/>
        <v>1</v>
      </c>
      <c r="GH107" s="995">
        <f t="shared" si="651"/>
        <v>1</v>
      </c>
      <c r="GI107" s="995">
        <f t="shared" si="652"/>
        <v>1</v>
      </c>
      <c r="GJ107" s="995">
        <f t="shared" si="653"/>
        <v>1</v>
      </c>
      <c r="GK107" s="995">
        <f t="shared" si="654"/>
        <v>1</v>
      </c>
      <c r="GL107" s="995">
        <f t="shared" si="655"/>
        <v>1</v>
      </c>
      <c r="GM107" s="995">
        <f t="shared" si="656"/>
        <v>1</v>
      </c>
      <c r="GN107" s="995">
        <f t="shared" si="657"/>
        <v>1</v>
      </c>
      <c r="GO107" s="995">
        <f t="shared" si="658"/>
        <v>1</v>
      </c>
      <c r="GP107" s="995">
        <f t="shared" si="659"/>
        <v>1</v>
      </c>
      <c r="GQ107" s="996">
        <f t="shared" si="660"/>
        <v>1</v>
      </c>
      <c r="GS107" s="994">
        <f t="shared" ref="GS107:GS116" si="678">GQ106</f>
        <v>1</v>
      </c>
      <c r="GT107" s="995">
        <f t="shared" si="661"/>
        <v>1</v>
      </c>
      <c r="GU107" s="995">
        <f t="shared" si="662"/>
        <v>1</v>
      </c>
      <c r="GV107" s="995">
        <f t="shared" si="663"/>
        <v>1</v>
      </c>
      <c r="GW107" s="995">
        <f t="shared" si="664"/>
        <v>1</v>
      </c>
      <c r="GX107" s="995">
        <f t="shared" si="665"/>
        <v>1</v>
      </c>
      <c r="GY107" s="995">
        <f t="shared" si="666"/>
        <v>1</v>
      </c>
      <c r="GZ107" s="995">
        <f t="shared" si="667"/>
        <v>1</v>
      </c>
      <c r="HA107" s="995">
        <f t="shared" si="668"/>
        <v>1</v>
      </c>
      <c r="HB107" s="995">
        <f t="shared" si="669"/>
        <v>1</v>
      </c>
      <c r="HC107" s="995">
        <f t="shared" si="670"/>
        <v>1</v>
      </c>
      <c r="HD107" s="996">
        <f t="shared" si="671"/>
        <v>1</v>
      </c>
    </row>
    <row r="108" spans="2:212">
      <c r="B108" s="607" t="s">
        <v>167</v>
      </c>
      <c r="C108" s="1083">
        <v>1300</v>
      </c>
      <c r="D108" s="1111">
        <v>210</v>
      </c>
      <c r="E108" s="1038">
        <v>99</v>
      </c>
      <c r="F108" s="1112" t="s">
        <v>165</v>
      </c>
      <c r="G108" s="1113"/>
      <c r="H108" s="1039">
        <f>SUM(H96:H107)</f>
        <v>171</v>
      </c>
      <c r="I108" s="1078">
        <f>H108/C108</f>
        <v>0.13153846153846155</v>
      </c>
      <c r="N108" s="1684"/>
      <c r="O108" s="957" t="s">
        <v>122</v>
      </c>
      <c r="P108" s="606">
        <v>5</v>
      </c>
      <c r="Q108" s="606">
        <v>2</v>
      </c>
      <c r="R108" s="606">
        <v>2</v>
      </c>
      <c r="S108" s="606">
        <v>1</v>
      </c>
      <c r="T108" s="606">
        <v>0</v>
      </c>
      <c r="U108" s="606">
        <v>2</v>
      </c>
      <c r="V108" s="606">
        <v>2</v>
      </c>
      <c r="X108" s="1080"/>
      <c r="AA108" s="1684"/>
      <c r="AB108" s="957" t="s">
        <v>122</v>
      </c>
      <c r="DK108" s="1684"/>
      <c r="DL108" s="957" t="s">
        <v>122</v>
      </c>
      <c r="DN108" s="994">
        <v>1</v>
      </c>
      <c r="DO108" s="995">
        <v>6</v>
      </c>
      <c r="DP108" s="995">
        <v>5</v>
      </c>
      <c r="DQ108" s="995">
        <f>DP107</f>
        <v>3</v>
      </c>
      <c r="DR108" s="996">
        <f>DQ107</f>
        <v>9.25</v>
      </c>
      <c r="DS108" s="978"/>
      <c r="DT108" s="994">
        <v>1</v>
      </c>
      <c r="DU108" s="995">
        <v>6</v>
      </c>
      <c r="DV108" s="995">
        <v>5</v>
      </c>
      <c r="DW108" s="995">
        <f>DV107</f>
        <v>3</v>
      </c>
      <c r="DX108" s="996">
        <f>DW107</f>
        <v>9.25</v>
      </c>
      <c r="DY108" s="978"/>
      <c r="DZ108" s="994">
        <v>1</v>
      </c>
      <c r="EA108" s="995">
        <f t="shared" si="672"/>
        <v>1</v>
      </c>
      <c r="EB108" s="995">
        <f t="shared" si="672"/>
        <v>6</v>
      </c>
      <c r="EC108" s="995">
        <f>EB107</f>
        <v>3</v>
      </c>
      <c r="ED108" s="996">
        <f>EC107</f>
        <v>9.25</v>
      </c>
      <c r="EF108" s="994">
        <f t="shared" si="673"/>
        <v>12.600000000000001</v>
      </c>
      <c r="EG108" s="995">
        <f t="shared" si="616"/>
        <v>8.1000000000000014</v>
      </c>
      <c r="EH108" s="995">
        <f t="shared" si="616"/>
        <v>4.5</v>
      </c>
      <c r="EI108" s="995">
        <f t="shared" si="616"/>
        <v>2.75</v>
      </c>
      <c r="EJ108" s="995">
        <f t="shared" si="616"/>
        <v>1</v>
      </c>
      <c r="EK108" s="995">
        <f t="shared" si="616"/>
        <v>1.5</v>
      </c>
      <c r="EL108" s="995">
        <f t="shared" si="616"/>
        <v>2</v>
      </c>
      <c r="EM108" s="995">
        <f t="shared" si="616"/>
        <v>2</v>
      </c>
      <c r="EN108" s="995">
        <f t="shared" si="616"/>
        <v>2</v>
      </c>
      <c r="EO108" s="995">
        <f t="shared" si="616"/>
        <v>2</v>
      </c>
      <c r="EP108" s="995">
        <f t="shared" si="616"/>
        <v>2</v>
      </c>
      <c r="EQ108" s="996">
        <f t="shared" si="616"/>
        <v>2</v>
      </c>
      <c r="ES108" s="994">
        <f t="shared" si="674"/>
        <v>2</v>
      </c>
      <c r="ET108" s="995">
        <f t="shared" si="617"/>
        <v>2</v>
      </c>
      <c r="EU108" s="995">
        <f t="shared" si="618"/>
        <v>2</v>
      </c>
      <c r="EV108" s="995">
        <f t="shared" si="619"/>
        <v>1.5</v>
      </c>
      <c r="EW108" s="995">
        <f t="shared" si="620"/>
        <v>1</v>
      </c>
      <c r="EX108" s="995">
        <f t="shared" si="621"/>
        <v>1.5</v>
      </c>
      <c r="EY108" s="995">
        <f t="shared" si="622"/>
        <v>2</v>
      </c>
      <c r="EZ108" s="995">
        <f t="shared" si="623"/>
        <v>2</v>
      </c>
      <c r="FA108" s="995">
        <f t="shared" si="624"/>
        <v>2</v>
      </c>
      <c r="FB108" s="995">
        <f t="shared" si="625"/>
        <v>2</v>
      </c>
      <c r="FC108" s="995">
        <f t="shared" si="626"/>
        <v>2</v>
      </c>
      <c r="FD108" s="996">
        <f t="shared" si="627"/>
        <v>2</v>
      </c>
      <c r="FF108" s="994">
        <f t="shared" si="675"/>
        <v>2</v>
      </c>
      <c r="FG108" s="995">
        <f t="shared" si="628"/>
        <v>2</v>
      </c>
      <c r="FH108" s="995">
        <f t="shared" si="629"/>
        <v>2</v>
      </c>
      <c r="FI108" s="995">
        <f t="shared" si="630"/>
        <v>1.5</v>
      </c>
      <c r="FJ108" s="995">
        <f t="shared" si="631"/>
        <v>1</v>
      </c>
      <c r="FK108" s="995">
        <f t="shared" si="632"/>
        <v>1.5</v>
      </c>
      <c r="FL108" s="995">
        <f t="shared" si="633"/>
        <v>2</v>
      </c>
      <c r="FM108" s="995">
        <f t="shared" si="634"/>
        <v>2</v>
      </c>
      <c r="FN108" s="995">
        <f t="shared" si="635"/>
        <v>2</v>
      </c>
      <c r="FO108" s="995">
        <f t="shared" si="636"/>
        <v>2</v>
      </c>
      <c r="FP108" s="995">
        <f t="shared" si="637"/>
        <v>2</v>
      </c>
      <c r="FQ108" s="996">
        <f t="shared" si="638"/>
        <v>2</v>
      </c>
      <c r="FS108" s="994">
        <f t="shared" si="676"/>
        <v>2</v>
      </c>
      <c r="FT108" s="995">
        <f t="shared" si="639"/>
        <v>2</v>
      </c>
      <c r="FU108" s="995">
        <f t="shared" si="640"/>
        <v>2</v>
      </c>
      <c r="FV108" s="995">
        <f t="shared" si="641"/>
        <v>1.5</v>
      </c>
      <c r="FW108" s="995">
        <f t="shared" si="642"/>
        <v>1</v>
      </c>
      <c r="FX108" s="995">
        <f t="shared" si="643"/>
        <v>1</v>
      </c>
      <c r="FY108" s="995">
        <f t="shared" si="644"/>
        <v>1</v>
      </c>
      <c r="FZ108" s="995">
        <f t="shared" si="645"/>
        <v>1</v>
      </c>
      <c r="GA108" s="995">
        <f t="shared" si="646"/>
        <v>1</v>
      </c>
      <c r="GB108" s="995">
        <f t="shared" si="647"/>
        <v>1</v>
      </c>
      <c r="GC108" s="995">
        <f t="shared" si="648"/>
        <v>1</v>
      </c>
      <c r="GD108" s="996">
        <f t="shared" si="649"/>
        <v>1</v>
      </c>
      <c r="GF108" s="994">
        <f t="shared" si="677"/>
        <v>1</v>
      </c>
      <c r="GG108" s="995">
        <f t="shared" si="650"/>
        <v>1</v>
      </c>
      <c r="GH108" s="995">
        <f t="shared" si="651"/>
        <v>1</v>
      </c>
      <c r="GI108" s="995">
        <f t="shared" si="652"/>
        <v>1</v>
      </c>
      <c r="GJ108" s="995">
        <f t="shared" si="653"/>
        <v>1</v>
      </c>
      <c r="GK108" s="995">
        <f t="shared" si="654"/>
        <v>1</v>
      </c>
      <c r="GL108" s="995">
        <f t="shared" si="655"/>
        <v>1</v>
      </c>
      <c r="GM108" s="995">
        <f t="shared" si="656"/>
        <v>1</v>
      </c>
      <c r="GN108" s="995">
        <f t="shared" si="657"/>
        <v>1</v>
      </c>
      <c r="GO108" s="995">
        <f t="shared" si="658"/>
        <v>1</v>
      </c>
      <c r="GP108" s="995">
        <f t="shared" si="659"/>
        <v>1</v>
      </c>
      <c r="GQ108" s="996">
        <f t="shared" si="660"/>
        <v>1</v>
      </c>
      <c r="GS108" s="994">
        <f t="shared" si="678"/>
        <v>1</v>
      </c>
      <c r="GT108" s="995">
        <f t="shared" si="661"/>
        <v>1</v>
      </c>
      <c r="GU108" s="995">
        <f t="shared" si="662"/>
        <v>1</v>
      </c>
      <c r="GV108" s="995">
        <f t="shared" si="663"/>
        <v>1</v>
      </c>
      <c r="GW108" s="995">
        <f t="shared" si="664"/>
        <v>1</v>
      </c>
      <c r="GX108" s="995">
        <f t="shared" si="665"/>
        <v>1</v>
      </c>
      <c r="GY108" s="995">
        <f t="shared" si="666"/>
        <v>1</v>
      </c>
      <c r="GZ108" s="995">
        <f t="shared" si="667"/>
        <v>1</v>
      </c>
      <c r="HA108" s="995">
        <f t="shared" si="668"/>
        <v>1</v>
      </c>
      <c r="HB108" s="995">
        <f t="shared" si="669"/>
        <v>1</v>
      </c>
      <c r="HC108" s="995">
        <f t="shared" si="670"/>
        <v>1</v>
      </c>
      <c r="HD108" s="996">
        <f t="shared" si="671"/>
        <v>1</v>
      </c>
    </row>
    <row r="109" spans="2:212" ht="14.25">
      <c r="B109" s="31"/>
      <c r="C109" s="1114" t="s">
        <v>168</v>
      </c>
      <c r="D109" s="31"/>
      <c r="E109" s="31"/>
      <c r="F109" s="31"/>
      <c r="G109" s="31"/>
      <c r="H109" s="1115"/>
      <c r="I109" s="31"/>
      <c r="N109" s="1684"/>
      <c r="O109" s="957" t="s">
        <v>123</v>
      </c>
      <c r="P109" s="606">
        <v>2</v>
      </c>
      <c r="Q109" s="606">
        <v>5</v>
      </c>
      <c r="R109" s="606">
        <v>2</v>
      </c>
      <c r="S109" s="606">
        <v>2</v>
      </c>
      <c r="T109" s="606">
        <v>1</v>
      </c>
      <c r="U109" s="606">
        <v>0</v>
      </c>
      <c r="V109" s="606">
        <v>2</v>
      </c>
      <c r="X109" s="1080"/>
      <c r="AA109" s="1684"/>
      <c r="AB109" s="957" t="s">
        <v>123</v>
      </c>
      <c r="DK109" s="1684"/>
      <c r="DL109" s="957" t="s">
        <v>123</v>
      </c>
      <c r="DN109" s="994">
        <v>0</v>
      </c>
      <c r="DO109" s="995">
        <v>3</v>
      </c>
      <c r="DP109" s="995">
        <v>6</v>
      </c>
      <c r="DQ109" s="995">
        <v>5</v>
      </c>
      <c r="DR109" s="996">
        <f>DQ108</f>
        <v>3</v>
      </c>
      <c r="DS109" s="978"/>
      <c r="DT109" s="994">
        <v>0</v>
      </c>
      <c r="DU109" s="995">
        <v>3</v>
      </c>
      <c r="DV109" s="995">
        <v>6</v>
      </c>
      <c r="DW109" s="995">
        <v>5</v>
      </c>
      <c r="DX109" s="996">
        <f>DW108</f>
        <v>3</v>
      </c>
      <c r="DY109" s="978"/>
      <c r="DZ109" s="994">
        <v>0</v>
      </c>
      <c r="EA109" s="995">
        <f t="shared" si="672"/>
        <v>1</v>
      </c>
      <c r="EB109" s="995">
        <f t="shared" si="672"/>
        <v>1</v>
      </c>
      <c r="EC109" s="995">
        <f t="shared" si="672"/>
        <v>6</v>
      </c>
      <c r="ED109" s="996">
        <f>EC108</f>
        <v>3</v>
      </c>
      <c r="EF109" s="994">
        <f t="shared" si="673"/>
        <v>9.25</v>
      </c>
      <c r="EG109" s="995">
        <f t="shared" si="616"/>
        <v>12.600000000000001</v>
      </c>
      <c r="EH109" s="995">
        <f t="shared" si="616"/>
        <v>8.1000000000000014</v>
      </c>
      <c r="EI109" s="995">
        <f t="shared" si="616"/>
        <v>4.5</v>
      </c>
      <c r="EJ109" s="995">
        <f t="shared" si="616"/>
        <v>2.75</v>
      </c>
      <c r="EK109" s="995">
        <f t="shared" si="616"/>
        <v>1</v>
      </c>
      <c r="EL109" s="995">
        <f t="shared" si="616"/>
        <v>1.5</v>
      </c>
      <c r="EM109" s="995">
        <f t="shared" si="616"/>
        <v>2</v>
      </c>
      <c r="EN109" s="995">
        <f t="shared" si="616"/>
        <v>2</v>
      </c>
      <c r="EO109" s="995">
        <f t="shared" si="616"/>
        <v>2</v>
      </c>
      <c r="EP109" s="995">
        <f t="shared" si="616"/>
        <v>2</v>
      </c>
      <c r="EQ109" s="996">
        <f t="shared" si="616"/>
        <v>2</v>
      </c>
      <c r="ES109" s="994">
        <f t="shared" si="674"/>
        <v>2</v>
      </c>
      <c r="ET109" s="995">
        <f t="shared" si="617"/>
        <v>2</v>
      </c>
      <c r="EU109" s="995">
        <f t="shared" si="618"/>
        <v>2</v>
      </c>
      <c r="EV109" s="995">
        <f t="shared" si="619"/>
        <v>2</v>
      </c>
      <c r="EW109" s="995">
        <f t="shared" si="620"/>
        <v>1.5</v>
      </c>
      <c r="EX109" s="995">
        <f t="shared" si="621"/>
        <v>1</v>
      </c>
      <c r="EY109" s="995">
        <f t="shared" si="622"/>
        <v>1.5</v>
      </c>
      <c r="EZ109" s="995">
        <f t="shared" si="623"/>
        <v>2</v>
      </c>
      <c r="FA109" s="995">
        <f t="shared" si="624"/>
        <v>2</v>
      </c>
      <c r="FB109" s="995">
        <f t="shared" si="625"/>
        <v>2</v>
      </c>
      <c r="FC109" s="995">
        <f t="shared" si="626"/>
        <v>2</v>
      </c>
      <c r="FD109" s="996">
        <f t="shared" si="627"/>
        <v>2</v>
      </c>
      <c r="FF109" s="994">
        <f t="shared" si="675"/>
        <v>2</v>
      </c>
      <c r="FG109" s="995">
        <f t="shared" si="628"/>
        <v>2</v>
      </c>
      <c r="FH109" s="995">
        <f t="shared" si="629"/>
        <v>2</v>
      </c>
      <c r="FI109" s="995">
        <f t="shared" si="630"/>
        <v>2</v>
      </c>
      <c r="FJ109" s="995">
        <f t="shared" si="631"/>
        <v>1.5</v>
      </c>
      <c r="FK109" s="995">
        <f t="shared" si="632"/>
        <v>1</v>
      </c>
      <c r="FL109" s="995">
        <f t="shared" si="633"/>
        <v>1.5</v>
      </c>
      <c r="FM109" s="995">
        <f t="shared" si="634"/>
        <v>2</v>
      </c>
      <c r="FN109" s="995">
        <f t="shared" si="635"/>
        <v>2</v>
      </c>
      <c r="FO109" s="995">
        <f t="shared" si="636"/>
        <v>2</v>
      </c>
      <c r="FP109" s="995">
        <f t="shared" si="637"/>
        <v>2</v>
      </c>
      <c r="FQ109" s="996">
        <f t="shared" si="638"/>
        <v>2</v>
      </c>
      <c r="FS109" s="994">
        <f t="shared" si="676"/>
        <v>2</v>
      </c>
      <c r="FT109" s="995">
        <f t="shared" si="639"/>
        <v>2</v>
      </c>
      <c r="FU109" s="995">
        <f t="shared" si="640"/>
        <v>2</v>
      </c>
      <c r="FV109" s="995">
        <f t="shared" si="641"/>
        <v>2</v>
      </c>
      <c r="FW109" s="995">
        <f t="shared" si="642"/>
        <v>1.5</v>
      </c>
      <c r="FX109" s="995">
        <f t="shared" si="643"/>
        <v>1</v>
      </c>
      <c r="FY109" s="995">
        <f t="shared" si="644"/>
        <v>1</v>
      </c>
      <c r="FZ109" s="995">
        <f t="shared" si="645"/>
        <v>1</v>
      </c>
      <c r="GA109" s="995">
        <f t="shared" si="646"/>
        <v>1</v>
      </c>
      <c r="GB109" s="995">
        <f t="shared" si="647"/>
        <v>1</v>
      </c>
      <c r="GC109" s="995">
        <f t="shared" si="648"/>
        <v>1</v>
      </c>
      <c r="GD109" s="996">
        <f t="shared" si="649"/>
        <v>1</v>
      </c>
      <c r="GF109" s="994">
        <f t="shared" si="677"/>
        <v>1</v>
      </c>
      <c r="GG109" s="995">
        <f t="shared" si="650"/>
        <v>1</v>
      </c>
      <c r="GH109" s="995">
        <f t="shared" si="651"/>
        <v>1</v>
      </c>
      <c r="GI109" s="995">
        <f t="shared" si="652"/>
        <v>1</v>
      </c>
      <c r="GJ109" s="995">
        <f t="shared" si="653"/>
        <v>1</v>
      </c>
      <c r="GK109" s="995">
        <f t="shared" si="654"/>
        <v>1</v>
      </c>
      <c r="GL109" s="995">
        <f t="shared" si="655"/>
        <v>1</v>
      </c>
      <c r="GM109" s="995">
        <f t="shared" si="656"/>
        <v>1</v>
      </c>
      <c r="GN109" s="995">
        <f t="shared" si="657"/>
        <v>1</v>
      </c>
      <c r="GO109" s="995">
        <f t="shared" si="658"/>
        <v>1</v>
      </c>
      <c r="GP109" s="995">
        <f t="shared" si="659"/>
        <v>1</v>
      </c>
      <c r="GQ109" s="996">
        <f t="shared" si="660"/>
        <v>1</v>
      </c>
      <c r="GS109" s="994">
        <f t="shared" si="678"/>
        <v>1</v>
      </c>
      <c r="GT109" s="995">
        <f t="shared" si="661"/>
        <v>1</v>
      </c>
      <c r="GU109" s="995">
        <f t="shared" si="662"/>
        <v>1</v>
      </c>
      <c r="GV109" s="995">
        <f t="shared" si="663"/>
        <v>1</v>
      </c>
      <c r="GW109" s="995">
        <f t="shared" si="664"/>
        <v>1</v>
      </c>
      <c r="GX109" s="995">
        <f t="shared" si="665"/>
        <v>1</v>
      </c>
      <c r="GY109" s="995">
        <f t="shared" si="666"/>
        <v>1</v>
      </c>
      <c r="GZ109" s="995">
        <f t="shared" si="667"/>
        <v>1</v>
      </c>
      <c r="HA109" s="995">
        <f t="shared" si="668"/>
        <v>1</v>
      </c>
      <c r="HB109" s="995">
        <f t="shared" si="669"/>
        <v>1</v>
      </c>
      <c r="HC109" s="995">
        <f t="shared" si="670"/>
        <v>1</v>
      </c>
      <c r="HD109" s="996">
        <f t="shared" si="671"/>
        <v>1</v>
      </c>
    </row>
    <row r="110" spans="2:212" ht="14.25">
      <c r="B110" s="31"/>
      <c r="C110" s="1114" t="s">
        <v>1095</v>
      </c>
      <c r="D110" s="31"/>
      <c r="E110" s="31"/>
      <c r="F110" s="31"/>
      <c r="G110" s="31"/>
      <c r="H110" s="31"/>
      <c r="I110" s="31"/>
      <c r="N110" s="1684"/>
      <c r="O110" s="957" t="s">
        <v>124</v>
      </c>
      <c r="P110" s="606">
        <v>1</v>
      </c>
      <c r="Q110" s="606">
        <v>2</v>
      </c>
      <c r="R110" s="606">
        <v>5</v>
      </c>
      <c r="S110" s="606">
        <v>2</v>
      </c>
      <c r="T110" s="606">
        <v>2</v>
      </c>
      <c r="U110" s="606">
        <v>1</v>
      </c>
      <c r="V110" s="606">
        <v>0</v>
      </c>
      <c r="X110" s="1080"/>
      <c r="AA110" s="1684"/>
      <c r="AB110" s="957" t="s">
        <v>124</v>
      </c>
      <c r="DK110" s="1684"/>
      <c r="DL110" s="957" t="s">
        <v>124</v>
      </c>
      <c r="DN110" s="994">
        <v>0</v>
      </c>
      <c r="DO110" s="995">
        <v>2</v>
      </c>
      <c r="DP110" s="995">
        <v>3</v>
      </c>
      <c r="DQ110" s="995">
        <v>6</v>
      </c>
      <c r="DR110" s="996">
        <v>5</v>
      </c>
      <c r="DS110" s="978"/>
      <c r="DT110" s="994">
        <v>0</v>
      </c>
      <c r="DU110" s="995">
        <v>2</v>
      </c>
      <c r="DV110" s="995">
        <v>3</v>
      </c>
      <c r="DW110" s="995">
        <v>6</v>
      </c>
      <c r="DX110" s="996">
        <v>5</v>
      </c>
      <c r="DY110" s="978"/>
      <c r="DZ110" s="994">
        <v>0</v>
      </c>
      <c r="EA110" s="995">
        <f t="shared" si="672"/>
        <v>0</v>
      </c>
      <c r="EB110" s="995">
        <f t="shared" si="672"/>
        <v>1</v>
      </c>
      <c r="EC110" s="995">
        <f t="shared" si="672"/>
        <v>1</v>
      </c>
      <c r="ED110" s="996">
        <f t="shared" si="672"/>
        <v>6</v>
      </c>
      <c r="EF110" s="994">
        <f t="shared" si="673"/>
        <v>3</v>
      </c>
      <c r="EG110" s="995">
        <f t="shared" si="616"/>
        <v>9.25</v>
      </c>
      <c r="EH110" s="995">
        <f t="shared" si="616"/>
        <v>12.600000000000001</v>
      </c>
      <c r="EI110" s="995">
        <f t="shared" si="616"/>
        <v>8.1000000000000014</v>
      </c>
      <c r="EJ110" s="995">
        <f t="shared" si="616"/>
        <v>4.5</v>
      </c>
      <c r="EK110" s="995">
        <f t="shared" si="616"/>
        <v>2.75</v>
      </c>
      <c r="EL110" s="995">
        <f t="shared" si="616"/>
        <v>1</v>
      </c>
      <c r="EM110" s="995">
        <f t="shared" si="616"/>
        <v>1.5</v>
      </c>
      <c r="EN110" s="995">
        <f t="shared" si="616"/>
        <v>2</v>
      </c>
      <c r="EO110" s="995">
        <f t="shared" si="616"/>
        <v>2</v>
      </c>
      <c r="EP110" s="995">
        <f t="shared" si="616"/>
        <v>2</v>
      </c>
      <c r="EQ110" s="996">
        <f t="shared" si="616"/>
        <v>2</v>
      </c>
      <c r="ES110" s="994">
        <f t="shared" si="674"/>
        <v>2</v>
      </c>
      <c r="ET110" s="995">
        <f t="shared" si="617"/>
        <v>2</v>
      </c>
      <c r="EU110" s="995">
        <f t="shared" si="618"/>
        <v>2</v>
      </c>
      <c r="EV110" s="995">
        <f t="shared" si="619"/>
        <v>2</v>
      </c>
      <c r="EW110" s="995">
        <f t="shared" si="620"/>
        <v>2</v>
      </c>
      <c r="EX110" s="995">
        <f t="shared" si="621"/>
        <v>1.5</v>
      </c>
      <c r="EY110" s="995">
        <f t="shared" si="622"/>
        <v>1</v>
      </c>
      <c r="EZ110" s="995">
        <f t="shared" si="623"/>
        <v>1.5</v>
      </c>
      <c r="FA110" s="995">
        <f t="shared" si="624"/>
        <v>2</v>
      </c>
      <c r="FB110" s="995">
        <f t="shared" si="625"/>
        <v>2</v>
      </c>
      <c r="FC110" s="995">
        <f t="shared" si="626"/>
        <v>2</v>
      </c>
      <c r="FD110" s="996">
        <f t="shared" si="627"/>
        <v>2</v>
      </c>
      <c r="FF110" s="994">
        <f t="shared" si="675"/>
        <v>2</v>
      </c>
      <c r="FG110" s="995">
        <f t="shared" si="628"/>
        <v>2</v>
      </c>
      <c r="FH110" s="995">
        <f t="shared" si="629"/>
        <v>2</v>
      </c>
      <c r="FI110" s="995">
        <f t="shared" si="630"/>
        <v>2</v>
      </c>
      <c r="FJ110" s="995">
        <f t="shared" si="631"/>
        <v>2</v>
      </c>
      <c r="FK110" s="995">
        <f t="shared" si="632"/>
        <v>1.5</v>
      </c>
      <c r="FL110" s="995">
        <f t="shared" si="633"/>
        <v>1</v>
      </c>
      <c r="FM110" s="995">
        <f t="shared" si="634"/>
        <v>1.5</v>
      </c>
      <c r="FN110" s="995">
        <f t="shared" si="635"/>
        <v>2</v>
      </c>
      <c r="FO110" s="995">
        <f t="shared" si="636"/>
        <v>2</v>
      </c>
      <c r="FP110" s="995">
        <f t="shared" si="637"/>
        <v>2</v>
      </c>
      <c r="FQ110" s="996">
        <f t="shared" si="638"/>
        <v>2</v>
      </c>
      <c r="FS110" s="994">
        <f t="shared" si="676"/>
        <v>2</v>
      </c>
      <c r="FT110" s="995">
        <f t="shared" si="639"/>
        <v>2</v>
      </c>
      <c r="FU110" s="995">
        <f t="shared" si="640"/>
        <v>2</v>
      </c>
      <c r="FV110" s="995">
        <f t="shared" si="641"/>
        <v>2</v>
      </c>
      <c r="FW110" s="995">
        <f t="shared" si="642"/>
        <v>2</v>
      </c>
      <c r="FX110" s="995">
        <f t="shared" si="643"/>
        <v>1.5</v>
      </c>
      <c r="FY110" s="995">
        <f t="shared" si="644"/>
        <v>1</v>
      </c>
      <c r="FZ110" s="995">
        <f t="shared" si="645"/>
        <v>1</v>
      </c>
      <c r="GA110" s="995">
        <f t="shared" si="646"/>
        <v>1</v>
      </c>
      <c r="GB110" s="995">
        <f t="shared" si="647"/>
        <v>1</v>
      </c>
      <c r="GC110" s="995">
        <f t="shared" si="648"/>
        <v>1</v>
      </c>
      <c r="GD110" s="996">
        <f t="shared" si="649"/>
        <v>1</v>
      </c>
      <c r="GF110" s="994">
        <f t="shared" si="677"/>
        <v>1</v>
      </c>
      <c r="GG110" s="995">
        <f t="shared" si="650"/>
        <v>1</v>
      </c>
      <c r="GH110" s="995">
        <f t="shared" si="651"/>
        <v>1</v>
      </c>
      <c r="GI110" s="995">
        <f t="shared" si="652"/>
        <v>1</v>
      </c>
      <c r="GJ110" s="995">
        <f t="shared" si="653"/>
        <v>1</v>
      </c>
      <c r="GK110" s="995">
        <f t="shared" si="654"/>
        <v>1</v>
      </c>
      <c r="GL110" s="995">
        <f t="shared" si="655"/>
        <v>1</v>
      </c>
      <c r="GM110" s="995">
        <f t="shared" si="656"/>
        <v>1</v>
      </c>
      <c r="GN110" s="995">
        <f t="shared" si="657"/>
        <v>1</v>
      </c>
      <c r="GO110" s="995">
        <f t="shared" si="658"/>
        <v>1</v>
      </c>
      <c r="GP110" s="995">
        <f t="shared" si="659"/>
        <v>1</v>
      </c>
      <c r="GQ110" s="996">
        <f t="shared" si="660"/>
        <v>1</v>
      </c>
      <c r="GS110" s="994">
        <f t="shared" si="678"/>
        <v>1</v>
      </c>
      <c r="GT110" s="995">
        <f t="shared" si="661"/>
        <v>1</v>
      </c>
      <c r="GU110" s="995">
        <f t="shared" si="662"/>
        <v>1</v>
      </c>
      <c r="GV110" s="995">
        <f t="shared" si="663"/>
        <v>1</v>
      </c>
      <c r="GW110" s="995">
        <f t="shared" si="664"/>
        <v>1</v>
      </c>
      <c r="GX110" s="995">
        <f t="shared" si="665"/>
        <v>1</v>
      </c>
      <c r="GY110" s="995">
        <f t="shared" si="666"/>
        <v>1</v>
      </c>
      <c r="GZ110" s="995">
        <f t="shared" si="667"/>
        <v>1</v>
      </c>
      <c r="HA110" s="995">
        <f t="shared" si="668"/>
        <v>1</v>
      </c>
      <c r="HB110" s="995">
        <f t="shared" si="669"/>
        <v>1</v>
      </c>
      <c r="HC110" s="995">
        <f t="shared" si="670"/>
        <v>1</v>
      </c>
      <c r="HD110" s="996">
        <f t="shared" si="671"/>
        <v>1</v>
      </c>
    </row>
    <row r="111" spans="2:212" ht="14.25">
      <c r="B111" s="31"/>
      <c r="C111" s="1116"/>
      <c r="D111" s="31"/>
      <c r="E111" s="31"/>
      <c r="F111" s="31"/>
      <c r="G111" s="31"/>
      <c r="H111" s="31"/>
      <c r="I111" s="31"/>
      <c r="N111" s="1684"/>
      <c r="O111" s="957" t="s">
        <v>125</v>
      </c>
      <c r="P111" s="606">
        <v>2</v>
      </c>
      <c r="Q111" s="606">
        <v>0</v>
      </c>
      <c r="R111" s="606">
        <v>2</v>
      </c>
      <c r="S111" s="606">
        <v>4</v>
      </c>
      <c r="T111" s="606">
        <v>2</v>
      </c>
      <c r="U111" s="606">
        <v>2</v>
      </c>
      <c r="V111" s="606">
        <v>1</v>
      </c>
      <c r="X111" s="1080"/>
      <c r="AA111" s="1684"/>
      <c r="AB111" s="957" t="s">
        <v>125</v>
      </c>
      <c r="DK111" s="1684"/>
      <c r="DL111" s="957" t="s">
        <v>125</v>
      </c>
      <c r="DN111" s="994">
        <v>0</v>
      </c>
      <c r="DO111" s="995">
        <v>2</v>
      </c>
      <c r="DP111" s="995">
        <v>2</v>
      </c>
      <c r="DQ111" s="995">
        <v>3</v>
      </c>
      <c r="DR111" s="996">
        <v>6</v>
      </c>
      <c r="DS111" s="978"/>
      <c r="DT111" s="994">
        <v>0</v>
      </c>
      <c r="DU111" s="995">
        <v>2</v>
      </c>
      <c r="DV111" s="995">
        <v>2</v>
      </c>
      <c r="DW111" s="995">
        <v>3</v>
      </c>
      <c r="DX111" s="996">
        <v>6</v>
      </c>
      <c r="DY111" s="978"/>
      <c r="DZ111" s="994">
        <v>0</v>
      </c>
      <c r="EA111" s="995">
        <f t="shared" si="672"/>
        <v>0</v>
      </c>
      <c r="EB111" s="995">
        <f t="shared" si="672"/>
        <v>0</v>
      </c>
      <c r="EC111" s="995">
        <f t="shared" si="672"/>
        <v>1</v>
      </c>
      <c r="ED111" s="996">
        <f t="shared" si="672"/>
        <v>1</v>
      </c>
      <c r="EF111" s="994">
        <f t="shared" si="673"/>
        <v>6</v>
      </c>
      <c r="EG111" s="995">
        <f t="shared" si="616"/>
        <v>3</v>
      </c>
      <c r="EH111" s="995">
        <f t="shared" si="616"/>
        <v>9.25</v>
      </c>
      <c r="EI111" s="995">
        <f t="shared" si="616"/>
        <v>12.600000000000001</v>
      </c>
      <c r="EJ111" s="995">
        <f t="shared" si="616"/>
        <v>8.1000000000000014</v>
      </c>
      <c r="EK111" s="995">
        <f t="shared" si="616"/>
        <v>4.5</v>
      </c>
      <c r="EL111" s="995">
        <f t="shared" si="616"/>
        <v>2.75</v>
      </c>
      <c r="EM111" s="995">
        <f t="shared" si="616"/>
        <v>1</v>
      </c>
      <c r="EN111" s="995">
        <f t="shared" si="616"/>
        <v>1.5</v>
      </c>
      <c r="EO111" s="995">
        <f t="shared" si="616"/>
        <v>2</v>
      </c>
      <c r="EP111" s="995">
        <f t="shared" si="616"/>
        <v>2</v>
      </c>
      <c r="EQ111" s="996">
        <f t="shared" si="616"/>
        <v>2</v>
      </c>
      <c r="ES111" s="994">
        <f t="shared" si="674"/>
        <v>2</v>
      </c>
      <c r="ET111" s="995">
        <f t="shared" si="617"/>
        <v>2</v>
      </c>
      <c r="EU111" s="995">
        <f t="shared" si="618"/>
        <v>2</v>
      </c>
      <c r="EV111" s="995">
        <f t="shared" si="619"/>
        <v>2</v>
      </c>
      <c r="EW111" s="995">
        <f t="shared" si="620"/>
        <v>2</v>
      </c>
      <c r="EX111" s="995">
        <f t="shared" si="621"/>
        <v>2</v>
      </c>
      <c r="EY111" s="995">
        <f t="shared" si="622"/>
        <v>1.5</v>
      </c>
      <c r="EZ111" s="995">
        <f t="shared" si="623"/>
        <v>1</v>
      </c>
      <c r="FA111" s="995">
        <f t="shared" si="624"/>
        <v>1.5</v>
      </c>
      <c r="FB111" s="995">
        <f t="shared" si="625"/>
        <v>2</v>
      </c>
      <c r="FC111" s="995">
        <f t="shared" si="626"/>
        <v>2</v>
      </c>
      <c r="FD111" s="996">
        <f t="shared" si="627"/>
        <v>2</v>
      </c>
      <c r="FF111" s="994">
        <f t="shared" si="675"/>
        <v>2</v>
      </c>
      <c r="FG111" s="995">
        <f t="shared" si="628"/>
        <v>2</v>
      </c>
      <c r="FH111" s="995">
        <f t="shared" si="629"/>
        <v>2</v>
      </c>
      <c r="FI111" s="995">
        <f t="shared" si="630"/>
        <v>2</v>
      </c>
      <c r="FJ111" s="995">
        <f t="shared" si="631"/>
        <v>2</v>
      </c>
      <c r="FK111" s="995">
        <f t="shared" si="632"/>
        <v>2</v>
      </c>
      <c r="FL111" s="995">
        <f t="shared" si="633"/>
        <v>1.5</v>
      </c>
      <c r="FM111" s="995">
        <f t="shared" si="634"/>
        <v>1</v>
      </c>
      <c r="FN111" s="995">
        <f t="shared" si="635"/>
        <v>1.5</v>
      </c>
      <c r="FO111" s="995">
        <f t="shared" si="636"/>
        <v>2</v>
      </c>
      <c r="FP111" s="995">
        <f t="shared" si="637"/>
        <v>2</v>
      </c>
      <c r="FQ111" s="996">
        <f t="shared" si="638"/>
        <v>2</v>
      </c>
      <c r="FS111" s="994">
        <f t="shared" si="676"/>
        <v>2</v>
      </c>
      <c r="FT111" s="995">
        <f t="shared" si="639"/>
        <v>2</v>
      </c>
      <c r="FU111" s="995">
        <f t="shared" si="640"/>
        <v>2</v>
      </c>
      <c r="FV111" s="995">
        <f t="shared" si="641"/>
        <v>2</v>
      </c>
      <c r="FW111" s="995">
        <f t="shared" si="642"/>
        <v>2</v>
      </c>
      <c r="FX111" s="995">
        <f t="shared" si="643"/>
        <v>2</v>
      </c>
      <c r="FY111" s="995">
        <f t="shared" si="644"/>
        <v>1.5</v>
      </c>
      <c r="FZ111" s="995">
        <f t="shared" si="645"/>
        <v>1</v>
      </c>
      <c r="GA111" s="995">
        <f t="shared" si="646"/>
        <v>1</v>
      </c>
      <c r="GB111" s="995">
        <f t="shared" si="647"/>
        <v>1</v>
      </c>
      <c r="GC111" s="995">
        <f t="shared" si="648"/>
        <v>1</v>
      </c>
      <c r="GD111" s="996">
        <f t="shared" si="649"/>
        <v>1</v>
      </c>
      <c r="GF111" s="994">
        <f t="shared" si="677"/>
        <v>1</v>
      </c>
      <c r="GG111" s="995">
        <f t="shared" si="650"/>
        <v>1</v>
      </c>
      <c r="GH111" s="995">
        <f t="shared" si="651"/>
        <v>1</v>
      </c>
      <c r="GI111" s="995">
        <f t="shared" si="652"/>
        <v>1</v>
      </c>
      <c r="GJ111" s="995">
        <f t="shared" si="653"/>
        <v>1</v>
      </c>
      <c r="GK111" s="995">
        <f t="shared" si="654"/>
        <v>1</v>
      </c>
      <c r="GL111" s="995">
        <f t="shared" si="655"/>
        <v>1</v>
      </c>
      <c r="GM111" s="995">
        <f t="shared" si="656"/>
        <v>1</v>
      </c>
      <c r="GN111" s="995">
        <f t="shared" si="657"/>
        <v>1</v>
      </c>
      <c r="GO111" s="995">
        <f t="shared" si="658"/>
        <v>1</v>
      </c>
      <c r="GP111" s="995">
        <f t="shared" si="659"/>
        <v>1</v>
      </c>
      <c r="GQ111" s="996">
        <f t="shared" si="660"/>
        <v>1</v>
      </c>
      <c r="GS111" s="994">
        <f t="shared" si="678"/>
        <v>1</v>
      </c>
      <c r="GT111" s="995">
        <f t="shared" si="661"/>
        <v>1</v>
      </c>
      <c r="GU111" s="995">
        <f t="shared" si="662"/>
        <v>1</v>
      </c>
      <c r="GV111" s="995">
        <f t="shared" si="663"/>
        <v>1</v>
      </c>
      <c r="GW111" s="995">
        <f t="shared" si="664"/>
        <v>1</v>
      </c>
      <c r="GX111" s="995">
        <f t="shared" si="665"/>
        <v>1</v>
      </c>
      <c r="GY111" s="995">
        <f t="shared" si="666"/>
        <v>1</v>
      </c>
      <c r="GZ111" s="995">
        <f t="shared" si="667"/>
        <v>1</v>
      </c>
      <c r="HA111" s="995">
        <f t="shared" si="668"/>
        <v>1</v>
      </c>
      <c r="HB111" s="995">
        <f t="shared" si="669"/>
        <v>1</v>
      </c>
      <c r="HC111" s="995">
        <f t="shared" si="670"/>
        <v>1</v>
      </c>
      <c r="HD111" s="996">
        <f t="shared" si="671"/>
        <v>1</v>
      </c>
    </row>
    <row r="112" spans="2:212" ht="14.25" customHeight="1">
      <c r="B112" s="1117" t="s">
        <v>1096</v>
      </c>
      <c r="C112" s="1009"/>
      <c r="D112" s="31"/>
      <c r="E112" s="31"/>
      <c r="F112" s="31"/>
      <c r="G112" s="31"/>
      <c r="H112" s="31"/>
      <c r="I112" s="31"/>
      <c r="N112" s="1684"/>
      <c r="O112" s="957" t="s">
        <v>126</v>
      </c>
      <c r="P112" s="606">
        <v>4</v>
      </c>
      <c r="Q112" s="606">
        <v>1</v>
      </c>
      <c r="R112" s="606">
        <v>0</v>
      </c>
      <c r="S112" s="606">
        <v>2</v>
      </c>
      <c r="T112" s="606">
        <v>3</v>
      </c>
      <c r="U112" s="606">
        <v>1</v>
      </c>
      <c r="V112" s="606">
        <v>2</v>
      </c>
      <c r="X112" s="1080"/>
      <c r="AA112" s="1684"/>
      <c r="AB112" s="957" t="s">
        <v>126</v>
      </c>
      <c r="DK112" s="1684"/>
      <c r="DL112" s="957" t="s">
        <v>126</v>
      </c>
      <c r="DN112" s="994">
        <v>1</v>
      </c>
      <c r="DO112" s="995">
        <v>0</v>
      </c>
      <c r="DP112" s="995">
        <v>2</v>
      </c>
      <c r="DQ112" s="995">
        <v>2</v>
      </c>
      <c r="DR112" s="996">
        <v>3</v>
      </c>
      <c r="DS112" s="978"/>
      <c r="DT112" s="994">
        <v>1</v>
      </c>
      <c r="DU112" s="995">
        <v>0</v>
      </c>
      <c r="DV112" s="995">
        <v>2</v>
      </c>
      <c r="DW112" s="995">
        <v>2</v>
      </c>
      <c r="DX112" s="996">
        <v>3</v>
      </c>
      <c r="DY112" s="978"/>
      <c r="DZ112" s="994">
        <v>1</v>
      </c>
      <c r="EA112" s="995">
        <f t="shared" si="672"/>
        <v>0</v>
      </c>
      <c r="EB112" s="995">
        <f t="shared" si="672"/>
        <v>0</v>
      </c>
      <c r="EC112" s="995">
        <f t="shared" si="672"/>
        <v>0</v>
      </c>
      <c r="ED112" s="996">
        <f t="shared" si="672"/>
        <v>1</v>
      </c>
      <c r="EF112" s="994">
        <f t="shared" si="673"/>
        <v>1</v>
      </c>
      <c r="EG112" s="995">
        <f t="shared" si="616"/>
        <v>6</v>
      </c>
      <c r="EH112" s="995">
        <f t="shared" si="616"/>
        <v>3</v>
      </c>
      <c r="EI112" s="995">
        <f t="shared" si="616"/>
        <v>9.25</v>
      </c>
      <c r="EJ112" s="995">
        <f t="shared" si="616"/>
        <v>12.600000000000001</v>
      </c>
      <c r="EK112" s="995">
        <f t="shared" si="616"/>
        <v>8.1000000000000014</v>
      </c>
      <c r="EL112" s="995">
        <f t="shared" si="616"/>
        <v>4.5</v>
      </c>
      <c r="EM112" s="995">
        <f t="shared" si="616"/>
        <v>2.75</v>
      </c>
      <c r="EN112" s="995">
        <f t="shared" si="616"/>
        <v>1</v>
      </c>
      <c r="EO112" s="995">
        <f t="shared" si="616"/>
        <v>1.5</v>
      </c>
      <c r="EP112" s="995">
        <f t="shared" si="616"/>
        <v>2</v>
      </c>
      <c r="EQ112" s="996">
        <f t="shared" si="616"/>
        <v>2</v>
      </c>
      <c r="ES112" s="994">
        <f t="shared" si="674"/>
        <v>2</v>
      </c>
      <c r="ET112" s="995">
        <f t="shared" si="617"/>
        <v>2</v>
      </c>
      <c r="EU112" s="995">
        <f t="shared" si="618"/>
        <v>2</v>
      </c>
      <c r="EV112" s="995">
        <f t="shared" si="619"/>
        <v>2</v>
      </c>
      <c r="EW112" s="995">
        <f t="shared" si="620"/>
        <v>2</v>
      </c>
      <c r="EX112" s="995">
        <f t="shared" si="621"/>
        <v>2</v>
      </c>
      <c r="EY112" s="995">
        <f t="shared" si="622"/>
        <v>2</v>
      </c>
      <c r="EZ112" s="995">
        <f t="shared" si="623"/>
        <v>1.5</v>
      </c>
      <c r="FA112" s="995">
        <f t="shared" si="624"/>
        <v>1</v>
      </c>
      <c r="FB112" s="995">
        <f t="shared" si="625"/>
        <v>1.5</v>
      </c>
      <c r="FC112" s="995">
        <f t="shared" si="626"/>
        <v>2</v>
      </c>
      <c r="FD112" s="996">
        <f t="shared" si="627"/>
        <v>2</v>
      </c>
      <c r="FF112" s="994">
        <f t="shared" si="675"/>
        <v>2</v>
      </c>
      <c r="FG112" s="995">
        <f t="shared" si="628"/>
        <v>2</v>
      </c>
      <c r="FH112" s="995">
        <f t="shared" si="629"/>
        <v>2</v>
      </c>
      <c r="FI112" s="995">
        <f t="shared" si="630"/>
        <v>2</v>
      </c>
      <c r="FJ112" s="995">
        <f t="shared" si="631"/>
        <v>2</v>
      </c>
      <c r="FK112" s="995">
        <f t="shared" si="632"/>
        <v>2</v>
      </c>
      <c r="FL112" s="995">
        <f t="shared" si="633"/>
        <v>2</v>
      </c>
      <c r="FM112" s="995">
        <f t="shared" si="634"/>
        <v>1.5</v>
      </c>
      <c r="FN112" s="995">
        <f t="shared" si="635"/>
        <v>1</v>
      </c>
      <c r="FO112" s="995">
        <f t="shared" si="636"/>
        <v>1.5</v>
      </c>
      <c r="FP112" s="995">
        <f t="shared" si="637"/>
        <v>2</v>
      </c>
      <c r="FQ112" s="996">
        <f t="shared" si="638"/>
        <v>2</v>
      </c>
      <c r="FS112" s="994">
        <f t="shared" si="676"/>
        <v>2</v>
      </c>
      <c r="FT112" s="995">
        <f t="shared" si="639"/>
        <v>2</v>
      </c>
      <c r="FU112" s="995">
        <f t="shared" si="640"/>
        <v>2</v>
      </c>
      <c r="FV112" s="995">
        <f t="shared" si="641"/>
        <v>2</v>
      </c>
      <c r="FW112" s="995">
        <f t="shared" si="642"/>
        <v>2</v>
      </c>
      <c r="FX112" s="995">
        <f t="shared" si="643"/>
        <v>2</v>
      </c>
      <c r="FY112" s="995">
        <f t="shared" si="644"/>
        <v>2</v>
      </c>
      <c r="FZ112" s="995">
        <f t="shared" si="645"/>
        <v>1.5</v>
      </c>
      <c r="GA112" s="995">
        <f t="shared" si="646"/>
        <v>1</v>
      </c>
      <c r="GB112" s="995">
        <f t="shared" si="647"/>
        <v>1</v>
      </c>
      <c r="GC112" s="995">
        <f t="shared" si="648"/>
        <v>1</v>
      </c>
      <c r="GD112" s="996">
        <f t="shared" si="649"/>
        <v>1</v>
      </c>
      <c r="GF112" s="994">
        <f t="shared" si="677"/>
        <v>1</v>
      </c>
      <c r="GG112" s="995">
        <f t="shared" si="650"/>
        <v>1</v>
      </c>
      <c r="GH112" s="995">
        <f t="shared" si="651"/>
        <v>1</v>
      </c>
      <c r="GI112" s="995">
        <f t="shared" si="652"/>
        <v>1</v>
      </c>
      <c r="GJ112" s="995">
        <f t="shared" si="653"/>
        <v>1</v>
      </c>
      <c r="GK112" s="995">
        <f t="shared" si="654"/>
        <v>1</v>
      </c>
      <c r="GL112" s="995">
        <f t="shared" si="655"/>
        <v>1</v>
      </c>
      <c r="GM112" s="995">
        <f t="shared" si="656"/>
        <v>1</v>
      </c>
      <c r="GN112" s="995">
        <f t="shared" si="657"/>
        <v>1</v>
      </c>
      <c r="GO112" s="995">
        <f t="shared" si="658"/>
        <v>1</v>
      </c>
      <c r="GP112" s="995">
        <f t="shared" si="659"/>
        <v>1</v>
      </c>
      <c r="GQ112" s="996">
        <f t="shared" si="660"/>
        <v>1</v>
      </c>
      <c r="GS112" s="994">
        <f t="shared" si="678"/>
        <v>1</v>
      </c>
      <c r="GT112" s="995">
        <f t="shared" si="661"/>
        <v>1</v>
      </c>
      <c r="GU112" s="995">
        <f t="shared" si="662"/>
        <v>1</v>
      </c>
      <c r="GV112" s="995">
        <f t="shared" si="663"/>
        <v>1</v>
      </c>
      <c r="GW112" s="995">
        <f t="shared" si="664"/>
        <v>1</v>
      </c>
      <c r="GX112" s="995">
        <f t="shared" si="665"/>
        <v>1</v>
      </c>
      <c r="GY112" s="995">
        <f t="shared" si="666"/>
        <v>1</v>
      </c>
      <c r="GZ112" s="995">
        <f t="shared" si="667"/>
        <v>1</v>
      </c>
      <c r="HA112" s="995">
        <f t="shared" si="668"/>
        <v>1</v>
      </c>
      <c r="HB112" s="995">
        <f t="shared" si="669"/>
        <v>1</v>
      </c>
      <c r="HC112" s="995">
        <f t="shared" si="670"/>
        <v>1</v>
      </c>
      <c r="HD112" s="996">
        <f t="shared" si="671"/>
        <v>1</v>
      </c>
    </row>
    <row r="113" spans="2:212" ht="14.25">
      <c r="B113" s="988" t="s">
        <v>1097</v>
      </c>
      <c r="C113" s="1118"/>
      <c r="D113" s="1119"/>
      <c r="E113" s="31"/>
      <c r="F113" s="31"/>
      <c r="G113" s="31"/>
      <c r="H113" s="31"/>
      <c r="I113" s="31"/>
      <c r="N113" s="1684"/>
      <c r="O113" s="957" t="s">
        <v>127</v>
      </c>
      <c r="P113" s="606">
        <v>5</v>
      </c>
      <c r="Q113" s="606">
        <v>4</v>
      </c>
      <c r="R113" s="606">
        <v>1</v>
      </c>
      <c r="S113" s="606">
        <v>0</v>
      </c>
      <c r="T113" s="606">
        <v>1</v>
      </c>
      <c r="U113" s="606">
        <v>2</v>
      </c>
      <c r="V113" s="606">
        <v>1</v>
      </c>
      <c r="X113" s="1080"/>
      <c r="AA113" s="1684"/>
      <c r="AB113" s="957" t="s">
        <v>127</v>
      </c>
      <c r="DK113" s="1684"/>
      <c r="DL113" s="957" t="s">
        <v>127</v>
      </c>
      <c r="DN113" s="994">
        <v>0</v>
      </c>
      <c r="DO113" s="995">
        <v>1</v>
      </c>
      <c r="DP113" s="995">
        <v>0</v>
      </c>
      <c r="DQ113" s="995">
        <v>2</v>
      </c>
      <c r="DR113" s="996">
        <v>2</v>
      </c>
      <c r="DS113" s="978"/>
      <c r="DT113" s="994">
        <v>0</v>
      </c>
      <c r="DU113" s="995">
        <v>1</v>
      </c>
      <c r="DV113" s="995">
        <v>0</v>
      </c>
      <c r="DW113" s="995">
        <v>2</v>
      </c>
      <c r="DX113" s="996">
        <v>2</v>
      </c>
      <c r="DY113" s="978"/>
      <c r="DZ113" s="994">
        <v>0</v>
      </c>
      <c r="EA113" s="995">
        <f t="shared" si="672"/>
        <v>1</v>
      </c>
      <c r="EB113" s="995">
        <f t="shared" si="672"/>
        <v>0</v>
      </c>
      <c r="EC113" s="995">
        <f t="shared" si="672"/>
        <v>0</v>
      </c>
      <c r="ED113" s="996">
        <f t="shared" si="672"/>
        <v>0</v>
      </c>
      <c r="EF113" s="994">
        <f t="shared" si="673"/>
        <v>1</v>
      </c>
      <c r="EG113" s="995">
        <f t="shared" si="616"/>
        <v>1</v>
      </c>
      <c r="EH113" s="995">
        <f t="shared" si="616"/>
        <v>6</v>
      </c>
      <c r="EI113" s="995">
        <f t="shared" si="616"/>
        <v>3</v>
      </c>
      <c r="EJ113" s="995">
        <f t="shared" si="616"/>
        <v>9.25</v>
      </c>
      <c r="EK113" s="995">
        <f t="shared" si="616"/>
        <v>12.600000000000001</v>
      </c>
      <c r="EL113" s="995">
        <f t="shared" si="616"/>
        <v>8.1000000000000014</v>
      </c>
      <c r="EM113" s="995">
        <f t="shared" si="616"/>
        <v>4.5</v>
      </c>
      <c r="EN113" s="995">
        <f t="shared" si="616"/>
        <v>2.75</v>
      </c>
      <c r="EO113" s="995">
        <f t="shared" si="616"/>
        <v>1</v>
      </c>
      <c r="EP113" s="995">
        <f t="shared" si="616"/>
        <v>1.5</v>
      </c>
      <c r="EQ113" s="996">
        <f t="shared" si="616"/>
        <v>2</v>
      </c>
      <c r="ES113" s="994">
        <f t="shared" si="674"/>
        <v>2</v>
      </c>
      <c r="ET113" s="995">
        <f t="shared" si="617"/>
        <v>2</v>
      </c>
      <c r="EU113" s="995">
        <f t="shared" si="618"/>
        <v>2</v>
      </c>
      <c r="EV113" s="995">
        <f t="shared" si="619"/>
        <v>2</v>
      </c>
      <c r="EW113" s="995">
        <f t="shared" si="620"/>
        <v>2</v>
      </c>
      <c r="EX113" s="995">
        <f t="shared" si="621"/>
        <v>2</v>
      </c>
      <c r="EY113" s="995">
        <f t="shared" si="622"/>
        <v>2</v>
      </c>
      <c r="EZ113" s="995">
        <f t="shared" si="623"/>
        <v>2</v>
      </c>
      <c r="FA113" s="995">
        <f t="shared" si="624"/>
        <v>1.5</v>
      </c>
      <c r="FB113" s="995">
        <f t="shared" si="625"/>
        <v>1</v>
      </c>
      <c r="FC113" s="995">
        <f t="shared" si="626"/>
        <v>1.5</v>
      </c>
      <c r="FD113" s="996">
        <f t="shared" si="627"/>
        <v>2</v>
      </c>
      <c r="FF113" s="994">
        <f t="shared" si="675"/>
        <v>2</v>
      </c>
      <c r="FG113" s="995">
        <f t="shared" si="628"/>
        <v>2</v>
      </c>
      <c r="FH113" s="995">
        <f t="shared" si="629"/>
        <v>2</v>
      </c>
      <c r="FI113" s="995">
        <f t="shared" si="630"/>
        <v>2</v>
      </c>
      <c r="FJ113" s="995">
        <f t="shared" si="631"/>
        <v>2</v>
      </c>
      <c r="FK113" s="995">
        <f t="shared" si="632"/>
        <v>2</v>
      </c>
      <c r="FL113" s="995">
        <f t="shared" si="633"/>
        <v>2</v>
      </c>
      <c r="FM113" s="995">
        <f t="shared" si="634"/>
        <v>2</v>
      </c>
      <c r="FN113" s="995">
        <f t="shared" si="635"/>
        <v>1.5</v>
      </c>
      <c r="FO113" s="995">
        <f t="shared" si="636"/>
        <v>1</v>
      </c>
      <c r="FP113" s="995">
        <f t="shared" si="637"/>
        <v>1.5</v>
      </c>
      <c r="FQ113" s="996">
        <f t="shared" si="638"/>
        <v>2</v>
      </c>
      <c r="FS113" s="994">
        <f t="shared" si="676"/>
        <v>2</v>
      </c>
      <c r="FT113" s="995">
        <f t="shared" si="639"/>
        <v>2</v>
      </c>
      <c r="FU113" s="995">
        <f t="shared" si="640"/>
        <v>2</v>
      </c>
      <c r="FV113" s="995">
        <f t="shared" si="641"/>
        <v>2</v>
      </c>
      <c r="FW113" s="995">
        <f t="shared" si="642"/>
        <v>2</v>
      </c>
      <c r="FX113" s="995">
        <f t="shared" si="643"/>
        <v>2</v>
      </c>
      <c r="FY113" s="995">
        <f t="shared" si="644"/>
        <v>2</v>
      </c>
      <c r="FZ113" s="995">
        <f t="shared" si="645"/>
        <v>2</v>
      </c>
      <c r="GA113" s="995">
        <f t="shared" si="646"/>
        <v>1.5</v>
      </c>
      <c r="GB113" s="995">
        <f t="shared" si="647"/>
        <v>1</v>
      </c>
      <c r="GC113" s="995">
        <f t="shared" si="648"/>
        <v>1</v>
      </c>
      <c r="GD113" s="996">
        <f t="shared" si="649"/>
        <v>1</v>
      </c>
      <c r="GF113" s="994">
        <f t="shared" si="677"/>
        <v>1</v>
      </c>
      <c r="GG113" s="995">
        <f t="shared" si="650"/>
        <v>1</v>
      </c>
      <c r="GH113" s="995">
        <f t="shared" si="651"/>
        <v>1</v>
      </c>
      <c r="GI113" s="995">
        <f t="shared" si="652"/>
        <v>1</v>
      </c>
      <c r="GJ113" s="995">
        <f t="shared" si="653"/>
        <v>1</v>
      </c>
      <c r="GK113" s="995">
        <f t="shared" si="654"/>
        <v>1</v>
      </c>
      <c r="GL113" s="995">
        <f t="shared" si="655"/>
        <v>1</v>
      </c>
      <c r="GM113" s="995">
        <f t="shared" si="656"/>
        <v>1</v>
      </c>
      <c r="GN113" s="995">
        <f t="shared" si="657"/>
        <v>1</v>
      </c>
      <c r="GO113" s="995">
        <f t="shared" si="658"/>
        <v>1</v>
      </c>
      <c r="GP113" s="995">
        <f t="shared" si="659"/>
        <v>1</v>
      </c>
      <c r="GQ113" s="996">
        <f t="shared" si="660"/>
        <v>1</v>
      </c>
      <c r="GS113" s="994">
        <f t="shared" si="678"/>
        <v>1</v>
      </c>
      <c r="GT113" s="995">
        <f t="shared" si="661"/>
        <v>1</v>
      </c>
      <c r="GU113" s="995">
        <f t="shared" si="662"/>
        <v>1</v>
      </c>
      <c r="GV113" s="995">
        <f t="shared" si="663"/>
        <v>1</v>
      </c>
      <c r="GW113" s="995">
        <f t="shared" si="664"/>
        <v>1</v>
      </c>
      <c r="GX113" s="995">
        <f t="shared" si="665"/>
        <v>1</v>
      </c>
      <c r="GY113" s="995">
        <f t="shared" si="666"/>
        <v>1</v>
      </c>
      <c r="GZ113" s="995">
        <f t="shared" si="667"/>
        <v>1</v>
      </c>
      <c r="HA113" s="995">
        <f t="shared" si="668"/>
        <v>1</v>
      </c>
      <c r="HB113" s="995">
        <f t="shared" si="669"/>
        <v>1</v>
      </c>
      <c r="HC113" s="995">
        <f t="shared" si="670"/>
        <v>1</v>
      </c>
      <c r="HD113" s="996">
        <f t="shared" si="671"/>
        <v>1</v>
      </c>
    </row>
    <row r="114" spans="2:212">
      <c r="B114" s="1095" t="s">
        <v>1098</v>
      </c>
      <c r="C114" s="988"/>
      <c r="D114" s="988"/>
      <c r="E114" s="1117"/>
      <c r="F114" s="1117"/>
      <c r="G114" s="1117"/>
      <c r="H114" s="1117"/>
      <c r="I114" s="1117"/>
      <c r="N114" s="1684"/>
      <c r="O114" s="957" t="s">
        <v>163</v>
      </c>
      <c r="P114" s="606">
        <v>6</v>
      </c>
      <c r="Q114" s="606">
        <v>5</v>
      </c>
      <c r="R114" s="606">
        <v>4</v>
      </c>
      <c r="S114" s="606">
        <v>1</v>
      </c>
      <c r="T114" s="606">
        <v>0</v>
      </c>
      <c r="U114" s="606">
        <v>1</v>
      </c>
      <c r="V114" s="606">
        <v>2</v>
      </c>
      <c r="X114" s="1080"/>
      <c r="AA114" s="1684"/>
      <c r="AB114" s="957" t="s">
        <v>163</v>
      </c>
      <c r="DK114" s="1684"/>
      <c r="DL114" s="957" t="s">
        <v>163</v>
      </c>
      <c r="DN114" s="994">
        <v>0</v>
      </c>
      <c r="DO114" s="995">
        <v>2</v>
      </c>
      <c r="DP114" s="995">
        <v>1</v>
      </c>
      <c r="DQ114" s="995">
        <v>0</v>
      </c>
      <c r="DR114" s="996">
        <v>2</v>
      </c>
      <c r="DS114" s="978"/>
      <c r="DT114" s="994">
        <v>0</v>
      </c>
      <c r="DU114" s="995">
        <v>2</v>
      </c>
      <c r="DV114" s="995">
        <v>1</v>
      </c>
      <c r="DW114" s="995">
        <v>0</v>
      </c>
      <c r="DX114" s="996">
        <v>2</v>
      </c>
      <c r="DY114" s="978"/>
      <c r="DZ114" s="994">
        <v>0</v>
      </c>
      <c r="EA114" s="995">
        <f t="shared" si="672"/>
        <v>0</v>
      </c>
      <c r="EB114" s="995">
        <f t="shared" si="672"/>
        <v>1</v>
      </c>
      <c r="EC114" s="995">
        <f t="shared" si="672"/>
        <v>0</v>
      </c>
      <c r="ED114" s="996">
        <f t="shared" si="672"/>
        <v>0</v>
      </c>
      <c r="EF114" s="994">
        <f t="shared" si="673"/>
        <v>0</v>
      </c>
      <c r="EG114" s="995">
        <f t="shared" si="616"/>
        <v>1</v>
      </c>
      <c r="EH114" s="995">
        <f t="shared" si="616"/>
        <v>1</v>
      </c>
      <c r="EI114" s="995">
        <f t="shared" si="616"/>
        <v>6</v>
      </c>
      <c r="EJ114" s="995">
        <f t="shared" si="616"/>
        <v>3</v>
      </c>
      <c r="EK114" s="995">
        <f t="shared" si="616"/>
        <v>9.25</v>
      </c>
      <c r="EL114" s="995">
        <f t="shared" si="616"/>
        <v>12.600000000000001</v>
      </c>
      <c r="EM114" s="995">
        <f t="shared" si="616"/>
        <v>8.1000000000000014</v>
      </c>
      <c r="EN114" s="995">
        <f t="shared" si="616"/>
        <v>4.5</v>
      </c>
      <c r="EO114" s="995">
        <f t="shared" si="616"/>
        <v>2.75</v>
      </c>
      <c r="EP114" s="995">
        <f t="shared" si="616"/>
        <v>1</v>
      </c>
      <c r="EQ114" s="996">
        <f t="shared" si="616"/>
        <v>1.5</v>
      </c>
      <c r="ES114" s="994">
        <f t="shared" si="674"/>
        <v>2</v>
      </c>
      <c r="ET114" s="995">
        <f t="shared" si="617"/>
        <v>2</v>
      </c>
      <c r="EU114" s="995">
        <f t="shared" si="618"/>
        <v>2</v>
      </c>
      <c r="EV114" s="995">
        <f t="shared" si="619"/>
        <v>2</v>
      </c>
      <c r="EW114" s="995">
        <f t="shared" si="620"/>
        <v>2</v>
      </c>
      <c r="EX114" s="995">
        <f t="shared" si="621"/>
        <v>2</v>
      </c>
      <c r="EY114" s="995">
        <f t="shared" si="622"/>
        <v>2</v>
      </c>
      <c r="EZ114" s="995">
        <f t="shared" si="623"/>
        <v>2</v>
      </c>
      <c r="FA114" s="995">
        <f t="shared" si="624"/>
        <v>2</v>
      </c>
      <c r="FB114" s="995">
        <f t="shared" si="625"/>
        <v>1.5</v>
      </c>
      <c r="FC114" s="995">
        <f t="shared" si="626"/>
        <v>1</v>
      </c>
      <c r="FD114" s="996">
        <f t="shared" si="627"/>
        <v>1.5</v>
      </c>
      <c r="FF114" s="994">
        <f t="shared" si="675"/>
        <v>2</v>
      </c>
      <c r="FG114" s="995">
        <f t="shared" si="628"/>
        <v>2</v>
      </c>
      <c r="FH114" s="995">
        <f t="shared" si="629"/>
        <v>2</v>
      </c>
      <c r="FI114" s="995">
        <f t="shared" si="630"/>
        <v>2</v>
      </c>
      <c r="FJ114" s="995">
        <f t="shared" si="631"/>
        <v>2</v>
      </c>
      <c r="FK114" s="995">
        <f t="shared" si="632"/>
        <v>2</v>
      </c>
      <c r="FL114" s="995">
        <f t="shared" si="633"/>
        <v>2</v>
      </c>
      <c r="FM114" s="995">
        <f t="shared" si="634"/>
        <v>2</v>
      </c>
      <c r="FN114" s="995">
        <f t="shared" si="635"/>
        <v>2</v>
      </c>
      <c r="FO114" s="995">
        <f t="shared" si="636"/>
        <v>1.5</v>
      </c>
      <c r="FP114" s="995">
        <f t="shared" si="637"/>
        <v>1</v>
      </c>
      <c r="FQ114" s="996">
        <f t="shared" si="638"/>
        <v>1.5</v>
      </c>
      <c r="FS114" s="994">
        <f t="shared" si="676"/>
        <v>2</v>
      </c>
      <c r="FT114" s="995">
        <f t="shared" si="639"/>
        <v>2</v>
      </c>
      <c r="FU114" s="995">
        <f t="shared" si="640"/>
        <v>2</v>
      </c>
      <c r="FV114" s="995">
        <f t="shared" si="641"/>
        <v>2</v>
      </c>
      <c r="FW114" s="995">
        <f t="shared" si="642"/>
        <v>2</v>
      </c>
      <c r="FX114" s="995">
        <f t="shared" si="643"/>
        <v>2</v>
      </c>
      <c r="FY114" s="995">
        <f t="shared" si="644"/>
        <v>2</v>
      </c>
      <c r="FZ114" s="995">
        <f t="shared" si="645"/>
        <v>2</v>
      </c>
      <c r="GA114" s="995">
        <f t="shared" si="646"/>
        <v>2</v>
      </c>
      <c r="GB114" s="995">
        <f t="shared" si="647"/>
        <v>1.5</v>
      </c>
      <c r="GC114" s="995">
        <f t="shared" si="648"/>
        <v>1</v>
      </c>
      <c r="GD114" s="996">
        <f t="shared" si="649"/>
        <v>1</v>
      </c>
      <c r="GF114" s="994">
        <f t="shared" si="677"/>
        <v>1</v>
      </c>
      <c r="GG114" s="995">
        <f t="shared" si="650"/>
        <v>1</v>
      </c>
      <c r="GH114" s="995">
        <f t="shared" si="651"/>
        <v>1</v>
      </c>
      <c r="GI114" s="995">
        <f t="shared" si="652"/>
        <v>1</v>
      </c>
      <c r="GJ114" s="995">
        <f t="shared" si="653"/>
        <v>1</v>
      </c>
      <c r="GK114" s="995">
        <f t="shared" si="654"/>
        <v>1</v>
      </c>
      <c r="GL114" s="995">
        <f t="shared" si="655"/>
        <v>1</v>
      </c>
      <c r="GM114" s="995">
        <f t="shared" si="656"/>
        <v>1</v>
      </c>
      <c r="GN114" s="995">
        <f t="shared" si="657"/>
        <v>1</v>
      </c>
      <c r="GO114" s="995">
        <f t="shared" si="658"/>
        <v>1</v>
      </c>
      <c r="GP114" s="995">
        <f t="shared" si="659"/>
        <v>1</v>
      </c>
      <c r="GQ114" s="996">
        <f t="shared" si="660"/>
        <v>1</v>
      </c>
      <c r="GS114" s="994">
        <f t="shared" si="678"/>
        <v>1</v>
      </c>
      <c r="GT114" s="995">
        <f t="shared" si="661"/>
        <v>1</v>
      </c>
      <c r="GU114" s="995">
        <f t="shared" si="662"/>
        <v>1</v>
      </c>
      <c r="GV114" s="995">
        <f t="shared" si="663"/>
        <v>1</v>
      </c>
      <c r="GW114" s="995">
        <f t="shared" si="664"/>
        <v>1</v>
      </c>
      <c r="GX114" s="995">
        <f t="shared" si="665"/>
        <v>1</v>
      </c>
      <c r="GY114" s="995">
        <f t="shared" si="666"/>
        <v>1</v>
      </c>
      <c r="GZ114" s="995">
        <f t="shared" si="667"/>
        <v>1</v>
      </c>
      <c r="HA114" s="995">
        <f t="shared" si="668"/>
        <v>1</v>
      </c>
      <c r="HB114" s="995">
        <f t="shared" si="669"/>
        <v>1</v>
      </c>
      <c r="HC114" s="995">
        <f t="shared" si="670"/>
        <v>1</v>
      </c>
      <c r="HD114" s="996">
        <f t="shared" si="671"/>
        <v>1</v>
      </c>
    </row>
    <row r="115" spans="2:212">
      <c r="B115" s="980"/>
      <c r="D115" s="948"/>
      <c r="E115" s="948"/>
      <c r="F115" s="948"/>
      <c r="G115" s="1006"/>
      <c r="H115" s="948"/>
      <c r="I115" s="607"/>
      <c r="N115" s="1684"/>
      <c r="O115" s="957" t="s">
        <v>164</v>
      </c>
      <c r="P115" s="606">
        <v>1</v>
      </c>
      <c r="Q115" s="606">
        <v>6</v>
      </c>
      <c r="R115" s="606">
        <v>5</v>
      </c>
      <c r="S115" s="606">
        <v>4</v>
      </c>
      <c r="T115" s="606">
        <v>1</v>
      </c>
      <c r="U115" s="606">
        <v>0</v>
      </c>
      <c r="V115" s="606">
        <v>1</v>
      </c>
      <c r="X115" s="1080"/>
      <c r="AA115" s="1684"/>
      <c r="AB115" s="957" t="s">
        <v>164</v>
      </c>
      <c r="DK115" s="1684"/>
      <c r="DL115" s="957" t="s">
        <v>164</v>
      </c>
      <c r="DN115" s="994">
        <v>0</v>
      </c>
      <c r="DO115" s="995">
        <v>1</v>
      </c>
      <c r="DP115" s="995">
        <v>2</v>
      </c>
      <c r="DQ115" s="995">
        <v>1</v>
      </c>
      <c r="DR115" s="996">
        <v>0</v>
      </c>
      <c r="DS115" s="978"/>
      <c r="DT115" s="994">
        <v>0</v>
      </c>
      <c r="DU115" s="995">
        <v>1</v>
      </c>
      <c r="DV115" s="995">
        <v>2</v>
      </c>
      <c r="DW115" s="995">
        <v>1</v>
      </c>
      <c r="DX115" s="996">
        <v>0</v>
      </c>
      <c r="DY115" s="978"/>
      <c r="DZ115" s="994">
        <v>0</v>
      </c>
      <c r="EA115" s="995">
        <f t="shared" si="672"/>
        <v>0</v>
      </c>
      <c r="EB115" s="995">
        <f t="shared" si="672"/>
        <v>0</v>
      </c>
      <c r="EC115" s="995">
        <f t="shared" si="672"/>
        <v>1</v>
      </c>
      <c r="ED115" s="996">
        <f t="shared" si="672"/>
        <v>0</v>
      </c>
      <c r="EF115" s="994">
        <f t="shared" si="673"/>
        <v>0</v>
      </c>
      <c r="EG115" s="995">
        <f t="shared" si="616"/>
        <v>0</v>
      </c>
      <c r="EH115" s="995">
        <f t="shared" si="616"/>
        <v>1</v>
      </c>
      <c r="EI115" s="995">
        <f t="shared" si="616"/>
        <v>1</v>
      </c>
      <c r="EJ115" s="995">
        <f t="shared" si="616"/>
        <v>6</v>
      </c>
      <c r="EK115" s="995">
        <f t="shared" si="616"/>
        <v>3</v>
      </c>
      <c r="EL115" s="995">
        <f t="shared" si="616"/>
        <v>9.25</v>
      </c>
      <c r="EM115" s="995">
        <f t="shared" si="616"/>
        <v>12.600000000000001</v>
      </c>
      <c r="EN115" s="995">
        <f t="shared" si="616"/>
        <v>8.1000000000000014</v>
      </c>
      <c r="EO115" s="995">
        <f t="shared" si="616"/>
        <v>4.5</v>
      </c>
      <c r="EP115" s="995">
        <f t="shared" si="616"/>
        <v>2.75</v>
      </c>
      <c r="EQ115" s="996">
        <f t="shared" si="616"/>
        <v>1</v>
      </c>
      <c r="ES115" s="994">
        <f t="shared" si="674"/>
        <v>1.5</v>
      </c>
      <c r="ET115" s="995">
        <f t="shared" si="617"/>
        <v>2</v>
      </c>
      <c r="EU115" s="995">
        <f t="shared" si="618"/>
        <v>2</v>
      </c>
      <c r="EV115" s="995">
        <f t="shared" si="619"/>
        <v>2</v>
      </c>
      <c r="EW115" s="995">
        <f t="shared" si="620"/>
        <v>2</v>
      </c>
      <c r="EX115" s="995">
        <f t="shared" si="621"/>
        <v>2</v>
      </c>
      <c r="EY115" s="995">
        <f t="shared" si="622"/>
        <v>2</v>
      </c>
      <c r="EZ115" s="995">
        <f t="shared" si="623"/>
        <v>2</v>
      </c>
      <c r="FA115" s="995">
        <f t="shared" si="624"/>
        <v>2</v>
      </c>
      <c r="FB115" s="995">
        <f t="shared" si="625"/>
        <v>2</v>
      </c>
      <c r="FC115" s="995">
        <f t="shared" si="626"/>
        <v>1.5</v>
      </c>
      <c r="FD115" s="996">
        <f t="shared" si="627"/>
        <v>1</v>
      </c>
      <c r="FF115" s="994">
        <f t="shared" si="675"/>
        <v>1.5</v>
      </c>
      <c r="FG115" s="995">
        <f t="shared" si="628"/>
        <v>2</v>
      </c>
      <c r="FH115" s="995">
        <f t="shared" si="629"/>
        <v>2</v>
      </c>
      <c r="FI115" s="995">
        <f t="shared" si="630"/>
        <v>2</v>
      </c>
      <c r="FJ115" s="995">
        <f t="shared" si="631"/>
        <v>2</v>
      </c>
      <c r="FK115" s="995">
        <f t="shared" si="632"/>
        <v>2</v>
      </c>
      <c r="FL115" s="995">
        <f t="shared" si="633"/>
        <v>2</v>
      </c>
      <c r="FM115" s="995">
        <f t="shared" si="634"/>
        <v>2</v>
      </c>
      <c r="FN115" s="995">
        <f t="shared" si="635"/>
        <v>2</v>
      </c>
      <c r="FO115" s="995">
        <f t="shared" si="636"/>
        <v>2</v>
      </c>
      <c r="FP115" s="995">
        <f t="shared" si="637"/>
        <v>1.5</v>
      </c>
      <c r="FQ115" s="996">
        <f t="shared" si="638"/>
        <v>1</v>
      </c>
      <c r="FS115" s="994">
        <f t="shared" si="676"/>
        <v>1.5</v>
      </c>
      <c r="FT115" s="995">
        <f t="shared" si="639"/>
        <v>2</v>
      </c>
      <c r="FU115" s="995">
        <f t="shared" si="640"/>
        <v>2</v>
      </c>
      <c r="FV115" s="995">
        <f t="shared" si="641"/>
        <v>2</v>
      </c>
      <c r="FW115" s="995">
        <f t="shared" si="642"/>
        <v>2</v>
      </c>
      <c r="FX115" s="995">
        <f t="shared" si="643"/>
        <v>2</v>
      </c>
      <c r="FY115" s="995">
        <f t="shared" si="644"/>
        <v>2</v>
      </c>
      <c r="FZ115" s="995">
        <f t="shared" si="645"/>
        <v>2</v>
      </c>
      <c r="GA115" s="995">
        <f t="shared" si="646"/>
        <v>2</v>
      </c>
      <c r="GB115" s="995">
        <f t="shared" si="647"/>
        <v>2</v>
      </c>
      <c r="GC115" s="995">
        <f t="shared" si="648"/>
        <v>1.5</v>
      </c>
      <c r="GD115" s="996">
        <f t="shared" si="649"/>
        <v>1</v>
      </c>
      <c r="GF115" s="994">
        <f t="shared" si="677"/>
        <v>1</v>
      </c>
      <c r="GG115" s="995">
        <f t="shared" si="650"/>
        <v>1</v>
      </c>
      <c r="GH115" s="995">
        <f t="shared" si="651"/>
        <v>1</v>
      </c>
      <c r="GI115" s="995">
        <f t="shared" si="652"/>
        <v>1</v>
      </c>
      <c r="GJ115" s="995">
        <f t="shared" si="653"/>
        <v>1</v>
      </c>
      <c r="GK115" s="995">
        <f t="shared" si="654"/>
        <v>1</v>
      </c>
      <c r="GL115" s="995">
        <f t="shared" si="655"/>
        <v>1</v>
      </c>
      <c r="GM115" s="995">
        <f t="shared" si="656"/>
        <v>1</v>
      </c>
      <c r="GN115" s="995">
        <f t="shared" si="657"/>
        <v>1</v>
      </c>
      <c r="GO115" s="995">
        <f t="shared" si="658"/>
        <v>1</v>
      </c>
      <c r="GP115" s="995">
        <f t="shared" si="659"/>
        <v>1</v>
      </c>
      <c r="GQ115" s="996">
        <f t="shared" si="660"/>
        <v>1</v>
      </c>
      <c r="GS115" s="994">
        <f t="shared" si="678"/>
        <v>1</v>
      </c>
      <c r="GT115" s="995">
        <f t="shared" si="661"/>
        <v>1</v>
      </c>
      <c r="GU115" s="995">
        <f t="shared" si="662"/>
        <v>1</v>
      </c>
      <c r="GV115" s="995">
        <f t="shared" si="663"/>
        <v>1</v>
      </c>
      <c r="GW115" s="995">
        <f t="shared" si="664"/>
        <v>1</v>
      </c>
      <c r="GX115" s="995">
        <f t="shared" si="665"/>
        <v>1</v>
      </c>
      <c r="GY115" s="995">
        <f t="shared" si="666"/>
        <v>1</v>
      </c>
      <c r="GZ115" s="995">
        <f t="shared" si="667"/>
        <v>1</v>
      </c>
      <c r="HA115" s="995">
        <f t="shared" si="668"/>
        <v>1</v>
      </c>
      <c r="HB115" s="995">
        <f t="shared" si="669"/>
        <v>1</v>
      </c>
      <c r="HC115" s="995">
        <f t="shared" si="670"/>
        <v>1</v>
      </c>
      <c r="HD115" s="996">
        <f t="shared" si="671"/>
        <v>1</v>
      </c>
    </row>
    <row r="116" spans="2:212">
      <c r="B116" s="977"/>
      <c r="C116" s="983" t="s">
        <v>1045</v>
      </c>
      <c r="D116" s="983"/>
      <c r="E116" s="983"/>
      <c r="F116" s="983"/>
      <c r="G116" s="983"/>
      <c r="H116" s="982"/>
      <c r="I116" s="982"/>
      <c r="N116" s="1684"/>
      <c r="O116" s="957" t="s">
        <v>166</v>
      </c>
      <c r="P116" s="606">
        <v>7</v>
      </c>
      <c r="Q116" s="606">
        <v>1</v>
      </c>
      <c r="R116" s="606">
        <v>6</v>
      </c>
      <c r="S116" s="606">
        <v>5</v>
      </c>
      <c r="T116" s="606">
        <v>3</v>
      </c>
      <c r="U116" s="606">
        <v>1</v>
      </c>
      <c r="V116" s="606">
        <v>4</v>
      </c>
      <c r="AA116" s="1684"/>
      <c r="AB116" s="957" t="s">
        <v>166</v>
      </c>
      <c r="DK116" s="1684"/>
      <c r="DL116" s="957" t="s">
        <v>166</v>
      </c>
      <c r="DN116" s="994">
        <v>0</v>
      </c>
      <c r="DO116" s="995">
        <v>2</v>
      </c>
      <c r="DP116" s="995">
        <v>1</v>
      </c>
      <c r="DQ116" s="995">
        <v>2</v>
      </c>
      <c r="DR116" s="996">
        <v>1</v>
      </c>
      <c r="DS116" s="978"/>
      <c r="DT116" s="994">
        <v>0</v>
      </c>
      <c r="DU116" s="995">
        <v>2</v>
      </c>
      <c r="DV116" s="995">
        <v>1</v>
      </c>
      <c r="DW116" s="995">
        <v>2</v>
      </c>
      <c r="DX116" s="996">
        <v>1</v>
      </c>
      <c r="DY116" s="978"/>
      <c r="DZ116" s="994">
        <v>0</v>
      </c>
      <c r="EA116" s="995">
        <f t="shared" si="672"/>
        <v>0</v>
      </c>
      <c r="EB116" s="995">
        <f t="shared" si="672"/>
        <v>0</v>
      </c>
      <c r="EC116" s="995">
        <f t="shared" si="672"/>
        <v>0</v>
      </c>
      <c r="ED116" s="996">
        <f t="shared" si="672"/>
        <v>1</v>
      </c>
      <c r="EF116" s="994">
        <f t="shared" si="673"/>
        <v>0</v>
      </c>
      <c r="EG116" s="995">
        <f t="shared" si="616"/>
        <v>0</v>
      </c>
      <c r="EH116" s="995">
        <f t="shared" si="616"/>
        <v>0</v>
      </c>
      <c r="EI116" s="995">
        <f t="shared" si="616"/>
        <v>1</v>
      </c>
      <c r="EJ116" s="995">
        <f t="shared" si="616"/>
        <v>1</v>
      </c>
      <c r="EK116" s="995">
        <f t="shared" si="616"/>
        <v>6</v>
      </c>
      <c r="EL116" s="995">
        <f t="shared" si="616"/>
        <v>3</v>
      </c>
      <c r="EM116" s="995">
        <f t="shared" si="616"/>
        <v>9.25</v>
      </c>
      <c r="EN116" s="995">
        <f t="shared" si="616"/>
        <v>12.600000000000001</v>
      </c>
      <c r="EO116" s="995">
        <f t="shared" si="616"/>
        <v>8.1000000000000014</v>
      </c>
      <c r="EP116" s="995">
        <f t="shared" si="616"/>
        <v>4.5</v>
      </c>
      <c r="EQ116" s="996">
        <f t="shared" si="616"/>
        <v>2.75</v>
      </c>
      <c r="ES116" s="994">
        <f t="shared" si="674"/>
        <v>1</v>
      </c>
      <c r="ET116" s="995">
        <f t="shared" si="617"/>
        <v>1.5</v>
      </c>
      <c r="EU116" s="995">
        <f t="shared" si="618"/>
        <v>2</v>
      </c>
      <c r="EV116" s="995">
        <f t="shared" si="619"/>
        <v>2</v>
      </c>
      <c r="EW116" s="995">
        <f t="shared" si="620"/>
        <v>2</v>
      </c>
      <c r="EX116" s="995">
        <f t="shared" si="621"/>
        <v>2</v>
      </c>
      <c r="EY116" s="995">
        <f t="shared" si="622"/>
        <v>2</v>
      </c>
      <c r="EZ116" s="995">
        <f t="shared" si="623"/>
        <v>2</v>
      </c>
      <c r="FA116" s="995">
        <f t="shared" si="624"/>
        <v>2</v>
      </c>
      <c r="FB116" s="995">
        <f t="shared" si="625"/>
        <v>2</v>
      </c>
      <c r="FC116" s="995">
        <f t="shared" si="626"/>
        <v>2</v>
      </c>
      <c r="FD116" s="996">
        <f t="shared" si="627"/>
        <v>1.5</v>
      </c>
      <c r="FF116" s="994">
        <f t="shared" si="675"/>
        <v>1</v>
      </c>
      <c r="FG116" s="995">
        <f t="shared" si="628"/>
        <v>1.5</v>
      </c>
      <c r="FH116" s="995">
        <f t="shared" si="629"/>
        <v>2</v>
      </c>
      <c r="FI116" s="995">
        <f t="shared" si="630"/>
        <v>2</v>
      </c>
      <c r="FJ116" s="995">
        <f t="shared" si="631"/>
        <v>2</v>
      </c>
      <c r="FK116" s="995">
        <f t="shared" si="632"/>
        <v>2</v>
      </c>
      <c r="FL116" s="995">
        <f t="shared" si="633"/>
        <v>2</v>
      </c>
      <c r="FM116" s="995">
        <f t="shared" si="634"/>
        <v>2</v>
      </c>
      <c r="FN116" s="995">
        <f t="shared" si="635"/>
        <v>2</v>
      </c>
      <c r="FO116" s="995">
        <f t="shared" si="636"/>
        <v>2</v>
      </c>
      <c r="FP116" s="995">
        <f t="shared" si="637"/>
        <v>2</v>
      </c>
      <c r="FQ116" s="996">
        <f t="shared" si="638"/>
        <v>1.5</v>
      </c>
      <c r="FS116" s="994">
        <f t="shared" si="676"/>
        <v>1</v>
      </c>
      <c r="FT116" s="995">
        <f t="shared" si="639"/>
        <v>1.5</v>
      </c>
      <c r="FU116" s="995">
        <f t="shared" si="640"/>
        <v>2</v>
      </c>
      <c r="FV116" s="995">
        <f t="shared" si="641"/>
        <v>2</v>
      </c>
      <c r="FW116" s="995">
        <f t="shared" si="642"/>
        <v>2</v>
      </c>
      <c r="FX116" s="995">
        <f t="shared" si="643"/>
        <v>2</v>
      </c>
      <c r="FY116" s="995">
        <f t="shared" si="644"/>
        <v>2</v>
      </c>
      <c r="FZ116" s="995">
        <f t="shared" si="645"/>
        <v>2</v>
      </c>
      <c r="GA116" s="995">
        <f t="shared" si="646"/>
        <v>2</v>
      </c>
      <c r="GB116" s="995">
        <f t="shared" si="647"/>
        <v>2</v>
      </c>
      <c r="GC116" s="995">
        <f t="shared" si="648"/>
        <v>2</v>
      </c>
      <c r="GD116" s="996">
        <f t="shared" si="649"/>
        <v>1.5</v>
      </c>
      <c r="GF116" s="994">
        <f t="shared" si="677"/>
        <v>1</v>
      </c>
      <c r="GG116" s="995">
        <f t="shared" si="650"/>
        <v>1</v>
      </c>
      <c r="GH116" s="995">
        <f t="shared" si="651"/>
        <v>1</v>
      </c>
      <c r="GI116" s="995">
        <f t="shared" si="652"/>
        <v>1</v>
      </c>
      <c r="GJ116" s="995">
        <f t="shared" si="653"/>
        <v>1</v>
      </c>
      <c r="GK116" s="995">
        <f t="shared" si="654"/>
        <v>1</v>
      </c>
      <c r="GL116" s="995">
        <f t="shared" si="655"/>
        <v>1</v>
      </c>
      <c r="GM116" s="995">
        <f t="shared" si="656"/>
        <v>1</v>
      </c>
      <c r="GN116" s="995">
        <f t="shared" si="657"/>
        <v>1</v>
      </c>
      <c r="GO116" s="995">
        <f t="shared" si="658"/>
        <v>1</v>
      </c>
      <c r="GP116" s="995">
        <f t="shared" si="659"/>
        <v>1</v>
      </c>
      <c r="GQ116" s="996">
        <f t="shared" si="660"/>
        <v>1</v>
      </c>
      <c r="GS116" s="994">
        <f t="shared" si="678"/>
        <v>1</v>
      </c>
      <c r="GT116" s="995">
        <f t="shared" si="661"/>
        <v>1</v>
      </c>
      <c r="GU116" s="995">
        <f t="shared" si="662"/>
        <v>1</v>
      </c>
      <c r="GV116" s="995">
        <f t="shared" si="663"/>
        <v>1</v>
      </c>
      <c r="GW116" s="995">
        <f t="shared" si="664"/>
        <v>1</v>
      </c>
      <c r="GX116" s="995">
        <f t="shared" si="665"/>
        <v>1</v>
      </c>
      <c r="GY116" s="995">
        <f t="shared" si="666"/>
        <v>1</v>
      </c>
      <c r="GZ116" s="995">
        <f t="shared" si="667"/>
        <v>1</v>
      </c>
      <c r="HA116" s="995">
        <f t="shared" si="668"/>
        <v>1</v>
      </c>
      <c r="HB116" s="995">
        <f t="shared" si="669"/>
        <v>1</v>
      </c>
      <c r="HC116" s="995">
        <f t="shared" si="670"/>
        <v>1</v>
      </c>
      <c r="HD116" s="996">
        <f t="shared" si="671"/>
        <v>1</v>
      </c>
    </row>
    <row r="117" spans="2:212">
      <c r="B117" s="977"/>
      <c r="C117" s="1007" t="s">
        <v>1046</v>
      </c>
      <c r="D117" s="977"/>
      <c r="E117" s="977"/>
      <c r="F117" s="977"/>
      <c r="G117" s="977"/>
      <c r="H117" s="981"/>
      <c r="I117" s="981"/>
      <c r="N117" s="1684"/>
      <c r="O117" s="957" t="s">
        <v>1062</v>
      </c>
      <c r="AA117" s="1684"/>
      <c r="AB117" s="957" t="s">
        <v>1062</v>
      </c>
      <c r="DK117" s="1684"/>
      <c r="DL117" s="957" t="s">
        <v>1062</v>
      </c>
      <c r="DN117" s="994"/>
      <c r="DO117" s="995"/>
      <c r="DP117" s="995"/>
      <c r="DQ117" s="995"/>
      <c r="DR117" s="996"/>
      <c r="DS117" s="978"/>
      <c r="DT117" s="994"/>
      <c r="DU117" s="995"/>
      <c r="DV117" s="995"/>
      <c r="DW117" s="995"/>
      <c r="DX117" s="996"/>
      <c r="DY117" s="978"/>
      <c r="DZ117" s="994"/>
      <c r="EA117" s="995"/>
      <c r="EB117" s="995"/>
      <c r="EC117" s="995"/>
      <c r="ED117" s="996"/>
      <c r="EF117" s="994"/>
      <c r="EG117" s="995"/>
      <c r="EH117" s="995"/>
      <c r="EI117" s="995"/>
      <c r="EJ117" s="995"/>
      <c r="EK117" s="995"/>
      <c r="EL117" s="995"/>
      <c r="EM117" s="995"/>
      <c r="EN117" s="995"/>
      <c r="EO117" s="995"/>
      <c r="EP117" s="995"/>
      <c r="EQ117" s="996"/>
      <c r="ES117" s="994"/>
      <c r="ET117" s="995"/>
      <c r="EU117" s="995"/>
      <c r="EV117" s="995"/>
      <c r="EW117" s="995"/>
      <c r="EX117" s="995"/>
      <c r="EY117" s="995"/>
      <c r="EZ117" s="995"/>
      <c r="FA117" s="995"/>
      <c r="FB117" s="995"/>
      <c r="FC117" s="995"/>
      <c r="FD117" s="996"/>
      <c r="FF117" s="994"/>
      <c r="FG117" s="995"/>
      <c r="FH117" s="995"/>
      <c r="FI117" s="995"/>
      <c r="FJ117" s="995"/>
      <c r="FK117" s="995"/>
      <c r="FL117" s="995"/>
      <c r="FM117" s="995"/>
      <c r="FN117" s="995"/>
      <c r="FO117" s="995"/>
      <c r="FP117" s="995"/>
      <c r="FQ117" s="996"/>
      <c r="FS117" s="994"/>
      <c r="FT117" s="995"/>
      <c r="FU117" s="995"/>
      <c r="FV117" s="995"/>
      <c r="FW117" s="995"/>
      <c r="FX117" s="995"/>
      <c r="FY117" s="995"/>
      <c r="FZ117" s="995"/>
      <c r="GA117" s="995"/>
      <c r="GB117" s="995"/>
      <c r="GC117" s="995"/>
      <c r="GD117" s="996"/>
      <c r="GF117" s="994"/>
      <c r="GG117" s="995"/>
      <c r="GH117" s="995"/>
      <c r="GI117" s="995"/>
      <c r="GJ117" s="995"/>
      <c r="GK117" s="995"/>
      <c r="GL117" s="995"/>
      <c r="GM117" s="995"/>
      <c r="GN117" s="995"/>
      <c r="GO117" s="995"/>
      <c r="GP117" s="995"/>
      <c r="GQ117" s="996"/>
      <c r="GS117" s="994"/>
      <c r="GT117" s="995"/>
      <c r="GU117" s="995"/>
      <c r="GV117" s="995"/>
      <c r="GW117" s="995"/>
      <c r="GX117" s="995"/>
      <c r="GY117" s="995"/>
      <c r="GZ117" s="995"/>
      <c r="HA117" s="995"/>
      <c r="HB117" s="995"/>
      <c r="HC117" s="995"/>
      <c r="HD117" s="996"/>
    </row>
    <row r="118" spans="2:212">
      <c r="B118" s="977"/>
      <c r="C118" s="977" t="s">
        <v>1047</v>
      </c>
      <c r="D118" s="977"/>
      <c r="E118" s="977"/>
      <c r="F118" s="977"/>
      <c r="G118" s="977"/>
      <c r="H118" s="981"/>
      <c r="I118" s="981"/>
      <c r="O118" s="957"/>
      <c r="AB118" s="957"/>
      <c r="AK118" s="956">
        <v>1</v>
      </c>
      <c r="AL118" s="956">
        <v>1.1000000000000001</v>
      </c>
      <c r="AM118" s="956">
        <v>1</v>
      </c>
      <c r="AN118" s="956">
        <v>1</v>
      </c>
      <c r="AO118" s="956">
        <v>1</v>
      </c>
      <c r="AP118" s="956">
        <v>1</v>
      </c>
      <c r="AQ118" s="956">
        <v>0.9</v>
      </c>
      <c r="AR118" s="956">
        <v>1</v>
      </c>
      <c r="AS118" s="956">
        <v>1</v>
      </c>
      <c r="AT118" s="956">
        <v>1.1000000000000001</v>
      </c>
      <c r="AU118" s="956">
        <v>1.1000000000000001</v>
      </c>
      <c r="AV118" s="956">
        <v>1</v>
      </c>
      <c r="AW118" s="956">
        <v>1</v>
      </c>
      <c r="AX118" s="956">
        <v>1</v>
      </c>
      <c r="AY118" s="956">
        <v>1</v>
      </c>
      <c r="AZ118" s="956">
        <v>1</v>
      </c>
      <c r="BA118" s="956">
        <v>1</v>
      </c>
      <c r="BB118" s="956">
        <v>1</v>
      </c>
      <c r="BC118" s="956">
        <v>0.9</v>
      </c>
      <c r="BD118" s="956">
        <v>1</v>
      </c>
      <c r="BE118" s="956">
        <v>1</v>
      </c>
      <c r="BF118" s="956">
        <v>1.1000000000000001</v>
      </c>
      <c r="BG118" s="956">
        <v>1.1000000000000001</v>
      </c>
      <c r="BH118" s="956">
        <v>1</v>
      </c>
      <c r="BI118" s="956">
        <v>1</v>
      </c>
      <c r="BJ118" s="956">
        <v>1</v>
      </c>
      <c r="BK118" s="956">
        <v>1</v>
      </c>
      <c r="BL118" s="956">
        <v>1</v>
      </c>
      <c r="BM118" s="956">
        <v>1</v>
      </c>
      <c r="BN118" s="956">
        <v>1</v>
      </c>
      <c r="BO118" s="956">
        <v>0.9</v>
      </c>
      <c r="BP118" s="956">
        <v>1</v>
      </c>
      <c r="BQ118" s="956">
        <v>1</v>
      </c>
      <c r="BR118" s="956">
        <v>1.1000000000000001</v>
      </c>
      <c r="BS118" s="956">
        <v>1.1000000000000001</v>
      </c>
      <c r="BT118" s="956">
        <v>1</v>
      </c>
      <c r="BU118" s="956">
        <v>1</v>
      </c>
      <c r="BV118" s="956">
        <v>1</v>
      </c>
      <c r="BW118" s="956">
        <v>1</v>
      </c>
      <c r="BX118" s="956">
        <v>1</v>
      </c>
      <c r="BY118" s="956">
        <v>1</v>
      </c>
      <c r="BZ118" s="956">
        <v>1</v>
      </c>
      <c r="CA118" s="956">
        <v>0.9</v>
      </c>
      <c r="CB118" s="956">
        <v>1</v>
      </c>
      <c r="CC118" s="956">
        <v>1</v>
      </c>
      <c r="CD118" s="956">
        <v>1.1000000000000001</v>
      </c>
      <c r="CE118" s="956">
        <v>1.1000000000000001</v>
      </c>
      <c r="CF118" s="956">
        <v>1</v>
      </c>
      <c r="CG118" s="956">
        <v>1</v>
      </c>
      <c r="CH118" s="956">
        <v>1</v>
      </c>
      <c r="CI118" s="956">
        <v>1</v>
      </c>
      <c r="CJ118" s="956">
        <v>1</v>
      </c>
      <c r="CK118" s="956">
        <v>1</v>
      </c>
      <c r="CL118" s="956">
        <v>1</v>
      </c>
      <c r="CM118" s="956">
        <v>0.9</v>
      </c>
      <c r="CN118" s="956">
        <v>1</v>
      </c>
      <c r="CO118" s="956">
        <v>1</v>
      </c>
      <c r="CP118" s="956">
        <v>1.1000000000000001</v>
      </c>
      <c r="CQ118" s="956">
        <v>1.1000000000000001</v>
      </c>
      <c r="CR118" s="956">
        <v>1</v>
      </c>
      <c r="CS118" s="956">
        <v>1</v>
      </c>
      <c r="CT118" s="956">
        <v>1</v>
      </c>
      <c r="CU118" s="956">
        <v>1</v>
      </c>
      <c r="CV118" s="956">
        <v>1</v>
      </c>
      <c r="CW118" s="956">
        <v>1</v>
      </c>
      <c r="CX118" s="956">
        <v>1</v>
      </c>
      <c r="CY118" s="956">
        <v>0.9</v>
      </c>
      <c r="CZ118" s="956">
        <v>1</v>
      </c>
      <c r="DA118" s="956">
        <v>1</v>
      </c>
      <c r="DB118" s="956">
        <v>1.1000000000000001</v>
      </c>
      <c r="DC118" s="956">
        <v>1.1000000000000001</v>
      </c>
      <c r="DD118" s="956">
        <v>1</v>
      </c>
      <c r="DE118" s="956">
        <v>1</v>
      </c>
      <c r="DF118" s="956">
        <v>1</v>
      </c>
      <c r="DG118" s="956">
        <v>1</v>
      </c>
      <c r="DH118" s="956">
        <v>1</v>
      </c>
      <c r="DI118" s="956">
        <v>1</v>
      </c>
      <c r="DL118" s="957"/>
      <c r="DN118" s="994"/>
      <c r="DO118" s="995"/>
      <c r="DP118" s="995"/>
      <c r="DQ118" s="995"/>
      <c r="DR118" s="996"/>
      <c r="DT118" s="994"/>
      <c r="DU118" s="995"/>
      <c r="DV118" s="995"/>
      <c r="DW118" s="995"/>
      <c r="DX118" s="996"/>
      <c r="DZ118" s="994"/>
      <c r="EA118" s="995"/>
      <c r="EB118" s="995"/>
      <c r="EC118" s="995"/>
      <c r="ED118" s="996"/>
      <c r="EF118" s="994"/>
      <c r="EG118" s="995"/>
      <c r="EH118" s="995"/>
      <c r="EI118" s="995"/>
      <c r="EJ118" s="995"/>
      <c r="EK118" s="995"/>
      <c r="EL118" s="995"/>
      <c r="EM118" s="995"/>
      <c r="EN118" s="995"/>
      <c r="EO118" s="995"/>
      <c r="EP118" s="995"/>
      <c r="EQ118" s="996"/>
      <c r="ES118" s="994"/>
      <c r="ET118" s="995"/>
      <c r="EU118" s="995"/>
      <c r="EV118" s="995"/>
      <c r="EW118" s="995"/>
      <c r="EX118" s="995"/>
      <c r="EY118" s="995"/>
      <c r="EZ118" s="995"/>
      <c r="FA118" s="995"/>
      <c r="FB118" s="995"/>
      <c r="FC118" s="995"/>
      <c r="FD118" s="996"/>
      <c r="FF118" s="994"/>
      <c r="FG118" s="995"/>
      <c r="FH118" s="995"/>
      <c r="FI118" s="995"/>
      <c r="FJ118" s="995"/>
      <c r="FK118" s="995"/>
      <c r="FL118" s="995"/>
      <c r="FM118" s="995"/>
      <c r="FN118" s="995"/>
      <c r="FO118" s="995"/>
      <c r="FP118" s="995"/>
      <c r="FQ118" s="996"/>
      <c r="FS118" s="994"/>
      <c r="FT118" s="995"/>
      <c r="FU118" s="995"/>
      <c r="FV118" s="995"/>
      <c r="FW118" s="995"/>
      <c r="FX118" s="995"/>
      <c r="FY118" s="995"/>
      <c r="FZ118" s="995"/>
      <c r="GA118" s="995"/>
      <c r="GB118" s="995"/>
      <c r="GC118" s="995"/>
      <c r="GD118" s="996"/>
      <c r="GF118" s="994"/>
      <c r="GG118" s="995"/>
      <c r="GH118" s="995"/>
      <c r="GI118" s="995"/>
      <c r="GJ118" s="995"/>
      <c r="GK118" s="995"/>
      <c r="GL118" s="995"/>
      <c r="GM118" s="995"/>
      <c r="GN118" s="995"/>
      <c r="GO118" s="995"/>
      <c r="GP118" s="995"/>
      <c r="GQ118" s="996"/>
      <c r="GS118" s="994"/>
      <c r="GT118" s="995"/>
      <c r="GU118" s="995"/>
      <c r="GV118" s="995"/>
      <c r="GW118" s="995"/>
      <c r="GX118" s="995"/>
      <c r="GY118" s="995"/>
      <c r="GZ118" s="995"/>
      <c r="HA118" s="995"/>
      <c r="HB118" s="995"/>
      <c r="HC118" s="995"/>
      <c r="HD118" s="996"/>
    </row>
    <row r="119" spans="2:212" ht="15" customHeight="1">
      <c r="B119" s="974"/>
      <c r="C119" s="974"/>
      <c r="D119" s="974"/>
      <c r="E119" s="974"/>
      <c r="F119" s="974"/>
      <c r="G119" s="974"/>
      <c r="H119" s="974"/>
      <c r="I119" s="974"/>
      <c r="N119" s="1684" t="s">
        <v>1044</v>
      </c>
      <c r="O119" s="957" t="s">
        <v>119</v>
      </c>
      <c r="P119" s="606">
        <v>1</v>
      </c>
      <c r="Q119" s="606">
        <v>0</v>
      </c>
      <c r="R119" s="606">
        <v>2</v>
      </c>
      <c r="S119" s="606">
        <v>2</v>
      </c>
      <c r="T119" s="606">
        <v>3</v>
      </c>
      <c r="U119" s="606">
        <v>6</v>
      </c>
      <c r="V119" s="606">
        <v>3</v>
      </c>
      <c r="AA119" s="1684" t="s">
        <v>1044</v>
      </c>
      <c r="AB119" s="957" t="s">
        <v>119</v>
      </c>
      <c r="AC119" s="610">
        <f t="shared" ref="AC119:AC130" si="679">P119/P105</f>
        <v>1</v>
      </c>
      <c r="AD119" s="610"/>
      <c r="AE119" s="610">
        <f>R119/R105</f>
        <v>1</v>
      </c>
      <c r="AF119" s="610">
        <f>S119/S105</f>
        <v>1</v>
      </c>
      <c r="AG119" s="610">
        <f>T119/T105</f>
        <v>1</v>
      </c>
      <c r="AH119" s="610">
        <f>U119/U105</f>
        <v>0.8571428571428571</v>
      </c>
      <c r="AI119" s="610">
        <f>V119/V105</f>
        <v>0.6</v>
      </c>
      <c r="AJ119" s="952">
        <f t="shared" ref="AJ119:AJ130" si="680">AVERAGE(AC119:AI119)</f>
        <v>0.9095238095238094</v>
      </c>
      <c r="AK119" s="952">
        <f t="shared" ref="AK119:AK130" si="681">AJ119*$AK$118</f>
        <v>0.9095238095238094</v>
      </c>
      <c r="AL119" s="952">
        <f t="shared" ref="AL119:AL130" si="682">AK119*$AL$118</f>
        <v>1.0004761904761905</v>
      </c>
      <c r="AM119" s="952">
        <f t="shared" ref="AM119:AM130" si="683">AL119*$AM$118</f>
        <v>1.0004761904761905</v>
      </c>
      <c r="AN119" s="952">
        <f t="shared" ref="AN119:AN130" si="684">AM119*$AN$118</f>
        <v>1.0004761904761905</v>
      </c>
      <c r="AO119" s="952">
        <f t="shared" ref="AO119:AO130" si="685">AN119*$AO$118</f>
        <v>1.0004761904761905</v>
      </c>
      <c r="AP119" s="1053">
        <v>0.9</v>
      </c>
      <c r="AQ119" s="1053">
        <f>AP119*AQ$118</f>
        <v>0.81</v>
      </c>
      <c r="AR119" s="1053">
        <f t="shared" ref="AR119:BA119" si="686">AQ119*AR$118</f>
        <v>0.81</v>
      </c>
      <c r="AS119" s="1053">
        <f t="shared" si="686"/>
        <v>0.81</v>
      </c>
      <c r="AT119" s="1053">
        <f t="shared" si="686"/>
        <v>0.89100000000000013</v>
      </c>
      <c r="AU119" s="1053">
        <f t="shared" si="686"/>
        <v>0.98010000000000019</v>
      </c>
      <c r="AV119" s="1053">
        <f t="shared" si="686"/>
        <v>0.98010000000000019</v>
      </c>
      <c r="AW119" s="1053">
        <f t="shared" si="686"/>
        <v>0.98010000000000019</v>
      </c>
      <c r="AX119" s="1053">
        <f t="shared" si="686"/>
        <v>0.98010000000000019</v>
      </c>
      <c r="AY119" s="1053">
        <f t="shared" si="686"/>
        <v>0.98010000000000019</v>
      </c>
      <c r="AZ119" s="1053">
        <f t="shared" si="686"/>
        <v>0.98010000000000019</v>
      </c>
      <c r="BA119" s="1053">
        <f t="shared" si="686"/>
        <v>0.98010000000000019</v>
      </c>
      <c r="BB119" s="1053">
        <v>0.9</v>
      </c>
      <c r="BC119" s="1053">
        <f>BB119*BC$118</f>
        <v>0.81</v>
      </c>
      <c r="BD119" s="1053">
        <f t="shared" ref="BD119:BD130" si="687">BC119*BD$118</f>
        <v>0.81</v>
      </c>
      <c r="BE119" s="1053">
        <f t="shared" ref="BE119:BE130" si="688">BD119*BE$118</f>
        <v>0.81</v>
      </c>
      <c r="BF119" s="1053">
        <f t="shared" ref="BF119:BF130" si="689">BE119*BF$118</f>
        <v>0.89100000000000013</v>
      </c>
      <c r="BG119" s="1053">
        <f t="shared" ref="BG119:BG130" si="690">BF119*BG$118</f>
        <v>0.98010000000000019</v>
      </c>
      <c r="BH119" s="1053">
        <f t="shared" ref="BH119:BH130" si="691">BG119*BH$118</f>
        <v>0.98010000000000019</v>
      </c>
      <c r="BI119" s="1053">
        <f t="shared" ref="BI119:BI130" si="692">BH119*BI$118</f>
        <v>0.98010000000000019</v>
      </c>
      <c r="BJ119" s="1053">
        <f t="shared" ref="BJ119:BJ130" si="693">BI119*BJ$118</f>
        <v>0.98010000000000019</v>
      </c>
      <c r="BK119" s="1053">
        <f t="shared" ref="BK119:BK130" si="694">BJ119*BK$118</f>
        <v>0.98010000000000019</v>
      </c>
      <c r="BL119" s="1053">
        <f t="shared" ref="BL119:BL130" si="695">BK119*BL$118</f>
        <v>0.98010000000000019</v>
      </c>
      <c r="BM119" s="1053">
        <f t="shared" ref="BM119:BM130" si="696">BL119*BM$118</f>
        <v>0.98010000000000019</v>
      </c>
      <c r="BN119" s="1053">
        <v>0.9</v>
      </c>
      <c r="BO119" s="1053">
        <f>BN119*BO$118</f>
        <v>0.81</v>
      </c>
      <c r="BP119" s="1053">
        <f t="shared" ref="BP119:BP130" si="697">BO119*BP$118</f>
        <v>0.81</v>
      </c>
      <c r="BQ119" s="1053">
        <f t="shared" ref="BQ119:BQ130" si="698">BP119*BQ$118</f>
        <v>0.81</v>
      </c>
      <c r="BR119" s="1053">
        <f t="shared" ref="BR119:BR130" si="699">BQ119*BR$118</f>
        <v>0.89100000000000013</v>
      </c>
      <c r="BS119" s="1053">
        <f t="shared" ref="BS119:BS130" si="700">BR119*BS$118</f>
        <v>0.98010000000000019</v>
      </c>
      <c r="BT119" s="1053">
        <f t="shared" ref="BT119:BT130" si="701">BS119*BT$118</f>
        <v>0.98010000000000019</v>
      </c>
      <c r="BU119" s="1053">
        <f t="shared" ref="BU119:BU130" si="702">BT119*BU$118</f>
        <v>0.98010000000000019</v>
      </c>
      <c r="BV119" s="1053">
        <f t="shared" ref="BV119:BV130" si="703">BU119*BV$118</f>
        <v>0.98010000000000019</v>
      </c>
      <c r="BW119" s="1053">
        <f t="shared" ref="BW119:BW130" si="704">BV119*BW$118</f>
        <v>0.98010000000000019</v>
      </c>
      <c r="BX119" s="1053">
        <f t="shared" ref="BX119:BX130" si="705">BW119*BX$118</f>
        <v>0.98010000000000019</v>
      </c>
      <c r="BY119" s="1053">
        <f t="shared" ref="BY119:BY130" si="706">BX119*BY$118</f>
        <v>0.98010000000000019</v>
      </c>
      <c r="BZ119" s="1053">
        <v>0.9</v>
      </c>
      <c r="CA119" s="1053">
        <f>BZ119*CA$118</f>
        <v>0.81</v>
      </c>
      <c r="CB119" s="1053">
        <f t="shared" ref="CB119:CB130" si="707">CA119*CB$118</f>
        <v>0.81</v>
      </c>
      <c r="CC119" s="1053">
        <f t="shared" ref="CC119:CC130" si="708">CB119*CC$118</f>
        <v>0.81</v>
      </c>
      <c r="CD119" s="1053">
        <f t="shared" ref="CD119:CD130" si="709">CC119*CD$118</f>
        <v>0.89100000000000013</v>
      </c>
      <c r="CE119" s="1053">
        <f t="shared" ref="CE119:CE130" si="710">CD119*CE$118</f>
        <v>0.98010000000000019</v>
      </c>
      <c r="CF119" s="1053">
        <f t="shared" ref="CF119:CF130" si="711">CE119*CF$118</f>
        <v>0.98010000000000019</v>
      </c>
      <c r="CG119" s="1053">
        <f t="shared" ref="CG119:CG130" si="712">CF119*CG$118</f>
        <v>0.98010000000000019</v>
      </c>
      <c r="CH119" s="1053">
        <f t="shared" ref="CH119:CH130" si="713">CG119*CH$118</f>
        <v>0.98010000000000019</v>
      </c>
      <c r="CI119" s="1053">
        <f t="shared" ref="CI119:CI130" si="714">CH119*CI$118</f>
        <v>0.98010000000000019</v>
      </c>
      <c r="CJ119" s="1053">
        <f t="shared" ref="CJ119:CJ130" si="715">CI119*CJ$118</f>
        <v>0.98010000000000019</v>
      </c>
      <c r="CK119" s="1053">
        <f t="shared" ref="CK119:CK130" si="716">CJ119*CK$118</f>
        <v>0.98010000000000019</v>
      </c>
      <c r="CL119" s="1053">
        <v>0.9</v>
      </c>
      <c r="CM119" s="1053">
        <f>CL119*CM$118</f>
        <v>0.81</v>
      </c>
      <c r="CN119" s="1053">
        <f t="shared" ref="CN119:CN130" si="717">CM119*CN$118</f>
        <v>0.81</v>
      </c>
      <c r="CO119" s="1053">
        <f t="shared" ref="CO119:CO130" si="718">CN119*CO$118</f>
        <v>0.81</v>
      </c>
      <c r="CP119" s="1053">
        <f t="shared" ref="CP119:CP130" si="719">CO119*CP$118</f>
        <v>0.89100000000000013</v>
      </c>
      <c r="CQ119" s="1053">
        <f t="shared" ref="CQ119:CQ130" si="720">CP119*CQ$118</f>
        <v>0.98010000000000019</v>
      </c>
      <c r="CR119" s="1053">
        <f t="shared" ref="CR119:CR130" si="721">CQ119*CR$118</f>
        <v>0.98010000000000019</v>
      </c>
      <c r="CS119" s="1053">
        <f t="shared" ref="CS119:CS130" si="722">CR119*CS$118</f>
        <v>0.98010000000000019</v>
      </c>
      <c r="CT119" s="1053">
        <f t="shared" ref="CT119:CT130" si="723">CS119*CT$118</f>
        <v>0.98010000000000019</v>
      </c>
      <c r="CU119" s="1053">
        <f t="shared" ref="CU119:CU130" si="724">CT119*CU$118</f>
        <v>0.98010000000000019</v>
      </c>
      <c r="CV119" s="1053">
        <f t="shared" ref="CV119:CV130" si="725">CU119*CV$118</f>
        <v>0.98010000000000019</v>
      </c>
      <c r="CW119" s="1053">
        <f t="shared" ref="CW119:CW130" si="726">CV119*CW$118</f>
        <v>0.98010000000000019</v>
      </c>
      <c r="CX119" s="1053">
        <v>0.9</v>
      </c>
      <c r="CY119" s="1053">
        <f>CX119*CY$118</f>
        <v>0.81</v>
      </c>
      <c r="CZ119" s="1053">
        <f t="shared" ref="CZ119:CZ130" si="727">CY119*CZ$118</f>
        <v>0.81</v>
      </c>
      <c r="DA119" s="1053">
        <f t="shared" ref="DA119:DA130" si="728">CZ119*DA$118</f>
        <v>0.81</v>
      </c>
      <c r="DB119" s="1053">
        <f t="shared" ref="DB119:DB130" si="729">DA119*DB$118</f>
        <v>0.89100000000000013</v>
      </c>
      <c r="DC119" s="1053">
        <f t="shared" ref="DC119:DC130" si="730">DB119*DC$118</f>
        <v>0.98010000000000019</v>
      </c>
      <c r="DD119" s="1053">
        <f t="shared" ref="DD119:DD130" si="731">DC119*DD$118</f>
        <v>0.98010000000000019</v>
      </c>
      <c r="DE119" s="1053">
        <f t="shared" ref="DE119:DE130" si="732">DD119*DE$118</f>
        <v>0.98010000000000019</v>
      </c>
      <c r="DF119" s="1053">
        <f t="shared" ref="DF119:DF130" si="733">DE119*DF$118</f>
        <v>0.98010000000000019</v>
      </c>
      <c r="DG119" s="1053">
        <f t="shared" ref="DG119:DG130" si="734">DF119*DG$118</f>
        <v>0.98010000000000019</v>
      </c>
      <c r="DH119" s="1053">
        <f t="shared" ref="DH119:DH130" si="735">DG119*DH$118</f>
        <v>0.98010000000000019</v>
      </c>
      <c r="DI119" s="1053">
        <f t="shared" ref="DI119:DI130" si="736">DH119*DI$118</f>
        <v>0.98010000000000019</v>
      </c>
      <c r="DK119" s="1684" t="s">
        <v>1044</v>
      </c>
      <c r="DL119" s="957" t="s">
        <v>119</v>
      </c>
      <c r="DN119" s="994">
        <v>1</v>
      </c>
      <c r="DO119" s="995">
        <f>DO105*$AJ$119</f>
        <v>8.4130952380952362</v>
      </c>
      <c r="DP119" s="995">
        <f>DP105*$AJ$119</f>
        <v>11.459999999999999</v>
      </c>
      <c r="DQ119" s="995">
        <f>DQ105*$AJ$119</f>
        <v>7.3671428571428574</v>
      </c>
      <c r="DR119" s="996">
        <f>DR105*$AJ$119</f>
        <v>4.0928571428571425</v>
      </c>
      <c r="DT119" s="994">
        <v>1</v>
      </c>
      <c r="DU119" s="995">
        <f>DU105*$AH$119</f>
        <v>7.9285714285714279</v>
      </c>
      <c r="DV119" s="995">
        <f>DV105*$AH$119</f>
        <v>10.8</v>
      </c>
      <c r="DW119" s="995">
        <f>DW105*$AH$119</f>
        <v>6.9428571428571439</v>
      </c>
      <c r="DX119" s="996">
        <f>DX105*$AH$119</f>
        <v>3.8571428571428568</v>
      </c>
      <c r="DZ119" s="994">
        <v>1</v>
      </c>
      <c r="EA119" s="995">
        <f>EA105*AL$119</f>
        <v>9.2544047619047625</v>
      </c>
      <c r="EB119" s="995">
        <f>EB105*AM$119</f>
        <v>12.606000000000002</v>
      </c>
      <c r="EC119" s="995">
        <f>EC105*AN$119</f>
        <v>8.1038571428571444</v>
      </c>
      <c r="ED119" s="996">
        <f>ED105*AO$119</f>
        <v>4.5021428571428572</v>
      </c>
      <c r="EF119" s="994">
        <f t="shared" ref="EF119:EF130" si="737">EF108*$AP119</f>
        <v>11.340000000000002</v>
      </c>
      <c r="EG119" s="995">
        <f t="shared" ref="EG119:EG130" si="738">EG108*AQ119</f>
        <v>6.5610000000000017</v>
      </c>
      <c r="EH119" s="995">
        <f t="shared" ref="EH119:EH130" si="739">EH108*AR119</f>
        <v>3.6450000000000005</v>
      </c>
      <c r="EI119" s="995">
        <f t="shared" ref="EI119:EI130" si="740">EI108*AS119</f>
        <v>2.2275</v>
      </c>
      <c r="EJ119" s="995">
        <f t="shared" ref="EJ119:EJ130" si="741">EJ108*AT119</f>
        <v>0.89100000000000013</v>
      </c>
      <c r="EK119" s="995">
        <f t="shared" ref="EK119:EK130" si="742">EK108*AU119</f>
        <v>1.4701500000000003</v>
      </c>
      <c r="EL119" s="995">
        <f t="shared" ref="EL119:EL130" si="743">EL108*AV119</f>
        <v>1.9602000000000004</v>
      </c>
      <c r="EM119" s="995">
        <f t="shared" ref="EM119:EM130" si="744">EM108*AW119</f>
        <v>1.9602000000000004</v>
      </c>
      <c r="EN119" s="995">
        <f t="shared" ref="EN119:EN130" si="745">EN108*AX119</f>
        <v>1.9602000000000004</v>
      </c>
      <c r="EO119" s="995">
        <f t="shared" ref="EO119:EO130" si="746">EO108*AY119</f>
        <v>1.9602000000000004</v>
      </c>
      <c r="EP119" s="995">
        <f t="shared" ref="EP119:EP130" si="747">EP108*AZ119</f>
        <v>1.9602000000000004</v>
      </c>
      <c r="EQ119" s="995">
        <f t="shared" ref="EQ119:EQ130" si="748">EQ108*BA119</f>
        <v>1.9602000000000004</v>
      </c>
      <c r="ES119" s="994">
        <f>ES108*BB119</f>
        <v>1.8</v>
      </c>
      <c r="ET119" s="995">
        <f t="shared" ref="ET119:FD130" si="749">ET108*BC119</f>
        <v>1.62</v>
      </c>
      <c r="EU119" s="995">
        <f t="shared" si="749"/>
        <v>1.62</v>
      </c>
      <c r="EV119" s="995">
        <f t="shared" si="749"/>
        <v>1.2150000000000001</v>
      </c>
      <c r="EW119" s="995">
        <f t="shared" si="749"/>
        <v>0.89100000000000013</v>
      </c>
      <c r="EX119" s="995">
        <f t="shared" si="749"/>
        <v>1.4701500000000003</v>
      </c>
      <c r="EY119" s="995">
        <f t="shared" si="749"/>
        <v>1.9602000000000004</v>
      </c>
      <c r="EZ119" s="995">
        <f t="shared" si="749"/>
        <v>1.9602000000000004</v>
      </c>
      <c r="FA119" s="995">
        <f t="shared" si="749"/>
        <v>1.9602000000000004</v>
      </c>
      <c r="FB119" s="995">
        <f t="shared" si="749"/>
        <v>1.9602000000000004</v>
      </c>
      <c r="FC119" s="995">
        <f t="shared" si="749"/>
        <v>1.9602000000000004</v>
      </c>
      <c r="FD119" s="996">
        <f t="shared" si="749"/>
        <v>1.9602000000000004</v>
      </c>
      <c r="FF119" s="994">
        <f>FF108*BN119</f>
        <v>1.8</v>
      </c>
      <c r="FG119" s="995">
        <f t="shared" ref="FG119:FQ130" si="750">FG108*BO119</f>
        <v>1.62</v>
      </c>
      <c r="FH119" s="995">
        <f t="shared" si="750"/>
        <v>1.62</v>
      </c>
      <c r="FI119" s="995">
        <f t="shared" si="750"/>
        <v>1.2150000000000001</v>
      </c>
      <c r="FJ119" s="995">
        <f t="shared" si="750"/>
        <v>0.89100000000000013</v>
      </c>
      <c r="FK119" s="995">
        <f t="shared" si="750"/>
        <v>1.4701500000000003</v>
      </c>
      <c r="FL119" s="995">
        <f t="shared" si="750"/>
        <v>1.9602000000000004</v>
      </c>
      <c r="FM119" s="995">
        <f t="shared" si="750"/>
        <v>1.9602000000000004</v>
      </c>
      <c r="FN119" s="995">
        <f t="shared" si="750"/>
        <v>1.9602000000000004</v>
      </c>
      <c r="FO119" s="995">
        <f t="shared" si="750"/>
        <v>1.9602000000000004</v>
      </c>
      <c r="FP119" s="995">
        <f t="shared" si="750"/>
        <v>1.9602000000000004</v>
      </c>
      <c r="FQ119" s="996">
        <f t="shared" si="750"/>
        <v>1.9602000000000004</v>
      </c>
      <c r="FS119" s="994">
        <f>FS108*BZ119</f>
        <v>1.8</v>
      </c>
      <c r="FT119" s="995">
        <f t="shared" ref="FT119:GD130" si="751">FT108*CA119</f>
        <v>1.62</v>
      </c>
      <c r="FU119" s="995">
        <f t="shared" si="751"/>
        <v>1.62</v>
      </c>
      <c r="FV119" s="995">
        <f t="shared" si="751"/>
        <v>1.2150000000000001</v>
      </c>
      <c r="FW119" s="995">
        <f t="shared" si="751"/>
        <v>0.89100000000000013</v>
      </c>
      <c r="FX119" s="995">
        <f t="shared" si="751"/>
        <v>0.98010000000000019</v>
      </c>
      <c r="FY119" s="995">
        <f t="shared" si="751"/>
        <v>0.98010000000000019</v>
      </c>
      <c r="FZ119" s="995">
        <f t="shared" si="751"/>
        <v>0.98010000000000019</v>
      </c>
      <c r="GA119" s="995">
        <f t="shared" si="751"/>
        <v>0.98010000000000019</v>
      </c>
      <c r="GB119" s="995">
        <f t="shared" si="751"/>
        <v>0.98010000000000019</v>
      </c>
      <c r="GC119" s="995">
        <f t="shared" si="751"/>
        <v>0.98010000000000019</v>
      </c>
      <c r="GD119" s="996">
        <f t="shared" si="751"/>
        <v>0.98010000000000019</v>
      </c>
      <c r="GF119" s="994">
        <f>GF108*CL119</f>
        <v>0.9</v>
      </c>
      <c r="GG119" s="995">
        <f t="shared" ref="GG119:GQ130" si="752">GG108*CM119</f>
        <v>0.81</v>
      </c>
      <c r="GH119" s="995">
        <f t="shared" si="752"/>
        <v>0.81</v>
      </c>
      <c r="GI119" s="995">
        <f t="shared" si="752"/>
        <v>0.81</v>
      </c>
      <c r="GJ119" s="995">
        <f t="shared" si="752"/>
        <v>0.89100000000000013</v>
      </c>
      <c r="GK119" s="995">
        <f t="shared" si="752"/>
        <v>0.98010000000000019</v>
      </c>
      <c r="GL119" s="995">
        <f t="shared" si="752"/>
        <v>0.98010000000000019</v>
      </c>
      <c r="GM119" s="995">
        <f t="shared" si="752"/>
        <v>0.98010000000000019</v>
      </c>
      <c r="GN119" s="995">
        <f t="shared" si="752"/>
        <v>0.98010000000000019</v>
      </c>
      <c r="GO119" s="995">
        <f t="shared" si="752"/>
        <v>0.98010000000000019</v>
      </c>
      <c r="GP119" s="995">
        <f t="shared" si="752"/>
        <v>0.98010000000000019</v>
      </c>
      <c r="GQ119" s="996">
        <f t="shared" si="752"/>
        <v>0.98010000000000019</v>
      </c>
      <c r="GS119" s="994">
        <f>GS108*CX119</f>
        <v>0.9</v>
      </c>
      <c r="GT119" s="995">
        <f t="shared" ref="GT119:HD130" si="753">GT108*CY119</f>
        <v>0.81</v>
      </c>
      <c r="GU119" s="995">
        <f t="shared" si="753"/>
        <v>0.81</v>
      </c>
      <c r="GV119" s="995">
        <f t="shared" si="753"/>
        <v>0.81</v>
      </c>
      <c r="GW119" s="995">
        <f t="shared" si="753"/>
        <v>0.89100000000000013</v>
      </c>
      <c r="GX119" s="995">
        <f t="shared" si="753"/>
        <v>0.98010000000000019</v>
      </c>
      <c r="GY119" s="995">
        <f t="shared" si="753"/>
        <v>0.98010000000000019</v>
      </c>
      <c r="GZ119" s="995">
        <f t="shared" si="753"/>
        <v>0.98010000000000019</v>
      </c>
      <c r="HA119" s="995">
        <f t="shared" si="753"/>
        <v>0.98010000000000019</v>
      </c>
      <c r="HB119" s="995">
        <f t="shared" si="753"/>
        <v>0.98010000000000019</v>
      </c>
      <c r="HC119" s="995">
        <f t="shared" si="753"/>
        <v>0.98010000000000019</v>
      </c>
      <c r="HD119" s="996">
        <f t="shared" si="753"/>
        <v>0.98010000000000019</v>
      </c>
    </row>
    <row r="120" spans="2:212">
      <c r="B120" s="1054" t="s">
        <v>1063</v>
      </c>
      <c r="C120" s="1055"/>
      <c r="D120" s="1055"/>
      <c r="E120" s="1056"/>
      <c r="F120" s="1056"/>
      <c r="G120" s="1057"/>
      <c r="H120" s="1056"/>
      <c r="I120" s="1056"/>
      <c r="N120" s="1684"/>
      <c r="O120" s="957" t="s">
        <v>120</v>
      </c>
      <c r="P120" s="606">
        <v>0</v>
      </c>
      <c r="Q120" s="606">
        <v>0</v>
      </c>
      <c r="R120" s="606">
        <v>0</v>
      </c>
      <c r="S120" s="606">
        <v>2</v>
      </c>
      <c r="T120" s="606">
        <v>2</v>
      </c>
      <c r="U120" s="606">
        <v>2</v>
      </c>
      <c r="V120" s="606">
        <v>6</v>
      </c>
      <c r="AA120" s="1684"/>
      <c r="AB120" s="957" t="s">
        <v>120</v>
      </c>
      <c r="AC120" s="610">
        <f t="shared" si="679"/>
        <v>0</v>
      </c>
      <c r="AD120" s="610">
        <f>Q120/Q106</f>
        <v>0</v>
      </c>
      <c r="AE120" s="610"/>
      <c r="AF120" s="610">
        <f>S120/S106</f>
        <v>1</v>
      </c>
      <c r="AG120" s="610">
        <f>T120/T106</f>
        <v>1</v>
      </c>
      <c r="AH120" s="610">
        <f>U120/U106</f>
        <v>0.66666666666666663</v>
      </c>
      <c r="AI120" s="610">
        <f>V120/V106</f>
        <v>1</v>
      </c>
      <c r="AJ120" s="952">
        <f t="shared" si="680"/>
        <v>0.61111111111111105</v>
      </c>
      <c r="AK120" s="952">
        <f t="shared" si="681"/>
        <v>0.61111111111111105</v>
      </c>
      <c r="AL120" s="952">
        <f t="shared" si="682"/>
        <v>0.67222222222222217</v>
      </c>
      <c r="AM120" s="952">
        <f t="shared" si="683"/>
        <v>0.67222222222222217</v>
      </c>
      <c r="AN120" s="952">
        <f t="shared" si="684"/>
        <v>0.67222222222222217</v>
      </c>
      <c r="AO120" s="952">
        <f t="shared" si="685"/>
        <v>0.67222222222222217</v>
      </c>
      <c r="AP120" s="1053">
        <v>0.6</v>
      </c>
      <c r="AQ120" s="1053">
        <f t="shared" ref="AQ120:BA130" si="754">AP120*AQ$118</f>
        <v>0.54</v>
      </c>
      <c r="AR120" s="1053">
        <f t="shared" si="754"/>
        <v>0.54</v>
      </c>
      <c r="AS120" s="1053">
        <f t="shared" si="754"/>
        <v>0.54</v>
      </c>
      <c r="AT120" s="1053">
        <f t="shared" si="754"/>
        <v>0.59400000000000008</v>
      </c>
      <c r="AU120" s="1053">
        <f t="shared" si="754"/>
        <v>0.65340000000000009</v>
      </c>
      <c r="AV120" s="1053">
        <f t="shared" si="754"/>
        <v>0.65340000000000009</v>
      </c>
      <c r="AW120" s="1053">
        <f t="shared" si="754"/>
        <v>0.65340000000000009</v>
      </c>
      <c r="AX120" s="1053">
        <f t="shared" si="754"/>
        <v>0.65340000000000009</v>
      </c>
      <c r="AY120" s="1053">
        <f t="shared" si="754"/>
        <v>0.65340000000000009</v>
      </c>
      <c r="AZ120" s="1053">
        <f t="shared" si="754"/>
        <v>0.65340000000000009</v>
      </c>
      <c r="BA120" s="1053">
        <f t="shared" si="754"/>
        <v>0.65340000000000009</v>
      </c>
      <c r="BB120" s="1053">
        <v>0.6</v>
      </c>
      <c r="BC120" s="1053">
        <f t="shared" ref="BC120:BC130" si="755">BB120*BC$118</f>
        <v>0.54</v>
      </c>
      <c r="BD120" s="1053">
        <f t="shared" si="687"/>
        <v>0.54</v>
      </c>
      <c r="BE120" s="1053">
        <f t="shared" si="688"/>
        <v>0.54</v>
      </c>
      <c r="BF120" s="1053">
        <f t="shared" si="689"/>
        <v>0.59400000000000008</v>
      </c>
      <c r="BG120" s="1053">
        <f t="shared" si="690"/>
        <v>0.65340000000000009</v>
      </c>
      <c r="BH120" s="1053">
        <f t="shared" si="691"/>
        <v>0.65340000000000009</v>
      </c>
      <c r="BI120" s="1053">
        <f t="shared" si="692"/>
        <v>0.65340000000000009</v>
      </c>
      <c r="BJ120" s="1053">
        <f t="shared" si="693"/>
        <v>0.65340000000000009</v>
      </c>
      <c r="BK120" s="1053">
        <f t="shared" si="694"/>
        <v>0.65340000000000009</v>
      </c>
      <c r="BL120" s="1053">
        <f t="shared" si="695"/>
        <v>0.65340000000000009</v>
      </c>
      <c r="BM120" s="1053">
        <f t="shared" si="696"/>
        <v>0.65340000000000009</v>
      </c>
      <c r="BN120" s="1053">
        <v>0.6</v>
      </c>
      <c r="BO120" s="1053">
        <f t="shared" ref="BO120:BO130" si="756">BN120*BO$118</f>
        <v>0.54</v>
      </c>
      <c r="BP120" s="1053">
        <f t="shared" si="697"/>
        <v>0.54</v>
      </c>
      <c r="BQ120" s="1053">
        <f t="shared" si="698"/>
        <v>0.54</v>
      </c>
      <c r="BR120" s="1053">
        <f t="shared" si="699"/>
        <v>0.59400000000000008</v>
      </c>
      <c r="BS120" s="1053">
        <f t="shared" si="700"/>
        <v>0.65340000000000009</v>
      </c>
      <c r="BT120" s="1053">
        <f t="shared" si="701"/>
        <v>0.65340000000000009</v>
      </c>
      <c r="BU120" s="1053">
        <f t="shared" si="702"/>
        <v>0.65340000000000009</v>
      </c>
      <c r="BV120" s="1053">
        <f t="shared" si="703"/>
        <v>0.65340000000000009</v>
      </c>
      <c r="BW120" s="1053">
        <f t="shared" si="704"/>
        <v>0.65340000000000009</v>
      </c>
      <c r="BX120" s="1053">
        <f t="shared" si="705"/>
        <v>0.65340000000000009</v>
      </c>
      <c r="BY120" s="1053">
        <f t="shared" si="706"/>
        <v>0.65340000000000009</v>
      </c>
      <c r="BZ120" s="1053">
        <v>0.6</v>
      </c>
      <c r="CA120" s="1053">
        <f t="shared" ref="CA120:CA130" si="757">BZ120*CA$118</f>
        <v>0.54</v>
      </c>
      <c r="CB120" s="1053">
        <f t="shared" si="707"/>
        <v>0.54</v>
      </c>
      <c r="CC120" s="1053">
        <f t="shared" si="708"/>
        <v>0.54</v>
      </c>
      <c r="CD120" s="1053">
        <f t="shared" si="709"/>
        <v>0.59400000000000008</v>
      </c>
      <c r="CE120" s="1053">
        <f t="shared" si="710"/>
        <v>0.65340000000000009</v>
      </c>
      <c r="CF120" s="1053">
        <f t="shared" si="711"/>
        <v>0.65340000000000009</v>
      </c>
      <c r="CG120" s="1053">
        <f t="shared" si="712"/>
        <v>0.65340000000000009</v>
      </c>
      <c r="CH120" s="1053">
        <f t="shared" si="713"/>
        <v>0.65340000000000009</v>
      </c>
      <c r="CI120" s="1053">
        <f t="shared" si="714"/>
        <v>0.65340000000000009</v>
      </c>
      <c r="CJ120" s="1053">
        <f t="shared" si="715"/>
        <v>0.65340000000000009</v>
      </c>
      <c r="CK120" s="1053">
        <f t="shared" si="716"/>
        <v>0.65340000000000009</v>
      </c>
      <c r="CL120" s="1053">
        <v>0.6</v>
      </c>
      <c r="CM120" s="1053">
        <f t="shared" ref="CM120:CM130" si="758">CL120*CM$118</f>
        <v>0.54</v>
      </c>
      <c r="CN120" s="1053">
        <f t="shared" si="717"/>
        <v>0.54</v>
      </c>
      <c r="CO120" s="1053">
        <f t="shared" si="718"/>
        <v>0.54</v>
      </c>
      <c r="CP120" s="1053">
        <f t="shared" si="719"/>
        <v>0.59400000000000008</v>
      </c>
      <c r="CQ120" s="1053">
        <f t="shared" si="720"/>
        <v>0.65340000000000009</v>
      </c>
      <c r="CR120" s="1053">
        <f t="shared" si="721"/>
        <v>0.65340000000000009</v>
      </c>
      <c r="CS120" s="1053">
        <f t="shared" si="722"/>
        <v>0.65340000000000009</v>
      </c>
      <c r="CT120" s="1053">
        <f t="shared" si="723"/>
        <v>0.65340000000000009</v>
      </c>
      <c r="CU120" s="1053">
        <f t="shared" si="724"/>
        <v>0.65340000000000009</v>
      </c>
      <c r="CV120" s="1053">
        <f t="shared" si="725"/>
        <v>0.65340000000000009</v>
      </c>
      <c r="CW120" s="1053">
        <f t="shared" si="726"/>
        <v>0.65340000000000009</v>
      </c>
      <c r="CX120" s="1053">
        <v>0.6</v>
      </c>
      <c r="CY120" s="1053">
        <f t="shared" ref="CY120:CY130" si="759">CX120*CY$118</f>
        <v>0.54</v>
      </c>
      <c r="CZ120" s="1053">
        <f t="shared" si="727"/>
        <v>0.54</v>
      </c>
      <c r="DA120" s="1053">
        <f t="shared" si="728"/>
        <v>0.54</v>
      </c>
      <c r="DB120" s="1053">
        <f t="shared" si="729"/>
        <v>0.59400000000000008</v>
      </c>
      <c r="DC120" s="1053">
        <f t="shared" si="730"/>
        <v>0.65340000000000009</v>
      </c>
      <c r="DD120" s="1053">
        <f t="shared" si="731"/>
        <v>0.65340000000000009</v>
      </c>
      <c r="DE120" s="1053">
        <f t="shared" si="732"/>
        <v>0.65340000000000009</v>
      </c>
      <c r="DF120" s="1053">
        <f t="shared" si="733"/>
        <v>0.65340000000000009</v>
      </c>
      <c r="DG120" s="1053">
        <f t="shared" si="734"/>
        <v>0.65340000000000009</v>
      </c>
      <c r="DH120" s="1053">
        <f t="shared" si="735"/>
        <v>0.65340000000000009</v>
      </c>
      <c r="DI120" s="1053">
        <f t="shared" si="736"/>
        <v>0.65340000000000009</v>
      </c>
      <c r="DK120" s="1684"/>
      <c r="DL120" s="957" t="s">
        <v>120</v>
      </c>
      <c r="DN120" s="994">
        <v>3</v>
      </c>
      <c r="DO120" s="995">
        <f>DO106*$AJ$120</f>
        <v>1.833333333333333</v>
      </c>
      <c r="DP120" s="995">
        <f>DP106*$AJ$120</f>
        <v>5.6527777777777768</v>
      </c>
      <c r="DQ120" s="995">
        <f>DQ106*$AJ$120</f>
        <v>7.7</v>
      </c>
      <c r="DR120" s="996">
        <f>DR106*$AJ$120</f>
        <v>4.95</v>
      </c>
      <c r="DT120" s="994">
        <v>3</v>
      </c>
      <c r="DU120" s="995">
        <f>DU106*$AH$120</f>
        <v>2</v>
      </c>
      <c r="DV120" s="995">
        <f>DV106*$AH$120</f>
        <v>6.1666666666666661</v>
      </c>
      <c r="DW120" s="995">
        <f>DW106*$AH$120</f>
        <v>8.4</v>
      </c>
      <c r="DX120" s="996">
        <f>DX106*$AH$120</f>
        <v>5.4</v>
      </c>
      <c r="DZ120" s="994">
        <v>3</v>
      </c>
      <c r="EA120" s="995">
        <f>EA106*AL$120</f>
        <v>2.0166666666666666</v>
      </c>
      <c r="EB120" s="995">
        <f>EB106*AM$120</f>
        <v>6.218055555555555</v>
      </c>
      <c r="EC120" s="995">
        <f>EC106*AN$120</f>
        <v>8.4700000000000006</v>
      </c>
      <c r="ED120" s="996">
        <f>ED106*AO$120</f>
        <v>5.4450000000000003</v>
      </c>
      <c r="EF120" s="994">
        <f t="shared" si="737"/>
        <v>5.55</v>
      </c>
      <c r="EG120" s="995">
        <f t="shared" si="738"/>
        <v>6.8040000000000012</v>
      </c>
      <c r="EH120" s="995">
        <f t="shared" si="739"/>
        <v>4.3740000000000014</v>
      </c>
      <c r="EI120" s="995">
        <f t="shared" si="740"/>
        <v>2.4300000000000002</v>
      </c>
      <c r="EJ120" s="995">
        <f t="shared" si="741"/>
        <v>1.6335000000000002</v>
      </c>
      <c r="EK120" s="995">
        <f t="shared" si="742"/>
        <v>0.65340000000000009</v>
      </c>
      <c r="EL120" s="995">
        <f t="shared" si="743"/>
        <v>0.98010000000000019</v>
      </c>
      <c r="EM120" s="995">
        <f t="shared" si="744"/>
        <v>1.3068000000000002</v>
      </c>
      <c r="EN120" s="995">
        <f t="shared" si="745"/>
        <v>1.3068000000000002</v>
      </c>
      <c r="EO120" s="995">
        <f t="shared" si="746"/>
        <v>1.3068000000000002</v>
      </c>
      <c r="EP120" s="995">
        <f t="shared" si="747"/>
        <v>1.3068000000000002</v>
      </c>
      <c r="EQ120" s="995">
        <f t="shared" si="748"/>
        <v>1.3068000000000002</v>
      </c>
      <c r="ES120" s="994">
        <f t="shared" ref="ES120:ES130" si="760">ES109*BB120</f>
        <v>1.2</v>
      </c>
      <c r="ET120" s="995">
        <f t="shared" si="749"/>
        <v>1.08</v>
      </c>
      <c r="EU120" s="995">
        <f t="shared" si="749"/>
        <v>1.08</v>
      </c>
      <c r="EV120" s="995">
        <f t="shared" si="749"/>
        <v>1.08</v>
      </c>
      <c r="EW120" s="995">
        <f t="shared" si="749"/>
        <v>0.89100000000000013</v>
      </c>
      <c r="EX120" s="995">
        <f t="shared" si="749"/>
        <v>0.65340000000000009</v>
      </c>
      <c r="EY120" s="995">
        <f t="shared" si="749"/>
        <v>0.98010000000000019</v>
      </c>
      <c r="EZ120" s="995">
        <f t="shared" si="749"/>
        <v>1.3068000000000002</v>
      </c>
      <c r="FA120" s="995">
        <f t="shared" si="749"/>
        <v>1.3068000000000002</v>
      </c>
      <c r="FB120" s="995">
        <f t="shared" si="749"/>
        <v>1.3068000000000002</v>
      </c>
      <c r="FC120" s="995">
        <f t="shared" si="749"/>
        <v>1.3068000000000002</v>
      </c>
      <c r="FD120" s="996">
        <f t="shared" si="749"/>
        <v>1.3068000000000002</v>
      </c>
      <c r="FF120" s="994">
        <f t="shared" ref="FF120:FF130" si="761">FF109*BN120</f>
        <v>1.2</v>
      </c>
      <c r="FG120" s="995">
        <f t="shared" si="750"/>
        <v>1.08</v>
      </c>
      <c r="FH120" s="995">
        <f t="shared" si="750"/>
        <v>1.08</v>
      </c>
      <c r="FI120" s="995">
        <f t="shared" si="750"/>
        <v>1.08</v>
      </c>
      <c r="FJ120" s="995">
        <f t="shared" si="750"/>
        <v>0.89100000000000013</v>
      </c>
      <c r="FK120" s="995">
        <f t="shared" si="750"/>
        <v>0.65340000000000009</v>
      </c>
      <c r="FL120" s="995">
        <f t="shared" si="750"/>
        <v>0.98010000000000019</v>
      </c>
      <c r="FM120" s="995">
        <f t="shared" si="750"/>
        <v>1.3068000000000002</v>
      </c>
      <c r="FN120" s="995">
        <f t="shared" si="750"/>
        <v>1.3068000000000002</v>
      </c>
      <c r="FO120" s="995">
        <f t="shared" si="750"/>
        <v>1.3068000000000002</v>
      </c>
      <c r="FP120" s="995">
        <f t="shared" si="750"/>
        <v>1.3068000000000002</v>
      </c>
      <c r="FQ120" s="996">
        <f t="shared" si="750"/>
        <v>1.3068000000000002</v>
      </c>
      <c r="FS120" s="994">
        <f t="shared" ref="FS120:FS130" si="762">FS109*BZ120</f>
        <v>1.2</v>
      </c>
      <c r="FT120" s="995">
        <f t="shared" si="751"/>
        <v>1.08</v>
      </c>
      <c r="FU120" s="995">
        <f t="shared" si="751"/>
        <v>1.08</v>
      </c>
      <c r="FV120" s="995">
        <f t="shared" si="751"/>
        <v>1.08</v>
      </c>
      <c r="FW120" s="995">
        <f t="shared" si="751"/>
        <v>0.89100000000000013</v>
      </c>
      <c r="FX120" s="995">
        <f t="shared" si="751"/>
        <v>0.65340000000000009</v>
      </c>
      <c r="FY120" s="995">
        <f t="shared" si="751"/>
        <v>0.65340000000000009</v>
      </c>
      <c r="FZ120" s="995">
        <f t="shared" si="751"/>
        <v>0.65340000000000009</v>
      </c>
      <c r="GA120" s="995">
        <f t="shared" si="751"/>
        <v>0.65340000000000009</v>
      </c>
      <c r="GB120" s="995">
        <f t="shared" si="751"/>
        <v>0.65340000000000009</v>
      </c>
      <c r="GC120" s="995">
        <f t="shared" si="751"/>
        <v>0.65340000000000009</v>
      </c>
      <c r="GD120" s="996">
        <f t="shared" si="751"/>
        <v>0.65340000000000009</v>
      </c>
      <c r="GF120" s="994">
        <f t="shared" ref="GF120:GF130" si="763">GF109*CL120</f>
        <v>0.6</v>
      </c>
      <c r="GG120" s="995">
        <f t="shared" si="752"/>
        <v>0.54</v>
      </c>
      <c r="GH120" s="995">
        <f t="shared" si="752"/>
        <v>0.54</v>
      </c>
      <c r="GI120" s="995">
        <f t="shared" si="752"/>
        <v>0.54</v>
      </c>
      <c r="GJ120" s="995">
        <f t="shared" si="752"/>
        <v>0.59400000000000008</v>
      </c>
      <c r="GK120" s="995">
        <f t="shared" si="752"/>
        <v>0.65340000000000009</v>
      </c>
      <c r="GL120" s="995">
        <f t="shared" si="752"/>
        <v>0.65340000000000009</v>
      </c>
      <c r="GM120" s="995">
        <f t="shared" si="752"/>
        <v>0.65340000000000009</v>
      </c>
      <c r="GN120" s="995">
        <f t="shared" si="752"/>
        <v>0.65340000000000009</v>
      </c>
      <c r="GO120" s="995">
        <f t="shared" si="752"/>
        <v>0.65340000000000009</v>
      </c>
      <c r="GP120" s="995">
        <f t="shared" si="752"/>
        <v>0.65340000000000009</v>
      </c>
      <c r="GQ120" s="996">
        <f t="shared" si="752"/>
        <v>0.65340000000000009</v>
      </c>
      <c r="GS120" s="994">
        <f t="shared" ref="GS120:GS130" si="764">GS109*CX120</f>
        <v>0.6</v>
      </c>
      <c r="GT120" s="995">
        <f t="shared" si="753"/>
        <v>0.54</v>
      </c>
      <c r="GU120" s="995">
        <f t="shared" si="753"/>
        <v>0.54</v>
      </c>
      <c r="GV120" s="995">
        <f t="shared" si="753"/>
        <v>0.54</v>
      </c>
      <c r="GW120" s="995">
        <f t="shared" si="753"/>
        <v>0.59400000000000008</v>
      </c>
      <c r="GX120" s="995">
        <f t="shared" si="753"/>
        <v>0.65340000000000009</v>
      </c>
      <c r="GY120" s="995">
        <f t="shared" si="753"/>
        <v>0.65340000000000009</v>
      </c>
      <c r="GZ120" s="995">
        <f t="shared" si="753"/>
        <v>0.65340000000000009</v>
      </c>
      <c r="HA120" s="995">
        <f t="shared" si="753"/>
        <v>0.65340000000000009</v>
      </c>
      <c r="HB120" s="995">
        <f t="shared" si="753"/>
        <v>0.65340000000000009</v>
      </c>
      <c r="HC120" s="995">
        <f t="shared" si="753"/>
        <v>0.65340000000000009</v>
      </c>
      <c r="HD120" s="996">
        <f t="shared" si="753"/>
        <v>0.65340000000000009</v>
      </c>
    </row>
    <row r="121" spans="2:212" ht="15">
      <c r="B121" s="1058">
        <v>35</v>
      </c>
      <c r="C121" s="1059" t="s">
        <v>1099</v>
      </c>
      <c r="D121" s="1059"/>
      <c r="E121" s="1060"/>
      <c r="F121" s="1060"/>
      <c r="G121" s="1060"/>
      <c r="H121" s="1060"/>
      <c r="I121" s="1061"/>
      <c r="N121" s="1684"/>
      <c r="O121" s="957" t="s">
        <v>121</v>
      </c>
      <c r="P121" s="606">
        <v>1</v>
      </c>
      <c r="Q121" s="606">
        <v>1</v>
      </c>
      <c r="R121" s="606">
        <v>0</v>
      </c>
      <c r="S121" s="606">
        <v>0</v>
      </c>
      <c r="T121" s="606">
        <v>2</v>
      </c>
      <c r="U121" s="606">
        <v>1</v>
      </c>
      <c r="V121" s="606">
        <v>1</v>
      </c>
      <c r="AA121" s="1684"/>
      <c r="AB121" s="957" t="s">
        <v>121</v>
      </c>
      <c r="AC121" s="610">
        <f t="shared" si="679"/>
        <v>0.5</v>
      </c>
      <c r="AD121" s="610">
        <f>Q121/Q107</f>
        <v>0.5</v>
      </c>
      <c r="AE121" s="610">
        <f>R121/R107</f>
        <v>0</v>
      </c>
      <c r="AF121" s="610"/>
      <c r="AG121" s="610">
        <f>T121/T107</f>
        <v>1</v>
      </c>
      <c r="AH121" s="610">
        <f>U121/U107</f>
        <v>0.5</v>
      </c>
      <c r="AI121" s="610">
        <f>V121/V107</f>
        <v>0.33333333333333331</v>
      </c>
      <c r="AJ121" s="952">
        <f t="shared" si="680"/>
        <v>0.47222222222222227</v>
      </c>
      <c r="AK121" s="952">
        <f t="shared" si="681"/>
        <v>0.47222222222222227</v>
      </c>
      <c r="AL121" s="952">
        <f t="shared" si="682"/>
        <v>0.51944444444444449</v>
      </c>
      <c r="AM121" s="952">
        <f t="shared" si="683"/>
        <v>0.51944444444444449</v>
      </c>
      <c r="AN121" s="952">
        <f t="shared" si="684"/>
        <v>0.51944444444444449</v>
      </c>
      <c r="AO121" s="952">
        <f t="shared" si="685"/>
        <v>0.51944444444444449</v>
      </c>
      <c r="AP121" s="1053">
        <v>0.5</v>
      </c>
      <c r="AQ121" s="1053">
        <f t="shared" si="754"/>
        <v>0.45</v>
      </c>
      <c r="AR121" s="1053">
        <f t="shared" si="754"/>
        <v>0.45</v>
      </c>
      <c r="AS121" s="1053">
        <f t="shared" si="754"/>
        <v>0.45</v>
      </c>
      <c r="AT121" s="1053">
        <f t="shared" si="754"/>
        <v>0.49500000000000005</v>
      </c>
      <c r="AU121" s="1053">
        <f t="shared" si="754"/>
        <v>0.5445000000000001</v>
      </c>
      <c r="AV121" s="1053">
        <f t="shared" si="754"/>
        <v>0.5445000000000001</v>
      </c>
      <c r="AW121" s="1053">
        <f t="shared" si="754"/>
        <v>0.5445000000000001</v>
      </c>
      <c r="AX121" s="1053">
        <f t="shared" si="754"/>
        <v>0.5445000000000001</v>
      </c>
      <c r="AY121" s="1053">
        <f t="shared" si="754"/>
        <v>0.5445000000000001</v>
      </c>
      <c r="AZ121" s="1053">
        <f t="shared" si="754"/>
        <v>0.5445000000000001</v>
      </c>
      <c r="BA121" s="1053">
        <f t="shared" si="754"/>
        <v>0.5445000000000001</v>
      </c>
      <c r="BB121" s="1053">
        <v>0.5</v>
      </c>
      <c r="BC121" s="1053">
        <f t="shared" si="755"/>
        <v>0.45</v>
      </c>
      <c r="BD121" s="1053">
        <f t="shared" si="687"/>
        <v>0.45</v>
      </c>
      <c r="BE121" s="1053">
        <f t="shared" si="688"/>
        <v>0.45</v>
      </c>
      <c r="BF121" s="1053">
        <f t="shared" si="689"/>
        <v>0.49500000000000005</v>
      </c>
      <c r="BG121" s="1053">
        <f t="shared" si="690"/>
        <v>0.5445000000000001</v>
      </c>
      <c r="BH121" s="1053">
        <f t="shared" si="691"/>
        <v>0.5445000000000001</v>
      </c>
      <c r="BI121" s="1053">
        <f t="shared" si="692"/>
        <v>0.5445000000000001</v>
      </c>
      <c r="BJ121" s="1053">
        <f t="shared" si="693"/>
        <v>0.5445000000000001</v>
      </c>
      <c r="BK121" s="1053">
        <f t="shared" si="694"/>
        <v>0.5445000000000001</v>
      </c>
      <c r="BL121" s="1053">
        <f t="shared" si="695"/>
        <v>0.5445000000000001</v>
      </c>
      <c r="BM121" s="1053">
        <f t="shared" si="696"/>
        <v>0.5445000000000001</v>
      </c>
      <c r="BN121" s="1053">
        <v>0.5</v>
      </c>
      <c r="BO121" s="1053">
        <f t="shared" si="756"/>
        <v>0.45</v>
      </c>
      <c r="BP121" s="1053">
        <f t="shared" si="697"/>
        <v>0.45</v>
      </c>
      <c r="BQ121" s="1053">
        <f t="shared" si="698"/>
        <v>0.45</v>
      </c>
      <c r="BR121" s="1053">
        <f t="shared" si="699"/>
        <v>0.49500000000000005</v>
      </c>
      <c r="BS121" s="1053">
        <f t="shared" si="700"/>
        <v>0.5445000000000001</v>
      </c>
      <c r="BT121" s="1053">
        <f t="shared" si="701"/>
        <v>0.5445000000000001</v>
      </c>
      <c r="BU121" s="1053">
        <f t="shared" si="702"/>
        <v>0.5445000000000001</v>
      </c>
      <c r="BV121" s="1053">
        <f t="shared" si="703"/>
        <v>0.5445000000000001</v>
      </c>
      <c r="BW121" s="1053">
        <f t="shared" si="704"/>
        <v>0.5445000000000001</v>
      </c>
      <c r="BX121" s="1053">
        <f t="shared" si="705"/>
        <v>0.5445000000000001</v>
      </c>
      <c r="BY121" s="1053">
        <f t="shared" si="706"/>
        <v>0.5445000000000001</v>
      </c>
      <c r="BZ121" s="1053">
        <v>0.5</v>
      </c>
      <c r="CA121" s="1053">
        <f t="shared" si="757"/>
        <v>0.45</v>
      </c>
      <c r="CB121" s="1053">
        <f t="shared" si="707"/>
        <v>0.45</v>
      </c>
      <c r="CC121" s="1053">
        <f t="shared" si="708"/>
        <v>0.45</v>
      </c>
      <c r="CD121" s="1053">
        <f t="shared" si="709"/>
        <v>0.49500000000000005</v>
      </c>
      <c r="CE121" s="1053">
        <f t="shared" si="710"/>
        <v>0.5445000000000001</v>
      </c>
      <c r="CF121" s="1053">
        <f t="shared" si="711"/>
        <v>0.5445000000000001</v>
      </c>
      <c r="CG121" s="1053">
        <f t="shared" si="712"/>
        <v>0.5445000000000001</v>
      </c>
      <c r="CH121" s="1053">
        <f t="shared" si="713"/>
        <v>0.5445000000000001</v>
      </c>
      <c r="CI121" s="1053">
        <f t="shared" si="714"/>
        <v>0.5445000000000001</v>
      </c>
      <c r="CJ121" s="1053">
        <f t="shared" si="715"/>
        <v>0.5445000000000001</v>
      </c>
      <c r="CK121" s="1053">
        <f t="shared" si="716"/>
        <v>0.5445000000000001</v>
      </c>
      <c r="CL121" s="1053">
        <v>0.5</v>
      </c>
      <c r="CM121" s="1053">
        <f t="shared" si="758"/>
        <v>0.45</v>
      </c>
      <c r="CN121" s="1053">
        <f t="shared" si="717"/>
        <v>0.45</v>
      </c>
      <c r="CO121" s="1053">
        <f t="shared" si="718"/>
        <v>0.45</v>
      </c>
      <c r="CP121" s="1053">
        <f t="shared" si="719"/>
        <v>0.49500000000000005</v>
      </c>
      <c r="CQ121" s="1053">
        <f t="shared" si="720"/>
        <v>0.5445000000000001</v>
      </c>
      <c r="CR121" s="1053">
        <f t="shared" si="721"/>
        <v>0.5445000000000001</v>
      </c>
      <c r="CS121" s="1053">
        <f t="shared" si="722"/>
        <v>0.5445000000000001</v>
      </c>
      <c r="CT121" s="1053">
        <f t="shared" si="723"/>
        <v>0.5445000000000001</v>
      </c>
      <c r="CU121" s="1053">
        <f t="shared" si="724"/>
        <v>0.5445000000000001</v>
      </c>
      <c r="CV121" s="1053">
        <f t="shared" si="725"/>
        <v>0.5445000000000001</v>
      </c>
      <c r="CW121" s="1053">
        <f t="shared" si="726"/>
        <v>0.5445000000000001</v>
      </c>
      <c r="CX121" s="1053">
        <v>0.5</v>
      </c>
      <c r="CY121" s="1053">
        <f t="shared" si="759"/>
        <v>0.45</v>
      </c>
      <c r="CZ121" s="1053">
        <f t="shared" si="727"/>
        <v>0.45</v>
      </c>
      <c r="DA121" s="1053">
        <f t="shared" si="728"/>
        <v>0.45</v>
      </c>
      <c r="DB121" s="1053">
        <f t="shared" si="729"/>
        <v>0.49500000000000005</v>
      </c>
      <c r="DC121" s="1053">
        <f t="shared" si="730"/>
        <v>0.5445000000000001</v>
      </c>
      <c r="DD121" s="1053">
        <f t="shared" si="731"/>
        <v>0.5445000000000001</v>
      </c>
      <c r="DE121" s="1053">
        <f t="shared" si="732"/>
        <v>0.5445000000000001</v>
      </c>
      <c r="DF121" s="1053">
        <f t="shared" si="733"/>
        <v>0.5445000000000001</v>
      </c>
      <c r="DG121" s="1053">
        <f t="shared" si="734"/>
        <v>0.5445000000000001</v>
      </c>
      <c r="DH121" s="1053">
        <f t="shared" si="735"/>
        <v>0.5445000000000001</v>
      </c>
      <c r="DI121" s="1053">
        <f t="shared" si="736"/>
        <v>0.5445000000000001</v>
      </c>
      <c r="DK121" s="1684"/>
      <c r="DL121" s="957" t="s">
        <v>121</v>
      </c>
      <c r="DN121" s="994">
        <v>4</v>
      </c>
      <c r="DO121" s="995">
        <f>DO107*$AJ$121</f>
        <v>2.3611111111111112</v>
      </c>
      <c r="DP121" s="995">
        <f>DP107*$AJ$121</f>
        <v>1.4166666666666667</v>
      </c>
      <c r="DQ121" s="995">
        <f>DQ107*$AJ$121</f>
        <v>4.3680555555555562</v>
      </c>
      <c r="DR121" s="996">
        <f>DR107*$AJ$121</f>
        <v>5.9500000000000011</v>
      </c>
      <c r="DT121" s="994">
        <v>4</v>
      </c>
      <c r="DU121" s="995">
        <f>DU107*$AH$121</f>
        <v>2.5</v>
      </c>
      <c r="DV121" s="995">
        <f>DV107*$AH$121</f>
        <v>1.5</v>
      </c>
      <c r="DW121" s="995">
        <f>DW107*$AH$121</f>
        <v>4.625</v>
      </c>
      <c r="DX121" s="996">
        <f>DX107*$AH$121</f>
        <v>6.3000000000000007</v>
      </c>
      <c r="DZ121" s="994">
        <v>4</v>
      </c>
      <c r="EA121" s="995">
        <f>EA107*AL$121</f>
        <v>3.1166666666666671</v>
      </c>
      <c r="EB121" s="995">
        <f>EB107*AM$121</f>
        <v>1.5583333333333336</v>
      </c>
      <c r="EC121" s="995">
        <f>EC107*AN$121</f>
        <v>4.8048611111111112</v>
      </c>
      <c r="ED121" s="996">
        <f>ED107*AO$121</f>
        <v>6.5450000000000017</v>
      </c>
      <c r="EF121" s="994">
        <f t="shared" si="737"/>
        <v>1.5</v>
      </c>
      <c r="EG121" s="995">
        <f t="shared" si="738"/>
        <v>4.1625000000000005</v>
      </c>
      <c r="EH121" s="995">
        <f t="shared" si="739"/>
        <v>5.6700000000000008</v>
      </c>
      <c r="EI121" s="995">
        <f t="shared" si="740"/>
        <v>3.6450000000000009</v>
      </c>
      <c r="EJ121" s="995">
        <f t="shared" si="741"/>
        <v>2.2275</v>
      </c>
      <c r="EK121" s="995">
        <f t="shared" si="742"/>
        <v>1.4973750000000003</v>
      </c>
      <c r="EL121" s="995">
        <f t="shared" si="743"/>
        <v>0.5445000000000001</v>
      </c>
      <c r="EM121" s="995">
        <f t="shared" si="744"/>
        <v>0.81675000000000009</v>
      </c>
      <c r="EN121" s="995">
        <f t="shared" si="745"/>
        <v>1.0890000000000002</v>
      </c>
      <c r="EO121" s="995">
        <f t="shared" si="746"/>
        <v>1.0890000000000002</v>
      </c>
      <c r="EP121" s="995">
        <f t="shared" si="747"/>
        <v>1.0890000000000002</v>
      </c>
      <c r="EQ121" s="995">
        <f t="shared" si="748"/>
        <v>1.0890000000000002</v>
      </c>
      <c r="ES121" s="994">
        <f t="shared" si="760"/>
        <v>1</v>
      </c>
      <c r="ET121" s="995">
        <f t="shared" si="749"/>
        <v>0.9</v>
      </c>
      <c r="EU121" s="995">
        <f t="shared" si="749"/>
        <v>0.9</v>
      </c>
      <c r="EV121" s="995">
        <f t="shared" si="749"/>
        <v>0.9</v>
      </c>
      <c r="EW121" s="995">
        <f t="shared" si="749"/>
        <v>0.9900000000000001</v>
      </c>
      <c r="EX121" s="995">
        <f t="shared" si="749"/>
        <v>0.81675000000000009</v>
      </c>
      <c r="EY121" s="995">
        <f t="shared" si="749"/>
        <v>0.5445000000000001</v>
      </c>
      <c r="EZ121" s="995">
        <f t="shared" si="749"/>
        <v>0.81675000000000009</v>
      </c>
      <c r="FA121" s="995">
        <f t="shared" si="749"/>
        <v>1.0890000000000002</v>
      </c>
      <c r="FB121" s="995">
        <f t="shared" si="749"/>
        <v>1.0890000000000002</v>
      </c>
      <c r="FC121" s="995">
        <f t="shared" si="749"/>
        <v>1.0890000000000002</v>
      </c>
      <c r="FD121" s="996">
        <f t="shared" si="749"/>
        <v>1.0890000000000002</v>
      </c>
      <c r="FF121" s="994">
        <f t="shared" si="761"/>
        <v>1</v>
      </c>
      <c r="FG121" s="995">
        <f t="shared" si="750"/>
        <v>0.9</v>
      </c>
      <c r="FH121" s="995">
        <f t="shared" si="750"/>
        <v>0.9</v>
      </c>
      <c r="FI121" s="995">
        <f t="shared" si="750"/>
        <v>0.9</v>
      </c>
      <c r="FJ121" s="995">
        <f t="shared" si="750"/>
        <v>0.9900000000000001</v>
      </c>
      <c r="FK121" s="995">
        <f t="shared" si="750"/>
        <v>0.81675000000000009</v>
      </c>
      <c r="FL121" s="995">
        <f t="shared" si="750"/>
        <v>0.5445000000000001</v>
      </c>
      <c r="FM121" s="995">
        <f t="shared" si="750"/>
        <v>0.81675000000000009</v>
      </c>
      <c r="FN121" s="995">
        <f t="shared" si="750"/>
        <v>1.0890000000000002</v>
      </c>
      <c r="FO121" s="995">
        <f t="shared" si="750"/>
        <v>1.0890000000000002</v>
      </c>
      <c r="FP121" s="995">
        <f t="shared" si="750"/>
        <v>1.0890000000000002</v>
      </c>
      <c r="FQ121" s="996">
        <f t="shared" si="750"/>
        <v>1.0890000000000002</v>
      </c>
      <c r="FS121" s="994">
        <f t="shared" si="762"/>
        <v>1</v>
      </c>
      <c r="FT121" s="995">
        <f t="shared" si="751"/>
        <v>0.9</v>
      </c>
      <c r="FU121" s="995">
        <f t="shared" si="751"/>
        <v>0.9</v>
      </c>
      <c r="FV121" s="995">
        <f t="shared" si="751"/>
        <v>0.9</v>
      </c>
      <c r="FW121" s="995">
        <f t="shared" si="751"/>
        <v>0.9900000000000001</v>
      </c>
      <c r="FX121" s="995">
        <f t="shared" si="751"/>
        <v>0.81675000000000009</v>
      </c>
      <c r="FY121" s="995">
        <f t="shared" si="751"/>
        <v>0.5445000000000001</v>
      </c>
      <c r="FZ121" s="995">
        <f t="shared" si="751"/>
        <v>0.5445000000000001</v>
      </c>
      <c r="GA121" s="995">
        <f t="shared" si="751"/>
        <v>0.5445000000000001</v>
      </c>
      <c r="GB121" s="995">
        <f t="shared" si="751"/>
        <v>0.5445000000000001</v>
      </c>
      <c r="GC121" s="995">
        <f t="shared" si="751"/>
        <v>0.5445000000000001</v>
      </c>
      <c r="GD121" s="996">
        <f t="shared" si="751"/>
        <v>0.5445000000000001</v>
      </c>
      <c r="GF121" s="994">
        <f t="shared" si="763"/>
        <v>0.5</v>
      </c>
      <c r="GG121" s="995">
        <f t="shared" si="752"/>
        <v>0.45</v>
      </c>
      <c r="GH121" s="995">
        <f t="shared" si="752"/>
        <v>0.45</v>
      </c>
      <c r="GI121" s="995">
        <f t="shared" si="752"/>
        <v>0.45</v>
      </c>
      <c r="GJ121" s="995">
        <f t="shared" si="752"/>
        <v>0.49500000000000005</v>
      </c>
      <c r="GK121" s="995">
        <f t="shared" si="752"/>
        <v>0.5445000000000001</v>
      </c>
      <c r="GL121" s="995">
        <f t="shared" si="752"/>
        <v>0.5445000000000001</v>
      </c>
      <c r="GM121" s="995">
        <f t="shared" si="752"/>
        <v>0.5445000000000001</v>
      </c>
      <c r="GN121" s="995">
        <f t="shared" si="752"/>
        <v>0.5445000000000001</v>
      </c>
      <c r="GO121" s="995">
        <f t="shared" si="752"/>
        <v>0.5445000000000001</v>
      </c>
      <c r="GP121" s="995">
        <f t="shared" si="752"/>
        <v>0.5445000000000001</v>
      </c>
      <c r="GQ121" s="996">
        <f t="shared" si="752"/>
        <v>0.5445000000000001</v>
      </c>
      <c r="GS121" s="994">
        <f t="shared" si="764"/>
        <v>0.5</v>
      </c>
      <c r="GT121" s="995">
        <f t="shared" si="753"/>
        <v>0.45</v>
      </c>
      <c r="GU121" s="995">
        <f t="shared" si="753"/>
        <v>0.45</v>
      </c>
      <c r="GV121" s="995">
        <f t="shared" si="753"/>
        <v>0.45</v>
      </c>
      <c r="GW121" s="995">
        <f t="shared" si="753"/>
        <v>0.49500000000000005</v>
      </c>
      <c r="GX121" s="995">
        <f t="shared" si="753"/>
        <v>0.5445000000000001</v>
      </c>
      <c r="GY121" s="995">
        <f t="shared" si="753"/>
        <v>0.5445000000000001</v>
      </c>
      <c r="GZ121" s="995">
        <f t="shared" si="753"/>
        <v>0.5445000000000001</v>
      </c>
      <c r="HA121" s="995">
        <f t="shared" si="753"/>
        <v>0.5445000000000001</v>
      </c>
      <c r="HB121" s="995">
        <f t="shared" si="753"/>
        <v>0.5445000000000001</v>
      </c>
      <c r="HC121" s="995">
        <f t="shared" si="753"/>
        <v>0.5445000000000001</v>
      </c>
      <c r="HD121" s="996">
        <f t="shared" si="753"/>
        <v>0.5445000000000001</v>
      </c>
    </row>
    <row r="122" spans="2:212">
      <c r="B122" s="980"/>
      <c r="C122" s="946" t="s">
        <v>1100</v>
      </c>
      <c r="D122" s="1098"/>
      <c r="E122" s="607"/>
      <c r="F122" s="1004"/>
      <c r="G122" s="1005"/>
      <c r="I122" s="991"/>
      <c r="N122" s="1684"/>
      <c r="O122" s="957" t="s">
        <v>122</v>
      </c>
      <c r="P122" s="606">
        <v>1</v>
      </c>
      <c r="Q122" s="606">
        <v>0</v>
      </c>
      <c r="R122" s="606">
        <v>1</v>
      </c>
      <c r="S122" s="606">
        <v>0</v>
      </c>
      <c r="T122" s="606">
        <v>0</v>
      </c>
      <c r="U122" s="606">
        <v>1</v>
      </c>
      <c r="V122" s="606">
        <v>1</v>
      </c>
      <c r="AA122" s="1684"/>
      <c r="AB122" s="957" t="s">
        <v>122</v>
      </c>
      <c r="AC122" s="610">
        <f t="shared" si="679"/>
        <v>0.2</v>
      </c>
      <c r="AD122" s="610">
        <f>Q122/Q108</f>
        <v>0</v>
      </c>
      <c r="AE122" s="610">
        <f>R122/R108</f>
        <v>0.5</v>
      </c>
      <c r="AF122" s="610">
        <f>S122/S108</f>
        <v>0</v>
      </c>
      <c r="AG122" s="610"/>
      <c r="AH122" s="610">
        <f>U122/U108</f>
        <v>0.5</v>
      </c>
      <c r="AI122" s="610">
        <f>V122/V108</f>
        <v>0.5</v>
      </c>
      <c r="AJ122" s="952">
        <f t="shared" si="680"/>
        <v>0.28333333333333333</v>
      </c>
      <c r="AK122" s="952">
        <f t="shared" si="681"/>
        <v>0.28333333333333333</v>
      </c>
      <c r="AL122" s="952">
        <f t="shared" si="682"/>
        <v>0.3116666666666667</v>
      </c>
      <c r="AM122" s="952">
        <f t="shared" si="683"/>
        <v>0.3116666666666667</v>
      </c>
      <c r="AN122" s="952">
        <f t="shared" si="684"/>
        <v>0.3116666666666667</v>
      </c>
      <c r="AO122" s="952">
        <f t="shared" si="685"/>
        <v>0.3116666666666667</v>
      </c>
      <c r="AP122" s="1053">
        <v>0.3</v>
      </c>
      <c r="AQ122" s="1053">
        <f t="shared" si="754"/>
        <v>0.27</v>
      </c>
      <c r="AR122" s="1053">
        <f t="shared" si="754"/>
        <v>0.27</v>
      </c>
      <c r="AS122" s="1053">
        <f t="shared" si="754"/>
        <v>0.27</v>
      </c>
      <c r="AT122" s="1053">
        <f t="shared" si="754"/>
        <v>0.29700000000000004</v>
      </c>
      <c r="AU122" s="1053">
        <f t="shared" si="754"/>
        <v>0.32670000000000005</v>
      </c>
      <c r="AV122" s="1053">
        <f t="shared" si="754"/>
        <v>0.32670000000000005</v>
      </c>
      <c r="AW122" s="1053">
        <f t="shared" si="754"/>
        <v>0.32670000000000005</v>
      </c>
      <c r="AX122" s="1053">
        <f t="shared" si="754"/>
        <v>0.32670000000000005</v>
      </c>
      <c r="AY122" s="1053">
        <f t="shared" si="754"/>
        <v>0.32670000000000005</v>
      </c>
      <c r="AZ122" s="1053">
        <f t="shared" si="754"/>
        <v>0.32670000000000005</v>
      </c>
      <c r="BA122" s="1053">
        <f t="shared" si="754"/>
        <v>0.32670000000000005</v>
      </c>
      <c r="BB122" s="1053">
        <v>0.3</v>
      </c>
      <c r="BC122" s="1053">
        <f t="shared" si="755"/>
        <v>0.27</v>
      </c>
      <c r="BD122" s="1053">
        <f t="shared" si="687"/>
        <v>0.27</v>
      </c>
      <c r="BE122" s="1053">
        <f t="shared" si="688"/>
        <v>0.27</v>
      </c>
      <c r="BF122" s="1053">
        <f t="shared" si="689"/>
        <v>0.29700000000000004</v>
      </c>
      <c r="BG122" s="1053">
        <f t="shared" si="690"/>
        <v>0.32670000000000005</v>
      </c>
      <c r="BH122" s="1053">
        <f t="shared" si="691"/>
        <v>0.32670000000000005</v>
      </c>
      <c r="BI122" s="1053">
        <f t="shared" si="692"/>
        <v>0.32670000000000005</v>
      </c>
      <c r="BJ122" s="1053">
        <f t="shared" si="693"/>
        <v>0.32670000000000005</v>
      </c>
      <c r="BK122" s="1053">
        <f t="shared" si="694"/>
        <v>0.32670000000000005</v>
      </c>
      <c r="BL122" s="1053">
        <f t="shared" si="695"/>
        <v>0.32670000000000005</v>
      </c>
      <c r="BM122" s="1053">
        <f t="shared" si="696"/>
        <v>0.32670000000000005</v>
      </c>
      <c r="BN122" s="1053">
        <v>0.3</v>
      </c>
      <c r="BO122" s="1053">
        <f t="shared" si="756"/>
        <v>0.27</v>
      </c>
      <c r="BP122" s="1053">
        <f t="shared" si="697"/>
        <v>0.27</v>
      </c>
      <c r="BQ122" s="1053">
        <f t="shared" si="698"/>
        <v>0.27</v>
      </c>
      <c r="BR122" s="1053">
        <f t="shared" si="699"/>
        <v>0.29700000000000004</v>
      </c>
      <c r="BS122" s="1053">
        <f t="shared" si="700"/>
        <v>0.32670000000000005</v>
      </c>
      <c r="BT122" s="1053">
        <f t="shared" si="701"/>
        <v>0.32670000000000005</v>
      </c>
      <c r="BU122" s="1053">
        <f t="shared" si="702"/>
        <v>0.32670000000000005</v>
      </c>
      <c r="BV122" s="1053">
        <f t="shared" si="703"/>
        <v>0.32670000000000005</v>
      </c>
      <c r="BW122" s="1053">
        <f t="shared" si="704"/>
        <v>0.32670000000000005</v>
      </c>
      <c r="BX122" s="1053">
        <f t="shared" si="705"/>
        <v>0.32670000000000005</v>
      </c>
      <c r="BY122" s="1053">
        <f t="shared" si="706"/>
        <v>0.32670000000000005</v>
      </c>
      <c r="BZ122" s="1053">
        <v>0.3</v>
      </c>
      <c r="CA122" s="1053">
        <f t="shared" si="757"/>
        <v>0.27</v>
      </c>
      <c r="CB122" s="1053">
        <f t="shared" si="707"/>
        <v>0.27</v>
      </c>
      <c r="CC122" s="1053">
        <f t="shared" si="708"/>
        <v>0.27</v>
      </c>
      <c r="CD122" s="1053">
        <f t="shared" si="709"/>
        <v>0.29700000000000004</v>
      </c>
      <c r="CE122" s="1053">
        <f t="shared" si="710"/>
        <v>0.32670000000000005</v>
      </c>
      <c r="CF122" s="1053">
        <f t="shared" si="711"/>
        <v>0.32670000000000005</v>
      </c>
      <c r="CG122" s="1053">
        <f t="shared" si="712"/>
        <v>0.32670000000000005</v>
      </c>
      <c r="CH122" s="1053">
        <f t="shared" si="713"/>
        <v>0.32670000000000005</v>
      </c>
      <c r="CI122" s="1053">
        <f t="shared" si="714"/>
        <v>0.32670000000000005</v>
      </c>
      <c r="CJ122" s="1053">
        <f t="shared" si="715"/>
        <v>0.32670000000000005</v>
      </c>
      <c r="CK122" s="1053">
        <f t="shared" si="716"/>
        <v>0.32670000000000005</v>
      </c>
      <c r="CL122" s="1053">
        <v>0.3</v>
      </c>
      <c r="CM122" s="1053">
        <f t="shared" si="758"/>
        <v>0.27</v>
      </c>
      <c r="CN122" s="1053">
        <f t="shared" si="717"/>
        <v>0.27</v>
      </c>
      <c r="CO122" s="1053">
        <f t="shared" si="718"/>
        <v>0.27</v>
      </c>
      <c r="CP122" s="1053">
        <f t="shared" si="719"/>
        <v>0.29700000000000004</v>
      </c>
      <c r="CQ122" s="1053">
        <f t="shared" si="720"/>
        <v>0.32670000000000005</v>
      </c>
      <c r="CR122" s="1053">
        <f t="shared" si="721"/>
        <v>0.32670000000000005</v>
      </c>
      <c r="CS122" s="1053">
        <f t="shared" si="722"/>
        <v>0.32670000000000005</v>
      </c>
      <c r="CT122" s="1053">
        <f t="shared" si="723"/>
        <v>0.32670000000000005</v>
      </c>
      <c r="CU122" s="1053">
        <f t="shared" si="724"/>
        <v>0.32670000000000005</v>
      </c>
      <c r="CV122" s="1053">
        <f t="shared" si="725"/>
        <v>0.32670000000000005</v>
      </c>
      <c r="CW122" s="1053">
        <f t="shared" si="726"/>
        <v>0.32670000000000005</v>
      </c>
      <c r="CX122" s="1053">
        <v>0.3</v>
      </c>
      <c r="CY122" s="1053">
        <f t="shared" si="759"/>
        <v>0.27</v>
      </c>
      <c r="CZ122" s="1053">
        <f t="shared" si="727"/>
        <v>0.27</v>
      </c>
      <c r="DA122" s="1053">
        <f t="shared" si="728"/>
        <v>0.27</v>
      </c>
      <c r="DB122" s="1053">
        <f t="shared" si="729"/>
        <v>0.29700000000000004</v>
      </c>
      <c r="DC122" s="1053">
        <f t="shared" si="730"/>
        <v>0.32670000000000005</v>
      </c>
      <c r="DD122" s="1053">
        <f t="shared" si="731"/>
        <v>0.32670000000000005</v>
      </c>
      <c r="DE122" s="1053">
        <f t="shared" si="732"/>
        <v>0.32670000000000005</v>
      </c>
      <c r="DF122" s="1053">
        <f t="shared" si="733"/>
        <v>0.32670000000000005</v>
      </c>
      <c r="DG122" s="1053">
        <f t="shared" si="734"/>
        <v>0.32670000000000005</v>
      </c>
      <c r="DH122" s="1053">
        <f t="shared" si="735"/>
        <v>0.32670000000000005</v>
      </c>
      <c r="DI122" s="1053">
        <f t="shared" si="736"/>
        <v>0.32670000000000005</v>
      </c>
      <c r="DK122" s="1684"/>
      <c r="DL122" s="957" t="s">
        <v>122</v>
      </c>
      <c r="DN122" s="994">
        <v>1</v>
      </c>
      <c r="DO122" s="995">
        <f>DO108*$AJ$122</f>
        <v>1.7</v>
      </c>
      <c r="DP122" s="995">
        <f>DP108*$AJ$122</f>
        <v>1.4166666666666665</v>
      </c>
      <c r="DQ122" s="995">
        <f>DQ108*$AJ$122</f>
        <v>0.85</v>
      </c>
      <c r="DR122" s="996">
        <f>DR108*$AJ$122</f>
        <v>2.6208333333333331</v>
      </c>
      <c r="DT122" s="994">
        <v>1</v>
      </c>
      <c r="DU122" s="995">
        <f>DU108*$AH$122</f>
        <v>3</v>
      </c>
      <c r="DV122" s="995">
        <f>DV108*$AH$122</f>
        <v>2.5</v>
      </c>
      <c r="DW122" s="995">
        <f>DW108*$AH$122</f>
        <v>1.5</v>
      </c>
      <c r="DX122" s="996">
        <f>DX108*$AH$122</f>
        <v>4.625</v>
      </c>
      <c r="DZ122" s="994">
        <v>1</v>
      </c>
      <c r="EA122" s="995">
        <f>EA108*AL$122</f>
        <v>0.3116666666666667</v>
      </c>
      <c r="EB122" s="995">
        <f>EB108*AM$122</f>
        <v>1.87</v>
      </c>
      <c r="EC122" s="995">
        <f>EC108*AN$122</f>
        <v>0.93500000000000005</v>
      </c>
      <c r="ED122" s="996">
        <f>ED108*AO$122</f>
        <v>2.882916666666667</v>
      </c>
      <c r="EF122" s="994">
        <f t="shared" si="737"/>
        <v>1.7999999999999998</v>
      </c>
      <c r="EG122" s="995">
        <f t="shared" si="738"/>
        <v>0.81</v>
      </c>
      <c r="EH122" s="995">
        <f t="shared" si="739"/>
        <v>2.4975000000000001</v>
      </c>
      <c r="EI122" s="995">
        <f t="shared" si="740"/>
        <v>3.4020000000000006</v>
      </c>
      <c r="EJ122" s="995">
        <f t="shared" si="741"/>
        <v>2.4057000000000008</v>
      </c>
      <c r="EK122" s="995">
        <f t="shared" si="742"/>
        <v>1.4701500000000003</v>
      </c>
      <c r="EL122" s="995">
        <f t="shared" si="743"/>
        <v>0.89842500000000014</v>
      </c>
      <c r="EM122" s="995">
        <f t="shared" si="744"/>
        <v>0.32670000000000005</v>
      </c>
      <c r="EN122" s="995">
        <f t="shared" si="745"/>
        <v>0.4900500000000001</v>
      </c>
      <c r="EO122" s="995">
        <f t="shared" si="746"/>
        <v>0.65340000000000009</v>
      </c>
      <c r="EP122" s="995">
        <f t="shared" si="747"/>
        <v>0.65340000000000009</v>
      </c>
      <c r="EQ122" s="995">
        <f t="shared" si="748"/>
        <v>0.65340000000000009</v>
      </c>
      <c r="ES122" s="994">
        <f t="shared" si="760"/>
        <v>0.6</v>
      </c>
      <c r="ET122" s="995">
        <f t="shared" si="749"/>
        <v>0.54</v>
      </c>
      <c r="EU122" s="995">
        <f t="shared" si="749"/>
        <v>0.54</v>
      </c>
      <c r="EV122" s="995">
        <f t="shared" si="749"/>
        <v>0.54</v>
      </c>
      <c r="EW122" s="995">
        <f t="shared" si="749"/>
        <v>0.59400000000000008</v>
      </c>
      <c r="EX122" s="995">
        <f t="shared" si="749"/>
        <v>0.65340000000000009</v>
      </c>
      <c r="EY122" s="995">
        <f t="shared" si="749"/>
        <v>0.4900500000000001</v>
      </c>
      <c r="EZ122" s="995">
        <f t="shared" si="749"/>
        <v>0.32670000000000005</v>
      </c>
      <c r="FA122" s="995">
        <f t="shared" si="749"/>
        <v>0.4900500000000001</v>
      </c>
      <c r="FB122" s="995">
        <f t="shared" si="749"/>
        <v>0.65340000000000009</v>
      </c>
      <c r="FC122" s="995">
        <f t="shared" si="749"/>
        <v>0.65340000000000009</v>
      </c>
      <c r="FD122" s="996">
        <f t="shared" si="749"/>
        <v>0.65340000000000009</v>
      </c>
      <c r="FF122" s="994">
        <f t="shared" si="761"/>
        <v>0.6</v>
      </c>
      <c r="FG122" s="995">
        <f t="shared" si="750"/>
        <v>0.54</v>
      </c>
      <c r="FH122" s="995">
        <f t="shared" si="750"/>
        <v>0.54</v>
      </c>
      <c r="FI122" s="995">
        <f t="shared" si="750"/>
        <v>0.54</v>
      </c>
      <c r="FJ122" s="995">
        <f t="shared" si="750"/>
        <v>0.59400000000000008</v>
      </c>
      <c r="FK122" s="995">
        <f t="shared" si="750"/>
        <v>0.65340000000000009</v>
      </c>
      <c r="FL122" s="995">
        <f t="shared" si="750"/>
        <v>0.4900500000000001</v>
      </c>
      <c r="FM122" s="995">
        <f t="shared" si="750"/>
        <v>0.32670000000000005</v>
      </c>
      <c r="FN122" s="995">
        <f t="shared" si="750"/>
        <v>0.4900500000000001</v>
      </c>
      <c r="FO122" s="995">
        <f t="shared" si="750"/>
        <v>0.65340000000000009</v>
      </c>
      <c r="FP122" s="995">
        <f t="shared" si="750"/>
        <v>0.65340000000000009</v>
      </c>
      <c r="FQ122" s="996">
        <f t="shared" si="750"/>
        <v>0.65340000000000009</v>
      </c>
      <c r="FS122" s="994">
        <f t="shared" si="762"/>
        <v>0.6</v>
      </c>
      <c r="FT122" s="995">
        <f t="shared" si="751"/>
        <v>0.54</v>
      </c>
      <c r="FU122" s="995">
        <f t="shared" si="751"/>
        <v>0.54</v>
      </c>
      <c r="FV122" s="995">
        <f t="shared" si="751"/>
        <v>0.54</v>
      </c>
      <c r="FW122" s="995">
        <f t="shared" si="751"/>
        <v>0.59400000000000008</v>
      </c>
      <c r="FX122" s="995">
        <f t="shared" si="751"/>
        <v>0.65340000000000009</v>
      </c>
      <c r="FY122" s="995">
        <f t="shared" si="751"/>
        <v>0.4900500000000001</v>
      </c>
      <c r="FZ122" s="995">
        <f t="shared" si="751"/>
        <v>0.32670000000000005</v>
      </c>
      <c r="GA122" s="995">
        <f t="shared" si="751"/>
        <v>0.32670000000000005</v>
      </c>
      <c r="GB122" s="995">
        <f t="shared" si="751"/>
        <v>0.32670000000000005</v>
      </c>
      <c r="GC122" s="995">
        <f t="shared" si="751"/>
        <v>0.32670000000000005</v>
      </c>
      <c r="GD122" s="996">
        <f t="shared" si="751"/>
        <v>0.32670000000000005</v>
      </c>
      <c r="GF122" s="994">
        <f t="shared" si="763"/>
        <v>0.3</v>
      </c>
      <c r="GG122" s="995">
        <f t="shared" si="752"/>
        <v>0.27</v>
      </c>
      <c r="GH122" s="995">
        <f t="shared" si="752"/>
        <v>0.27</v>
      </c>
      <c r="GI122" s="995">
        <f t="shared" si="752"/>
        <v>0.27</v>
      </c>
      <c r="GJ122" s="995">
        <f t="shared" si="752"/>
        <v>0.29700000000000004</v>
      </c>
      <c r="GK122" s="995">
        <f t="shared" si="752"/>
        <v>0.32670000000000005</v>
      </c>
      <c r="GL122" s="995">
        <f t="shared" si="752"/>
        <v>0.32670000000000005</v>
      </c>
      <c r="GM122" s="995">
        <f t="shared" si="752"/>
        <v>0.32670000000000005</v>
      </c>
      <c r="GN122" s="995">
        <f t="shared" si="752"/>
        <v>0.32670000000000005</v>
      </c>
      <c r="GO122" s="995">
        <f t="shared" si="752"/>
        <v>0.32670000000000005</v>
      </c>
      <c r="GP122" s="995">
        <f t="shared" si="752"/>
        <v>0.32670000000000005</v>
      </c>
      <c r="GQ122" s="996">
        <f t="shared" si="752"/>
        <v>0.32670000000000005</v>
      </c>
      <c r="GS122" s="994">
        <f t="shared" si="764"/>
        <v>0.3</v>
      </c>
      <c r="GT122" s="995">
        <f t="shared" si="753"/>
        <v>0.27</v>
      </c>
      <c r="GU122" s="995">
        <f t="shared" si="753"/>
        <v>0.27</v>
      </c>
      <c r="GV122" s="995">
        <f t="shared" si="753"/>
        <v>0.27</v>
      </c>
      <c r="GW122" s="995">
        <f t="shared" si="753"/>
        <v>0.29700000000000004</v>
      </c>
      <c r="GX122" s="995">
        <f t="shared" si="753"/>
        <v>0.32670000000000005</v>
      </c>
      <c r="GY122" s="995">
        <f t="shared" si="753"/>
        <v>0.32670000000000005</v>
      </c>
      <c r="GZ122" s="995">
        <f t="shared" si="753"/>
        <v>0.32670000000000005</v>
      </c>
      <c r="HA122" s="995">
        <f t="shared" si="753"/>
        <v>0.32670000000000005</v>
      </c>
      <c r="HB122" s="995">
        <f t="shared" si="753"/>
        <v>0.32670000000000005</v>
      </c>
      <c r="HC122" s="995">
        <f t="shared" si="753"/>
        <v>0.32670000000000005</v>
      </c>
      <c r="HD122" s="996">
        <f t="shared" si="753"/>
        <v>0.32670000000000005</v>
      </c>
    </row>
    <row r="123" spans="2:212" ht="15">
      <c r="B123" s="974"/>
      <c r="C123" s="974"/>
      <c r="D123" s="974"/>
      <c r="E123" s="974"/>
      <c r="F123" s="974"/>
      <c r="G123" s="974"/>
      <c r="H123" s="974"/>
      <c r="I123" s="974"/>
      <c r="N123" s="1684"/>
      <c r="O123" s="957" t="s">
        <v>123</v>
      </c>
      <c r="P123" s="606">
        <v>0</v>
      </c>
      <c r="Q123" s="606">
        <v>0</v>
      </c>
      <c r="R123" s="606">
        <v>0</v>
      </c>
      <c r="S123" s="606">
        <v>0</v>
      </c>
      <c r="T123" s="606">
        <v>0</v>
      </c>
      <c r="U123" s="606">
        <v>0</v>
      </c>
      <c r="V123" s="606">
        <v>0</v>
      </c>
      <c r="AA123" s="1684"/>
      <c r="AB123" s="957" t="s">
        <v>123</v>
      </c>
      <c r="AC123" s="610">
        <f t="shared" si="679"/>
        <v>0</v>
      </c>
      <c r="AD123" s="610">
        <f>Q123/Q109</f>
        <v>0</v>
      </c>
      <c r="AE123" s="610">
        <f>R123/R109</f>
        <v>0</v>
      </c>
      <c r="AF123" s="610">
        <f>S123/S109</f>
        <v>0</v>
      </c>
      <c r="AG123" s="610">
        <f>T123/T109</f>
        <v>0</v>
      </c>
      <c r="AH123" s="610"/>
      <c r="AI123" s="610">
        <f>V123/V109</f>
        <v>0</v>
      </c>
      <c r="AJ123" s="952">
        <f t="shared" si="680"/>
        <v>0</v>
      </c>
      <c r="AK123" s="952">
        <f t="shared" si="681"/>
        <v>0</v>
      </c>
      <c r="AL123" s="952">
        <f t="shared" si="682"/>
        <v>0</v>
      </c>
      <c r="AM123" s="952">
        <f t="shared" si="683"/>
        <v>0</v>
      </c>
      <c r="AN123" s="952">
        <f t="shared" si="684"/>
        <v>0</v>
      </c>
      <c r="AO123" s="952">
        <f t="shared" si="685"/>
        <v>0</v>
      </c>
      <c r="AP123" s="1053">
        <v>0.3</v>
      </c>
      <c r="AQ123" s="1053">
        <f t="shared" si="754"/>
        <v>0.27</v>
      </c>
      <c r="AR123" s="1053">
        <f t="shared" si="754"/>
        <v>0.27</v>
      </c>
      <c r="AS123" s="1053">
        <f t="shared" si="754"/>
        <v>0.27</v>
      </c>
      <c r="AT123" s="1053">
        <f t="shared" si="754"/>
        <v>0.29700000000000004</v>
      </c>
      <c r="AU123" s="1053">
        <f t="shared" si="754"/>
        <v>0.32670000000000005</v>
      </c>
      <c r="AV123" s="1053">
        <f t="shared" si="754"/>
        <v>0.32670000000000005</v>
      </c>
      <c r="AW123" s="1053">
        <f t="shared" si="754"/>
        <v>0.32670000000000005</v>
      </c>
      <c r="AX123" s="1053">
        <f t="shared" si="754"/>
        <v>0.32670000000000005</v>
      </c>
      <c r="AY123" s="1053">
        <f t="shared" si="754"/>
        <v>0.32670000000000005</v>
      </c>
      <c r="AZ123" s="1053">
        <f t="shared" si="754"/>
        <v>0.32670000000000005</v>
      </c>
      <c r="BA123" s="1053">
        <f t="shared" si="754"/>
        <v>0.32670000000000005</v>
      </c>
      <c r="BB123" s="1053">
        <v>0.3</v>
      </c>
      <c r="BC123" s="1053">
        <f t="shared" si="755"/>
        <v>0.27</v>
      </c>
      <c r="BD123" s="1053">
        <f t="shared" si="687"/>
        <v>0.27</v>
      </c>
      <c r="BE123" s="1053">
        <f t="shared" si="688"/>
        <v>0.27</v>
      </c>
      <c r="BF123" s="1053">
        <f t="shared" si="689"/>
        <v>0.29700000000000004</v>
      </c>
      <c r="BG123" s="1053">
        <f t="shared" si="690"/>
        <v>0.32670000000000005</v>
      </c>
      <c r="BH123" s="1053">
        <f t="shared" si="691"/>
        <v>0.32670000000000005</v>
      </c>
      <c r="BI123" s="1053">
        <f t="shared" si="692"/>
        <v>0.32670000000000005</v>
      </c>
      <c r="BJ123" s="1053">
        <f t="shared" si="693"/>
        <v>0.32670000000000005</v>
      </c>
      <c r="BK123" s="1053">
        <f t="shared" si="694"/>
        <v>0.32670000000000005</v>
      </c>
      <c r="BL123" s="1053">
        <f t="shared" si="695"/>
        <v>0.32670000000000005</v>
      </c>
      <c r="BM123" s="1053">
        <f t="shared" si="696"/>
        <v>0.32670000000000005</v>
      </c>
      <c r="BN123" s="1053">
        <v>0.3</v>
      </c>
      <c r="BO123" s="1053">
        <f t="shared" si="756"/>
        <v>0.27</v>
      </c>
      <c r="BP123" s="1053">
        <f t="shared" si="697"/>
        <v>0.27</v>
      </c>
      <c r="BQ123" s="1053">
        <f t="shared" si="698"/>
        <v>0.27</v>
      </c>
      <c r="BR123" s="1053">
        <f t="shared" si="699"/>
        <v>0.29700000000000004</v>
      </c>
      <c r="BS123" s="1053">
        <f t="shared" si="700"/>
        <v>0.32670000000000005</v>
      </c>
      <c r="BT123" s="1053">
        <f t="shared" si="701"/>
        <v>0.32670000000000005</v>
      </c>
      <c r="BU123" s="1053">
        <f t="shared" si="702"/>
        <v>0.32670000000000005</v>
      </c>
      <c r="BV123" s="1053">
        <f t="shared" si="703"/>
        <v>0.32670000000000005</v>
      </c>
      <c r="BW123" s="1053">
        <f t="shared" si="704"/>
        <v>0.32670000000000005</v>
      </c>
      <c r="BX123" s="1053">
        <f t="shared" si="705"/>
        <v>0.32670000000000005</v>
      </c>
      <c r="BY123" s="1053">
        <f t="shared" si="706"/>
        <v>0.32670000000000005</v>
      </c>
      <c r="BZ123" s="1053">
        <v>0.3</v>
      </c>
      <c r="CA123" s="1053">
        <f t="shared" si="757"/>
        <v>0.27</v>
      </c>
      <c r="CB123" s="1053">
        <f t="shared" si="707"/>
        <v>0.27</v>
      </c>
      <c r="CC123" s="1053">
        <f t="shared" si="708"/>
        <v>0.27</v>
      </c>
      <c r="CD123" s="1053">
        <f t="shared" si="709"/>
        <v>0.29700000000000004</v>
      </c>
      <c r="CE123" s="1053">
        <f t="shared" si="710"/>
        <v>0.32670000000000005</v>
      </c>
      <c r="CF123" s="1053">
        <f t="shared" si="711"/>
        <v>0.32670000000000005</v>
      </c>
      <c r="CG123" s="1053">
        <f t="shared" si="712"/>
        <v>0.32670000000000005</v>
      </c>
      <c r="CH123" s="1053">
        <f t="shared" si="713"/>
        <v>0.32670000000000005</v>
      </c>
      <c r="CI123" s="1053">
        <f t="shared" si="714"/>
        <v>0.32670000000000005</v>
      </c>
      <c r="CJ123" s="1053">
        <f t="shared" si="715"/>
        <v>0.32670000000000005</v>
      </c>
      <c r="CK123" s="1053">
        <f t="shared" si="716"/>
        <v>0.32670000000000005</v>
      </c>
      <c r="CL123" s="1053">
        <v>0.3</v>
      </c>
      <c r="CM123" s="1053">
        <f t="shared" si="758"/>
        <v>0.27</v>
      </c>
      <c r="CN123" s="1053">
        <f t="shared" si="717"/>
        <v>0.27</v>
      </c>
      <c r="CO123" s="1053">
        <f t="shared" si="718"/>
        <v>0.27</v>
      </c>
      <c r="CP123" s="1053">
        <f t="shared" si="719"/>
        <v>0.29700000000000004</v>
      </c>
      <c r="CQ123" s="1053">
        <f t="shared" si="720"/>
        <v>0.32670000000000005</v>
      </c>
      <c r="CR123" s="1053">
        <f t="shared" si="721"/>
        <v>0.32670000000000005</v>
      </c>
      <c r="CS123" s="1053">
        <f t="shared" si="722"/>
        <v>0.32670000000000005</v>
      </c>
      <c r="CT123" s="1053">
        <f t="shared" si="723"/>
        <v>0.32670000000000005</v>
      </c>
      <c r="CU123" s="1053">
        <f t="shared" si="724"/>
        <v>0.32670000000000005</v>
      </c>
      <c r="CV123" s="1053">
        <f t="shared" si="725"/>
        <v>0.32670000000000005</v>
      </c>
      <c r="CW123" s="1053">
        <f t="shared" si="726"/>
        <v>0.32670000000000005</v>
      </c>
      <c r="CX123" s="1053">
        <v>0.3</v>
      </c>
      <c r="CY123" s="1053">
        <f t="shared" si="759"/>
        <v>0.27</v>
      </c>
      <c r="CZ123" s="1053">
        <f t="shared" si="727"/>
        <v>0.27</v>
      </c>
      <c r="DA123" s="1053">
        <f t="shared" si="728"/>
        <v>0.27</v>
      </c>
      <c r="DB123" s="1053">
        <f t="shared" si="729"/>
        <v>0.29700000000000004</v>
      </c>
      <c r="DC123" s="1053">
        <f t="shared" si="730"/>
        <v>0.32670000000000005</v>
      </c>
      <c r="DD123" s="1053">
        <f t="shared" si="731"/>
        <v>0.32670000000000005</v>
      </c>
      <c r="DE123" s="1053">
        <f t="shared" si="732"/>
        <v>0.32670000000000005</v>
      </c>
      <c r="DF123" s="1053">
        <f t="shared" si="733"/>
        <v>0.32670000000000005</v>
      </c>
      <c r="DG123" s="1053">
        <f t="shared" si="734"/>
        <v>0.32670000000000005</v>
      </c>
      <c r="DH123" s="1053">
        <f t="shared" si="735"/>
        <v>0.32670000000000005</v>
      </c>
      <c r="DI123" s="1053">
        <f t="shared" si="736"/>
        <v>0.32670000000000005</v>
      </c>
      <c r="DK123" s="1684"/>
      <c r="DL123" s="957" t="s">
        <v>123</v>
      </c>
      <c r="DN123" s="994">
        <v>1</v>
      </c>
      <c r="DO123" s="995">
        <f>DO109*$AJ$123</f>
        <v>0</v>
      </c>
      <c r="DP123" s="995">
        <f>DP109*$AJ$123</f>
        <v>0</v>
      </c>
      <c r="DQ123" s="995">
        <f>DQ109*$AJ$123</f>
        <v>0</v>
      </c>
      <c r="DR123" s="996">
        <f>DR109*$AJ$123</f>
        <v>0</v>
      </c>
      <c r="DT123" s="994">
        <v>1</v>
      </c>
      <c r="DU123" s="995">
        <f>DU109*$AH$123</f>
        <v>0</v>
      </c>
      <c r="DV123" s="995">
        <f>DV109*$AH$123</f>
        <v>0</v>
      </c>
      <c r="DW123" s="995">
        <f>DW109*$AH$123</f>
        <v>0</v>
      </c>
      <c r="DX123" s="996">
        <f>DX109*$AH$123</f>
        <v>0</v>
      </c>
      <c r="DZ123" s="994">
        <v>1</v>
      </c>
      <c r="EA123" s="995">
        <f>EA109*AL$123</f>
        <v>0</v>
      </c>
      <c r="EB123" s="995">
        <f>EB109*AM$123</f>
        <v>0</v>
      </c>
      <c r="EC123" s="995">
        <f>EC109*AN$123</f>
        <v>0</v>
      </c>
      <c r="ED123" s="996">
        <f>ED109*AO$123</f>
        <v>0</v>
      </c>
      <c r="EF123" s="994">
        <f t="shared" si="737"/>
        <v>0.3</v>
      </c>
      <c r="EG123" s="995">
        <f t="shared" si="738"/>
        <v>1.62</v>
      </c>
      <c r="EH123" s="995">
        <f t="shared" si="739"/>
        <v>0.81</v>
      </c>
      <c r="EI123" s="995">
        <f t="shared" si="740"/>
        <v>2.4975000000000001</v>
      </c>
      <c r="EJ123" s="995">
        <f t="shared" si="741"/>
        <v>3.7422000000000009</v>
      </c>
      <c r="EK123" s="995">
        <f t="shared" si="742"/>
        <v>2.6462700000000008</v>
      </c>
      <c r="EL123" s="995">
        <f t="shared" si="743"/>
        <v>1.4701500000000003</v>
      </c>
      <c r="EM123" s="995">
        <f t="shared" si="744"/>
        <v>0.89842500000000014</v>
      </c>
      <c r="EN123" s="995">
        <f t="shared" si="745"/>
        <v>0.32670000000000005</v>
      </c>
      <c r="EO123" s="995">
        <f t="shared" si="746"/>
        <v>0.4900500000000001</v>
      </c>
      <c r="EP123" s="995">
        <f t="shared" si="747"/>
        <v>0.65340000000000009</v>
      </c>
      <c r="EQ123" s="995">
        <f t="shared" si="748"/>
        <v>0.65340000000000009</v>
      </c>
      <c r="ES123" s="994">
        <f t="shared" si="760"/>
        <v>0.6</v>
      </c>
      <c r="ET123" s="995">
        <f t="shared" si="749"/>
        <v>0.54</v>
      </c>
      <c r="EU123" s="995">
        <f t="shared" si="749"/>
        <v>0.54</v>
      </c>
      <c r="EV123" s="995">
        <f t="shared" si="749"/>
        <v>0.54</v>
      </c>
      <c r="EW123" s="995">
        <f t="shared" si="749"/>
        <v>0.59400000000000008</v>
      </c>
      <c r="EX123" s="995">
        <f t="shared" si="749"/>
        <v>0.65340000000000009</v>
      </c>
      <c r="EY123" s="995">
        <f t="shared" si="749"/>
        <v>0.65340000000000009</v>
      </c>
      <c r="EZ123" s="995">
        <f t="shared" si="749"/>
        <v>0.4900500000000001</v>
      </c>
      <c r="FA123" s="995">
        <f t="shared" si="749"/>
        <v>0.32670000000000005</v>
      </c>
      <c r="FB123" s="995">
        <f t="shared" si="749"/>
        <v>0.4900500000000001</v>
      </c>
      <c r="FC123" s="995">
        <f t="shared" si="749"/>
        <v>0.65340000000000009</v>
      </c>
      <c r="FD123" s="996">
        <f t="shared" si="749"/>
        <v>0.65340000000000009</v>
      </c>
      <c r="FF123" s="994">
        <f t="shared" si="761"/>
        <v>0.6</v>
      </c>
      <c r="FG123" s="995">
        <f t="shared" si="750"/>
        <v>0.54</v>
      </c>
      <c r="FH123" s="995">
        <f t="shared" si="750"/>
        <v>0.54</v>
      </c>
      <c r="FI123" s="995">
        <f t="shared" si="750"/>
        <v>0.54</v>
      </c>
      <c r="FJ123" s="995">
        <f t="shared" si="750"/>
        <v>0.59400000000000008</v>
      </c>
      <c r="FK123" s="995">
        <f t="shared" si="750"/>
        <v>0.65340000000000009</v>
      </c>
      <c r="FL123" s="995">
        <f t="shared" si="750"/>
        <v>0.65340000000000009</v>
      </c>
      <c r="FM123" s="995">
        <f t="shared" si="750"/>
        <v>0.4900500000000001</v>
      </c>
      <c r="FN123" s="995">
        <f t="shared" si="750"/>
        <v>0.32670000000000005</v>
      </c>
      <c r="FO123" s="995">
        <f t="shared" si="750"/>
        <v>0.4900500000000001</v>
      </c>
      <c r="FP123" s="995">
        <f t="shared" si="750"/>
        <v>0.65340000000000009</v>
      </c>
      <c r="FQ123" s="996">
        <f t="shared" si="750"/>
        <v>0.65340000000000009</v>
      </c>
      <c r="FS123" s="994">
        <f t="shared" si="762"/>
        <v>0.6</v>
      </c>
      <c r="FT123" s="995">
        <f t="shared" si="751"/>
        <v>0.54</v>
      </c>
      <c r="FU123" s="995">
        <f t="shared" si="751"/>
        <v>0.54</v>
      </c>
      <c r="FV123" s="995">
        <f t="shared" si="751"/>
        <v>0.54</v>
      </c>
      <c r="FW123" s="995">
        <f t="shared" si="751"/>
        <v>0.59400000000000008</v>
      </c>
      <c r="FX123" s="995">
        <f t="shared" si="751"/>
        <v>0.65340000000000009</v>
      </c>
      <c r="FY123" s="995">
        <f t="shared" si="751"/>
        <v>0.65340000000000009</v>
      </c>
      <c r="FZ123" s="995">
        <f t="shared" si="751"/>
        <v>0.4900500000000001</v>
      </c>
      <c r="GA123" s="995">
        <f t="shared" si="751"/>
        <v>0.32670000000000005</v>
      </c>
      <c r="GB123" s="995">
        <f t="shared" si="751"/>
        <v>0.32670000000000005</v>
      </c>
      <c r="GC123" s="995">
        <f t="shared" si="751"/>
        <v>0.32670000000000005</v>
      </c>
      <c r="GD123" s="996">
        <f t="shared" si="751"/>
        <v>0.32670000000000005</v>
      </c>
      <c r="GF123" s="994">
        <f t="shared" si="763"/>
        <v>0.3</v>
      </c>
      <c r="GG123" s="995">
        <f t="shared" si="752"/>
        <v>0.27</v>
      </c>
      <c r="GH123" s="995">
        <f t="shared" si="752"/>
        <v>0.27</v>
      </c>
      <c r="GI123" s="995">
        <f t="shared" si="752"/>
        <v>0.27</v>
      </c>
      <c r="GJ123" s="995">
        <f t="shared" si="752"/>
        <v>0.29700000000000004</v>
      </c>
      <c r="GK123" s="995">
        <f t="shared" si="752"/>
        <v>0.32670000000000005</v>
      </c>
      <c r="GL123" s="995">
        <f t="shared" si="752"/>
        <v>0.32670000000000005</v>
      </c>
      <c r="GM123" s="995">
        <f t="shared" si="752"/>
        <v>0.32670000000000005</v>
      </c>
      <c r="GN123" s="995">
        <f t="shared" si="752"/>
        <v>0.32670000000000005</v>
      </c>
      <c r="GO123" s="995">
        <f t="shared" si="752"/>
        <v>0.32670000000000005</v>
      </c>
      <c r="GP123" s="995">
        <f t="shared" si="752"/>
        <v>0.32670000000000005</v>
      </c>
      <c r="GQ123" s="996">
        <f t="shared" si="752"/>
        <v>0.32670000000000005</v>
      </c>
      <c r="GS123" s="994">
        <f t="shared" si="764"/>
        <v>0.3</v>
      </c>
      <c r="GT123" s="995">
        <f t="shared" si="753"/>
        <v>0.27</v>
      </c>
      <c r="GU123" s="995">
        <f t="shared" si="753"/>
        <v>0.27</v>
      </c>
      <c r="GV123" s="995">
        <f t="shared" si="753"/>
        <v>0.27</v>
      </c>
      <c r="GW123" s="995">
        <f t="shared" si="753"/>
        <v>0.29700000000000004</v>
      </c>
      <c r="GX123" s="995">
        <f t="shared" si="753"/>
        <v>0.32670000000000005</v>
      </c>
      <c r="GY123" s="995">
        <f t="shared" si="753"/>
        <v>0.32670000000000005</v>
      </c>
      <c r="GZ123" s="995">
        <f t="shared" si="753"/>
        <v>0.32670000000000005</v>
      </c>
      <c r="HA123" s="995">
        <f t="shared" si="753"/>
        <v>0.32670000000000005</v>
      </c>
      <c r="HB123" s="995">
        <f t="shared" si="753"/>
        <v>0.32670000000000005</v>
      </c>
      <c r="HC123" s="995">
        <f t="shared" si="753"/>
        <v>0.32670000000000005</v>
      </c>
      <c r="HD123" s="996">
        <f t="shared" si="753"/>
        <v>0.32670000000000005</v>
      </c>
    </row>
    <row r="124" spans="2:212">
      <c r="B124" s="977"/>
      <c r="C124" s="977"/>
      <c r="D124" s="977"/>
      <c r="E124" s="977"/>
      <c r="F124" s="977"/>
      <c r="G124" s="977"/>
      <c r="H124" s="981"/>
      <c r="I124" s="981"/>
      <c r="N124" s="1684"/>
      <c r="O124" s="957" t="s">
        <v>124</v>
      </c>
      <c r="P124" s="606">
        <v>0</v>
      </c>
      <c r="Q124" s="606">
        <v>0</v>
      </c>
      <c r="R124" s="606">
        <v>2</v>
      </c>
      <c r="S124" s="606">
        <v>0</v>
      </c>
      <c r="T124" s="606">
        <v>0</v>
      </c>
      <c r="U124" s="606">
        <v>0</v>
      </c>
      <c r="V124" s="606">
        <v>0</v>
      </c>
      <c r="AA124" s="1684"/>
      <c r="AB124" s="957" t="s">
        <v>124</v>
      </c>
      <c r="AC124" s="610">
        <f t="shared" si="679"/>
        <v>0</v>
      </c>
      <c r="AD124" s="610">
        <f>Q124/Q110</f>
        <v>0</v>
      </c>
      <c r="AE124" s="610">
        <f>R124/R110</f>
        <v>0.4</v>
      </c>
      <c r="AF124" s="610">
        <f>S124/S110</f>
        <v>0</v>
      </c>
      <c r="AG124" s="610">
        <f>T124/T110</f>
        <v>0</v>
      </c>
      <c r="AH124" s="610">
        <f>U124/U110</f>
        <v>0</v>
      </c>
      <c r="AI124" s="610"/>
      <c r="AJ124" s="952">
        <f t="shared" si="680"/>
        <v>6.6666666666666666E-2</v>
      </c>
      <c r="AK124" s="952">
        <f t="shared" si="681"/>
        <v>6.6666666666666666E-2</v>
      </c>
      <c r="AL124" s="952">
        <f t="shared" si="682"/>
        <v>7.3333333333333334E-2</v>
      </c>
      <c r="AM124" s="952">
        <f t="shared" si="683"/>
        <v>7.3333333333333334E-2</v>
      </c>
      <c r="AN124" s="952">
        <f t="shared" si="684"/>
        <v>7.3333333333333334E-2</v>
      </c>
      <c r="AO124" s="952">
        <f t="shared" si="685"/>
        <v>7.3333333333333334E-2</v>
      </c>
      <c r="AP124" s="1053">
        <v>0.2</v>
      </c>
      <c r="AQ124" s="1053">
        <f t="shared" si="754"/>
        <v>0.18000000000000002</v>
      </c>
      <c r="AR124" s="1053">
        <f t="shared" si="754"/>
        <v>0.18000000000000002</v>
      </c>
      <c r="AS124" s="1053">
        <f t="shared" si="754"/>
        <v>0.18000000000000002</v>
      </c>
      <c r="AT124" s="1053">
        <f t="shared" si="754"/>
        <v>0.19800000000000004</v>
      </c>
      <c r="AU124" s="1053">
        <f t="shared" si="754"/>
        <v>0.21780000000000005</v>
      </c>
      <c r="AV124" s="1053">
        <f t="shared" si="754"/>
        <v>0.21780000000000005</v>
      </c>
      <c r="AW124" s="1053">
        <f t="shared" si="754"/>
        <v>0.21780000000000005</v>
      </c>
      <c r="AX124" s="1053">
        <f t="shared" si="754"/>
        <v>0.21780000000000005</v>
      </c>
      <c r="AY124" s="1053">
        <f t="shared" si="754"/>
        <v>0.21780000000000005</v>
      </c>
      <c r="AZ124" s="1053">
        <f t="shared" si="754"/>
        <v>0.21780000000000005</v>
      </c>
      <c r="BA124" s="1053">
        <f t="shared" si="754"/>
        <v>0.21780000000000005</v>
      </c>
      <c r="BB124" s="1053">
        <v>0.2</v>
      </c>
      <c r="BC124" s="1053">
        <f t="shared" si="755"/>
        <v>0.18000000000000002</v>
      </c>
      <c r="BD124" s="1053">
        <f t="shared" si="687"/>
        <v>0.18000000000000002</v>
      </c>
      <c r="BE124" s="1053">
        <f t="shared" si="688"/>
        <v>0.18000000000000002</v>
      </c>
      <c r="BF124" s="1053">
        <f t="shared" si="689"/>
        <v>0.19800000000000004</v>
      </c>
      <c r="BG124" s="1053">
        <f t="shared" si="690"/>
        <v>0.21780000000000005</v>
      </c>
      <c r="BH124" s="1053">
        <f t="shared" si="691"/>
        <v>0.21780000000000005</v>
      </c>
      <c r="BI124" s="1053">
        <f t="shared" si="692"/>
        <v>0.21780000000000005</v>
      </c>
      <c r="BJ124" s="1053">
        <f t="shared" si="693"/>
        <v>0.21780000000000005</v>
      </c>
      <c r="BK124" s="1053">
        <f t="shared" si="694"/>
        <v>0.21780000000000005</v>
      </c>
      <c r="BL124" s="1053">
        <f t="shared" si="695"/>
        <v>0.21780000000000005</v>
      </c>
      <c r="BM124" s="1053">
        <f t="shared" si="696"/>
        <v>0.21780000000000005</v>
      </c>
      <c r="BN124" s="1053">
        <v>0.2</v>
      </c>
      <c r="BO124" s="1053">
        <f t="shared" si="756"/>
        <v>0.18000000000000002</v>
      </c>
      <c r="BP124" s="1053">
        <f t="shared" si="697"/>
        <v>0.18000000000000002</v>
      </c>
      <c r="BQ124" s="1053">
        <f t="shared" si="698"/>
        <v>0.18000000000000002</v>
      </c>
      <c r="BR124" s="1053">
        <f t="shared" si="699"/>
        <v>0.19800000000000004</v>
      </c>
      <c r="BS124" s="1053">
        <f t="shared" si="700"/>
        <v>0.21780000000000005</v>
      </c>
      <c r="BT124" s="1053">
        <f t="shared" si="701"/>
        <v>0.21780000000000005</v>
      </c>
      <c r="BU124" s="1053">
        <f t="shared" si="702"/>
        <v>0.21780000000000005</v>
      </c>
      <c r="BV124" s="1053">
        <f t="shared" si="703"/>
        <v>0.21780000000000005</v>
      </c>
      <c r="BW124" s="1053">
        <f t="shared" si="704"/>
        <v>0.21780000000000005</v>
      </c>
      <c r="BX124" s="1053">
        <f t="shared" si="705"/>
        <v>0.21780000000000005</v>
      </c>
      <c r="BY124" s="1053">
        <f t="shared" si="706"/>
        <v>0.21780000000000005</v>
      </c>
      <c r="BZ124" s="1053">
        <v>0.2</v>
      </c>
      <c r="CA124" s="1053">
        <f t="shared" si="757"/>
        <v>0.18000000000000002</v>
      </c>
      <c r="CB124" s="1053">
        <f t="shared" si="707"/>
        <v>0.18000000000000002</v>
      </c>
      <c r="CC124" s="1053">
        <f t="shared" si="708"/>
        <v>0.18000000000000002</v>
      </c>
      <c r="CD124" s="1053">
        <f t="shared" si="709"/>
        <v>0.19800000000000004</v>
      </c>
      <c r="CE124" s="1053">
        <f t="shared" si="710"/>
        <v>0.21780000000000005</v>
      </c>
      <c r="CF124" s="1053">
        <f t="shared" si="711"/>
        <v>0.21780000000000005</v>
      </c>
      <c r="CG124" s="1053">
        <f t="shared" si="712"/>
        <v>0.21780000000000005</v>
      </c>
      <c r="CH124" s="1053">
        <f t="shared" si="713"/>
        <v>0.21780000000000005</v>
      </c>
      <c r="CI124" s="1053">
        <f t="shared" si="714"/>
        <v>0.21780000000000005</v>
      </c>
      <c r="CJ124" s="1053">
        <f t="shared" si="715"/>
        <v>0.21780000000000005</v>
      </c>
      <c r="CK124" s="1053">
        <f t="shared" si="716"/>
        <v>0.21780000000000005</v>
      </c>
      <c r="CL124" s="1053">
        <v>0.2</v>
      </c>
      <c r="CM124" s="1053">
        <f t="shared" si="758"/>
        <v>0.18000000000000002</v>
      </c>
      <c r="CN124" s="1053">
        <f t="shared" si="717"/>
        <v>0.18000000000000002</v>
      </c>
      <c r="CO124" s="1053">
        <f t="shared" si="718"/>
        <v>0.18000000000000002</v>
      </c>
      <c r="CP124" s="1053">
        <f t="shared" si="719"/>
        <v>0.19800000000000004</v>
      </c>
      <c r="CQ124" s="1053">
        <f t="shared" si="720"/>
        <v>0.21780000000000005</v>
      </c>
      <c r="CR124" s="1053">
        <f t="shared" si="721"/>
        <v>0.21780000000000005</v>
      </c>
      <c r="CS124" s="1053">
        <f t="shared" si="722"/>
        <v>0.21780000000000005</v>
      </c>
      <c r="CT124" s="1053">
        <f t="shared" si="723"/>
        <v>0.21780000000000005</v>
      </c>
      <c r="CU124" s="1053">
        <f t="shared" si="724"/>
        <v>0.21780000000000005</v>
      </c>
      <c r="CV124" s="1053">
        <f t="shared" si="725"/>
        <v>0.21780000000000005</v>
      </c>
      <c r="CW124" s="1053">
        <f t="shared" si="726"/>
        <v>0.21780000000000005</v>
      </c>
      <c r="CX124" s="1053">
        <v>0.2</v>
      </c>
      <c r="CY124" s="1053">
        <f t="shared" si="759"/>
        <v>0.18000000000000002</v>
      </c>
      <c r="CZ124" s="1053">
        <f t="shared" si="727"/>
        <v>0.18000000000000002</v>
      </c>
      <c r="DA124" s="1053">
        <f t="shared" si="728"/>
        <v>0.18000000000000002</v>
      </c>
      <c r="DB124" s="1053">
        <f t="shared" si="729"/>
        <v>0.19800000000000004</v>
      </c>
      <c r="DC124" s="1053">
        <f t="shared" si="730"/>
        <v>0.21780000000000005</v>
      </c>
      <c r="DD124" s="1053">
        <f t="shared" si="731"/>
        <v>0.21780000000000005</v>
      </c>
      <c r="DE124" s="1053">
        <f t="shared" si="732"/>
        <v>0.21780000000000005</v>
      </c>
      <c r="DF124" s="1053">
        <f t="shared" si="733"/>
        <v>0.21780000000000005</v>
      </c>
      <c r="DG124" s="1053">
        <f t="shared" si="734"/>
        <v>0.21780000000000005</v>
      </c>
      <c r="DH124" s="1053">
        <f t="shared" si="735"/>
        <v>0.21780000000000005</v>
      </c>
      <c r="DI124" s="1053">
        <f t="shared" si="736"/>
        <v>0.21780000000000005</v>
      </c>
      <c r="DK124" s="1684"/>
      <c r="DL124" s="957" t="s">
        <v>124</v>
      </c>
      <c r="DN124" s="994">
        <f>DN110*$AJ$124</f>
        <v>0</v>
      </c>
      <c r="DO124" s="995">
        <f>DO110*$AJ$124</f>
        <v>0.13333333333333333</v>
      </c>
      <c r="DP124" s="995">
        <f>DP110*$AJ$124</f>
        <v>0.2</v>
      </c>
      <c r="DQ124" s="995">
        <f>DQ110*$AJ$124</f>
        <v>0.4</v>
      </c>
      <c r="DR124" s="996">
        <f>DR110*$AJ$124</f>
        <v>0.33333333333333331</v>
      </c>
      <c r="DT124" s="994">
        <f>DT110*$AH$124</f>
        <v>0</v>
      </c>
      <c r="DU124" s="995">
        <f>DU110*$AH$124</f>
        <v>0</v>
      </c>
      <c r="DV124" s="995">
        <f>DV110*$AH$124</f>
        <v>0</v>
      </c>
      <c r="DW124" s="995">
        <f>DW110*$AH$124</f>
        <v>0</v>
      </c>
      <c r="DX124" s="996">
        <f>DX110*$AH$124</f>
        <v>0</v>
      </c>
      <c r="DZ124" s="994">
        <f>DZ110*AK$124</f>
        <v>0</v>
      </c>
      <c r="EA124" s="995">
        <f>EA110*AL$124</f>
        <v>0</v>
      </c>
      <c r="EB124" s="995">
        <f>EB110*AM$124</f>
        <v>7.3333333333333334E-2</v>
      </c>
      <c r="EC124" s="995">
        <f>EC110*AN$124</f>
        <v>7.3333333333333334E-2</v>
      </c>
      <c r="ED124" s="996">
        <f>ED110*AO$124</f>
        <v>0.44</v>
      </c>
      <c r="EF124" s="994">
        <f t="shared" si="737"/>
        <v>0.2</v>
      </c>
      <c r="EG124" s="995">
        <f t="shared" si="738"/>
        <v>0.18000000000000002</v>
      </c>
      <c r="EH124" s="995">
        <f t="shared" si="739"/>
        <v>1.08</v>
      </c>
      <c r="EI124" s="995">
        <f t="shared" si="740"/>
        <v>0.54</v>
      </c>
      <c r="EJ124" s="995">
        <f t="shared" si="741"/>
        <v>1.8315000000000003</v>
      </c>
      <c r="EK124" s="995">
        <f t="shared" si="742"/>
        <v>2.7442800000000007</v>
      </c>
      <c r="EL124" s="995">
        <f t="shared" si="743"/>
        <v>1.7641800000000007</v>
      </c>
      <c r="EM124" s="995">
        <f t="shared" si="744"/>
        <v>0.98010000000000019</v>
      </c>
      <c r="EN124" s="995">
        <f t="shared" si="745"/>
        <v>0.59895000000000009</v>
      </c>
      <c r="EO124" s="995">
        <f t="shared" si="746"/>
        <v>0.21780000000000005</v>
      </c>
      <c r="EP124" s="995">
        <f t="shared" si="747"/>
        <v>0.3267000000000001</v>
      </c>
      <c r="EQ124" s="995">
        <f t="shared" si="748"/>
        <v>0.4356000000000001</v>
      </c>
      <c r="ES124" s="994">
        <f t="shared" si="760"/>
        <v>0.4</v>
      </c>
      <c r="ET124" s="995">
        <f t="shared" si="749"/>
        <v>0.36000000000000004</v>
      </c>
      <c r="EU124" s="995">
        <f t="shared" si="749"/>
        <v>0.36000000000000004</v>
      </c>
      <c r="EV124" s="995">
        <f t="shared" si="749"/>
        <v>0.36000000000000004</v>
      </c>
      <c r="EW124" s="995">
        <f t="shared" si="749"/>
        <v>0.39600000000000007</v>
      </c>
      <c r="EX124" s="995">
        <f t="shared" si="749"/>
        <v>0.4356000000000001</v>
      </c>
      <c r="EY124" s="995">
        <f t="shared" si="749"/>
        <v>0.4356000000000001</v>
      </c>
      <c r="EZ124" s="995">
        <f t="shared" si="749"/>
        <v>0.4356000000000001</v>
      </c>
      <c r="FA124" s="995">
        <f t="shared" si="749"/>
        <v>0.3267000000000001</v>
      </c>
      <c r="FB124" s="995">
        <f t="shared" si="749"/>
        <v>0.21780000000000005</v>
      </c>
      <c r="FC124" s="995">
        <f t="shared" si="749"/>
        <v>0.3267000000000001</v>
      </c>
      <c r="FD124" s="996">
        <f t="shared" si="749"/>
        <v>0.4356000000000001</v>
      </c>
      <c r="FF124" s="994">
        <f t="shared" si="761"/>
        <v>0.4</v>
      </c>
      <c r="FG124" s="995">
        <f t="shared" si="750"/>
        <v>0.36000000000000004</v>
      </c>
      <c r="FH124" s="995">
        <f t="shared" si="750"/>
        <v>0.36000000000000004</v>
      </c>
      <c r="FI124" s="995">
        <f t="shared" si="750"/>
        <v>0.36000000000000004</v>
      </c>
      <c r="FJ124" s="995">
        <f t="shared" si="750"/>
        <v>0.39600000000000007</v>
      </c>
      <c r="FK124" s="995">
        <f t="shared" si="750"/>
        <v>0.4356000000000001</v>
      </c>
      <c r="FL124" s="995">
        <f t="shared" si="750"/>
        <v>0.4356000000000001</v>
      </c>
      <c r="FM124" s="995">
        <f t="shared" si="750"/>
        <v>0.4356000000000001</v>
      </c>
      <c r="FN124" s="995">
        <f t="shared" si="750"/>
        <v>0.3267000000000001</v>
      </c>
      <c r="FO124" s="995">
        <f t="shared" si="750"/>
        <v>0.21780000000000005</v>
      </c>
      <c r="FP124" s="995">
        <f t="shared" si="750"/>
        <v>0.3267000000000001</v>
      </c>
      <c r="FQ124" s="996">
        <f t="shared" si="750"/>
        <v>0.4356000000000001</v>
      </c>
      <c r="FS124" s="994">
        <f t="shared" si="762"/>
        <v>0.4</v>
      </c>
      <c r="FT124" s="995">
        <f t="shared" si="751"/>
        <v>0.36000000000000004</v>
      </c>
      <c r="FU124" s="995">
        <f t="shared" si="751"/>
        <v>0.36000000000000004</v>
      </c>
      <c r="FV124" s="995">
        <f t="shared" si="751"/>
        <v>0.36000000000000004</v>
      </c>
      <c r="FW124" s="995">
        <f t="shared" si="751"/>
        <v>0.39600000000000007</v>
      </c>
      <c r="FX124" s="995">
        <f t="shared" si="751"/>
        <v>0.4356000000000001</v>
      </c>
      <c r="FY124" s="995">
        <f t="shared" si="751"/>
        <v>0.4356000000000001</v>
      </c>
      <c r="FZ124" s="995">
        <f t="shared" si="751"/>
        <v>0.4356000000000001</v>
      </c>
      <c r="GA124" s="995">
        <f t="shared" si="751"/>
        <v>0.3267000000000001</v>
      </c>
      <c r="GB124" s="995">
        <f t="shared" si="751"/>
        <v>0.21780000000000005</v>
      </c>
      <c r="GC124" s="995">
        <f t="shared" si="751"/>
        <v>0.21780000000000005</v>
      </c>
      <c r="GD124" s="996">
        <f t="shared" si="751"/>
        <v>0.21780000000000005</v>
      </c>
      <c r="GF124" s="994">
        <f t="shared" si="763"/>
        <v>0.2</v>
      </c>
      <c r="GG124" s="995">
        <f t="shared" si="752"/>
        <v>0.18000000000000002</v>
      </c>
      <c r="GH124" s="995">
        <f t="shared" si="752"/>
        <v>0.18000000000000002</v>
      </c>
      <c r="GI124" s="995">
        <f t="shared" si="752"/>
        <v>0.18000000000000002</v>
      </c>
      <c r="GJ124" s="995">
        <f t="shared" si="752"/>
        <v>0.19800000000000004</v>
      </c>
      <c r="GK124" s="995">
        <f t="shared" si="752"/>
        <v>0.21780000000000005</v>
      </c>
      <c r="GL124" s="995">
        <f t="shared" si="752"/>
        <v>0.21780000000000005</v>
      </c>
      <c r="GM124" s="995">
        <f t="shared" si="752"/>
        <v>0.21780000000000005</v>
      </c>
      <c r="GN124" s="995">
        <f t="shared" si="752"/>
        <v>0.21780000000000005</v>
      </c>
      <c r="GO124" s="995">
        <f t="shared" si="752"/>
        <v>0.21780000000000005</v>
      </c>
      <c r="GP124" s="995">
        <f t="shared" si="752"/>
        <v>0.21780000000000005</v>
      </c>
      <c r="GQ124" s="996">
        <f t="shared" si="752"/>
        <v>0.21780000000000005</v>
      </c>
      <c r="GS124" s="994">
        <f t="shared" si="764"/>
        <v>0.2</v>
      </c>
      <c r="GT124" s="995">
        <f t="shared" si="753"/>
        <v>0.18000000000000002</v>
      </c>
      <c r="GU124" s="995">
        <f t="shared" si="753"/>
        <v>0.18000000000000002</v>
      </c>
      <c r="GV124" s="995">
        <f t="shared" si="753"/>
        <v>0.18000000000000002</v>
      </c>
      <c r="GW124" s="995">
        <f t="shared" si="753"/>
        <v>0.19800000000000004</v>
      </c>
      <c r="GX124" s="995">
        <f t="shared" si="753"/>
        <v>0.21780000000000005</v>
      </c>
      <c r="GY124" s="995">
        <f t="shared" si="753"/>
        <v>0.21780000000000005</v>
      </c>
      <c r="GZ124" s="995">
        <f t="shared" si="753"/>
        <v>0.21780000000000005</v>
      </c>
      <c r="HA124" s="995">
        <f t="shared" si="753"/>
        <v>0.21780000000000005</v>
      </c>
      <c r="HB124" s="995">
        <f t="shared" si="753"/>
        <v>0.21780000000000005</v>
      </c>
      <c r="HC124" s="995">
        <f t="shared" si="753"/>
        <v>0.21780000000000005</v>
      </c>
      <c r="HD124" s="996">
        <f t="shared" si="753"/>
        <v>0.21780000000000005</v>
      </c>
    </row>
    <row r="125" spans="2:212">
      <c r="B125" s="1095"/>
      <c r="C125" s="988"/>
      <c r="D125" s="988"/>
      <c r="E125" s="1117"/>
      <c r="F125" s="1117"/>
      <c r="G125" s="1117"/>
      <c r="H125" s="1117"/>
      <c r="I125" s="1117"/>
      <c r="N125" s="1684"/>
      <c r="O125" s="957" t="s">
        <v>125</v>
      </c>
      <c r="P125" s="606">
        <v>0</v>
      </c>
      <c r="Q125" s="606">
        <v>0</v>
      </c>
      <c r="R125" s="606">
        <v>0</v>
      </c>
      <c r="S125" s="606">
        <v>1</v>
      </c>
      <c r="T125" s="606">
        <v>0</v>
      </c>
      <c r="U125" s="606">
        <v>1</v>
      </c>
      <c r="V125" s="606">
        <v>0</v>
      </c>
      <c r="AA125" s="1684"/>
      <c r="AB125" s="957" t="s">
        <v>125</v>
      </c>
      <c r="AC125" s="610">
        <f t="shared" si="679"/>
        <v>0</v>
      </c>
      <c r="AD125" s="610"/>
      <c r="AE125" s="610">
        <f>R125/R111</f>
        <v>0</v>
      </c>
      <c r="AF125" s="610">
        <f>S125/S111</f>
        <v>0.25</v>
      </c>
      <c r="AG125" s="610">
        <f>T125/T111</f>
        <v>0</v>
      </c>
      <c r="AH125" s="610">
        <f>U125/U111</f>
        <v>0.5</v>
      </c>
      <c r="AI125" s="610">
        <f>V125/V111</f>
        <v>0</v>
      </c>
      <c r="AJ125" s="952">
        <f t="shared" si="680"/>
        <v>0.125</v>
      </c>
      <c r="AK125" s="952">
        <f t="shared" si="681"/>
        <v>0.125</v>
      </c>
      <c r="AL125" s="952">
        <f t="shared" si="682"/>
        <v>0.13750000000000001</v>
      </c>
      <c r="AM125" s="952">
        <f t="shared" si="683"/>
        <v>0.13750000000000001</v>
      </c>
      <c r="AN125" s="952">
        <f t="shared" si="684"/>
        <v>0.13750000000000001</v>
      </c>
      <c r="AO125" s="952">
        <f t="shared" si="685"/>
        <v>0.13750000000000001</v>
      </c>
      <c r="AP125" s="1053">
        <v>0.15</v>
      </c>
      <c r="AQ125" s="1053">
        <f t="shared" si="754"/>
        <v>0.13500000000000001</v>
      </c>
      <c r="AR125" s="1053">
        <f t="shared" si="754"/>
        <v>0.13500000000000001</v>
      </c>
      <c r="AS125" s="1053">
        <f t="shared" si="754"/>
        <v>0.13500000000000001</v>
      </c>
      <c r="AT125" s="1053">
        <f t="shared" si="754"/>
        <v>0.14850000000000002</v>
      </c>
      <c r="AU125" s="1053">
        <f t="shared" si="754"/>
        <v>0.16335000000000002</v>
      </c>
      <c r="AV125" s="1053">
        <f t="shared" si="754"/>
        <v>0.16335000000000002</v>
      </c>
      <c r="AW125" s="1053">
        <f t="shared" si="754"/>
        <v>0.16335000000000002</v>
      </c>
      <c r="AX125" s="1053">
        <f t="shared" si="754"/>
        <v>0.16335000000000002</v>
      </c>
      <c r="AY125" s="1053">
        <f t="shared" si="754"/>
        <v>0.16335000000000002</v>
      </c>
      <c r="AZ125" s="1053">
        <f t="shared" si="754"/>
        <v>0.16335000000000002</v>
      </c>
      <c r="BA125" s="1053">
        <f t="shared" si="754"/>
        <v>0.16335000000000002</v>
      </c>
      <c r="BB125" s="1053">
        <v>0.15</v>
      </c>
      <c r="BC125" s="1053">
        <f t="shared" si="755"/>
        <v>0.13500000000000001</v>
      </c>
      <c r="BD125" s="1053">
        <f t="shared" si="687"/>
        <v>0.13500000000000001</v>
      </c>
      <c r="BE125" s="1053">
        <f t="shared" si="688"/>
        <v>0.13500000000000001</v>
      </c>
      <c r="BF125" s="1053">
        <f t="shared" si="689"/>
        <v>0.14850000000000002</v>
      </c>
      <c r="BG125" s="1053">
        <f t="shared" si="690"/>
        <v>0.16335000000000002</v>
      </c>
      <c r="BH125" s="1053">
        <f t="shared" si="691"/>
        <v>0.16335000000000002</v>
      </c>
      <c r="BI125" s="1053">
        <f t="shared" si="692"/>
        <v>0.16335000000000002</v>
      </c>
      <c r="BJ125" s="1053">
        <f t="shared" si="693"/>
        <v>0.16335000000000002</v>
      </c>
      <c r="BK125" s="1053">
        <f t="shared" si="694"/>
        <v>0.16335000000000002</v>
      </c>
      <c r="BL125" s="1053">
        <f t="shared" si="695"/>
        <v>0.16335000000000002</v>
      </c>
      <c r="BM125" s="1053">
        <f t="shared" si="696"/>
        <v>0.16335000000000002</v>
      </c>
      <c r="BN125" s="1053">
        <v>0.15</v>
      </c>
      <c r="BO125" s="1053">
        <f t="shared" si="756"/>
        <v>0.13500000000000001</v>
      </c>
      <c r="BP125" s="1053">
        <f t="shared" si="697"/>
        <v>0.13500000000000001</v>
      </c>
      <c r="BQ125" s="1053">
        <f t="shared" si="698"/>
        <v>0.13500000000000001</v>
      </c>
      <c r="BR125" s="1053">
        <f t="shared" si="699"/>
        <v>0.14850000000000002</v>
      </c>
      <c r="BS125" s="1053">
        <f t="shared" si="700"/>
        <v>0.16335000000000002</v>
      </c>
      <c r="BT125" s="1053">
        <f t="shared" si="701"/>
        <v>0.16335000000000002</v>
      </c>
      <c r="BU125" s="1053">
        <f t="shared" si="702"/>
        <v>0.16335000000000002</v>
      </c>
      <c r="BV125" s="1053">
        <f t="shared" si="703"/>
        <v>0.16335000000000002</v>
      </c>
      <c r="BW125" s="1053">
        <f t="shared" si="704"/>
        <v>0.16335000000000002</v>
      </c>
      <c r="BX125" s="1053">
        <f t="shared" si="705"/>
        <v>0.16335000000000002</v>
      </c>
      <c r="BY125" s="1053">
        <f t="shared" si="706"/>
        <v>0.16335000000000002</v>
      </c>
      <c r="BZ125" s="1053">
        <v>0.15</v>
      </c>
      <c r="CA125" s="1053">
        <f t="shared" si="757"/>
        <v>0.13500000000000001</v>
      </c>
      <c r="CB125" s="1053">
        <f t="shared" si="707"/>
        <v>0.13500000000000001</v>
      </c>
      <c r="CC125" s="1053">
        <f t="shared" si="708"/>
        <v>0.13500000000000001</v>
      </c>
      <c r="CD125" s="1053">
        <f t="shared" si="709"/>
        <v>0.14850000000000002</v>
      </c>
      <c r="CE125" s="1053">
        <f t="shared" si="710"/>
        <v>0.16335000000000002</v>
      </c>
      <c r="CF125" s="1053">
        <f t="shared" si="711"/>
        <v>0.16335000000000002</v>
      </c>
      <c r="CG125" s="1053">
        <f t="shared" si="712"/>
        <v>0.16335000000000002</v>
      </c>
      <c r="CH125" s="1053">
        <f t="shared" si="713"/>
        <v>0.16335000000000002</v>
      </c>
      <c r="CI125" s="1053">
        <f t="shared" si="714"/>
        <v>0.16335000000000002</v>
      </c>
      <c r="CJ125" s="1053">
        <f t="shared" si="715"/>
        <v>0.16335000000000002</v>
      </c>
      <c r="CK125" s="1053">
        <f t="shared" si="716"/>
        <v>0.16335000000000002</v>
      </c>
      <c r="CL125" s="1053">
        <v>0.15</v>
      </c>
      <c r="CM125" s="1053">
        <f t="shared" si="758"/>
        <v>0.13500000000000001</v>
      </c>
      <c r="CN125" s="1053">
        <f t="shared" si="717"/>
        <v>0.13500000000000001</v>
      </c>
      <c r="CO125" s="1053">
        <f t="shared" si="718"/>
        <v>0.13500000000000001</v>
      </c>
      <c r="CP125" s="1053">
        <f t="shared" si="719"/>
        <v>0.14850000000000002</v>
      </c>
      <c r="CQ125" s="1053">
        <f t="shared" si="720"/>
        <v>0.16335000000000002</v>
      </c>
      <c r="CR125" s="1053">
        <f t="shared" si="721"/>
        <v>0.16335000000000002</v>
      </c>
      <c r="CS125" s="1053">
        <f t="shared" si="722"/>
        <v>0.16335000000000002</v>
      </c>
      <c r="CT125" s="1053">
        <f t="shared" si="723"/>
        <v>0.16335000000000002</v>
      </c>
      <c r="CU125" s="1053">
        <f t="shared" si="724"/>
        <v>0.16335000000000002</v>
      </c>
      <c r="CV125" s="1053">
        <f t="shared" si="725"/>
        <v>0.16335000000000002</v>
      </c>
      <c r="CW125" s="1053">
        <f t="shared" si="726"/>
        <v>0.16335000000000002</v>
      </c>
      <c r="CX125" s="1053">
        <v>0.15</v>
      </c>
      <c r="CY125" s="1053">
        <f t="shared" si="759"/>
        <v>0.13500000000000001</v>
      </c>
      <c r="CZ125" s="1053">
        <f t="shared" si="727"/>
        <v>0.13500000000000001</v>
      </c>
      <c r="DA125" s="1053">
        <f t="shared" si="728"/>
        <v>0.13500000000000001</v>
      </c>
      <c r="DB125" s="1053">
        <f t="shared" si="729"/>
        <v>0.14850000000000002</v>
      </c>
      <c r="DC125" s="1053">
        <f t="shared" si="730"/>
        <v>0.16335000000000002</v>
      </c>
      <c r="DD125" s="1053">
        <f t="shared" si="731"/>
        <v>0.16335000000000002</v>
      </c>
      <c r="DE125" s="1053">
        <f t="shared" si="732"/>
        <v>0.16335000000000002</v>
      </c>
      <c r="DF125" s="1053">
        <f t="shared" si="733"/>
        <v>0.16335000000000002</v>
      </c>
      <c r="DG125" s="1053">
        <f t="shared" si="734"/>
        <v>0.16335000000000002</v>
      </c>
      <c r="DH125" s="1053">
        <f t="shared" si="735"/>
        <v>0.16335000000000002</v>
      </c>
      <c r="DI125" s="1053">
        <f t="shared" si="736"/>
        <v>0.16335000000000002</v>
      </c>
      <c r="DK125" s="1684"/>
      <c r="DL125" s="957" t="s">
        <v>125</v>
      </c>
      <c r="DN125" s="994">
        <f>DN111*$AJ$125</f>
        <v>0</v>
      </c>
      <c r="DO125" s="995">
        <f>DO111*$AJ$125</f>
        <v>0.25</v>
      </c>
      <c r="DP125" s="995">
        <f>DP111*$AJ$125</f>
        <v>0.25</v>
      </c>
      <c r="DQ125" s="995">
        <f>DQ111*$AJ$125</f>
        <v>0.375</v>
      </c>
      <c r="DR125" s="996">
        <f>DR111*$AJ$125</f>
        <v>0.75</v>
      </c>
      <c r="DT125" s="994">
        <f>DT111*$AH$125</f>
        <v>0</v>
      </c>
      <c r="DU125" s="995">
        <f>DU111*$AH$125</f>
        <v>1</v>
      </c>
      <c r="DV125" s="995">
        <f>DV111*$AH$125</f>
        <v>1</v>
      </c>
      <c r="DW125" s="995">
        <f>DW111*$AH$125</f>
        <v>1.5</v>
      </c>
      <c r="DX125" s="996">
        <f>DX111*$AH$125</f>
        <v>3</v>
      </c>
      <c r="DZ125" s="994">
        <f>DZ111*AK$125</f>
        <v>0</v>
      </c>
      <c r="EA125" s="995">
        <f>EA111*AL$125</f>
        <v>0</v>
      </c>
      <c r="EB125" s="995">
        <f>EB111*AM$125</f>
        <v>0</v>
      </c>
      <c r="EC125" s="995">
        <f>EC111*AN$125</f>
        <v>0.13750000000000001</v>
      </c>
      <c r="ED125" s="996">
        <f>ED111*AO$125</f>
        <v>0.13750000000000001</v>
      </c>
      <c r="EF125" s="994">
        <f t="shared" si="737"/>
        <v>0</v>
      </c>
      <c r="EG125" s="995">
        <f t="shared" si="738"/>
        <v>0.13500000000000001</v>
      </c>
      <c r="EH125" s="995">
        <f t="shared" si="739"/>
        <v>0.13500000000000001</v>
      </c>
      <c r="EI125" s="995">
        <f t="shared" si="740"/>
        <v>0.81</v>
      </c>
      <c r="EJ125" s="995">
        <f t="shared" si="741"/>
        <v>0.44550000000000006</v>
      </c>
      <c r="EK125" s="995">
        <f t="shared" si="742"/>
        <v>1.5109875000000001</v>
      </c>
      <c r="EL125" s="995">
        <f t="shared" si="743"/>
        <v>2.0582100000000003</v>
      </c>
      <c r="EM125" s="995">
        <f t="shared" si="744"/>
        <v>1.3231350000000004</v>
      </c>
      <c r="EN125" s="995">
        <f t="shared" si="745"/>
        <v>0.73507500000000014</v>
      </c>
      <c r="EO125" s="995">
        <f t="shared" si="746"/>
        <v>0.44921250000000007</v>
      </c>
      <c r="EP125" s="995">
        <f t="shared" si="747"/>
        <v>0.16335000000000002</v>
      </c>
      <c r="EQ125" s="995">
        <f t="shared" si="748"/>
        <v>0.24502500000000005</v>
      </c>
      <c r="ES125" s="994">
        <f t="shared" si="760"/>
        <v>0.3</v>
      </c>
      <c r="ET125" s="995">
        <f t="shared" si="749"/>
        <v>0.27</v>
      </c>
      <c r="EU125" s="995">
        <f t="shared" si="749"/>
        <v>0.27</v>
      </c>
      <c r="EV125" s="995">
        <f t="shared" si="749"/>
        <v>0.27</v>
      </c>
      <c r="EW125" s="995">
        <f t="shared" si="749"/>
        <v>0.29700000000000004</v>
      </c>
      <c r="EX125" s="995">
        <f t="shared" si="749"/>
        <v>0.32670000000000005</v>
      </c>
      <c r="EY125" s="995">
        <f t="shared" si="749"/>
        <v>0.32670000000000005</v>
      </c>
      <c r="EZ125" s="995">
        <f t="shared" si="749"/>
        <v>0.32670000000000005</v>
      </c>
      <c r="FA125" s="995">
        <f t="shared" si="749"/>
        <v>0.32670000000000005</v>
      </c>
      <c r="FB125" s="995">
        <f t="shared" si="749"/>
        <v>0.24502500000000005</v>
      </c>
      <c r="FC125" s="995">
        <f t="shared" si="749"/>
        <v>0.16335000000000002</v>
      </c>
      <c r="FD125" s="996">
        <f t="shared" si="749"/>
        <v>0.24502500000000005</v>
      </c>
      <c r="FF125" s="994">
        <f t="shared" si="761"/>
        <v>0.3</v>
      </c>
      <c r="FG125" s="995">
        <f t="shared" si="750"/>
        <v>0.27</v>
      </c>
      <c r="FH125" s="995">
        <f t="shared" si="750"/>
        <v>0.27</v>
      </c>
      <c r="FI125" s="995">
        <f t="shared" si="750"/>
        <v>0.27</v>
      </c>
      <c r="FJ125" s="995">
        <f t="shared" si="750"/>
        <v>0.29700000000000004</v>
      </c>
      <c r="FK125" s="995">
        <f t="shared" si="750"/>
        <v>0.32670000000000005</v>
      </c>
      <c r="FL125" s="995">
        <f t="shared" si="750"/>
        <v>0.32670000000000005</v>
      </c>
      <c r="FM125" s="995">
        <f t="shared" si="750"/>
        <v>0.32670000000000005</v>
      </c>
      <c r="FN125" s="995">
        <f t="shared" si="750"/>
        <v>0.32670000000000005</v>
      </c>
      <c r="FO125" s="995">
        <f t="shared" si="750"/>
        <v>0.24502500000000005</v>
      </c>
      <c r="FP125" s="995">
        <f t="shared" si="750"/>
        <v>0.16335000000000002</v>
      </c>
      <c r="FQ125" s="996">
        <f t="shared" si="750"/>
        <v>0.24502500000000005</v>
      </c>
      <c r="FS125" s="994">
        <f t="shared" si="762"/>
        <v>0.3</v>
      </c>
      <c r="FT125" s="995">
        <f t="shared" si="751"/>
        <v>0.27</v>
      </c>
      <c r="FU125" s="995">
        <f t="shared" si="751"/>
        <v>0.27</v>
      </c>
      <c r="FV125" s="995">
        <f t="shared" si="751"/>
        <v>0.27</v>
      </c>
      <c r="FW125" s="995">
        <f t="shared" si="751"/>
        <v>0.29700000000000004</v>
      </c>
      <c r="FX125" s="995">
        <f t="shared" si="751"/>
        <v>0.32670000000000005</v>
      </c>
      <c r="FY125" s="995">
        <f t="shared" si="751"/>
        <v>0.32670000000000005</v>
      </c>
      <c r="FZ125" s="995">
        <f t="shared" si="751"/>
        <v>0.32670000000000005</v>
      </c>
      <c r="GA125" s="995">
        <f t="shared" si="751"/>
        <v>0.32670000000000005</v>
      </c>
      <c r="GB125" s="995">
        <f t="shared" si="751"/>
        <v>0.24502500000000005</v>
      </c>
      <c r="GC125" s="995">
        <f t="shared" si="751"/>
        <v>0.16335000000000002</v>
      </c>
      <c r="GD125" s="996">
        <f t="shared" si="751"/>
        <v>0.16335000000000002</v>
      </c>
      <c r="GF125" s="994">
        <f t="shared" si="763"/>
        <v>0.15</v>
      </c>
      <c r="GG125" s="995">
        <f t="shared" si="752"/>
        <v>0.13500000000000001</v>
      </c>
      <c r="GH125" s="995">
        <f t="shared" si="752"/>
        <v>0.13500000000000001</v>
      </c>
      <c r="GI125" s="995">
        <f t="shared" si="752"/>
        <v>0.13500000000000001</v>
      </c>
      <c r="GJ125" s="995">
        <f t="shared" si="752"/>
        <v>0.14850000000000002</v>
      </c>
      <c r="GK125" s="995">
        <f t="shared" si="752"/>
        <v>0.16335000000000002</v>
      </c>
      <c r="GL125" s="995">
        <f t="shared" si="752"/>
        <v>0.16335000000000002</v>
      </c>
      <c r="GM125" s="995">
        <f t="shared" si="752"/>
        <v>0.16335000000000002</v>
      </c>
      <c r="GN125" s="995">
        <f t="shared" si="752"/>
        <v>0.16335000000000002</v>
      </c>
      <c r="GO125" s="995">
        <f t="shared" si="752"/>
        <v>0.16335000000000002</v>
      </c>
      <c r="GP125" s="995">
        <f t="shared" si="752"/>
        <v>0.16335000000000002</v>
      </c>
      <c r="GQ125" s="996">
        <f t="shared" si="752"/>
        <v>0.16335000000000002</v>
      </c>
      <c r="GS125" s="994">
        <f t="shared" si="764"/>
        <v>0.15</v>
      </c>
      <c r="GT125" s="995">
        <f t="shared" si="753"/>
        <v>0.13500000000000001</v>
      </c>
      <c r="GU125" s="995">
        <f t="shared" si="753"/>
        <v>0.13500000000000001</v>
      </c>
      <c r="GV125" s="995">
        <f t="shared" si="753"/>
        <v>0.13500000000000001</v>
      </c>
      <c r="GW125" s="995">
        <f t="shared" si="753"/>
        <v>0.14850000000000002</v>
      </c>
      <c r="GX125" s="995">
        <f t="shared" si="753"/>
        <v>0.16335000000000002</v>
      </c>
      <c r="GY125" s="995">
        <f t="shared" si="753"/>
        <v>0.16335000000000002</v>
      </c>
      <c r="GZ125" s="995">
        <f t="shared" si="753"/>
        <v>0.16335000000000002</v>
      </c>
      <c r="HA125" s="995">
        <f t="shared" si="753"/>
        <v>0.16335000000000002</v>
      </c>
      <c r="HB125" s="995">
        <f t="shared" si="753"/>
        <v>0.16335000000000002</v>
      </c>
      <c r="HC125" s="995">
        <f t="shared" si="753"/>
        <v>0.16335000000000002</v>
      </c>
      <c r="HD125" s="996">
        <f t="shared" si="753"/>
        <v>0.16335000000000002</v>
      </c>
    </row>
    <row r="126" spans="2:212" ht="14.25">
      <c r="B126" s="1065" t="s">
        <v>1037</v>
      </c>
      <c r="C126" s="1009"/>
      <c r="D126" s="31"/>
      <c r="E126" s="31"/>
      <c r="F126" s="31"/>
      <c r="G126" s="31"/>
      <c r="H126" s="31"/>
      <c r="I126" s="31"/>
      <c r="N126" s="1684"/>
      <c r="O126" s="957" t="s">
        <v>126</v>
      </c>
      <c r="P126" s="606">
        <v>0</v>
      </c>
      <c r="Q126" s="606">
        <v>0</v>
      </c>
      <c r="R126" s="606">
        <v>0</v>
      </c>
      <c r="S126" s="606">
        <v>0</v>
      </c>
      <c r="T126" s="606">
        <v>1</v>
      </c>
      <c r="U126" s="606">
        <v>0</v>
      </c>
      <c r="V126" s="606">
        <v>1</v>
      </c>
      <c r="AA126" s="1684"/>
      <c r="AB126" s="957" t="s">
        <v>126</v>
      </c>
      <c r="AC126" s="610">
        <f t="shared" si="679"/>
        <v>0</v>
      </c>
      <c r="AD126" s="610">
        <f>Q126/Q112</f>
        <v>0</v>
      </c>
      <c r="AE126" s="610"/>
      <c r="AF126" s="610">
        <f>S126/S112</f>
        <v>0</v>
      </c>
      <c r="AG126" s="610">
        <f>T126/T112</f>
        <v>0.33333333333333331</v>
      </c>
      <c r="AH126" s="610">
        <f>U126/U112</f>
        <v>0</v>
      </c>
      <c r="AI126" s="610">
        <f>V126/V112</f>
        <v>0.5</v>
      </c>
      <c r="AJ126" s="952">
        <f t="shared" si="680"/>
        <v>0.13888888888888887</v>
      </c>
      <c r="AK126" s="952">
        <f t="shared" si="681"/>
        <v>0.13888888888888887</v>
      </c>
      <c r="AL126" s="952">
        <f t="shared" si="682"/>
        <v>0.15277777777777776</v>
      </c>
      <c r="AM126" s="952">
        <f t="shared" si="683"/>
        <v>0.15277777777777776</v>
      </c>
      <c r="AN126" s="952">
        <f t="shared" si="684"/>
        <v>0.15277777777777776</v>
      </c>
      <c r="AO126" s="952">
        <f t="shared" si="685"/>
        <v>0.15277777777777776</v>
      </c>
      <c r="AP126" s="1053">
        <v>0.15</v>
      </c>
      <c r="AQ126" s="1053">
        <f t="shared" si="754"/>
        <v>0.13500000000000001</v>
      </c>
      <c r="AR126" s="1053">
        <f t="shared" si="754"/>
        <v>0.13500000000000001</v>
      </c>
      <c r="AS126" s="1053">
        <f t="shared" si="754"/>
        <v>0.13500000000000001</v>
      </c>
      <c r="AT126" s="1053">
        <f t="shared" si="754"/>
        <v>0.14850000000000002</v>
      </c>
      <c r="AU126" s="1053">
        <f t="shared" si="754"/>
        <v>0.16335000000000002</v>
      </c>
      <c r="AV126" s="1053">
        <f t="shared" si="754"/>
        <v>0.16335000000000002</v>
      </c>
      <c r="AW126" s="1053">
        <f t="shared" si="754"/>
        <v>0.16335000000000002</v>
      </c>
      <c r="AX126" s="1053">
        <f t="shared" si="754"/>
        <v>0.16335000000000002</v>
      </c>
      <c r="AY126" s="1053">
        <f t="shared" si="754"/>
        <v>0.16335000000000002</v>
      </c>
      <c r="AZ126" s="1053">
        <f t="shared" si="754"/>
        <v>0.16335000000000002</v>
      </c>
      <c r="BA126" s="1053">
        <f t="shared" si="754"/>
        <v>0.16335000000000002</v>
      </c>
      <c r="BB126" s="1053">
        <v>0.15</v>
      </c>
      <c r="BC126" s="1053">
        <f t="shared" si="755"/>
        <v>0.13500000000000001</v>
      </c>
      <c r="BD126" s="1053">
        <f t="shared" si="687"/>
        <v>0.13500000000000001</v>
      </c>
      <c r="BE126" s="1053">
        <f t="shared" si="688"/>
        <v>0.13500000000000001</v>
      </c>
      <c r="BF126" s="1053">
        <f t="shared" si="689"/>
        <v>0.14850000000000002</v>
      </c>
      <c r="BG126" s="1053">
        <f t="shared" si="690"/>
        <v>0.16335000000000002</v>
      </c>
      <c r="BH126" s="1053">
        <f t="shared" si="691"/>
        <v>0.16335000000000002</v>
      </c>
      <c r="BI126" s="1053">
        <f t="shared" si="692"/>
        <v>0.16335000000000002</v>
      </c>
      <c r="BJ126" s="1053">
        <f t="shared" si="693"/>
        <v>0.16335000000000002</v>
      </c>
      <c r="BK126" s="1053">
        <f t="shared" si="694"/>
        <v>0.16335000000000002</v>
      </c>
      <c r="BL126" s="1053">
        <f t="shared" si="695"/>
        <v>0.16335000000000002</v>
      </c>
      <c r="BM126" s="1053">
        <f t="shared" si="696"/>
        <v>0.16335000000000002</v>
      </c>
      <c r="BN126" s="1053">
        <v>0.15</v>
      </c>
      <c r="BO126" s="1053">
        <f t="shared" si="756"/>
        <v>0.13500000000000001</v>
      </c>
      <c r="BP126" s="1053">
        <f t="shared" si="697"/>
        <v>0.13500000000000001</v>
      </c>
      <c r="BQ126" s="1053">
        <f t="shared" si="698"/>
        <v>0.13500000000000001</v>
      </c>
      <c r="BR126" s="1053">
        <f t="shared" si="699"/>
        <v>0.14850000000000002</v>
      </c>
      <c r="BS126" s="1053">
        <f t="shared" si="700"/>
        <v>0.16335000000000002</v>
      </c>
      <c r="BT126" s="1053">
        <f t="shared" si="701"/>
        <v>0.16335000000000002</v>
      </c>
      <c r="BU126" s="1053">
        <f t="shared" si="702"/>
        <v>0.16335000000000002</v>
      </c>
      <c r="BV126" s="1053">
        <f t="shared" si="703"/>
        <v>0.16335000000000002</v>
      </c>
      <c r="BW126" s="1053">
        <f t="shared" si="704"/>
        <v>0.16335000000000002</v>
      </c>
      <c r="BX126" s="1053">
        <f t="shared" si="705"/>
        <v>0.16335000000000002</v>
      </c>
      <c r="BY126" s="1053">
        <f t="shared" si="706"/>
        <v>0.16335000000000002</v>
      </c>
      <c r="BZ126" s="1053">
        <v>0.15</v>
      </c>
      <c r="CA126" s="1053">
        <f t="shared" si="757"/>
        <v>0.13500000000000001</v>
      </c>
      <c r="CB126" s="1053">
        <f t="shared" si="707"/>
        <v>0.13500000000000001</v>
      </c>
      <c r="CC126" s="1053">
        <f t="shared" si="708"/>
        <v>0.13500000000000001</v>
      </c>
      <c r="CD126" s="1053">
        <f t="shared" si="709"/>
        <v>0.14850000000000002</v>
      </c>
      <c r="CE126" s="1053">
        <f t="shared" si="710"/>
        <v>0.16335000000000002</v>
      </c>
      <c r="CF126" s="1053">
        <f t="shared" si="711"/>
        <v>0.16335000000000002</v>
      </c>
      <c r="CG126" s="1053">
        <f t="shared" si="712"/>
        <v>0.16335000000000002</v>
      </c>
      <c r="CH126" s="1053">
        <f t="shared" si="713"/>
        <v>0.16335000000000002</v>
      </c>
      <c r="CI126" s="1053">
        <f t="shared" si="714"/>
        <v>0.16335000000000002</v>
      </c>
      <c r="CJ126" s="1053">
        <f t="shared" si="715"/>
        <v>0.16335000000000002</v>
      </c>
      <c r="CK126" s="1053">
        <f t="shared" si="716"/>
        <v>0.16335000000000002</v>
      </c>
      <c r="CL126" s="1053">
        <v>0.15</v>
      </c>
      <c r="CM126" s="1053">
        <f t="shared" si="758"/>
        <v>0.13500000000000001</v>
      </c>
      <c r="CN126" s="1053">
        <f t="shared" si="717"/>
        <v>0.13500000000000001</v>
      </c>
      <c r="CO126" s="1053">
        <f t="shared" si="718"/>
        <v>0.13500000000000001</v>
      </c>
      <c r="CP126" s="1053">
        <f t="shared" si="719"/>
        <v>0.14850000000000002</v>
      </c>
      <c r="CQ126" s="1053">
        <f t="shared" si="720"/>
        <v>0.16335000000000002</v>
      </c>
      <c r="CR126" s="1053">
        <f t="shared" si="721"/>
        <v>0.16335000000000002</v>
      </c>
      <c r="CS126" s="1053">
        <f t="shared" si="722"/>
        <v>0.16335000000000002</v>
      </c>
      <c r="CT126" s="1053">
        <f t="shared" si="723"/>
        <v>0.16335000000000002</v>
      </c>
      <c r="CU126" s="1053">
        <f t="shared" si="724"/>
        <v>0.16335000000000002</v>
      </c>
      <c r="CV126" s="1053">
        <f t="shared" si="725"/>
        <v>0.16335000000000002</v>
      </c>
      <c r="CW126" s="1053">
        <f t="shared" si="726"/>
        <v>0.16335000000000002</v>
      </c>
      <c r="CX126" s="1053">
        <v>0.15</v>
      </c>
      <c r="CY126" s="1053">
        <f t="shared" si="759"/>
        <v>0.13500000000000001</v>
      </c>
      <c r="CZ126" s="1053">
        <f t="shared" si="727"/>
        <v>0.13500000000000001</v>
      </c>
      <c r="DA126" s="1053">
        <f t="shared" si="728"/>
        <v>0.13500000000000001</v>
      </c>
      <c r="DB126" s="1053">
        <f t="shared" si="729"/>
        <v>0.14850000000000002</v>
      </c>
      <c r="DC126" s="1053">
        <f t="shared" si="730"/>
        <v>0.16335000000000002</v>
      </c>
      <c r="DD126" s="1053">
        <f t="shared" si="731"/>
        <v>0.16335000000000002</v>
      </c>
      <c r="DE126" s="1053">
        <f t="shared" si="732"/>
        <v>0.16335000000000002</v>
      </c>
      <c r="DF126" s="1053">
        <f t="shared" si="733"/>
        <v>0.16335000000000002</v>
      </c>
      <c r="DG126" s="1053">
        <f t="shared" si="734"/>
        <v>0.16335000000000002</v>
      </c>
      <c r="DH126" s="1053">
        <f t="shared" si="735"/>
        <v>0.16335000000000002</v>
      </c>
      <c r="DI126" s="1053">
        <f t="shared" si="736"/>
        <v>0.16335000000000002</v>
      </c>
      <c r="DK126" s="1684"/>
      <c r="DL126" s="957" t="s">
        <v>126</v>
      </c>
      <c r="DN126" s="994">
        <f>DN112*$AJ$126</f>
        <v>0.13888888888888887</v>
      </c>
      <c r="DO126" s="995">
        <f>DO112*$AJ$126</f>
        <v>0</v>
      </c>
      <c r="DP126" s="995">
        <f>DP112*$AJ$126</f>
        <v>0.27777777777777773</v>
      </c>
      <c r="DQ126" s="995">
        <f>DQ112*$AJ$126</f>
        <v>0.27777777777777773</v>
      </c>
      <c r="DR126" s="996">
        <f>DR112*$AJ$126</f>
        <v>0.41666666666666663</v>
      </c>
      <c r="DT126" s="994">
        <f>DT112*$AH$126</f>
        <v>0</v>
      </c>
      <c r="DU126" s="995">
        <f>DU112*$AH$126</f>
        <v>0</v>
      </c>
      <c r="DV126" s="995">
        <f>DV112*$AH$126</f>
        <v>0</v>
      </c>
      <c r="DW126" s="995">
        <f>DW112*$AH$126</f>
        <v>0</v>
      </c>
      <c r="DX126" s="996">
        <f>DX112*$AH$126</f>
        <v>0</v>
      </c>
      <c r="DZ126" s="994">
        <f>DZ112*AK$126</f>
        <v>0.13888888888888887</v>
      </c>
      <c r="EA126" s="995">
        <f>EA112*AL$126</f>
        <v>0</v>
      </c>
      <c r="EB126" s="995">
        <f>EB112*AM$126</f>
        <v>0</v>
      </c>
      <c r="EC126" s="995">
        <f>EC112*AN$126</f>
        <v>0</v>
      </c>
      <c r="ED126" s="996">
        <f>ED112*AO$126</f>
        <v>0.15277777777777776</v>
      </c>
      <c r="EF126" s="994">
        <f t="shared" si="737"/>
        <v>0</v>
      </c>
      <c r="EG126" s="995">
        <f t="shared" si="738"/>
        <v>0</v>
      </c>
      <c r="EH126" s="995">
        <f t="shared" si="739"/>
        <v>0.13500000000000001</v>
      </c>
      <c r="EI126" s="995">
        <f t="shared" si="740"/>
        <v>0.13500000000000001</v>
      </c>
      <c r="EJ126" s="995">
        <f t="shared" si="741"/>
        <v>0.89100000000000013</v>
      </c>
      <c r="EK126" s="995">
        <f t="shared" si="742"/>
        <v>0.4900500000000001</v>
      </c>
      <c r="EL126" s="995">
        <f t="shared" si="743"/>
        <v>1.5109875000000001</v>
      </c>
      <c r="EM126" s="995">
        <f t="shared" si="744"/>
        <v>2.0582100000000003</v>
      </c>
      <c r="EN126" s="995">
        <f t="shared" si="745"/>
        <v>1.3231350000000004</v>
      </c>
      <c r="EO126" s="995">
        <f t="shared" si="746"/>
        <v>0.73507500000000014</v>
      </c>
      <c r="EP126" s="995">
        <f t="shared" si="747"/>
        <v>0.44921250000000007</v>
      </c>
      <c r="EQ126" s="995">
        <f t="shared" si="748"/>
        <v>0.16335000000000002</v>
      </c>
      <c r="ES126" s="994">
        <f t="shared" si="760"/>
        <v>0.22499999999999998</v>
      </c>
      <c r="ET126" s="995">
        <f t="shared" si="749"/>
        <v>0.27</v>
      </c>
      <c r="EU126" s="995">
        <f t="shared" si="749"/>
        <v>0.27</v>
      </c>
      <c r="EV126" s="995">
        <f t="shared" si="749"/>
        <v>0.27</v>
      </c>
      <c r="EW126" s="995">
        <f t="shared" si="749"/>
        <v>0.29700000000000004</v>
      </c>
      <c r="EX126" s="995">
        <f t="shared" si="749"/>
        <v>0.32670000000000005</v>
      </c>
      <c r="EY126" s="995">
        <f t="shared" si="749"/>
        <v>0.32670000000000005</v>
      </c>
      <c r="EZ126" s="995">
        <f t="shared" si="749"/>
        <v>0.32670000000000005</v>
      </c>
      <c r="FA126" s="995">
        <f t="shared" si="749"/>
        <v>0.32670000000000005</v>
      </c>
      <c r="FB126" s="995">
        <f t="shared" si="749"/>
        <v>0.32670000000000005</v>
      </c>
      <c r="FC126" s="995">
        <f t="shared" si="749"/>
        <v>0.24502500000000005</v>
      </c>
      <c r="FD126" s="996">
        <f t="shared" si="749"/>
        <v>0.16335000000000002</v>
      </c>
      <c r="FF126" s="994">
        <f t="shared" si="761"/>
        <v>0.22499999999999998</v>
      </c>
      <c r="FG126" s="995">
        <f t="shared" si="750"/>
        <v>0.27</v>
      </c>
      <c r="FH126" s="995">
        <f t="shared" si="750"/>
        <v>0.27</v>
      </c>
      <c r="FI126" s="995">
        <f t="shared" si="750"/>
        <v>0.27</v>
      </c>
      <c r="FJ126" s="995">
        <f t="shared" si="750"/>
        <v>0.29700000000000004</v>
      </c>
      <c r="FK126" s="995">
        <f t="shared" si="750"/>
        <v>0.32670000000000005</v>
      </c>
      <c r="FL126" s="995">
        <f t="shared" si="750"/>
        <v>0.32670000000000005</v>
      </c>
      <c r="FM126" s="995">
        <f t="shared" si="750"/>
        <v>0.32670000000000005</v>
      </c>
      <c r="FN126" s="995">
        <f t="shared" si="750"/>
        <v>0.32670000000000005</v>
      </c>
      <c r="FO126" s="995">
        <f t="shared" si="750"/>
        <v>0.32670000000000005</v>
      </c>
      <c r="FP126" s="995">
        <f t="shared" si="750"/>
        <v>0.24502500000000005</v>
      </c>
      <c r="FQ126" s="996">
        <f t="shared" si="750"/>
        <v>0.16335000000000002</v>
      </c>
      <c r="FS126" s="994">
        <f t="shared" si="762"/>
        <v>0.22499999999999998</v>
      </c>
      <c r="FT126" s="995">
        <f t="shared" si="751"/>
        <v>0.27</v>
      </c>
      <c r="FU126" s="995">
        <f t="shared" si="751"/>
        <v>0.27</v>
      </c>
      <c r="FV126" s="995">
        <f t="shared" si="751"/>
        <v>0.27</v>
      </c>
      <c r="FW126" s="995">
        <f t="shared" si="751"/>
        <v>0.29700000000000004</v>
      </c>
      <c r="FX126" s="995">
        <f t="shared" si="751"/>
        <v>0.32670000000000005</v>
      </c>
      <c r="FY126" s="995">
        <f t="shared" si="751"/>
        <v>0.32670000000000005</v>
      </c>
      <c r="FZ126" s="995">
        <f t="shared" si="751"/>
        <v>0.32670000000000005</v>
      </c>
      <c r="GA126" s="995">
        <f t="shared" si="751"/>
        <v>0.32670000000000005</v>
      </c>
      <c r="GB126" s="995">
        <f t="shared" si="751"/>
        <v>0.32670000000000005</v>
      </c>
      <c r="GC126" s="995">
        <f t="shared" si="751"/>
        <v>0.24502500000000005</v>
      </c>
      <c r="GD126" s="996">
        <f t="shared" si="751"/>
        <v>0.16335000000000002</v>
      </c>
      <c r="GF126" s="994">
        <f t="shared" si="763"/>
        <v>0.15</v>
      </c>
      <c r="GG126" s="995">
        <f t="shared" si="752"/>
        <v>0.13500000000000001</v>
      </c>
      <c r="GH126" s="995">
        <f t="shared" si="752"/>
        <v>0.13500000000000001</v>
      </c>
      <c r="GI126" s="995">
        <f t="shared" si="752"/>
        <v>0.13500000000000001</v>
      </c>
      <c r="GJ126" s="995">
        <f t="shared" si="752"/>
        <v>0.14850000000000002</v>
      </c>
      <c r="GK126" s="995">
        <f t="shared" si="752"/>
        <v>0.16335000000000002</v>
      </c>
      <c r="GL126" s="995">
        <f t="shared" si="752"/>
        <v>0.16335000000000002</v>
      </c>
      <c r="GM126" s="995">
        <f t="shared" si="752"/>
        <v>0.16335000000000002</v>
      </c>
      <c r="GN126" s="995">
        <f t="shared" si="752"/>
        <v>0.16335000000000002</v>
      </c>
      <c r="GO126" s="995">
        <f t="shared" si="752"/>
        <v>0.16335000000000002</v>
      </c>
      <c r="GP126" s="995">
        <f t="shared" si="752"/>
        <v>0.16335000000000002</v>
      </c>
      <c r="GQ126" s="996">
        <f t="shared" si="752"/>
        <v>0.16335000000000002</v>
      </c>
      <c r="GS126" s="994">
        <f t="shared" si="764"/>
        <v>0.15</v>
      </c>
      <c r="GT126" s="995">
        <f t="shared" si="753"/>
        <v>0.13500000000000001</v>
      </c>
      <c r="GU126" s="995">
        <f t="shared" si="753"/>
        <v>0.13500000000000001</v>
      </c>
      <c r="GV126" s="995">
        <f t="shared" si="753"/>
        <v>0.13500000000000001</v>
      </c>
      <c r="GW126" s="995">
        <f t="shared" si="753"/>
        <v>0.14850000000000002</v>
      </c>
      <c r="GX126" s="995">
        <f t="shared" si="753"/>
        <v>0.16335000000000002</v>
      </c>
      <c r="GY126" s="995">
        <f t="shared" si="753"/>
        <v>0.16335000000000002</v>
      </c>
      <c r="GZ126" s="995">
        <f t="shared" si="753"/>
        <v>0.16335000000000002</v>
      </c>
      <c r="HA126" s="995">
        <f t="shared" si="753"/>
        <v>0.16335000000000002</v>
      </c>
      <c r="HB126" s="995">
        <f t="shared" si="753"/>
        <v>0.16335000000000002</v>
      </c>
      <c r="HC126" s="995">
        <f t="shared" si="753"/>
        <v>0.16335000000000002</v>
      </c>
      <c r="HD126" s="996">
        <f t="shared" si="753"/>
        <v>0.16335000000000002</v>
      </c>
    </row>
    <row r="127" spans="2:212" ht="14.25">
      <c r="B127" s="1101" t="s">
        <v>1084</v>
      </c>
      <c r="C127" s="1009"/>
      <c r="D127" s="31"/>
      <c r="E127" s="31"/>
      <c r="F127" s="31"/>
      <c r="G127" s="31"/>
      <c r="H127" s="31"/>
      <c r="I127" s="31"/>
      <c r="N127" s="1684"/>
      <c r="O127" s="957" t="s">
        <v>127</v>
      </c>
      <c r="P127" s="606">
        <v>0</v>
      </c>
      <c r="Q127" s="606">
        <v>1</v>
      </c>
      <c r="R127" s="606">
        <v>0</v>
      </c>
      <c r="S127" s="606">
        <v>0</v>
      </c>
      <c r="T127" s="606">
        <v>0</v>
      </c>
      <c r="U127" s="606">
        <v>1</v>
      </c>
      <c r="V127" s="606">
        <v>0</v>
      </c>
      <c r="AA127" s="1684"/>
      <c r="AB127" s="957" t="s">
        <v>127</v>
      </c>
      <c r="AC127" s="610">
        <f t="shared" si="679"/>
        <v>0</v>
      </c>
      <c r="AD127" s="610">
        <f>Q127/Q113</f>
        <v>0.25</v>
      </c>
      <c r="AE127" s="610">
        <f>R127/R113</f>
        <v>0</v>
      </c>
      <c r="AF127" s="610"/>
      <c r="AG127" s="610">
        <f>T127/T113</f>
        <v>0</v>
      </c>
      <c r="AH127" s="610">
        <f>U127/U113</f>
        <v>0.5</v>
      </c>
      <c r="AI127" s="610">
        <f>V127/V113</f>
        <v>0</v>
      </c>
      <c r="AJ127" s="952">
        <f t="shared" si="680"/>
        <v>0.125</v>
      </c>
      <c r="AK127" s="952">
        <f t="shared" si="681"/>
        <v>0.125</v>
      </c>
      <c r="AL127" s="952">
        <f t="shared" si="682"/>
        <v>0.13750000000000001</v>
      </c>
      <c r="AM127" s="952">
        <f t="shared" si="683"/>
        <v>0.13750000000000001</v>
      </c>
      <c r="AN127" s="952">
        <f t="shared" si="684"/>
        <v>0.13750000000000001</v>
      </c>
      <c r="AO127" s="952">
        <f t="shared" si="685"/>
        <v>0.13750000000000001</v>
      </c>
      <c r="AP127" s="1053">
        <v>0.15</v>
      </c>
      <c r="AQ127" s="1053">
        <f t="shared" si="754"/>
        <v>0.13500000000000001</v>
      </c>
      <c r="AR127" s="1053">
        <f t="shared" si="754"/>
        <v>0.13500000000000001</v>
      </c>
      <c r="AS127" s="1053">
        <f t="shared" si="754"/>
        <v>0.13500000000000001</v>
      </c>
      <c r="AT127" s="1053">
        <f t="shared" si="754"/>
        <v>0.14850000000000002</v>
      </c>
      <c r="AU127" s="1053">
        <f t="shared" si="754"/>
        <v>0.16335000000000002</v>
      </c>
      <c r="AV127" s="1053">
        <f t="shared" si="754"/>
        <v>0.16335000000000002</v>
      </c>
      <c r="AW127" s="1053">
        <f t="shared" si="754"/>
        <v>0.16335000000000002</v>
      </c>
      <c r="AX127" s="1053">
        <f t="shared" si="754"/>
        <v>0.16335000000000002</v>
      </c>
      <c r="AY127" s="1053">
        <f t="shared" si="754"/>
        <v>0.16335000000000002</v>
      </c>
      <c r="AZ127" s="1053">
        <f t="shared" si="754"/>
        <v>0.16335000000000002</v>
      </c>
      <c r="BA127" s="1053">
        <f t="shared" si="754"/>
        <v>0.16335000000000002</v>
      </c>
      <c r="BB127" s="1053">
        <v>0.15</v>
      </c>
      <c r="BC127" s="1053">
        <f t="shared" si="755"/>
        <v>0.13500000000000001</v>
      </c>
      <c r="BD127" s="1053">
        <f t="shared" si="687"/>
        <v>0.13500000000000001</v>
      </c>
      <c r="BE127" s="1053">
        <f t="shared" si="688"/>
        <v>0.13500000000000001</v>
      </c>
      <c r="BF127" s="1053">
        <f t="shared" si="689"/>
        <v>0.14850000000000002</v>
      </c>
      <c r="BG127" s="1053">
        <f t="shared" si="690"/>
        <v>0.16335000000000002</v>
      </c>
      <c r="BH127" s="1053">
        <f t="shared" si="691"/>
        <v>0.16335000000000002</v>
      </c>
      <c r="BI127" s="1053">
        <f t="shared" si="692"/>
        <v>0.16335000000000002</v>
      </c>
      <c r="BJ127" s="1053">
        <f t="shared" si="693"/>
        <v>0.16335000000000002</v>
      </c>
      <c r="BK127" s="1053">
        <f t="shared" si="694"/>
        <v>0.16335000000000002</v>
      </c>
      <c r="BL127" s="1053">
        <f t="shared" si="695"/>
        <v>0.16335000000000002</v>
      </c>
      <c r="BM127" s="1053">
        <f t="shared" si="696"/>
        <v>0.16335000000000002</v>
      </c>
      <c r="BN127" s="1053">
        <v>0.15</v>
      </c>
      <c r="BO127" s="1053">
        <f t="shared" si="756"/>
        <v>0.13500000000000001</v>
      </c>
      <c r="BP127" s="1053">
        <f t="shared" si="697"/>
        <v>0.13500000000000001</v>
      </c>
      <c r="BQ127" s="1053">
        <f t="shared" si="698"/>
        <v>0.13500000000000001</v>
      </c>
      <c r="BR127" s="1053">
        <f t="shared" si="699"/>
        <v>0.14850000000000002</v>
      </c>
      <c r="BS127" s="1053">
        <f t="shared" si="700"/>
        <v>0.16335000000000002</v>
      </c>
      <c r="BT127" s="1053">
        <f t="shared" si="701"/>
        <v>0.16335000000000002</v>
      </c>
      <c r="BU127" s="1053">
        <f t="shared" si="702"/>
        <v>0.16335000000000002</v>
      </c>
      <c r="BV127" s="1053">
        <f t="shared" si="703"/>
        <v>0.16335000000000002</v>
      </c>
      <c r="BW127" s="1053">
        <f t="shared" si="704"/>
        <v>0.16335000000000002</v>
      </c>
      <c r="BX127" s="1053">
        <f t="shared" si="705"/>
        <v>0.16335000000000002</v>
      </c>
      <c r="BY127" s="1053">
        <f t="shared" si="706"/>
        <v>0.16335000000000002</v>
      </c>
      <c r="BZ127" s="1053">
        <v>0.15</v>
      </c>
      <c r="CA127" s="1053">
        <f t="shared" si="757"/>
        <v>0.13500000000000001</v>
      </c>
      <c r="CB127" s="1053">
        <f t="shared" si="707"/>
        <v>0.13500000000000001</v>
      </c>
      <c r="CC127" s="1053">
        <f t="shared" si="708"/>
        <v>0.13500000000000001</v>
      </c>
      <c r="CD127" s="1053">
        <f t="shared" si="709"/>
        <v>0.14850000000000002</v>
      </c>
      <c r="CE127" s="1053">
        <f t="shared" si="710"/>
        <v>0.16335000000000002</v>
      </c>
      <c r="CF127" s="1053">
        <f t="shared" si="711"/>
        <v>0.16335000000000002</v>
      </c>
      <c r="CG127" s="1053">
        <f t="shared" si="712"/>
        <v>0.16335000000000002</v>
      </c>
      <c r="CH127" s="1053">
        <f t="shared" si="713"/>
        <v>0.16335000000000002</v>
      </c>
      <c r="CI127" s="1053">
        <f t="shared" si="714"/>
        <v>0.16335000000000002</v>
      </c>
      <c r="CJ127" s="1053">
        <f t="shared" si="715"/>
        <v>0.16335000000000002</v>
      </c>
      <c r="CK127" s="1053">
        <f t="shared" si="716"/>
        <v>0.16335000000000002</v>
      </c>
      <c r="CL127" s="1053">
        <v>0.15</v>
      </c>
      <c r="CM127" s="1053">
        <f t="shared" si="758"/>
        <v>0.13500000000000001</v>
      </c>
      <c r="CN127" s="1053">
        <f t="shared" si="717"/>
        <v>0.13500000000000001</v>
      </c>
      <c r="CO127" s="1053">
        <f t="shared" si="718"/>
        <v>0.13500000000000001</v>
      </c>
      <c r="CP127" s="1053">
        <f t="shared" si="719"/>
        <v>0.14850000000000002</v>
      </c>
      <c r="CQ127" s="1053">
        <f t="shared" si="720"/>
        <v>0.16335000000000002</v>
      </c>
      <c r="CR127" s="1053">
        <f t="shared" si="721"/>
        <v>0.16335000000000002</v>
      </c>
      <c r="CS127" s="1053">
        <f t="shared" si="722"/>
        <v>0.16335000000000002</v>
      </c>
      <c r="CT127" s="1053">
        <f t="shared" si="723"/>
        <v>0.16335000000000002</v>
      </c>
      <c r="CU127" s="1053">
        <f t="shared" si="724"/>
        <v>0.16335000000000002</v>
      </c>
      <c r="CV127" s="1053">
        <f t="shared" si="725"/>
        <v>0.16335000000000002</v>
      </c>
      <c r="CW127" s="1053">
        <f t="shared" si="726"/>
        <v>0.16335000000000002</v>
      </c>
      <c r="CX127" s="1053">
        <v>0.15</v>
      </c>
      <c r="CY127" s="1053">
        <f t="shared" si="759"/>
        <v>0.13500000000000001</v>
      </c>
      <c r="CZ127" s="1053">
        <f t="shared" si="727"/>
        <v>0.13500000000000001</v>
      </c>
      <c r="DA127" s="1053">
        <f t="shared" si="728"/>
        <v>0.13500000000000001</v>
      </c>
      <c r="DB127" s="1053">
        <f t="shared" si="729"/>
        <v>0.14850000000000002</v>
      </c>
      <c r="DC127" s="1053">
        <f t="shared" si="730"/>
        <v>0.16335000000000002</v>
      </c>
      <c r="DD127" s="1053">
        <f t="shared" si="731"/>
        <v>0.16335000000000002</v>
      </c>
      <c r="DE127" s="1053">
        <f t="shared" si="732"/>
        <v>0.16335000000000002</v>
      </c>
      <c r="DF127" s="1053">
        <f t="shared" si="733"/>
        <v>0.16335000000000002</v>
      </c>
      <c r="DG127" s="1053">
        <f t="shared" si="734"/>
        <v>0.16335000000000002</v>
      </c>
      <c r="DH127" s="1053">
        <f t="shared" si="735"/>
        <v>0.16335000000000002</v>
      </c>
      <c r="DI127" s="1053">
        <f t="shared" si="736"/>
        <v>0.16335000000000002</v>
      </c>
      <c r="DK127" s="1684"/>
      <c r="DL127" s="957" t="s">
        <v>127</v>
      </c>
      <c r="DN127" s="994">
        <f>DN113*$AJ$127</f>
        <v>0</v>
      </c>
      <c r="DO127" s="995">
        <f>DO113*$AJ$127</f>
        <v>0.125</v>
      </c>
      <c r="DP127" s="995">
        <f>DP113*$AJ$127</f>
        <v>0</v>
      </c>
      <c r="DQ127" s="995">
        <f>DQ113*$AJ$127</f>
        <v>0.25</v>
      </c>
      <c r="DR127" s="996">
        <f>DR113*$AJ$127</f>
        <v>0.25</v>
      </c>
      <c r="DT127" s="994">
        <f>DT113*$AH$127</f>
        <v>0</v>
      </c>
      <c r="DU127" s="995">
        <f>DU113*$AH$127</f>
        <v>0.5</v>
      </c>
      <c r="DV127" s="995">
        <f>DV113*$AH$127</f>
        <v>0</v>
      </c>
      <c r="DW127" s="995">
        <f>DW113*$AH$127</f>
        <v>1</v>
      </c>
      <c r="DX127" s="996">
        <f>DX113*$AH$127</f>
        <v>1</v>
      </c>
      <c r="DZ127" s="994">
        <f>DZ113*AK$127</f>
        <v>0</v>
      </c>
      <c r="EA127" s="995">
        <f>EA113*AL$127</f>
        <v>0.13750000000000001</v>
      </c>
      <c r="EB127" s="995">
        <f>EB113*AM$127</f>
        <v>0</v>
      </c>
      <c r="EC127" s="995">
        <f>EC113*AN$127</f>
        <v>0</v>
      </c>
      <c r="ED127" s="996">
        <f>ED113*AO$127</f>
        <v>0</v>
      </c>
      <c r="EF127" s="994">
        <f t="shared" si="737"/>
        <v>0</v>
      </c>
      <c r="EG127" s="995">
        <f t="shared" si="738"/>
        <v>0</v>
      </c>
      <c r="EH127" s="995">
        <f t="shared" si="739"/>
        <v>0</v>
      </c>
      <c r="EI127" s="995">
        <f t="shared" si="740"/>
        <v>0.13500000000000001</v>
      </c>
      <c r="EJ127" s="995">
        <f t="shared" si="741"/>
        <v>0.14850000000000002</v>
      </c>
      <c r="EK127" s="995">
        <f t="shared" si="742"/>
        <v>0.98010000000000019</v>
      </c>
      <c r="EL127" s="995">
        <f t="shared" si="743"/>
        <v>0.4900500000000001</v>
      </c>
      <c r="EM127" s="995">
        <f t="shared" si="744"/>
        <v>1.5109875000000001</v>
      </c>
      <c r="EN127" s="995">
        <f t="shared" si="745"/>
        <v>2.0582100000000003</v>
      </c>
      <c r="EO127" s="995">
        <f t="shared" si="746"/>
        <v>1.3231350000000004</v>
      </c>
      <c r="EP127" s="995">
        <f t="shared" si="747"/>
        <v>0.73507500000000014</v>
      </c>
      <c r="EQ127" s="995">
        <f t="shared" si="748"/>
        <v>0.44921250000000007</v>
      </c>
      <c r="ES127" s="994">
        <f t="shared" si="760"/>
        <v>0.15</v>
      </c>
      <c r="ET127" s="995">
        <f t="shared" si="749"/>
        <v>0.20250000000000001</v>
      </c>
      <c r="EU127" s="995">
        <f t="shared" si="749"/>
        <v>0.27</v>
      </c>
      <c r="EV127" s="995">
        <f t="shared" si="749"/>
        <v>0.27</v>
      </c>
      <c r="EW127" s="995">
        <f t="shared" si="749"/>
        <v>0.29700000000000004</v>
      </c>
      <c r="EX127" s="995">
        <f t="shared" si="749"/>
        <v>0.32670000000000005</v>
      </c>
      <c r="EY127" s="995">
        <f t="shared" si="749"/>
        <v>0.32670000000000005</v>
      </c>
      <c r="EZ127" s="995">
        <f t="shared" si="749"/>
        <v>0.32670000000000005</v>
      </c>
      <c r="FA127" s="995">
        <f t="shared" si="749"/>
        <v>0.32670000000000005</v>
      </c>
      <c r="FB127" s="995">
        <f t="shared" si="749"/>
        <v>0.32670000000000005</v>
      </c>
      <c r="FC127" s="995">
        <f t="shared" si="749"/>
        <v>0.32670000000000005</v>
      </c>
      <c r="FD127" s="996">
        <f t="shared" si="749"/>
        <v>0.24502500000000005</v>
      </c>
      <c r="FF127" s="994">
        <f t="shared" si="761"/>
        <v>0.15</v>
      </c>
      <c r="FG127" s="995">
        <f t="shared" si="750"/>
        <v>0.20250000000000001</v>
      </c>
      <c r="FH127" s="995">
        <f t="shared" si="750"/>
        <v>0.27</v>
      </c>
      <c r="FI127" s="995">
        <f t="shared" si="750"/>
        <v>0.27</v>
      </c>
      <c r="FJ127" s="995">
        <f t="shared" si="750"/>
        <v>0.29700000000000004</v>
      </c>
      <c r="FK127" s="995">
        <f t="shared" si="750"/>
        <v>0.32670000000000005</v>
      </c>
      <c r="FL127" s="995">
        <f t="shared" si="750"/>
        <v>0.32670000000000005</v>
      </c>
      <c r="FM127" s="995">
        <f t="shared" si="750"/>
        <v>0.32670000000000005</v>
      </c>
      <c r="FN127" s="995">
        <f t="shared" si="750"/>
        <v>0.32670000000000005</v>
      </c>
      <c r="FO127" s="995">
        <f t="shared" si="750"/>
        <v>0.32670000000000005</v>
      </c>
      <c r="FP127" s="995">
        <f t="shared" si="750"/>
        <v>0.32670000000000005</v>
      </c>
      <c r="FQ127" s="996">
        <f t="shared" si="750"/>
        <v>0.24502500000000005</v>
      </c>
      <c r="FS127" s="994">
        <f t="shared" si="762"/>
        <v>0.15</v>
      </c>
      <c r="FT127" s="995">
        <f t="shared" si="751"/>
        <v>0.20250000000000001</v>
      </c>
      <c r="FU127" s="995">
        <f t="shared" si="751"/>
        <v>0.27</v>
      </c>
      <c r="FV127" s="995">
        <f t="shared" si="751"/>
        <v>0.27</v>
      </c>
      <c r="FW127" s="995">
        <f t="shared" si="751"/>
        <v>0.29700000000000004</v>
      </c>
      <c r="FX127" s="995">
        <f t="shared" si="751"/>
        <v>0.32670000000000005</v>
      </c>
      <c r="FY127" s="995">
        <f t="shared" si="751"/>
        <v>0.32670000000000005</v>
      </c>
      <c r="FZ127" s="995">
        <f t="shared" si="751"/>
        <v>0.32670000000000005</v>
      </c>
      <c r="GA127" s="995">
        <f t="shared" si="751"/>
        <v>0.32670000000000005</v>
      </c>
      <c r="GB127" s="995">
        <f t="shared" si="751"/>
        <v>0.32670000000000005</v>
      </c>
      <c r="GC127" s="995">
        <f t="shared" si="751"/>
        <v>0.32670000000000005</v>
      </c>
      <c r="GD127" s="996">
        <f t="shared" si="751"/>
        <v>0.24502500000000005</v>
      </c>
      <c r="GF127" s="994">
        <f t="shared" si="763"/>
        <v>0.15</v>
      </c>
      <c r="GG127" s="995">
        <f t="shared" si="752"/>
        <v>0.13500000000000001</v>
      </c>
      <c r="GH127" s="995">
        <f t="shared" si="752"/>
        <v>0.13500000000000001</v>
      </c>
      <c r="GI127" s="995">
        <f t="shared" si="752"/>
        <v>0.13500000000000001</v>
      </c>
      <c r="GJ127" s="995">
        <f t="shared" si="752"/>
        <v>0.14850000000000002</v>
      </c>
      <c r="GK127" s="995">
        <f t="shared" si="752"/>
        <v>0.16335000000000002</v>
      </c>
      <c r="GL127" s="995">
        <f t="shared" si="752"/>
        <v>0.16335000000000002</v>
      </c>
      <c r="GM127" s="995">
        <f t="shared" si="752"/>
        <v>0.16335000000000002</v>
      </c>
      <c r="GN127" s="995">
        <f t="shared" si="752"/>
        <v>0.16335000000000002</v>
      </c>
      <c r="GO127" s="995">
        <f t="shared" si="752"/>
        <v>0.16335000000000002</v>
      </c>
      <c r="GP127" s="995">
        <f t="shared" si="752"/>
        <v>0.16335000000000002</v>
      </c>
      <c r="GQ127" s="996">
        <f t="shared" si="752"/>
        <v>0.16335000000000002</v>
      </c>
      <c r="GS127" s="994">
        <f t="shared" si="764"/>
        <v>0.15</v>
      </c>
      <c r="GT127" s="995">
        <f t="shared" si="753"/>
        <v>0.13500000000000001</v>
      </c>
      <c r="GU127" s="995">
        <f t="shared" si="753"/>
        <v>0.13500000000000001</v>
      </c>
      <c r="GV127" s="995">
        <f t="shared" si="753"/>
        <v>0.13500000000000001</v>
      </c>
      <c r="GW127" s="995">
        <f t="shared" si="753"/>
        <v>0.14850000000000002</v>
      </c>
      <c r="GX127" s="995">
        <f t="shared" si="753"/>
        <v>0.16335000000000002</v>
      </c>
      <c r="GY127" s="995">
        <f t="shared" si="753"/>
        <v>0.16335000000000002</v>
      </c>
      <c r="GZ127" s="995">
        <f t="shared" si="753"/>
        <v>0.16335000000000002</v>
      </c>
      <c r="HA127" s="995">
        <f t="shared" si="753"/>
        <v>0.16335000000000002</v>
      </c>
      <c r="HB127" s="995">
        <f t="shared" si="753"/>
        <v>0.16335000000000002</v>
      </c>
      <c r="HC127" s="995">
        <f t="shared" si="753"/>
        <v>0.16335000000000002</v>
      </c>
      <c r="HD127" s="996">
        <f t="shared" si="753"/>
        <v>0.16335000000000002</v>
      </c>
    </row>
    <row r="128" spans="2:212" ht="14.25">
      <c r="B128" s="1067" t="s">
        <v>1067</v>
      </c>
      <c r="C128" s="1009"/>
      <c r="D128" s="31"/>
      <c r="E128" s="31"/>
      <c r="F128" s="31"/>
      <c r="G128" s="31"/>
      <c r="H128" s="31"/>
      <c r="I128" s="31"/>
      <c r="J128" s="946"/>
      <c r="K128" s="946"/>
      <c r="N128" s="1684"/>
      <c r="O128" s="957" t="s">
        <v>163</v>
      </c>
      <c r="P128" s="606">
        <v>0</v>
      </c>
      <c r="Q128" s="606">
        <v>0</v>
      </c>
      <c r="R128" s="606">
        <v>0</v>
      </c>
      <c r="S128" s="606">
        <v>0</v>
      </c>
      <c r="T128" s="606">
        <v>0</v>
      </c>
      <c r="U128" s="606">
        <v>0</v>
      </c>
      <c r="V128" s="606">
        <v>0</v>
      </c>
      <c r="AA128" s="1684"/>
      <c r="AB128" s="957" t="s">
        <v>163</v>
      </c>
      <c r="AC128" s="610">
        <f t="shared" si="679"/>
        <v>0</v>
      </c>
      <c r="AD128" s="610">
        <f>Q128/Q114</f>
        <v>0</v>
      </c>
      <c r="AE128" s="610">
        <f>R128/R114</f>
        <v>0</v>
      </c>
      <c r="AF128" s="610">
        <f>S128/S114</f>
        <v>0</v>
      </c>
      <c r="AG128" s="610"/>
      <c r="AH128" s="610">
        <f>U128/U114</f>
        <v>0</v>
      </c>
      <c r="AI128" s="610">
        <f>V128/V114</f>
        <v>0</v>
      </c>
      <c r="AJ128" s="952">
        <f t="shared" si="680"/>
        <v>0</v>
      </c>
      <c r="AK128" s="952">
        <f t="shared" si="681"/>
        <v>0</v>
      </c>
      <c r="AL128" s="952">
        <f t="shared" si="682"/>
        <v>0</v>
      </c>
      <c r="AM128" s="952">
        <f t="shared" si="683"/>
        <v>0</v>
      </c>
      <c r="AN128" s="952">
        <f t="shared" si="684"/>
        <v>0</v>
      </c>
      <c r="AO128" s="952">
        <f t="shared" si="685"/>
        <v>0</v>
      </c>
      <c r="AP128" s="1053">
        <v>0.1</v>
      </c>
      <c r="AQ128" s="1053">
        <f t="shared" si="754"/>
        <v>9.0000000000000011E-2</v>
      </c>
      <c r="AR128" s="1053">
        <f t="shared" si="754"/>
        <v>9.0000000000000011E-2</v>
      </c>
      <c r="AS128" s="1053">
        <f t="shared" si="754"/>
        <v>9.0000000000000011E-2</v>
      </c>
      <c r="AT128" s="1053">
        <f t="shared" si="754"/>
        <v>9.9000000000000019E-2</v>
      </c>
      <c r="AU128" s="1053">
        <f t="shared" si="754"/>
        <v>0.10890000000000002</v>
      </c>
      <c r="AV128" s="1053">
        <f t="shared" si="754"/>
        <v>0.10890000000000002</v>
      </c>
      <c r="AW128" s="1053">
        <f t="shared" si="754"/>
        <v>0.10890000000000002</v>
      </c>
      <c r="AX128" s="1053">
        <f t="shared" si="754"/>
        <v>0.10890000000000002</v>
      </c>
      <c r="AY128" s="1053">
        <f t="shared" si="754"/>
        <v>0.10890000000000002</v>
      </c>
      <c r="AZ128" s="1053">
        <f t="shared" si="754"/>
        <v>0.10890000000000002</v>
      </c>
      <c r="BA128" s="1053">
        <f t="shared" si="754"/>
        <v>0.10890000000000002</v>
      </c>
      <c r="BB128" s="1053">
        <v>0.1</v>
      </c>
      <c r="BC128" s="1053">
        <f t="shared" si="755"/>
        <v>9.0000000000000011E-2</v>
      </c>
      <c r="BD128" s="1053">
        <f t="shared" si="687"/>
        <v>9.0000000000000011E-2</v>
      </c>
      <c r="BE128" s="1053">
        <f t="shared" si="688"/>
        <v>9.0000000000000011E-2</v>
      </c>
      <c r="BF128" s="1053">
        <f t="shared" si="689"/>
        <v>9.9000000000000019E-2</v>
      </c>
      <c r="BG128" s="1053">
        <f t="shared" si="690"/>
        <v>0.10890000000000002</v>
      </c>
      <c r="BH128" s="1053">
        <f t="shared" si="691"/>
        <v>0.10890000000000002</v>
      </c>
      <c r="BI128" s="1053">
        <f t="shared" si="692"/>
        <v>0.10890000000000002</v>
      </c>
      <c r="BJ128" s="1053">
        <f t="shared" si="693"/>
        <v>0.10890000000000002</v>
      </c>
      <c r="BK128" s="1053">
        <f t="shared" si="694"/>
        <v>0.10890000000000002</v>
      </c>
      <c r="BL128" s="1053">
        <f t="shared" si="695"/>
        <v>0.10890000000000002</v>
      </c>
      <c r="BM128" s="1053">
        <f t="shared" si="696"/>
        <v>0.10890000000000002</v>
      </c>
      <c r="BN128" s="1053">
        <v>0.1</v>
      </c>
      <c r="BO128" s="1053">
        <f t="shared" si="756"/>
        <v>9.0000000000000011E-2</v>
      </c>
      <c r="BP128" s="1053">
        <f t="shared" si="697"/>
        <v>9.0000000000000011E-2</v>
      </c>
      <c r="BQ128" s="1053">
        <f t="shared" si="698"/>
        <v>9.0000000000000011E-2</v>
      </c>
      <c r="BR128" s="1053">
        <f t="shared" si="699"/>
        <v>9.9000000000000019E-2</v>
      </c>
      <c r="BS128" s="1053">
        <f t="shared" si="700"/>
        <v>0.10890000000000002</v>
      </c>
      <c r="BT128" s="1053">
        <f t="shared" si="701"/>
        <v>0.10890000000000002</v>
      </c>
      <c r="BU128" s="1053">
        <f t="shared" si="702"/>
        <v>0.10890000000000002</v>
      </c>
      <c r="BV128" s="1053">
        <f t="shared" si="703"/>
        <v>0.10890000000000002</v>
      </c>
      <c r="BW128" s="1053">
        <f t="shared" si="704"/>
        <v>0.10890000000000002</v>
      </c>
      <c r="BX128" s="1053">
        <f t="shared" si="705"/>
        <v>0.10890000000000002</v>
      </c>
      <c r="BY128" s="1053">
        <f t="shared" si="706"/>
        <v>0.10890000000000002</v>
      </c>
      <c r="BZ128" s="1053">
        <v>0.1</v>
      </c>
      <c r="CA128" s="1053">
        <f t="shared" si="757"/>
        <v>9.0000000000000011E-2</v>
      </c>
      <c r="CB128" s="1053">
        <f t="shared" si="707"/>
        <v>9.0000000000000011E-2</v>
      </c>
      <c r="CC128" s="1053">
        <f t="shared" si="708"/>
        <v>9.0000000000000011E-2</v>
      </c>
      <c r="CD128" s="1053">
        <f t="shared" si="709"/>
        <v>9.9000000000000019E-2</v>
      </c>
      <c r="CE128" s="1053">
        <f t="shared" si="710"/>
        <v>0.10890000000000002</v>
      </c>
      <c r="CF128" s="1053">
        <f t="shared" si="711"/>
        <v>0.10890000000000002</v>
      </c>
      <c r="CG128" s="1053">
        <f t="shared" si="712"/>
        <v>0.10890000000000002</v>
      </c>
      <c r="CH128" s="1053">
        <f t="shared" si="713"/>
        <v>0.10890000000000002</v>
      </c>
      <c r="CI128" s="1053">
        <f t="shared" si="714"/>
        <v>0.10890000000000002</v>
      </c>
      <c r="CJ128" s="1053">
        <f t="shared" si="715"/>
        <v>0.10890000000000002</v>
      </c>
      <c r="CK128" s="1053">
        <f t="shared" si="716"/>
        <v>0.10890000000000002</v>
      </c>
      <c r="CL128" s="1053">
        <v>0.1</v>
      </c>
      <c r="CM128" s="1053">
        <f t="shared" si="758"/>
        <v>9.0000000000000011E-2</v>
      </c>
      <c r="CN128" s="1053">
        <f t="shared" si="717"/>
        <v>9.0000000000000011E-2</v>
      </c>
      <c r="CO128" s="1053">
        <f t="shared" si="718"/>
        <v>9.0000000000000011E-2</v>
      </c>
      <c r="CP128" s="1053">
        <f t="shared" si="719"/>
        <v>9.9000000000000019E-2</v>
      </c>
      <c r="CQ128" s="1053">
        <f t="shared" si="720"/>
        <v>0.10890000000000002</v>
      </c>
      <c r="CR128" s="1053">
        <f t="shared" si="721"/>
        <v>0.10890000000000002</v>
      </c>
      <c r="CS128" s="1053">
        <f t="shared" si="722"/>
        <v>0.10890000000000002</v>
      </c>
      <c r="CT128" s="1053">
        <f t="shared" si="723"/>
        <v>0.10890000000000002</v>
      </c>
      <c r="CU128" s="1053">
        <f t="shared" si="724"/>
        <v>0.10890000000000002</v>
      </c>
      <c r="CV128" s="1053">
        <f t="shared" si="725"/>
        <v>0.10890000000000002</v>
      </c>
      <c r="CW128" s="1053">
        <f t="shared" si="726"/>
        <v>0.10890000000000002</v>
      </c>
      <c r="CX128" s="1053">
        <v>0.1</v>
      </c>
      <c r="CY128" s="1053">
        <f t="shared" si="759"/>
        <v>9.0000000000000011E-2</v>
      </c>
      <c r="CZ128" s="1053">
        <f t="shared" si="727"/>
        <v>9.0000000000000011E-2</v>
      </c>
      <c r="DA128" s="1053">
        <f t="shared" si="728"/>
        <v>9.0000000000000011E-2</v>
      </c>
      <c r="DB128" s="1053">
        <f t="shared" si="729"/>
        <v>9.9000000000000019E-2</v>
      </c>
      <c r="DC128" s="1053">
        <f t="shared" si="730"/>
        <v>0.10890000000000002</v>
      </c>
      <c r="DD128" s="1053">
        <f t="shared" si="731"/>
        <v>0.10890000000000002</v>
      </c>
      <c r="DE128" s="1053">
        <f t="shared" si="732"/>
        <v>0.10890000000000002</v>
      </c>
      <c r="DF128" s="1053">
        <f t="shared" si="733"/>
        <v>0.10890000000000002</v>
      </c>
      <c r="DG128" s="1053">
        <f t="shared" si="734"/>
        <v>0.10890000000000002</v>
      </c>
      <c r="DH128" s="1053">
        <f t="shared" si="735"/>
        <v>0.10890000000000002</v>
      </c>
      <c r="DI128" s="1053">
        <f t="shared" si="736"/>
        <v>0.10890000000000002</v>
      </c>
      <c r="DK128" s="1684"/>
      <c r="DL128" s="957" t="s">
        <v>163</v>
      </c>
      <c r="DN128" s="994">
        <f>DN114*$AJ$128</f>
        <v>0</v>
      </c>
      <c r="DO128" s="995">
        <f>DO114*$AJ$128</f>
        <v>0</v>
      </c>
      <c r="DP128" s="995">
        <f>DP114*$AJ$128</f>
        <v>0</v>
      </c>
      <c r="DQ128" s="995">
        <f>DQ114*$AJ$128</f>
        <v>0</v>
      </c>
      <c r="DR128" s="996">
        <f>DR114*$AJ$128</f>
        <v>0</v>
      </c>
      <c r="DT128" s="994">
        <f>DT114*$AH$128</f>
        <v>0</v>
      </c>
      <c r="DU128" s="995">
        <f>DU114*$AH$128</f>
        <v>0</v>
      </c>
      <c r="DV128" s="995">
        <f>DV114*$AH$128</f>
        <v>0</v>
      </c>
      <c r="DW128" s="995">
        <f>DW114*$AH$128</f>
        <v>0</v>
      </c>
      <c r="DX128" s="996">
        <f>DX114*$AH$128</f>
        <v>0</v>
      </c>
      <c r="DZ128" s="994">
        <f>DZ114*AK$128</f>
        <v>0</v>
      </c>
      <c r="EA128" s="995">
        <f>EA114*AL$128</f>
        <v>0</v>
      </c>
      <c r="EB128" s="995">
        <f>EB114*AM$128</f>
        <v>0</v>
      </c>
      <c r="EC128" s="995">
        <f>EC114*AN$128</f>
        <v>0</v>
      </c>
      <c r="ED128" s="996">
        <f>ED114*AO$128</f>
        <v>0</v>
      </c>
      <c r="EF128" s="994">
        <f t="shared" si="737"/>
        <v>0</v>
      </c>
      <c r="EG128" s="995">
        <f t="shared" si="738"/>
        <v>0</v>
      </c>
      <c r="EH128" s="995">
        <f t="shared" si="739"/>
        <v>0</v>
      </c>
      <c r="EI128" s="995">
        <f t="shared" si="740"/>
        <v>0</v>
      </c>
      <c r="EJ128" s="995">
        <f t="shared" si="741"/>
        <v>0</v>
      </c>
      <c r="EK128" s="995">
        <f t="shared" si="742"/>
        <v>0</v>
      </c>
      <c r="EL128" s="995">
        <f t="shared" si="743"/>
        <v>0</v>
      </c>
      <c r="EM128" s="995">
        <f t="shared" si="744"/>
        <v>0</v>
      </c>
      <c r="EN128" s="995">
        <f t="shared" si="745"/>
        <v>0</v>
      </c>
      <c r="EO128" s="995">
        <f t="shared" si="746"/>
        <v>0</v>
      </c>
      <c r="EP128" s="995">
        <f t="shared" si="747"/>
        <v>0</v>
      </c>
      <c r="EQ128" s="995">
        <f t="shared" si="748"/>
        <v>0</v>
      </c>
      <c r="ES128" s="994">
        <f t="shared" si="760"/>
        <v>0</v>
      </c>
      <c r="ET128" s="995">
        <f t="shared" si="749"/>
        <v>0</v>
      </c>
      <c r="EU128" s="995">
        <f t="shared" si="749"/>
        <v>0</v>
      </c>
      <c r="EV128" s="995">
        <f t="shared" si="749"/>
        <v>0</v>
      </c>
      <c r="EW128" s="995">
        <f t="shared" si="749"/>
        <v>0</v>
      </c>
      <c r="EX128" s="995">
        <f t="shared" si="749"/>
        <v>0</v>
      </c>
      <c r="EY128" s="995">
        <f t="shared" si="749"/>
        <v>0</v>
      </c>
      <c r="EZ128" s="995">
        <f t="shared" si="749"/>
        <v>0</v>
      </c>
      <c r="FA128" s="995">
        <f t="shared" si="749"/>
        <v>0</v>
      </c>
      <c r="FB128" s="995">
        <f t="shared" si="749"/>
        <v>0</v>
      </c>
      <c r="FC128" s="995">
        <f t="shared" si="749"/>
        <v>0</v>
      </c>
      <c r="FD128" s="996">
        <f t="shared" si="749"/>
        <v>0</v>
      </c>
      <c r="FF128" s="994">
        <f t="shared" si="761"/>
        <v>0</v>
      </c>
      <c r="FG128" s="995">
        <f t="shared" si="750"/>
        <v>0</v>
      </c>
      <c r="FH128" s="995">
        <f t="shared" si="750"/>
        <v>0</v>
      </c>
      <c r="FI128" s="995">
        <f t="shared" si="750"/>
        <v>0</v>
      </c>
      <c r="FJ128" s="995">
        <f t="shared" si="750"/>
        <v>0</v>
      </c>
      <c r="FK128" s="995">
        <f t="shared" si="750"/>
        <v>0</v>
      </c>
      <c r="FL128" s="995">
        <f t="shared" si="750"/>
        <v>0</v>
      </c>
      <c r="FM128" s="995">
        <f t="shared" si="750"/>
        <v>0</v>
      </c>
      <c r="FN128" s="995">
        <f t="shared" si="750"/>
        <v>0</v>
      </c>
      <c r="FO128" s="995">
        <f t="shared" si="750"/>
        <v>0</v>
      </c>
      <c r="FP128" s="995">
        <f t="shared" si="750"/>
        <v>0</v>
      </c>
      <c r="FQ128" s="996">
        <f t="shared" si="750"/>
        <v>0</v>
      </c>
      <c r="FS128" s="994">
        <f t="shared" si="762"/>
        <v>0</v>
      </c>
      <c r="FT128" s="995">
        <f t="shared" si="751"/>
        <v>0</v>
      </c>
      <c r="FU128" s="995">
        <f t="shared" si="751"/>
        <v>0</v>
      </c>
      <c r="FV128" s="995">
        <f t="shared" si="751"/>
        <v>0</v>
      </c>
      <c r="FW128" s="995">
        <f t="shared" si="751"/>
        <v>0</v>
      </c>
      <c r="FX128" s="995">
        <f t="shared" si="751"/>
        <v>0</v>
      </c>
      <c r="FY128" s="995">
        <f t="shared" si="751"/>
        <v>0</v>
      </c>
      <c r="FZ128" s="995">
        <f t="shared" si="751"/>
        <v>0</v>
      </c>
      <c r="GA128" s="995">
        <f t="shared" si="751"/>
        <v>0</v>
      </c>
      <c r="GB128" s="995">
        <f t="shared" si="751"/>
        <v>0</v>
      </c>
      <c r="GC128" s="995">
        <f t="shared" si="751"/>
        <v>0</v>
      </c>
      <c r="GD128" s="996">
        <f t="shared" si="751"/>
        <v>0</v>
      </c>
      <c r="GF128" s="994">
        <f t="shared" si="763"/>
        <v>0</v>
      </c>
      <c r="GG128" s="995">
        <f t="shared" si="752"/>
        <v>0</v>
      </c>
      <c r="GH128" s="995">
        <f t="shared" si="752"/>
        <v>0</v>
      </c>
      <c r="GI128" s="995">
        <f t="shared" si="752"/>
        <v>0</v>
      </c>
      <c r="GJ128" s="995">
        <f t="shared" si="752"/>
        <v>0</v>
      </c>
      <c r="GK128" s="995">
        <f t="shared" si="752"/>
        <v>0</v>
      </c>
      <c r="GL128" s="995">
        <f t="shared" si="752"/>
        <v>0</v>
      </c>
      <c r="GM128" s="995">
        <f t="shared" si="752"/>
        <v>0</v>
      </c>
      <c r="GN128" s="995">
        <f t="shared" si="752"/>
        <v>0</v>
      </c>
      <c r="GO128" s="995">
        <f t="shared" si="752"/>
        <v>0</v>
      </c>
      <c r="GP128" s="995">
        <f t="shared" si="752"/>
        <v>0</v>
      </c>
      <c r="GQ128" s="996">
        <f t="shared" si="752"/>
        <v>0</v>
      </c>
      <c r="GS128" s="994">
        <f t="shared" si="764"/>
        <v>0</v>
      </c>
      <c r="GT128" s="995">
        <f t="shared" si="753"/>
        <v>0</v>
      </c>
      <c r="GU128" s="995">
        <f t="shared" si="753"/>
        <v>0</v>
      </c>
      <c r="GV128" s="995">
        <f t="shared" si="753"/>
        <v>0</v>
      </c>
      <c r="GW128" s="995">
        <f t="shared" si="753"/>
        <v>0</v>
      </c>
      <c r="GX128" s="995">
        <f t="shared" si="753"/>
        <v>0</v>
      </c>
      <c r="GY128" s="995">
        <f t="shared" si="753"/>
        <v>0</v>
      </c>
      <c r="GZ128" s="995">
        <f t="shared" si="753"/>
        <v>0</v>
      </c>
      <c r="HA128" s="995">
        <f t="shared" si="753"/>
        <v>0</v>
      </c>
      <c r="HB128" s="995">
        <f t="shared" si="753"/>
        <v>0</v>
      </c>
      <c r="HC128" s="995">
        <f t="shared" si="753"/>
        <v>0</v>
      </c>
      <c r="HD128" s="996">
        <f t="shared" si="753"/>
        <v>0</v>
      </c>
    </row>
    <row r="129" spans="1:212" ht="14.25">
      <c r="B129" s="1069" t="s">
        <v>1068</v>
      </c>
      <c r="C129" s="1009"/>
      <c r="D129" s="31"/>
      <c r="E129" s="31"/>
      <c r="F129" s="31"/>
      <c r="G129" s="31"/>
      <c r="H129" s="31"/>
      <c r="I129" s="31"/>
      <c r="J129" s="946"/>
      <c r="K129" s="946"/>
      <c r="N129" s="1684"/>
      <c r="O129" s="957" t="s">
        <v>164</v>
      </c>
      <c r="P129" s="606">
        <v>0</v>
      </c>
      <c r="Q129" s="606">
        <v>0</v>
      </c>
      <c r="R129" s="606">
        <v>0</v>
      </c>
      <c r="S129" s="606">
        <v>0</v>
      </c>
      <c r="T129" s="606">
        <v>0</v>
      </c>
      <c r="U129" s="606">
        <v>0</v>
      </c>
      <c r="V129" s="606">
        <v>0</v>
      </c>
      <c r="AA129" s="1684"/>
      <c r="AB129" s="957" t="s">
        <v>164</v>
      </c>
      <c r="AC129" s="610">
        <f t="shared" si="679"/>
        <v>0</v>
      </c>
      <c r="AD129" s="610">
        <f>Q129/Q115</f>
        <v>0</v>
      </c>
      <c r="AE129" s="610">
        <f>R129/R115</f>
        <v>0</v>
      </c>
      <c r="AF129" s="610">
        <f>S129/S115</f>
        <v>0</v>
      </c>
      <c r="AG129" s="610">
        <f>T129/T115</f>
        <v>0</v>
      </c>
      <c r="AH129" s="610"/>
      <c r="AI129" s="610">
        <f>V129/V115</f>
        <v>0</v>
      </c>
      <c r="AJ129" s="952">
        <f t="shared" si="680"/>
        <v>0</v>
      </c>
      <c r="AK129" s="952">
        <f t="shared" si="681"/>
        <v>0</v>
      </c>
      <c r="AL129" s="952">
        <f t="shared" si="682"/>
        <v>0</v>
      </c>
      <c r="AM129" s="952">
        <f t="shared" si="683"/>
        <v>0</v>
      </c>
      <c r="AN129" s="952">
        <f t="shared" si="684"/>
        <v>0</v>
      </c>
      <c r="AO129" s="952">
        <f t="shared" si="685"/>
        <v>0</v>
      </c>
      <c r="AP129" s="1053">
        <v>0.1</v>
      </c>
      <c r="AQ129" s="1053">
        <f t="shared" si="754"/>
        <v>9.0000000000000011E-2</v>
      </c>
      <c r="AR129" s="1053">
        <f t="shared" si="754"/>
        <v>9.0000000000000011E-2</v>
      </c>
      <c r="AS129" s="1053">
        <f t="shared" si="754"/>
        <v>9.0000000000000011E-2</v>
      </c>
      <c r="AT129" s="1053">
        <f t="shared" si="754"/>
        <v>9.9000000000000019E-2</v>
      </c>
      <c r="AU129" s="1053">
        <f t="shared" si="754"/>
        <v>0.10890000000000002</v>
      </c>
      <c r="AV129" s="1053">
        <f t="shared" si="754"/>
        <v>0.10890000000000002</v>
      </c>
      <c r="AW129" s="1053">
        <f t="shared" si="754"/>
        <v>0.10890000000000002</v>
      </c>
      <c r="AX129" s="1053">
        <f t="shared" si="754"/>
        <v>0.10890000000000002</v>
      </c>
      <c r="AY129" s="1053">
        <f t="shared" si="754"/>
        <v>0.10890000000000002</v>
      </c>
      <c r="AZ129" s="1053">
        <f t="shared" si="754"/>
        <v>0.10890000000000002</v>
      </c>
      <c r="BA129" s="1053">
        <f t="shared" si="754"/>
        <v>0.10890000000000002</v>
      </c>
      <c r="BB129" s="1053">
        <v>0.1</v>
      </c>
      <c r="BC129" s="1053">
        <f t="shared" si="755"/>
        <v>9.0000000000000011E-2</v>
      </c>
      <c r="BD129" s="1053">
        <f t="shared" si="687"/>
        <v>9.0000000000000011E-2</v>
      </c>
      <c r="BE129" s="1053">
        <f t="shared" si="688"/>
        <v>9.0000000000000011E-2</v>
      </c>
      <c r="BF129" s="1053">
        <f t="shared" si="689"/>
        <v>9.9000000000000019E-2</v>
      </c>
      <c r="BG129" s="1053">
        <f t="shared" si="690"/>
        <v>0.10890000000000002</v>
      </c>
      <c r="BH129" s="1053">
        <f t="shared" si="691"/>
        <v>0.10890000000000002</v>
      </c>
      <c r="BI129" s="1053">
        <f t="shared" si="692"/>
        <v>0.10890000000000002</v>
      </c>
      <c r="BJ129" s="1053">
        <f t="shared" si="693"/>
        <v>0.10890000000000002</v>
      </c>
      <c r="BK129" s="1053">
        <f t="shared" si="694"/>
        <v>0.10890000000000002</v>
      </c>
      <c r="BL129" s="1053">
        <f t="shared" si="695"/>
        <v>0.10890000000000002</v>
      </c>
      <c r="BM129" s="1053">
        <f t="shared" si="696"/>
        <v>0.10890000000000002</v>
      </c>
      <c r="BN129" s="1053">
        <v>0.1</v>
      </c>
      <c r="BO129" s="1053">
        <f t="shared" si="756"/>
        <v>9.0000000000000011E-2</v>
      </c>
      <c r="BP129" s="1053">
        <f t="shared" si="697"/>
        <v>9.0000000000000011E-2</v>
      </c>
      <c r="BQ129" s="1053">
        <f t="shared" si="698"/>
        <v>9.0000000000000011E-2</v>
      </c>
      <c r="BR129" s="1053">
        <f t="shared" si="699"/>
        <v>9.9000000000000019E-2</v>
      </c>
      <c r="BS129" s="1053">
        <f t="shared" si="700"/>
        <v>0.10890000000000002</v>
      </c>
      <c r="BT129" s="1053">
        <f t="shared" si="701"/>
        <v>0.10890000000000002</v>
      </c>
      <c r="BU129" s="1053">
        <f t="shared" si="702"/>
        <v>0.10890000000000002</v>
      </c>
      <c r="BV129" s="1053">
        <f t="shared" si="703"/>
        <v>0.10890000000000002</v>
      </c>
      <c r="BW129" s="1053">
        <f t="shared" si="704"/>
        <v>0.10890000000000002</v>
      </c>
      <c r="BX129" s="1053">
        <f t="shared" si="705"/>
        <v>0.10890000000000002</v>
      </c>
      <c r="BY129" s="1053">
        <f t="shared" si="706"/>
        <v>0.10890000000000002</v>
      </c>
      <c r="BZ129" s="1053">
        <v>0.1</v>
      </c>
      <c r="CA129" s="1053">
        <f t="shared" si="757"/>
        <v>9.0000000000000011E-2</v>
      </c>
      <c r="CB129" s="1053">
        <f t="shared" si="707"/>
        <v>9.0000000000000011E-2</v>
      </c>
      <c r="CC129" s="1053">
        <f t="shared" si="708"/>
        <v>9.0000000000000011E-2</v>
      </c>
      <c r="CD129" s="1053">
        <f t="shared" si="709"/>
        <v>9.9000000000000019E-2</v>
      </c>
      <c r="CE129" s="1053">
        <f t="shared" si="710"/>
        <v>0.10890000000000002</v>
      </c>
      <c r="CF129" s="1053">
        <f t="shared" si="711"/>
        <v>0.10890000000000002</v>
      </c>
      <c r="CG129" s="1053">
        <f t="shared" si="712"/>
        <v>0.10890000000000002</v>
      </c>
      <c r="CH129" s="1053">
        <f t="shared" si="713"/>
        <v>0.10890000000000002</v>
      </c>
      <c r="CI129" s="1053">
        <f t="shared" si="714"/>
        <v>0.10890000000000002</v>
      </c>
      <c r="CJ129" s="1053">
        <f t="shared" si="715"/>
        <v>0.10890000000000002</v>
      </c>
      <c r="CK129" s="1053">
        <f t="shared" si="716"/>
        <v>0.10890000000000002</v>
      </c>
      <c r="CL129" s="1053">
        <v>0.1</v>
      </c>
      <c r="CM129" s="1053">
        <f t="shared" si="758"/>
        <v>9.0000000000000011E-2</v>
      </c>
      <c r="CN129" s="1053">
        <f t="shared" si="717"/>
        <v>9.0000000000000011E-2</v>
      </c>
      <c r="CO129" s="1053">
        <f t="shared" si="718"/>
        <v>9.0000000000000011E-2</v>
      </c>
      <c r="CP129" s="1053">
        <f t="shared" si="719"/>
        <v>9.9000000000000019E-2</v>
      </c>
      <c r="CQ129" s="1053">
        <f t="shared" si="720"/>
        <v>0.10890000000000002</v>
      </c>
      <c r="CR129" s="1053">
        <f t="shared" si="721"/>
        <v>0.10890000000000002</v>
      </c>
      <c r="CS129" s="1053">
        <f t="shared" si="722"/>
        <v>0.10890000000000002</v>
      </c>
      <c r="CT129" s="1053">
        <f t="shared" si="723"/>
        <v>0.10890000000000002</v>
      </c>
      <c r="CU129" s="1053">
        <f t="shared" si="724"/>
        <v>0.10890000000000002</v>
      </c>
      <c r="CV129" s="1053">
        <f t="shared" si="725"/>
        <v>0.10890000000000002</v>
      </c>
      <c r="CW129" s="1053">
        <f t="shared" si="726"/>
        <v>0.10890000000000002</v>
      </c>
      <c r="CX129" s="1053">
        <v>0.1</v>
      </c>
      <c r="CY129" s="1053">
        <f t="shared" si="759"/>
        <v>9.0000000000000011E-2</v>
      </c>
      <c r="CZ129" s="1053">
        <f t="shared" si="727"/>
        <v>9.0000000000000011E-2</v>
      </c>
      <c r="DA129" s="1053">
        <f t="shared" si="728"/>
        <v>9.0000000000000011E-2</v>
      </c>
      <c r="DB129" s="1053">
        <f t="shared" si="729"/>
        <v>9.9000000000000019E-2</v>
      </c>
      <c r="DC129" s="1053">
        <f t="shared" si="730"/>
        <v>0.10890000000000002</v>
      </c>
      <c r="DD129" s="1053">
        <f t="shared" si="731"/>
        <v>0.10890000000000002</v>
      </c>
      <c r="DE129" s="1053">
        <f t="shared" si="732"/>
        <v>0.10890000000000002</v>
      </c>
      <c r="DF129" s="1053">
        <f t="shared" si="733"/>
        <v>0.10890000000000002</v>
      </c>
      <c r="DG129" s="1053">
        <f t="shared" si="734"/>
        <v>0.10890000000000002</v>
      </c>
      <c r="DH129" s="1053">
        <f t="shared" si="735"/>
        <v>0.10890000000000002</v>
      </c>
      <c r="DI129" s="1053">
        <f t="shared" si="736"/>
        <v>0.10890000000000002</v>
      </c>
      <c r="DK129" s="1684"/>
      <c r="DL129" s="957" t="s">
        <v>164</v>
      </c>
      <c r="DN129" s="994">
        <f>DN115*$AJ$129</f>
        <v>0</v>
      </c>
      <c r="DO129" s="995">
        <f>DO115*$AJ$129</f>
        <v>0</v>
      </c>
      <c r="DP129" s="995">
        <f>DP115*$AJ$129</f>
        <v>0</v>
      </c>
      <c r="DQ129" s="995">
        <f>DQ115*$AJ$129</f>
        <v>0</v>
      </c>
      <c r="DR129" s="996">
        <f>DR115*$AJ$129</f>
        <v>0</v>
      </c>
      <c r="DT129" s="994">
        <f>DT115*$AH$129</f>
        <v>0</v>
      </c>
      <c r="DU129" s="995">
        <f>DU115*$AH$129</f>
        <v>0</v>
      </c>
      <c r="DV129" s="995">
        <f>DV115*$AH$129</f>
        <v>0</v>
      </c>
      <c r="DW129" s="995">
        <f>DW115*$AH$129</f>
        <v>0</v>
      </c>
      <c r="DX129" s="996">
        <f>DX115*$AH$129</f>
        <v>0</v>
      </c>
      <c r="DZ129" s="994">
        <f>DZ115*AK$129</f>
        <v>0</v>
      </c>
      <c r="EA129" s="995">
        <f>EA115*AL$129</f>
        <v>0</v>
      </c>
      <c r="EB129" s="995">
        <f>EB115*AM$129</f>
        <v>0</v>
      </c>
      <c r="EC129" s="995">
        <f>EC115*AN$129</f>
        <v>0</v>
      </c>
      <c r="ED129" s="996">
        <f>ED115*AO$129</f>
        <v>0</v>
      </c>
      <c r="EF129" s="994">
        <f t="shared" si="737"/>
        <v>0</v>
      </c>
      <c r="EG129" s="995">
        <f t="shared" si="738"/>
        <v>0</v>
      </c>
      <c r="EH129" s="995">
        <f t="shared" si="739"/>
        <v>0</v>
      </c>
      <c r="EI129" s="995">
        <f t="shared" si="740"/>
        <v>0</v>
      </c>
      <c r="EJ129" s="995">
        <f t="shared" si="741"/>
        <v>0</v>
      </c>
      <c r="EK129" s="995">
        <f t="shared" si="742"/>
        <v>0</v>
      </c>
      <c r="EL129" s="995">
        <f t="shared" si="743"/>
        <v>0</v>
      </c>
      <c r="EM129" s="995">
        <f t="shared" si="744"/>
        <v>0</v>
      </c>
      <c r="EN129" s="995">
        <f t="shared" si="745"/>
        <v>0</v>
      </c>
      <c r="EO129" s="995">
        <f t="shared" si="746"/>
        <v>0</v>
      </c>
      <c r="EP129" s="995">
        <f t="shared" si="747"/>
        <v>0</v>
      </c>
      <c r="EQ129" s="995">
        <f t="shared" si="748"/>
        <v>0</v>
      </c>
      <c r="ES129" s="994">
        <f t="shared" si="760"/>
        <v>0</v>
      </c>
      <c r="ET129" s="995">
        <f t="shared" si="749"/>
        <v>0</v>
      </c>
      <c r="EU129" s="995">
        <f t="shared" si="749"/>
        <v>0</v>
      </c>
      <c r="EV129" s="995">
        <f t="shared" si="749"/>
        <v>0</v>
      </c>
      <c r="EW129" s="995">
        <f t="shared" si="749"/>
        <v>0</v>
      </c>
      <c r="EX129" s="995">
        <f t="shared" si="749"/>
        <v>0</v>
      </c>
      <c r="EY129" s="995">
        <f t="shared" si="749"/>
        <v>0</v>
      </c>
      <c r="EZ129" s="995">
        <f t="shared" si="749"/>
        <v>0</v>
      </c>
      <c r="FA129" s="995">
        <f t="shared" si="749"/>
        <v>0</v>
      </c>
      <c r="FB129" s="995">
        <f t="shared" si="749"/>
        <v>0</v>
      </c>
      <c r="FC129" s="995">
        <f t="shared" si="749"/>
        <v>0</v>
      </c>
      <c r="FD129" s="996">
        <f t="shared" si="749"/>
        <v>0</v>
      </c>
      <c r="FF129" s="994">
        <f t="shared" si="761"/>
        <v>0</v>
      </c>
      <c r="FG129" s="995">
        <f t="shared" si="750"/>
        <v>0</v>
      </c>
      <c r="FH129" s="995">
        <f t="shared" si="750"/>
        <v>0</v>
      </c>
      <c r="FI129" s="995">
        <f t="shared" si="750"/>
        <v>0</v>
      </c>
      <c r="FJ129" s="995">
        <f t="shared" si="750"/>
        <v>0</v>
      </c>
      <c r="FK129" s="995">
        <f t="shared" si="750"/>
        <v>0</v>
      </c>
      <c r="FL129" s="995">
        <f t="shared" si="750"/>
        <v>0</v>
      </c>
      <c r="FM129" s="995">
        <f t="shared" si="750"/>
        <v>0</v>
      </c>
      <c r="FN129" s="995">
        <f t="shared" si="750"/>
        <v>0</v>
      </c>
      <c r="FO129" s="995">
        <f t="shared" si="750"/>
        <v>0</v>
      </c>
      <c r="FP129" s="995">
        <f t="shared" si="750"/>
        <v>0</v>
      </c>
      <c r="FQ129" s="996">
        <f t="shared" si="750"/>
        <v>0</v>
      </c>
      <c r="FS129" s="994">
        <f t="shared" si="762"/>
        <v>0</v>
      </c>
      <c r="FT129" s="995">
        <f t="shared" si="751"/>
        <v>0</v>
      </c>
      <c r="FU129" s="995">
        <f t="shared" si="751"/>
        <v>0</v>
      </c>
      <c r="FV129" s="995">
        <f t="shared" si="751"/>
        <v>0</v>
      </c>
      <c r="FW129" s="995">
        <f t="shared" si="751"/>
        <v>0</v>
      </c>
      <c r="FX129" s="995">
        <f t="shared" si="751"/>
        <v>0</v>
      </c>
      <c r="FY129" s="995">
        <f t="shared" si="751"/>
        <v>0</v>
      </c>
      <c r="FZ129" s="995">
        <f t="shared" si="751"/>
        <v>0</v>
      </c>
      <c r="GA129" s="995">
        <f t="shared" si="751"/>
        <v>0</v>
      </c>
      <c r="GB129" s="995">
        <f t="shared" si="751"/>
        <v>0</v>
      </c>
      <c r="GC129" s="995">
        <f t="shared" si="751"/>
        <v>0</v>
      </c>
      <c r="GD129" s="996">
        <f t="shared" si="751"/>
        <v>0</v>
      </c>
      <c r="GF129" s="994">
        <f t="shared" si="763"/>
        <v>0</v>
      </c>
      <c r="GG129" s="995">
        <f t="shared" si="752"/>
        <v>0</v>
      </c>
      <c r="GH129" s="995">
        <f t="shared" si="752"/>
        <v>0</v>
      </c>
      <c r="GI129" s="995">
        <f t="shared" si="752"/>
        <v>0</v>
      </c>
      <c r="GJ129" s="995">
        <f t="shared" si="752"/>
        <v>0</v>
      </c>
      <c r="GK129" s="995">
        <f t="shared" si="752"/>
        <v>0</v>
      </c>
      <c r="GL129" s="995">
        <f t="shared" si="752"/>
        <v>0</v>
      </c>
      <c r="GM129" s="995">
        <f t="shared" si="752"/>
        <v>0</v>
      </c>
      <c r="GN129" s="995">
        <f t="shared" si="752"/>
        <v>0</v>
      </c>
      <c r="GO129" s="995">
        <f t="shared" si="752"/>
        <v>0</v>
      </c>
      <c r="GP129" s="995">
        <f t="shared" si="752"/>
        <v>0</v>
      </c>
      <c r="GQ129" s="996">
        <f t="shared" si="752"/>
        <v>0</v>
      </c>
      <c r="GS129" s="994">
        <f t="shared" si="764"/>
        <v>0</v>
      </c>
      <c r="GT129" s="995">
        <f t="shared" si="753"/>
        <v>0</v>
      </c>
      <c r="GU129" s="995">
        <f t="shared" si="753"/>
        <v>0</v>
      </c>
      <c r="GV129" s="995">
        <f t="shared" si="753"/>
        <v>0</v>
      </c>
      <c r="GW129" s="995">
        <f t="shared" si="753"/>
        <v>0</v>
      </c>
      <c r="GX129" s="995">
        <f t="shared" si="753"/>
        <v>0</v>
      </c>
      <c r="GY129" s="995">
        <f t="shared" si="753"/>
        <v>0</v>
      </c>
      <c r="GZ129" s="995">
        <f t="shared" si="753"/>
        <v>0</v>
      </c>
      <c r="HA129" s="995">
        <f t="shared" si="753"/>
        <v>0</v>
      </c>
      <c r="HB129" s="995">
        <f t="shared" si="753"/>
        <v>0</v>
      </c>
      <c r="HC129" s="995">
        <f t="shared" si="753"/>
        <v>0</v>
      </c>
      <c r="HD129" s="996">
        <f t="shared" si="753"/>
        <v>0</v>
      </c>
    </row>
    <row r="130" spans="1:212" ht="14.25">
      <c r="B130" s="1120"/>
      <c r="C130" s="31"/>
      <c r="D130" s="31"/>
      <c r="E130" s="31"/>
      <c r="F130" s="31"/>
      <c r="G130" s="31"/>
      <c r="H130" s="31"/>
      <c r="I130" s="31"/>
      <c r="N130" s="1684"/>
      <c r="O130" s="957" t="s">
        <v>166</v>
      </c>
      <c r="P130" s="606">
        <v>1</v>
      </c>
      <c r="Q130" s="606">
        <v>0</v>
      </c>
      <c r="R130" s="606">
        <v>0</v>
      </c>
      <c r="S130" s="606">
        <v>1</v>
      </c>
      <c r="T130" s="606">
        <v>0</v>
      </c>
      <c r="U130" s="606">
        <v>1</v>
      </c>
      <c r="V130" s="606">
        <v>0</v>
      </c>
      <c r="AA130" s="1684"/>
      <c r="AB130" s="957" t="s">
        <v>166</v>
      </c>
      <c r="AC130" s="610">
        <f t="shared" si="679"/>
        <v>0.14285714285714285</v>
      </c>
      <c r="AD130" s="610">
        <f>Q130/Q116</f>
        <v>0</v>
      </c>
      <c r="AE130" s="610">
        <f>R130/R116</f>
        <v>0</v>
      </c>
      <c r="AF130" s="610">
        <f>S130/S116</f>
        <v>0.2</v>
      </c>
      <c r="AG130" s="610">
        <f>T130/T116</f>
        <v>0</v>
      </c>
      <c r="AH130" s="610">
        <f>U130/U116</f>
        <v>1</v>
      </c>
      <c r="AI130" s="610"/>
      <c r="AJ130" s="952">
        <f t="shared" si="680"/>
        <v>0.22380952380952382</v>
      </c>
      <c r="AK130" s="952">
        <f t="shared" si="681"/>
        <v>0.22380952380952382</v>
      </c>
      <c r="AL130" s="952">
        <f t="shared" si="682"/>
        <v>0.24619047619047621</v>
      </c>
      <c r="AM130" s="952">
        <f t="shared" si="683"/>
        <v>0.24619047619047621</v>
      </c>
      <c r="AN130" s="952">
        <f t="shared" si="684"/>
        <v>0.24619047619047621</v>
      </c>
      <c r="AO130" s="952">
        <f t="shared" si="685"/>
        <v>0.24619047619047621</v>
      </c>
      <c r="AP130" s="1053">
        <v>0.1</v>
      </c>
      <c r="AQ130" s="1053">
        <f t="shared" si="754"/>
        <v>9.0000000000000011E-2</v>
      </c>
      <c r="AR130" s="1053">
        <f t="shared" si="754"/>
        <v>9.0000000000000011E-2</v>
      </c>
      <c r="AS130" s="1053">
        <f t="shared" si="754"/>
        <v>9.0000000000000011E-2</v>
      </c>
      <c r="AT130" s="1053">
        <f t="shared" si="754"/>
        <v>9.9000000000000019E-2</v>
      </c>
      <c r="AU130" s="1053">
        <f t="shared" si="754"/>
        <v>0.10890000000000002</v>
      </c>
      <c r="AV130" s="1053">
        <f t="shared" si="754"/>
        <v>0.10890000000000002</v>
      </c>
      <c r="AW130" s="1053">
        <f t="shared" si="754"/>
        <v>0.10890000000000002</v>
      </c>
      <c r="AX130" s="1053">
        <f t="shared" si="754"/>
        <v>0.10890000000000002</v>
      </c>
      <c r="AY130" s="1053">
        <f t="shared" si="754"/>
        <v>0.10890000000000002</v>
      </c>
      <c r="AZ130" s="1053">
        <f t="shared" si="754"/>
        <v>0.10890000000000002</v>
      </c>
      <c r="BA130" s="1053">
        <f t="shared" si="754"/>
        <v>0.10890000000000002</v>
      </c>
      <c r="BB130" s="1053">
        <v>0.1</v>
      </c>
      <c r="BC130" s="1053">
        <f t="shared" si="755"/>
        <v>9.0000000000000011E-2</v>
      </c>
      <c r="BD130" s="1053">
        <f t="shared" si="687"/>
        <v>9.0000000000000011E-2</v>
      </c>
      <c r="BE130" s="1053">
        <f t="shared" si="688"/>
        <v>9.0000000000000011E-2</v>
      </c>
      <c r="BF130" s="1053">
        <f t="shared" si="689"/>
        <v>9.9000000000000019E-2</v>
      </c>
      <c r="BG130" s="1053">
        <f t="shared" si="690"/>
        <v>0.10890000000000002</v>
      </c>
      <c r="BH130" s="1053">
        <f t="shared" si="691"/>
        <v>0.10890000000000002</v>
      </c>
      <c r="BI130" s="1053">
        <f t="shared" si="692"/>
        <v>0.10890000000000002</v>
      </c>
      <c r="BJ130" s="1053">
        <f t="shared" si="693"/>
        <v>0.10890000000000002</v>
      </c>
      <c r="BK130" s="1053">
        <f t="shared" si="694"/>
        <v>0.10890000000000002</v>
      </c>
      <c r="BL130" s="1053">
        <f t="shared" si="695"/>
        <v>0.10890000000000002</v>
      </c>
      <c r="BM130" s="1053">
        <f t="shared" si="696"/>
        <v>0.10890000000000002</v>
      </c>
      <c r="BN130" s="1053">
        <v>0.1</v>
      </c>
      <c r="BO130" s="1053">
        <f t="shared" si="756"/>
        <v>9.0000000000000011E-2</v>
      </c>
      <c r="BP130" s="1053">
        <f t="shared" si="697"/>
        <v>9.0000000000000011E-2</v>
      </c>
      <c r="BQ130" s="1053">
        <f t="shared" si="698"/>
        <v>9.0000000000000011E-2</v>
      </c>
      <c r="BR130" s="1053">
        <f t="shared" si="699"/>
        <v>9.9000000000000019E-2</v>
      </c>
      <c r="BS130" s="1053">
        <f t="shared" si="700"/>
        <v>0.10890000000000002</v>
      </c>
      <c r="BT130" s="1053">
        <f t="shared" si="701"/>
        <v>0.10890000000000002</v>
      </c>
      <c r="BU130" s="1053">
        <f t="shared" si="702"/>
        <v>0.10890000000000002</v>
      </c>
      <c r="BV130" s="1053">
        <f t="shared" si="703"/>
        <v>0.10890000000000002</v>
      </c>
      <c r="BW130" s="1053">
        <f t="shared" si="704"/>
        <v>0.10890000000000002</v>
      </c>
      <c r="BX130" s="1053">
        <f t="shared" si="705"/>
        <v>0.10890000000000002</v>
      </c>
      <c r="BY130" s="1053">
        <f t="shared" si="706"/>
        <v>0.10890000000000002</v>
      </c>
      <c r="BZ130" s="1053">
        <v>0.1</v>
      </c>
      <c r="CA130" s="1053">
        <f t="shared" si="757"/>
        <v>9.0000000000000011E-2</v>
      </c>
      <c r="CB130" s="1053">
        <f t="shared" si="707"/>
        <v>9.0000000000000011E-2</v>
      </c>
      <c r="CC130" s="1053">
        <f t="shared" si="708"/>
        <v>9.0000000000000011E-2</v>
      </c>
      <c r="CD130" s="1053">
        <f t="shared" si="709"/>
        <v>9.9000000000000019E-2</v>
      </c>
      <c r="CE130" s="1053">
        <f t="shared" si="710"/>
        <v>0.10890000000000002</v>
      </c>
      <c r="CF130" s="1053">
        <f t="shared" si="711"/>
        <v>0.10890000000000002</v>
      </c>
      <c r="CG130" s="1053">
        <f t="shared" si="712"/>
        <v>0.10890000000000002</v>
      </c>
      <c r="CH130" s="1053">
        <f t="shared" si="713"/>
        <v>0.10890000000000002</v>
      </c>
      <c r="CI130" s="1053">
        <f t="shared" si="714"/>
        <v>0.10890000000000002</v>
      </c>
      <c r="CJ130" s="1053">
        <f t="shared" si="715"/>
        <v>0.10890000000000002</v>
      </c>
      <c r="CK130" s="1053">
        <f t="shared" si="716"/>
        <v>0.10890000000000002</v>
      </c>
      <c r="CL130" s="1053">
        <v>0.1</v>
      </c>
      <c r="CM130" s="1053">
        <f t="shared" si="758"/>
        <v>9.0000000000000011E-2</v>
      </c>
      <c r="CN130" s="1053">
        <f t="shared" si="717"/>
        <v>9.0000000000000011E-2</v>
      </c>
      <c r="CO130" s="1053">
        <f t="shared" si="718"/>
        <v>9.0000000000000011E-2</v>
      </c>
      <c r="CP130" s="1053">
        <f t="shared" si="719"/>
        <v>9.9000000000000019E-2</v>
      </c>
      <c r="CQ130" s="1053">
        <f t="shared" si="720"/>
        <v>0.10890000000000002</v>
      </c>
      <c r="CR130" s="1053">
        <f t="shared" si="721"/>
        <v>0.10890000000000002</v>
      </c>
      <c r="CS130" s="1053">
        <f t="shared" si="722"/>
        <v>0.10890000000000002</v>
      </c>
      <c r="CT130" s="1053">
        <f t="shared" si="723"/>
        <v>0.10890000000000002</v>
      </c>
      <c r="CU130" s="1053">
        <f t="shared" si="724"/>
        <v>0.10890000000000002</v>
      </c>
      <c r="CV130" s="1053">
        <f t="shared" si="725"/>
        <v>0.10890000000000002</v>
      </c>
      <c r="CW130" s="1053">
        <f t="shared" si="726"/>
        <v>0.10890000000000002</v>
      </c>
      <c r="CX130" s="1053">
        <v>0.1</v>
      </c>
      <c r="CY130" s="1053">
        <f t="shared" si="759"/>
        <v>9.0000000000000011E-2</v>
      </c>
      <c r="CZ130" s="1053">
        <f t="shared" si="727"/>
        <v>9.0000000000000011E-2</v>
      </c>
      <c r="DA130" s="1053">
        <f t="shared" si="728"/>
        <v>9.0000000000000011E-2</v>
      </c>
      <c r="DB130" s="1053">
        <f t="shared" si="729"/>
        <v>9.9000000000000019E-2</v>
      </c>
      <c r="DC130" s="1053">
        <f t="shared" si="730"/>
        <v>0.10890000000000002</v>
      </c>
      <c r="DD130" s="1053">
        <f t="shared" si="731"/>
        <v>0.10890000000000002</v>
      </c>
      <c r="DE130" s="1053">
        <f t="shared" si="732"/>
        <v>0.10890000000000002</v>
      </c>
      <c r="DF130" s="1053">
        <f t="shared" si="733"/>
        <v>0.10890000000000002</v>
      </c>
      <c r="DG130" s="1053">
        <f t="shared" si="734"/>
        <v>0.10890000000000002</v>
      </c>
      <c r="DH130" s="1053">
        <f t="shared" si="735"/>
        <v>0.10890000000000002</v>
      </c>
      <c r="DI130" s="1053">
        <f t="shared" si="736"/>
        <v>0.10890000000000002</v>
      </c>
      <c r="DK130" s="1684"/>
      <c r="DL130" s="957" t="s">
        <v>166</v>
      </c>
      <c r="DN130" s="994">
        <f>DN116*$AJ$130</f>
        <v>0</v>
      </c>
      <c r="DO130" s="995">
        <f>DO116*$AJ$130</f>
        <v>0.44761904761904764</v>
      </c>
      <c r="DP130" s="995">
        <f>DP116*$AJ$130</f>
        <v>0.22380952380952382</v>
      </c>
      <c r="DQ130" s="995">
        <f>DQ116*$AJ$130</f>
        <v>0.44761904761904764</v>
      </c>
      <c r="DR130" s="996">
        <f>DR116*$AJ$130</f>
        <v>0.22380952380952382</v>
      </c>
      <c r="DT130" s="994">
        <f>DT116*$AH$130</f>
        <v>0</v>
      </c>
      <c r="DU130" s="995">
        <f>DU116*$AH$130</f>
        <v>2</v>
      </c>
      <c r="DV130" s="995">
        <f>DV116*$AH$130</f>
        <v>1</v>
      </c>
      <c r="DW130" s="995">
        <f>DW116*$AH$130</f>
        <v>2</v>
      </c>
      <c r="DX130" s="996">
        <f>DX116*$AH$130</f>
        <v>1</v>
      </c>
      <c r="DZ130" s="994">
        <f>DZ116*AK$130</f>
        <v>0</v>
      </c>
      <c r="EA130" s="995">
        <f>EA116*AL$130</f>
        <v>0</v>
      </c>
      <c r="EB130" s="995">
        <f>EB116*AM$130</f>
        <v>0</v>
      </c>
      <c r="EC130" s="995">
        <f>EC116*AN$130</f>
        <v>0</v>
      </c>
      <c r="ED130" s="996">
        <f>ED116*AO$130</f>
        <v>0.24619047619047621</v>
      </c>
      <c r="EF130" s="994">
        <f t="shared" si="737"/>
        <v>1.1340000000000001</v>
      </c>
      <c r="EG130" s="995">
        <f t="shared" si="738"/>
        <v>0.59049000000000018</v>
      </c>
      <c r="EH130" s="995">
        <f t="shared" si="739"/>
        <v>0.32805000000000006</v>
      </c>
      <c r="EI130" s="995">
        <f t="shared" si="740"/>
        <v>0.20047500000000001</v>
      </c>
      <c r="EJ130" s="995">
        <f t="shared" si="741"/>
        <v>8.8209000000000024E-2</v>
      </c>
      <c r="EK130" s="995">
        <f t="shared" si="742"/>
        <v>0.16009933500000006</v>
      </c>
      <c r="EL130" s="995">
        <f t="shared" si="743"/>
        <v>0.21346578000000008</v>
      </c>
      <c r="EM130" s="995">
        <f t="shared" si="744"/>
        <v>0.21346578000000008</v>
      </c>
      <c r="EN130" s="995">
        <f t="shared" si="745"/>
        <v>0.21346578000000008</v>
      </c>
      <c r="EO130" s="995">
        <f t="shared" si="746"/>
        <v>0.21346578000000008</v>
      </c>
      <c r="EP130" s="995">
        <f t="shared" si="747"/>
        <v>0.21346578000000008</v>
      </c>
      <c r="EQ130" s="995">
        <f t="shared" si="748"/>
        <v>0.21346578000000008</v>
      </c>
      <c r="ES130" s="994">
        <f t="shared" si="760"/>
        <v>0.18000000000000002</v>
      </c>
      <c r="ET130" s="995">
        <f t="shared" si="749"/>
        <v>0.14580000000000001</v>
      </c>
      <c r="EU130" s="995">
        <f t="shared" si="749"/>
        <v>0.14580000000000001</v>
      </c>
      <c r="EV130" s="995">
        <f t="shared" si="749"/>
        <v>0.10935000000000002</v>
      </c>
      <c r="EW130" s="995">
        <f t="shared" si="749"/>
        <v>8.8209000000000024E-2</v>
      </c>
      <c r="EX130" s="995">
        <f t="shared" si="749"/>
        <v>0.16009933500000006</v>
      </c>
      <c r="EY130" s="995">
        <f t="shared" si="749"/>
        <v>0.21346578000000008</v>
      </c>
      <c r="EZ130" s="995">
        <f t="shared" si="749"/>
        <v>0.21346578000000008</v>
      </c>
      <c r="FA130" s="995">
        <f t="shared" si="749"/>
        <v>0.21346578000000008</v>
      </c>
      <c r="FB130" s="995">
        <f t="shared" si="749"/>
        <v>0.21346578000000008</v>
      </c>
      <c r="FC130" s="995">
        <f t="shared" si="749"/>
        <v>0.21346578000000008</v>
      </c>
      <c r="FD130" s="996">
        <f t="shared" si="749"/>
        <v>0.21346578000000008</v>
      </c>
      <c r="FF130" s="994">
        <f t="shared" si="761"/>
        <v>0.18000000000000002</v>
      </c>
      <c r="FG130" s="995">
        <f t="shared" si="750"/>
        <v>0.14580000000000001</v>
      </c>
      <c r="FH130" s="995">
        <f t="shared" si="750"/>
        <v>0.14580000000000001</v>
      </c>
      <c r="FI130" s="995">
        <f t="shared" si="750"/>
        <v>0.10935000000000002</v>
      </c>
      <c r="FJ130" s="995">
        <f t="shared" si="750"/>
        <v>8.8209000000000024E-2</v>
      </c>
      <c r="FK130" s="995">
        <f t="shared" si="750"/>
        <v>0.16009933500000006</v>
      </c>
      <c r="FL130" s="995">
        <f t="shared" si="750"/>
        <v>0.21346578000000008</v>
      </c>
      <c r="FM130" s="995">
        <f t="shared" si="750"/>
        <v>0.21346578000000008</v>
      </c>
      <c r="FN130" s="995">
        <f t="shared" si="750"/>
        <v>0.21346578000000008</v>
      </c>
      <c r="FO130" s="995">
        <f t="shared" si="750"/>
        <v>0.21346578000000008</v>
      </c>
      <c r="FP130" s="995">
        <f t="shared" si="750"/>
        <v>0.21346578000000008</v>
      </c>
      <c r="FQ130" s="996">
        <f t="shared" si="750"/>
        <v>0.21346578000000008</v>
      </c>
      <c r="FS130" s="994">
        <f t="shared" si="762"/>
        <v>0.18000000000000002</v>
      </c>
      <c r="FT130" s="995">
        <f t="shared" si="751"/>
        <v>0.14580000000000001</v>
      </c>
      <c r="FU130" s="995">
        <f t="shared" si="751"/>
        <v>0.14580000000000001</v>
      </c>
      <c r="FV130" s="995">
        <f t="shared" si="751"/>
        <v>0.10935000000000002</v>
      </c>
      <c r="FW130" s="995">
        <f t="shared" si="751"/>
        <v>8.8209000000000024E-2</v>
      </c>
      <c r="FX130" s="995">
        <f t="shared" si="751"/>
        <v>0.10673289000000004</v>
      </c>
      <c r="FY130" s="995">
        <f t="shared" si="751"/>
        <v>0.10673289000000004</v>
      </c>
      <c r="FZ130" s="995">
        <f t="shared" si="751"/>
        <v>0.10673289000000004</v>
      </c>
      <c r="GA130" s="995">
        <f t="shared" si="751"/>
        <v>0.10673289000000004</v>
      </c>
      <c r="GB130" s="995">
        <f t="shared" si="751"/>
        <v>0.10673289000000004</v>
      </c>
      <c r="GC130" s="995">
        <f t="shared" si="751"/>
        <v>0.10673289000000004</v>
      </c>
      <c r="GD130" s="996">
        <f t="shared" si="751"/>
        <v>0.10673289000000004</v>
      </c>
      <c r="GF130" s="994">
        <f t="shared" si="763"/>
        <v>9.0000000000000011E-2</v>
      </c>
      <c r="GG130" s="995">
        <f t="shared" si="752"/>
        <v>7.2900000000000006E-2</v>
      </c>
      <c r="GH130" s="995">
        <f t="shared" si="752"/>
        <v>7.2900000000000006E-2</v>
      </c>
      <c r="GI130" s="995">
        <f t="shared" si="752"/>
        <v>7.2900000000000006E-2</v>
      </c>
      <c r="GJ130" s="995">
        <f t="shared" si="752"/>
        <v>8.8209000000000024E-2</v>
      </c>
      <c r="GK130" s="995">
        <f t="shared" si="752"/>
        <v>0.10673289000000004</v>
      </c>
      <c r="GL130" s="995">
        <f t="shared" si="752"/>
        <v>0.10673289000000004</v>
      </c>
      <c r="GM130" s="995">
        <f t="shared" si="752"/>
        <v>0.10673289000000004</v>
      </c>
      <c r="GN130" s="995">
        <f t="shared" si="752"/>
        <v>0.10673289000000004</v>
      </c>
      <c r="GO130" s="995">
        <f t="shared" si="752"/>
        <v>0.10673289000000004</v>
      </c>
      <c r="GP130" s="995">
        <f t="shared" si="752"/>
        <v>0.10673289000000004</v>
      </c>
      <c r="GQ130" s="996">
        <f t="shared" si="752"/>
        <v>0.10673289000000004</v>
      </c>
      <c r="GS130" s="994">
        <f t="shared" si="764"/>
        <v>9.0000000000000011E-2</v>
      </c>
      <c r="GT130" s="995">
        <f t="shared" si="753"/>
        <v>7.2900000000000006E-2</v>
      </c>
      <c r="GU130" s="995">
        <f t="shared" si="753"/>
        <v>7.2900000000000006E-2</v>
      </c>
      <c r="GV130" s="995">
        <f t="shared" si="753"/>
        <v>7.2900000000000006E-2</v>
      </c>
      <c r="GW130" s="995">
        <f t="shared" si="753"/>
        <v>8.8209000000000024E-2</v>
      </c>
      <c r="GX130" s="995">
        <f t="shared" si="753"/>
        <v>0.10673289000000004</v>
      </c>
      <c r="GY130" s="995">
        <f t="shared" si="753"/>
        <v>0.10673289000000004</v>
      </c>
      <c r="GZ130" s="995">
        <f t="shared" si="753"/>
        <v>0.10673289000000004</v>
      </c>
      <c r="HA130" s="995">
        <f t="shared" si="753"/>
        <v>0.10673289000000004</v>
      </c>
      <c r="HB130" s="995">
        <f t="shared" si="753"/>
        <v>0.10673289000000004</v>
      </c>
      <c r="HC130" s="995">
        <f t="shared" si="753"/>
        <v>0.10673289000000004</v>
      </c>
      <c r="HD130" s="996">
        <f t="shared" si="753"/>
        <v>0.10673289000000004</v>
      </c>
    </row>
    <row r="131" spans="1:212" ht="14.25">
      <c r="B131" s="1065"/>
      <c r="C131" s="31"/>
      <c r="D131" s="31"/>
      <c r="E131" s="31"/>
      <c r="F131" s="31"/>
      <c r="G131" s="31"/>
      <c r="H131" s="1089"/>
      <c r="I131" s="1089"/>
      <c r="N131" s="1684"/>
      <c r="O131" s="957" t="s">
        <v>1062</v>
      </c>
      <c r="P131" s="606">
        <v>1</v>
      </c>
      <c r="Q131" s="606">
        <v>0</v>
      </c>
      <c r="R131" s="606">
        <v>1</v>
      </c>
      <c r="S131" s="606">
        <v>1</v>
      </c>
      <c r="T131" s="606">
        <v>2</v>
      </c>
      <c r="U131" s="606">
        <v>1</v>
      </c>
      <c r="V131" s="606">
        <v>4</v>
      </c>
      <c r="AA131" s="1684"/>
      <c r="AB131" s="957" t="s">
        <v>1062</v>
      </c>
      <c r="DK131" s="1684"/>
      <c r="DL131" s="957" t="s">
        <v>1062</v>
      </c>
      <c r="DN131" s="1063">
        <v>0</v>
      </c>
      <c r="DO131" s="614">
        <v>0</v>
      </c>
      <c r="DP131" s="614">
        <v>1</v>
      </c>
      <c r="DQ131" s="614">
        <v>2</v>
      </c>
      <c r="DR131" s="947">
        <v>0</v>
      </c>
      <c r="DT131" s="1063">
        <v>0</v>
      </c>
      <c r="DU131" s="614">
        <v>0</v>
      </c>
      <c r="DV131" s="614">
        <v>1</v>
      </c>
      <c r="DW131" s="614">
        <v>2</v>
      </c>
      <c r="DX131" s="947">
        <v>0</v>
      </c>
      <c r="DZ131" s="1063">
        <v>0</v>
      </c>
      <c r="EA131" s="614">
        <v>0</v>
      </c>
      <c r="EB131" s="614">
        <v>1</v>
      </c>
      <c r="EC131" s="614">
        <v>2</v>
      </c>
      <c r="ED131" s="947">
        <v>0</v>
      </c>
      <c r="EF131" s="1063"/>
      <c r="EG131" s="614"/>
      <c r="EH131" s="614"/>
      <c r="EI131" s="614"/>
      <c r="EJ131" s="614"/>
      <c r="EK131" s="614"/>
      <c r="EL131" s="614"/>
      <c r="EM131" s="614"/>
      <c r="EN131" s="614"/>
      <c r="EO131" s="614"/>
      <c r="EP131" s="614"/>
      <c r="EQ131" s="947"/>
      <c r="ES131" s="1063"/>
      <c r="ET131" s="614"/>
      <c r="EU131" s="614"/>
      <c r="EV131" s="614"/>
      <c r="EW131" s="614"/>
      <c r="EX131" s="614"/>
      <c r="EY131" s="614"/>
      <c r="EZ131" s="614"/>
      <c r="FA131" s="614"/>
      <c r="FB131" s="614"/>
      <c r="FC131" s="614"/>
      <c r="FD131" s="947"/>
      <c r="FF131" s="1063"/>
      <c r="FG131" s="614"/>
      <c r="FH131" s="614"/>
      <c r="FI131" s="614"/>
      <c r="FJ131" s="614"/>
      <c r="FK131" s="614"/>
      <c r="FL131" s="614"/>
      <c r="FM131" s="614"/>
      <c r="FN131" s="614"/>
      <c r="FO131" s="614"/>
      <c r="FP131" s="614"/>
      <c r="FQ131" s="947"/>
      <c r="FS131" s="1063"/>
      <c r="FT131" s="614"/>
      <c r="FU131" s="614"/>
      <c r="FV131" s="614"/>
      <c r="FW131" s="614"/>
      <c r="FX131" s="614"/>
      <c r="FY131" s="614"/>
      <c r="FZ131" s="614"/>
      <c r="GA131" s="614"/>
      <c r="GB131" s="614"/>
      <c r="GC131" s="614"/>
      <c r="GD131" s="947"/>
      <c r="GF131" s="1063"/>
      <c r="GG131" s="614"/>
      <c r="GH131" s="614"/>
      <c r="GI131" s="614"/>
      <c r="GJ131" s="614"/>
      <c r="GK131" s="614"/>
      <c r="GL131" s="614"/>
      <c r="GM131" s="614"/>
      <c r="GN131" s="614"/>
      <c r="GO131" s="614"/>
      <c r="GP131" s="614"/>
      <c r="GQ131" s="947"/>
      <c r="GS131" s="1063"/>
      <c r="GT131" s="614"/>
      <c r="GU131" s="614"/>
      <c r="GV131" s="614"/>
      <c r="GW131" s="614"/>
      <c r="GX131" s="614"/>
      <c r="GY131" s="614"/>
      <c r="GZ131" s="614"/>
      <c r="HA131" s="614"/>
      <c r="HB131" s="614"/>
      <c r="HC131" s="614"/>
      <c r="HD131" s="947"/>
    </row>
    <row r="132" spans="1:212" ht="14.25">
      <c r="B132" s="1101"/>
      <c r="C132" s="31"/>
      <c r="D132" s="31"/>
      <c r="E132" s="31"/>
      <c r="F132" s="31"/>
      <c r="G132" s="31"/>
      <c r="H132" s="1089"/>
      <c r="I132" s="1089"/>
      <c r="P132" s="1124">
        <f>SUM(P119:P131)</f>
        <v>5</v>
      </c>
      <c r="Q132" s="1124">
        <f t="shared" ref="Q132:V132" si="765">SUM(Q119:Q131)</f>
        <v>2</v>
      </c>
      <c r="R132" s="1124">
        <f t="shared" si="765"/>
        <v>6</v>
      </c>
      <c r="S132" s="1124">
        <f t="shared" si="765"/>
        <v>7</v>
      </c>
      <c r="T132" s="1124">
        <f t="shared" si="765"/>
        <v>10</v>
      </c>
      <c r="U132" s="1124">
        <f t="shared" si="765"/>
        <v>14</v>
      </c>
      <c r="V132" s="1124">
        <f t="shared" si="765"/>
        <v>16</v>
      </c>
      <c r="DN132" s="945" t="s">
        <v>1036</v>
      </c>
      <c r="DT132" s="945" t="s">
        <v>1038</v>
      </c>
      <c r="DZ132" s="945" t="s">
        <v>1039</v>
      </c>
      <c r="EF132" s="1279">
        <f>SUM(EF119:EF131)</f>
        <v>21.824000000000002</v>
      </c>
      <c r="EG132" s="1279">
        <f t="shared" ref="EG132" si="766">SUM(EG119:EG131)</f>
        <v>20.862990000000003</v>
      </c>
      <c r="EH132" s="1279">
        <f t="shared" ref="EH132" si="767">SUM(EH119:EH131)</f>
        <v>18.674550000000007</v>
      </c>
      <c r="EI132" s="1279">
        <f t="shared" ref="EI132" si="768">SUM(EI119:EI131)</f>
        <v>16.022475000000004</v>
      </c>
      <c r="EJ132" s="1279">
        <f t="shared" ref="EJ132" si="769">SUM(EJ119:EJ131)</f>
        <v>14.304609000000005</v>
      </c>
      <c r="EK132" s="1279">
        <f t="shared" ref="EK132" si="770">SUM(EK119:EK131)</f>
        <v>13.622861835000002</v>
      </c>
      <c r="EL132" s="1279">
        <f t="shared" ref="EL132" si="771">SUM(EL119:EL131)</f>
        <v>11.890268280000003</v>
      </c>
      <c r="EM132" s="1279">
        <f>SUM(EM119:EM131)</f>
        <v>11.394773280000003</v>
      </c>
      <c r="EN132" s="1279">
        <f t="shared" ref="EN132" si="772">SUM(EN119:EN131)</f>
        <v>10.101585780000002</v>
      </c>
      <c r="EO132" s="1279">
        <f t="shared" ref="EO132" si="773">SUM(EO119:EO131)</f>
        <v>8.4381382800000022</v>
      </c>
      <c r="EP132" s="1279">
        <f t="shared" ref="EP132" si="774">SUM(EP119:EP131)</f>
        <v>7.5506032800000016</v>
      </c>
      <c r="EQ132" s="1279">
        <f t="shared" ref="EQ132" si="775">SUM(EQ119:EQ131)</f>
        <v>7.1694532800000017</v>
      </c>
      <c r="ES132" s="1279">
        <f>SUM(ES119:ES131)</f>
        <v>6.4549999999999992</v>
      </c>
      <c r="ET132" s="1279">
        <f t="shared" ref="ET132:EY132" si="776">SUM(ET119:ET131)</f>
        <v>5.9283000000000001</v>
      </c>
      <c r="EU132" s="1279">
        <f t="shared" si="776"/>
        <v>5.9958</v>
      </c>
      <c r="EV132" s="1279">
        <f t="shared" si="776"/>
        <v>5.5543500000000003</v>
      </c>
      <c r="EW132" s="1279">
        <f t="shared" si="776"/>
        <v>5.3352089999999999</v>
      </c>
      <c r="EX132" s="1279">
        <f t="shared" si="776"/>
        <v>5.8228993349999998</v>
      </c>
      <c r="EY132" s="1279">
        <f t="shared" si="776"/>
        <v>6.2574157800000005</v>
      </c>
      <c r="EZ132" s="1279">
        <f>SUM(EZ119:EZ131)</f>
        <v>6.5296657799999993</v>
      </c>
      <c r="FA132" s="1279">
        <f t="shared" ref="FA132:FD132" si="777">SUM(FA119:FA131)</f>
        <v>6.6930157799999996</v>
      </c>
      <c r="FB132" s="1279">
        <f t="shared" si="777"/>
        <v>6.8291407800000012</v>
      </c>
      <c r="FC132" s="1279">
        <f t="shared" si="777"/>
        <v>6.9380407800000015</v>
      </c>
      <c r="FD132" s="1279">
        <f t="shared" si="777"/>
        <v>6.965265780000002</v>
      </c>
      <c r="FF132" s="1279">
        <f>SUM(FF119:FF131)</f>
        <v>6.4549999999999992</v>
      </c>
      <c r="FG132" s="1279">
        <f t="shared" ref="FG132:FL132" si="778">SUM(FG119:FG131)</f>
        <v>5.9283000000000001</v>
      </c>
      <c r="FH132" s="1279">
        <f t="shared" si="778"/>
        <v>5.9958</v>
      </c>
      <c r="FI132" s="1279">
        <f t="shared" si="778"/>
        <v>5.5543500000000003</v>
      </c>
      <c r="FJ132" s="1279">
        <f t="shared" si="778"/>
        <v>5.3352089999999999</v>
      </c>
      <c r="FK132" s="1279">
        <f t="shared" si="778"/>
        <v>5.8228993349999998</v>
      </c>
      <c r="FL132" s="1279">
        <f t="shared" si="778"/>
        <v>6.2574157800000005</v>
      </c>
      <c r="FM132" s="1279">
        <f>SUM(FM119:FM131)</f>
        <v>6.5296657799999993</v>
      </c>
      <c r="FN132" s="1279">
        <f t="shared" ref="FN132:FQ132" si="779">SUM(FN119:FN131)</f>
        <v>6.6930157799999996</v>
      </c>
      <c r="FO132" s="1279">
        <f t="shared" si="779"/>
        <v>6.8291407800000012</v>
      </c>
      <c r="FP132" s="1279">
        <f t="shared" si="779"/>
        <v>6.9380407800000015</v>
      </c>
      <c r="FQ132" s="1279">
        <f t="shared" si="779"/>
        <v>6.965265780000002</v>
      </c>
      <c r="FS132" s="1279">
        <f>SUM(FS119:FS131)</f>
        <v>6.4549999999999992</v>
      </c>
      <c r="FT132" s="1279">
        <f t="shared" ref="FT132:FY132" si="780">SUM(FT119:FT131)</f>
        <v>5.9283000000000001</v>
      </c>
      <c r="FU132" s="1279">
        <f t="shared" si="780"/>
        <v>5.9958</v>
      </c>
      <c r="FV132" s="1279">
        <f t="shared" si="780"/>
        <v>5.5543500000000003</v>
      </c>
      <c r="FW132" s="1279">
        <f t="shared" si="780"/>
        <v>5.3352089999999999</v>
      </c>
      <c r="FX132" s="1279">
        <f t="shared" si="780"/>
        <v>5.2794828899999997</v>
      </c>
      <c r="FY132" s="1279">
        <f t="shared" si="780"/>
        <v>4.8438828899999997</v>
      </c>
      <c r="FZ132" s="1279">
        <f>SUM(FZ119:FZ131)</f>
        <v>4.5171828900000008</v>
      </c>
      <c r="GA132" s="1279">
        <f t="shared" ref="GA132:GD132" si="781">SUM(GA119:GA131)</f>
        <v>4.2449328900000012</v>
      </c>
      <c r="GB132" s="1279">
        <f t="shared" si="781"/>
        <v>4.0543578900000012</v>
      </c>
      <c r="GC132" s="1279">
        <f t="shared" si="781"/>
        <v>3.8910078900000009</v>
      </c>
      <c r="GD132" s="1279">
        <f t="shared" si="781"/>
        <v>3.7276578900000006</v>
      </c>
      <c r="GF132" s="1279">
        <f>SUM(GF119:GF131)</f>
        <v>3.3399999999999994</v>
      </c>
      <c r="GG132" s="1279">
        <f t="shared" ref="GG132:GL132" si="782">SUM(GG119:GG131)</f>
        <v>2.9979</v>
      </c>
      <c r="GH132" s="1279">
        <f t="shared" si="782"/>
        <v>2.9979</v>
      </c>
      <c r="GI132" s="1279">
        <f t="shared" si="782"/>
        <v>2.9979</v>
      </c>
      <c r="GJ132" s="1279">
        <f t="shared" si="782"/>
        <v>3.3057090000000002</v>
      </c>
      <c r="GK132" s="1279">
        <f t="shared" si="782"/>
        <v>3.6459828900000004</v>
      </c>
      <c r="GL132" s="1279">
        <f t="shared" si="782"/>
        <v>3.6459828900000004</v>
      </c>
      <c r="GM132" s="1279">
        <f>SUM(GM119:GM131)</f>
        <v>3.6459828900000004</v>
      </c>
      <c r="GN132" s="1279">
        <f t="shared" ref="GN132:GQ132" si="783">SUM(GN119:GN131)</f>
        <v>3.6459828900000004</v>
      </c>
      <c r="GO132" s="1279">
        <f t="shared" si="783"/>
        <v>3.6459828900000004</v>
      </c>
      <c r="GP132" s="1279">
        <f t="shared" si="783"/>
        <v>3.6459828900000004</v>
      </c>
      <c r="GQ132" s="1279">
        <f t="shared" si="783"/>
        <v>3.6459828900000004</v>
      </c>
      <c r="GS132" s="1279">
        <f>SUM(GS119:GS131)</f>
        <v>3.3399999999999994</v>
      </c>
      <c r="GT132" s="1279">
        <f t="shared" ref="GT132:GY132" si="784">SUM(GT119:GT131)</f>
        <v>2.9979</v>
      </c>
      <c r="GU132" s="1279">
        <f t="shared" si="784"/>
        <v>2.9979</v>
      </c>
      <c r="GV132" s="1279">
        <f t="shared" si="784"/>
        <v>2.9979</v>
      </c>
      <c r="GW132" s="1279">
        <f t="shared" si="784"/>
        <v>3.3057090000000002</v>
      </c>
      <c r="GX132" s="1279">
        <f t="shared" si="784"/>
        <v>3.6459828900000004</v>
      </c>
      <c r="GY132" s="1279">
        <f t="shared" si="784"/>
        <v>3.6459828900000004</v>
      </c>
      <c r="GZ132" s="1279">
        <f>SUM(GZ119:GZ131)</f>
        <v>3.6459828900000004</v>
      </c>
      <c r="HA132" s="1279">
        <f t="shared" ref="HA132:HD132" si="785">SUM(HA119:HA131)</f>
        <v>3.6459828900000004</v>
      </c>
      <c r="HB132" s="1279">
        <f t="shared" si="785"/>
        <v>3.6459828900000004</v>
      </c>
      <c r="HC132" s="1279">
        <f t="shared" si="785"/>
        <v>3.6459828900000004</v>
      </c>
      <c r="HD132" s="1279">
        <f t="shared" si="785"/>
        <v>3.6459828900000004</v>
      </c>
    </row>
    <row r="133" spans="1:212" ht="14.25">
      <c r="B133" s="1067"/>
      <c r="C133" s="31"/>
      <c r="D133" s="31"/>
      <c r="E133" s="31"/>
      <c r="F133" s="31"/>
      <c r="G133" s="31"/>
      <c r="H133" s="1089"/>
      <c r="I133" s="1089"/>
      <c r="P133" s="973">
        <f>P132/P100</f>
        <v>0.13157894736842105</v>
      </c>
      <c r="Q133" s="973">
        <f t="shared" ref="Q133:V133" si="786">Q132/Q100</f>
        <v>6.8965517241379309E-2</v>
      </c>
      <c r="R133" s="973">
        <f t="shared" si="786"/>
        <v>0.2</v>
      </c>
      <c r="S133" s="973">
        <f t="shared" si="786"/>
        <v>0.28000000000000003</v>
      </c>
      <c r="T133" s="973">
        <f t="shared" si="786"/>
        <v>0.5</v>
      </c>
      <c r="U133" s="973">
        <f t="shared" si="786"/>
        <v>0.63636363636363635</v>
      </c>
      <c r="V133" s="973">
        <f t="shared" si="786"/>
        <v>0.55172413793103448</v>
      </c>
      <c r="DN133" s="945" t="s">
        <v>1066</v>
      </c>
      <c r="DT133" s="945" t="s">
        <v>1066</v>
      </c>
      <c r="DZ133" s="945" t="s">
        <v>1066</v>
      </c>
      <c r="EF133" s="973">
        <f>EF132/EF100</f>
        <v>0.4527800829875519</v>
      </c>
      <c r="EG133" s="973">
        <f t="shared" ref="EG133" si="787">EG132/EG100</f>
        <v>0.42404451219512201</v>
      </c>
      <c r="EH133" s="973">
        <f t="shared" ref="EH133" si="788">EH132/EH100</f>
        <v>0.36833431952662732</v>
      </c>
      <c r="EI133" s="973">
        <f t="shared" ref="EI133" si="789">EI132/EI100</f>
        <v>0.30403178368121447</v>
      </c>
      <c r="EJ133" s="973">
        <f t="shared" ref="EJ133" si="790">EJ132/EJ100</f>
        <v>0.26638005586592184</v>
      </c>
      <c r="EK133" s="973">
        <f t="shared" ref="EK133" si="791">EK132/EK100</f>
        <v>0.24904683427787935</v>
      </c>
      <c r="EL133" s="973">
        <f t="shared" ref="EL133" si="792">EL132/EL100</f>
        <v>0.23452205680473376</v>
      </c>
      <c r="EM133" s="973">
        <f>EM132/EM100</f>
        <v>0.22927109215291755</v>
      </c>
      <c r="EN133" s="973">
        <f t="shared" ref="EN133" si="793">EN132/EN100</f>
        <v>0.23796432932862194</v>
      </c>
      <c r="EO133" s="973">
        <f t="shared" ref="EO133" si="794">EO132/EO100</f>
        <v>0.26493369795918376</v>
      </c>
      <c r="EP133" s="973">
        <f t="shared" ref="EP133" si="795">EP132/EP100</f>
        <v>0.29322731184466028</v>
      </c>
      <c r="EQ133" s="973">
        <f t="shared" ref="EQ133" si="796">EQ132/EQ100</f>
        <v>0.30836358193548397</v>
      </c>
      <c r="ES133" s="973">
        <f>ES132/ES100</f>
        <v>0.2934090909090909</v>
      </c>
      <c r="ET133" s="973">
        <f t="shared" ref="ET133:EY133" si="797">ET132/ET100</f>
        <v>0.26946818181818183</v>
      </c>
      <c r="EU133" s="973">
        <f t="shared" si="797"/>
        <v>0.27253636363636363</v>
      </c>
      <c r="EV133" s="973">
        <f t="shared" si="797"/>
        <v>0.25247045454545458</v>
      </c>
      <c r="EW133" s="973">
        <f t="shared" si="797"/>
        <v>0.24250949999999999</v>
      </c>
      <c r="EX133" s="973">
        <f t="shared" si="797"/>
        <v>0.26467724249999997</v>
      </c>
      <c r="EY133" s="973">
        <f t="shared" si="797"/>
        <v>0.28442799000000002</v>
      </c>
      <c r="EZ133" s="973">
        <f>EZ132/EZ100</f>
        <v>0.29680298999999999</v>
      </c>
      <c r="FA133" s="973">
        <f t="shared" ref="FA133:FD133" si="798">FA132/FA100</f>
        <v>0.30422799</v>
      </c>
      <c r="FB133" s="973">
        <f t="shared" si="798"/>
        <v>0.31041549000000007</v>
      </c>
      <c r="FC133" s="973">
        <f t="shared" si="798"/>
        <v>0.31536549000000008</v>
      </c>
      <c r="FD133" s="973">
        <f t="shared" si="798"/>
        <v>0.31660299000000008</v>
      </c>
      <c r="FF133" s="973">
        <f>FF132/FF100</f>
        <v>0.2934090909090909</v>
      </c>
      <c r="FG133" s="973">
        <f t="shared" ref="FG133:FL133" si="799">FG132/FG100</f>
        <v>0.26946818181818183</v>
      </c>
      <c r="FH133" s="973">
        <f t="shared" si="799"/>
        <v>0.27253636363636363</v>
      </c>
      <c r="FI133" s="973">
        <f t="shared" si="799"/>
        <v>0.25247045454545458</v>
      </c>
      <c r="FJ133" s="973">
        <f t="shared" si="799"/>
        <v>0.24250949999999999</v>
      </c>
      <c r="FK133" s="973">
        <f t="shared" si="799"/>
        <v>0.26467724249999997</v>
      </c>
      <c r="FL133" s="973">
        <f t="shared" si="799"/>
        <v>0.28442799000000002</v>
      </c>
      <c r="FM133" s="973">
        <f>FM132/FM100</f>
        <v>0.29680298999999999</v>
      </c>
      <c r="FN133" s="973">
        <f t="shared" ref="FN133:FQ133" si="800">FN132/FN100</f>
        <v>0.30422799</v>
      </c>
      <c r="FO133" s="973">
        <f t="shared" si="800"/>
        <v>0.31041549000000007</v>
      </c>
      <c r="FP133" s="973">
        <f t="shared" si="800"/>
        <v>0.31536549000000008</v>
      </c>
      <c r="FQ133" s="973">
        <f t="shared" si="800"/>
        <v>0.31660299000000008</v>
      </c>
      <c r="FS133" s="973">
        <f>FS132/FS100</f>
        <v>0.2934090909090909</v>
      </c>
      <c r="FT133" s="973">
        <f t="shared" ref="FT133:FY133" si="801">FT132/FT100</f>
        <v>0.26946818181818183</v>
      </c>
      <c r="FU133" s="973">
        <f t="shared" si="801"/>
        <v>0.27887441860465118</v>
      </c>
      <c r="FV133" s="973">
        <f t="shared" si="801"/>
        <v>0.27094390243902439</v>
      </c>
      <c r="FW133" s="973">
        <f t="shared" si="801"/>
        <v>0.27360046153846151</v>
      </c>
      <c r="FX133" s="973">
        <f t="shared" si="801"/>
        <v>0.28537745351351351</v>
      </c>
      <c r="FY133" s="973">
        <f t="shared" si="801"/>
        <v>0.27679330799999996</v>
      </c>
      <c r="FZ133" s="973">
        <f>FZ132/FZ100</f>
        <v>0.27376866000000005</v>
      </c>
      <c r="GA133" s="973">
        <f t="shared" ref="GA133:GD133" si="802">GA132/GA100</f>
        <v>0.27386663806451622</v>
      </c>
      <c r="GB133" s="973">
        <f t="shared" si="802"/>
        <v>0.27961088896551733</v>
      </c>
      <c r="GC133" s="973">
        <f t="shared" si="802"/>
        <v>0.28822280666666672</v>
      </c>
      <c r="GD133" s="973">
        <f t="shared" si="802"/>
        <v>0.29821263120000002</v>
      </c>
      <c r="GF133" s="973">
        <f>GF132/GF100</f>
        <v>0.27833333333333327</v>
      </c>
      <c r="GG133" s="973">
        <f t="shared" ref="GG133:GL133" si="803">GG132/GG100</f>
        <v>0.24982499999999999</v>
      </c>
      <c r="GH133" s="973">
        <f t="shared" si="803"/>
        <v>0.24982499999999999</v>
      </c>
      <c r="GI133" s="973">
        <f t="shared" si="803"/>
        <v>0.24982499999999999</v>
      </c>
      <c r="GJ133" s="973">
        <f t="shared" si="803"/>
        <v>0.27547575000000002</v>
      </c>
      <c r="GK133" s="973">
        <f t="shared" si="803"/>
        <v>0.30383190750000005</v>
      </c>
      <c r="GL133" s="973">
        <f t="shared" si="803"/>
        <v>0.30383190750000005</v>
      </c>
      <c r="GM133" s="973">
        <f>GM132/GM100</f>
        <v>0.30383190750000005</v>
      </c>
      <c r="GN133" s="973">
        <f t="shared" ref="GN133:GQ133" si="804">GN132/GN100</f>
        <v>0.30383190750000005</v>
      </c>
      <c r="GO133" s="973">
        <f t="shared" si="804"/>
        <v>0.30383190750000005</v>
      </c>
      <c r="GP133" s="973">
        <f t="shared" si="804"/>
        <v>0.30383190750000005</v>
      </c>
      <c r="GQ133" s="973">
        <f t="shared" si="804"/>
        <v>0.30383190750000005</v>
      </c>
      <c r="GS133" s="973">
        <f>GS132/GS100</f>
        <v>0.27833333333333327</v>
      </c>
      <c r="GT133" s="973">
        <f t="shared" ref="GT133:GY133" si="805">GT132/GT100</f>
        <v>0.24982499999999999</v>
      </c>
      <c r="GU133" s="973">
        <f t="shared" si="805"/>
        <v>0.24982499999999999</v>
      </c>
      <c r="GV133" s="973">
        <f t="shared" si="805"/>
        <v>0.24982499999999999</v>
      </c>
      <c r="GW133" s="973">
        <f t="shared" si="805"/>
        <v>0.27547575000000002</v>
      </c>
      <c r="GX133" s="973">
        <f t="shared" si="805"/>
        <v>0.30383190750000005</v>
      </c>
      <c r="GY133" s="973">
        <f t="shared" si="805"/>
        <v>0.30383190750000005</v>
      </c>
      <c r="GZ133" s="973">
        <f>GZ132/GZ100</f>
        <v>0.30383190750000005</v>
      </c>
      <c r="HA133" s="973">
        <f t="shared" ref="HA133:HD133" si="806">HA132/HA100</f>
        <v>0.30383190750000005</v>
      </c>
      <c r="HB133" s="973">
        <f t="shared" si="806"/>
        <v>0.30383190750000005</v>
      </c>
      <c r="HC133" s="973">
        <f t="shared" si="806"/>
        <v>0.30383190750000005</v>
      </c>
      <c r="HD133" s="973">
        <f t="shared" si="806"/>
        <v>0.30383190750000005</v>
      </c>
    </row>
    <row r="134" spans="1:212" ht="14.25">
      <c r="B134" s="1069"/>
      <c r="C134" s="31"/>
      <c r="D134" s="31"/>
      <c r="E134" s="31"/>
      <c r="F134" s="31"/>
      <c r="G134" s="31"/>
      <c r="H134" s="1089"/>
      <c r="I134" s="1089"/>
      <c r="DN134" s="945" t="s">
        <v>1048</v>
      </c>
      <c r="DT134" s="945" t="s">
        <v>1048</v>
      </c>
      <c r="DZ134" s="945" t="s">
        <v>1048</v>
      </c>
      <c r="EF134" s="945" t="s">
        <v>1066</v>
      </c>
      <c r="ES134" s="945" t="s">
        <v>1066</v>
      </c>
      <c r="FF134" s="945" t="s">
        <v>1066</v>
      </c>
      <c r="FS134" s="945" t="s">
        <v>1066</v>
      </c>
      <c r="GF134" s="945" t="s">
        <v>1066</v>
      </c>
      <c r="GS134" s="945" t="s">
        <v>1066</v>
      </c>
    </row>
    <row r="135" spans="1:212" ht="14.25">
      <c r="B135" s="958"/>
      <c r="C135" s="31"/>
      <c r="D135" s="31"/>
      <c r="E135" s="31"/>
      <c r="F135" s="31"/>
      <c r="G135" s="31"/>
      <c r="H135" s="1089"/>
      <c r="I135" s="1089"/>
      <c r="EF135" s="945" t="s">
        <v>1235</v>
      </c>
      <c r="ES135" s="945" t="s">
        <v>1235</v>
      </c>
      <c r="FF135" s="945" t="s">
        <v>1235</v>
      </c>
      <c r="FS135" s="945" t="s">
        <v>1235</v>
      </c>
      <c r="GF135" s="945" t="s">
        <v>1235</v>
      </c>
      <c r="GS135" s="945" t="s">
        <v>1235</v>
      </c>
    </row>
    <row r="137" spans="1:212" s="935" customFormat="1">
      <c r="A137" s="932" t="s">
        <v>1101</v>
      </c>
      <c r="B137" s="933" t="s">
        <v>1102</v>
      </c>
      <c r="C137" s="934"/>
      <c r="D137" s="934"/>
      <c r="E137" s="934"/>
      <c r="F137" s="934"/>
      <c r="G137" s="934"/>
      <c r="H137" s="934"/>
      <c r="I137" s="934"/>
      <c r="J137" s="934"/>
      <c r="K137" s="934"/>
      <c r="L137" s="934"/>
      <c r="M137" s="934"/>
      <c r="N137" s="934"/>
      <c r="O137" s="934"/>
      <c r="P137" s="934"/>
      <c r="Q137" s="934"/>
      <c r="R137" s="934"/>
      <c r="S137" s="934"/>
      <c r="T137" s="934"/>
      <c r="U137" s="934"/>
      <c r="V137" s="934"/>
      <c r="W137" s="934"/>
      <c r="X137" s="934"/>
      <c r="Y137" s="934"/>
      <c r="Z137" s="934"/>
      <c r="AA137" s="934"/>
      <c r="AB137" s="934"/>
      <c r="AC137" s="934"/>
      <c r="AD137" s="934"/>
      <c r="AE137" s="934"/>
      <c r="AF137" s="934"/>
      <c r="AG137" s="934"/>
      <c r="AH137" s="934"/>
      <c r="AI137" s="934"/>
      <c r="AJ137" s="934"/>
      <c r="AK137" s="934"/>
      <c r="AL137" s="934"/>
      <c r="AM137" s="934"/>
      <c r="AN137" s="934"/>
      <c r="AO137" s="934"/>
      <c r="AP137" s="934"/>
      <c r="AQ137" s="934"/>
      <c r="AR137" s="934"/>
      <c r="AS137" s="934"/>
      <c r="AT137" s="934"/>
      <c r="AU137" s="934"/>
      <c r="AV137" s="934"/>
      <c r="AW137" s="934"/>
      <c r="AX137" s="934"/>
      <c r="AY137" s="934"/>
      <c r="AZ137" s="934"/>
      <c r="BA137" s="934"/>
      <c r="BB137" s="934"/>
      <c r="BC137" s="934"/>
      <c r="BD137" s="934"/>
      <c r="BE137" s="934"/>
      <c r="BF137" s="934"/>
      <c r="BG137" s="934"/>
      <c r="BH137" s="934"/>
      <c r="BI137" s="934"/>
      <c r="BJ137" s="934"/>
      <c r="BK137" s="934"/>
      <c r="BL137" s="934"/>
      <c r="BM137" s="934"/>
      <c r="BN137" s="934"/>
      <c r="BO137" s="934"/>
      <c r="BP137" s="934"/>
      <c r="BQ137" s="934"/>
      <c r="BR137" s="934"/>
      <c r="BS137" s="934"/>
      <c r="BT137" s="934"/>
      <c r="BU137" s="934"/>
      <c r="BV137" s="934"/>
      <c r="BW137" s="934"/>
      <c r="BX137" s="934"/>
      <c r="BY137" s="934"/>
      <c r="BZ137" s="934"/>
      <c r="CA137" s="934"/>
      <c r="CB137" s="934"/>
      <c r="CC137" s="934"/>
      <c r="CD137" s="934"/>
      <c r="CE137" s="934"/>
      <c r="CF137" s="934"/>
      <c r="CG137" s="934"/>
      <c r="CH137" s="934"/>
      <c r="CI137" s="934"/>
      <c r="CJ137" s="934"/>
      <c r="CK137" s="934"/>
      <c r="CL137" s="934"/>
      <c r="CM137" s="934"/>
      <c r="CN137" s="934"/>
      <c r="CO137" s="934"/>
      <c r="CP137" s="934"/>
      <c r="CQ137" s="934"/>
      <c r="CR137" s="934"/>
      <c r="CS137" s="934"/>
      <c r="CT137" s="934"/>
      <c r="CU137" s="934"/>
      <c r="CV137" s="934"/>
      <c r="CW137" s="934"/>
      <c r="CX137" s="934"/>
      <c r="CY137" s="934"/>
      <c r="CZ137" s="934"/>
      <c r="DA137" s="934"/>
      <c r="DB137" s="934"/>
      <c r="DC137" s="934"/>
      <c r="DD137" s="934"/>
      <c r="DE137" s="934"/>
      <c r="DF137" s="934"/>
      <c r="DG137" s="934"/>
      <c r="DH137" s="934"/>
      <c r="DI137" s="934"/>
      <c r="DJ137" s="934"/>
      <c r="DK137" s="934"/>
      <c r="DL137" s="934"/>
      <c r="DM137" s="934"/>
      <c r="DN137" s="934"/>
      <c r="DO137" s="934"/>
      <c r="DP137" s="934"/>
      <c r="DQ137" s="934"/>
      <c r="DR137" s="934"/>
      <c r="DS137" s="934"/>
      <c r="DT137" s="934"/>
      <c r="DU137" s="934"/>
      <c r="DV137" s="934"/>
      <c r="DW137" s="934"/>
      <c r="DX137" s="934"/>
      <c r="DY137" s="934"/>
      <c r="DZ137" s="934"/>
      <c r="EA137" s="934"/>
      <c r="EB137" s="934"/>
      <c r="EC137" s="934"/>
      <c r="ED137" s="934"/>
      <c r="EE137" s="934"/>
      <c r="EF137" s="934"/>
      <c r="EG137" s="934"/>
      <c r="EH137" s="934"/>
      <c r="EI137" s="934"/>
      <c r="EJ137" s="934"/>
      <c r="EK137" s="934"/>
      <c r="EL137" s="934"/>
      <c r="EM137" s="934"/>
      <c r="EN137" s="934"/>
      <c r="EO137" s="934"/>
      <c r="EP137" s="934"/>
      <c r="EQ137" s="934"/>
      <c r="ES137" s="934"/>
      <c r="ET137" s="934"/>
      <c r="EU137" s="934"/>
      <c r="EV137" s="934"/>
      <c r="EW137" s="934"/>
      <c r="EX137" s="934"/>
      <c r="EY137" s="934"/>
      <c r="EZ137" s="934"/>
      <c r="FA137" s="934"/>
      <c r="FB137" s="934"/>
      <c r="FC137" s="934"/>
      <c r="FD137" s="934"/>
      <c r="FF137" s="934"/>
      <c r="FG137" s="934"/>
      <c r="FH137" s="934"/>
      <c r="FI137" s="934"/>
      <c r="FJ137" s="934"/>
      <c r="FK137" s="934"/>
      <c r="FL137" s="934"/>
      <c r="FM137" s="934"/>
      <c r="FN137" s="934"/>
      <c r="FO137" s="934"/>
      <c r="FP137" s="934"/>
      <c r="FQ137" s="934"/>
      <c r="FS137" s="934"/>
      <c r="FT137" s="934"/>
      <c r="FU137" s="934"/>
      <c r="FV137" s="934"/>
      <c r="FW137" s="934"/>
      <c r="FX137" s="934"/>
      <c r="FY137" s="934"/>
      <c r="FZ137" s="934"/>
      <c r="GA137" s="934"/>
      <c r="GB137" s="934"/>
      <c r="GC137" s="934"/>
      <c r="GD137" s="934"/>
      <c r="GF137" s="934"/>
      <c r="GG137" s="934"/>
      <c r="GH137" s="934"/>
      <c r="GI137" s="934"/>
      <c r="GJ137" s="934"/>
      <c r="GK137" s="934"/>
      <c r="GL137" s="934"/>
      <c r="GM137" s="934"/>
      <c r="GN137" s="934"/>
      <c r="GO137" s="934"/>
      <c r="GP137" s="934"/>
      <c r="GQ137" s="934"/>
      <c r="GS137" s="934"/>
      <c r="GT137" s="934"/>
      <c r="GU137" s="934"/>
      <c r="GV137" s="934"/>
      <c r="GW137" s="934"/>
      <c r="GX137" s="934"/>
      <c r="GY137" s="934"/>
      <c r="GZ137" s="934"/>
      <c r="HA137" s="934"/>
      <c r="HB137" s="934"/>
      <c r="HC137" s="934"/>
      <c r="HD137" s="934"/>
    </row>
    <row r="139" spans="1:212">
      <c r="B139" s="936" t="s">
        <v>1030</v>
      </c>
      <c r="C139" s="937"/>
      <c r="D139" s="937"/>
      <c r="E139" s="937"/>
      <c r="F139" s="937"/>
      <c r="G139" s="937"/>
      <c r="H139" s="937"/>
      <c r="I139" s="937"/>
      <c r="J139" s="937"/>
      <c r="K139" s="937"/>
      <c r="L139" s="937"/>
      <c r="N139" s="938" t="s">
        <v>1031</v>
      </c>
      <c r="O139" s="939"/>
      <c r="P139" s="939"/>
      <c r="Q139" s="939"/>
      <c r="R139" s="939"/>
      <c r="S139" s="939"/>
      <c r="T139" s="939"/>
      <c r="U139" s="939"/>
      <c r="V139" s="939"/>
      <c r="W139" s="939"/>
      <c r="X139" s="939"/>
      <c r="Y139" s="939"/>
      <c r="AA139" s="940" t="s">
        <v>1032</v>
      </c>
      <c r="AB139" s="941"/>
      <c r="AC139" s="941"/>
      <c r="AD139" s="941"/>
      <c r="AE139" s="941"/>
      <c r="AF139" s="941"/>
      <c r="AG139" s="941"/>
      <c r="AH139" s="941"/>
      <c r="AI139" s="941"/>
      <c r="AJ139" s="941"/>
      <c r="AK139" s="941"/>
      <c r="AL139" s="941"/>
      <c r="AM139" s="941"/>
      <c r="AN139" s="941"/>
      <c r="AO139" s="941"/>
      <c r="AP139" s="941"/>
      <c r="AQ139" s="941"/>
      <c r="AR139" s="941"/>
      <c r="AS139" s="941"/>
      <c r="AT139" s="941"/>
      <c r="AU139" s="941"/>
      <c r="AV139" s="941"/>
      <c r="AW139" s="941"/>
      <c r="AX139" s="941"/>
      <c r="AY139" s="941"/>
      <c r="AZ139" s="941"/>
      <c r="BA139" s="941"/>
      <c r="BB139" s="941"/>
      <c r="BC139" s="941"/>
      <c r="BD139" s="941"/>
      <c r="BE139" s="941"/>
      <c r="BF139" s="941"/>
      <c r="BG139" s="941"/>
      <c r="BH139" s="941"/>
      <c r="BI139" s="941"/>
      <c r="BJ139" s="941"/>
      <c r="BK139" s="941"/>
      <c r="BL139" s="941"/>
      <c r="BM139" s="941"/>
      <c r="BN139" s="941"/>
      <c r="BO139" s="941"/>
      <c r="BP139" s="941"/>
      <c r="BQ139" s="941"/>
      <c r="BR139" s="941"/>
      <c r="BS139" s="941"/>
      <c r="BT139" s="941"/>
      <c r="BU139" s="941"/>
      <c r="BV139" s="941"/>
      <c r="BW139" s="941"/>
      <c r="BX139" s="941"/>
      <c r="BY139" s="941"/>
      <c r="BZ139" s="941"/>
      <c r="CA139" s="941"/>
      <c r="CB139" s="941"/>
      <c r="CC139" s="941"/>
      <c r="CD139" s="941"/>
      <c r="CE139" s="941"/>
      <c r="CF139" s="941"/>
      <c r="CG139" s="941"/>
      <c r="CH139" s="941"/>
      <c r="CI139" s="941"/>
      <c r="CJ139" s="941"/>
      <c r="CK139" s="941"/>
      <c r="CL139" s="941"/>
      <c r="CM139" s="941"/>
      <c r="CN139" s="941"/>
      <c r="CO139" s="941"/>
      <c r="CP139" s="941"/>
      <c r="CQ139" s="941"/>
      <c r="CR139" s="941"/>
      <c r="CS139" s="941"/>
      <c r="CT139" s="941"/>
      <c r="CU139" s="941"/>
      <c r="CV139" s="941"/>
      <c r="CW139" s="941"/>
      <c r="CX139" s="941"/>
      <c r="CY139" s="941"/>
      <c r="CZ139" s="941"/>
      <c r="DA139" s="941"/>
      <c r="DB139" s="941"/>
      <c r="DC139" s="941"/>
      <c r="DD139" s="941"/>
      <c r="DE139" s="941"/>
      <c r="DF139" s="941"/>
      <c r="DG139" s="941"/>
      <c r="DH139" s="941"/>
      <c r="DI139" s="941"/>
      <c r="DK139" s="942" t="s">
        <v>1033</v>
      </c>
      <c r="DL139" s="943"/>
      <c r="DM139" s="943"/>
      <c r="DN139" s="943"/>
      <c r="DO139" s="943"/>
      <c r="DP139" s="943"/>
      <c r="DQ139" s="943"/>
      <c r="DR139" s="943"/>
      <c r="DS139" s="943"/>
      <c r="DT139" s="943"/>
      <c r="DU139" s="943"/>
      <c r="DV139" s="943"/>
      <c r="DW139" s="943"/>
      <c r="DX139" s="943"/>
      <c r="DY139" s="943"/>
      <c r="DZ139" s="943"/>
      <c r="EA139" s="943"/>
      <c r="EB139" s="943"/>
      <c r="EC139" s="943"/>
      <c r="ED139" s="943"/>
      <c r="EE139" s="943"/>
      <c r="EF139" s="943"/>
      <c r="EG139" s="943"/>
      <c r="EH139" s="943"/>
      <c r="EI139" s="943"/>
      <c r="EJ139" s="943"/>
      <c r="EK139" s="943"/>
      <c r="EL139" s="943"/>
      <c r="EM139" s="943"/>
      <c r="EN139" s="943"/>
      <c r="EO139" s="943"/>
      <c r="EP139" s="943"/>
      <c r="EQ139" s="943"/>
      <c r="ES139" s="943"/>
      <c r="ET139" s="943"/>
      <c r="EU139" s="943"/>
      <c r="EV139" s="943"/>
      <c r="EW139" s="943"/>
      <c r="EX139" s="943"/>
      <c r="EY139" s="943"/>
      <c r="EZ139" s="943"/>
      <c r="FA139" s="943"/>
      <c r="FB139" s="943"/>
      <c r="FC139" s="943"/>
      <c r="FD139" s="943"/>
      <c r="FF139" s="943"/>
      <c r="FG139" s="943"/>
      <c r="FH139" s="943"/>
      <c r="FI139" s="943"/>
      <c r="FJ139" s="943"/>
      <c r="FK139" s="943"/>
      <c r="FL139" s="943"/>
      <c r="FM139" s="943"/>
      <c r="FN139" s="943"/>
      <c r="FO139" s="943"/>
      <c r="FP139" s="943"/>
      <c r="FQ139" s="943"/>
      <c r="FS139" s="943"/>
      <c r="FT139" s="943"/>
      <c r="FU139" s="943"/>
      <c r="FV139" s="943"/>
      <c r="FW139" s="943"/>
      <c r="FX139" s="943"/>
      <c r="FY139" s="943"/>
      <c r="FZ139" s="943"/>
      <c r="GA139" s="943"/>
      <c r="GB139" s="943"/>
      <c r="GC139" s="943"/>
      <c r="GD139" s="943"/>
      <c r="GF139" s="943"/>
      <c r="GG139" s="943"/>
      <c r="GH139" s="943"/>
      <c r="GI139" s="943"/>
      <c r="GJ139" s="943"/>
      <c r="GK139" s="943"/>
      <c r="GL139" s="943"/>
      <c r="GM139" s="943"/>
      <c r="GN139" s="943"/>
      <c r="GO139" s="943"/>
      <c r="GP139" s="943"/>
      <c r="GQ139" s="943"/>
      <c r="GS139" s="943"/>
      <c r="GT139" s="943"/>
      <c r="GU139" s="943"/>
      <c r="GV139" s="943"/>
      <c r="GW139" s="943"/>
      <c r="GX139" s="943"/>
      <c r="GY139" s="943"/>
      <c r="GZ139" s="943"/>
      <c r="HA139" s="943"/>
      <c r="HB139" s="943"/>
      <c r="HC139" s="943"/>
      <c r="HD139" s="943"/>
    </row>
    <row r="141" spans="1:212" ht="57">
      <c r="B141" s="997" t="s">
        <v>114</v>
      </c>
      <c r="C141" s="1071" t="s">
        <v>1103</v>
      </c>
      <c r="D141" s="1102" t="s">
        <v>1104</v>
      </c>
      <c r="E141" s="1103" t="s">
        <v>1088</v>
      </c>
      <c r="F141" s="1104" t="s">
        <v>1105</v>
      </c>
      <c r="G141" s="1074" t="s">
        <v>1106</v>
      </c>
      <c r="H141" s="1105" t="s">
        <v>118</v>
      </c>
      <c r="I141" s="955" t="s">
        <v>1040</v>
      </c>
    </row>
    <row r="142" spans="1:212" ht="14.25">
      <c r="B142" s="984" t="s">
        <v>119</v>
      </c>
      <c r="C142" s="1076">
        <v>20</v>
      </c>
      <c r="D142" s="1106">
        <v>10</v>
      </c>
      <c r="E142" s="1025">
        <v>2</v>
      </c>
      <c r="F142" s="1106">
        <v>1</v>
      </c>
      <c r="G142" s="1077">
        <v>5</v>
      </c>
      <c r="H142" s="1027">
        <v>18</v>
      </c>
      <c r="I142" s="1078">
        <f>H142/C142</f>
        <v>0.9</v>
      </c>
      <c r="N142" s="961"/>
      <c r="O142" s="947"/>
      <c r="P142" s="962">
        <v>42370</v>
      </c>
      <c r="Q142" s="962">
        <v>42401</v>
      </c>
      <c r="R142" s="962">
        <v>42430</v>
      </c>
      <c r="S142" s="962">
        <v>42461</v>
      </c>
      <c r="T142" s="962">
        <v>42491</v>
      </c>
      <c r="U142" s="962">
        <v>42522</v>
      </c>
      <c r="V142" s="962">
        <v>42552</v>
      </c>
      <c r="W142" s="1012"/>
      <c r="X142" s="1012"/>
      <c r="Y142" s="1012"/>
      <c r="AA142" s="961"/>
      <c r="AB142" s="947"/>
      <c r="AC142" s="962">
        <v>42370</v>
      </c>
      <c r="AD142" s="962">
        <v>42401</v>
      </c>
      <c r="AE142" s="962">
        <v>42430</v>
      </c>
      <c r="AF142" s="962">
        <v>42461</v>
      </c>
      <c r="AG142" s="962">
        <v>42491</v>
      </c>
      <c r="AH142" s="962">
        <v>42522</v>
      </c>
      <c r="AI142" s="962">
        <v>42552</v>
      </c>
      <c r="AJ142" s="949" t="s">
        <v>1034</v>
      </c>
      <c r="AK142" s="963">
        <v>42583</v>
      </c>
      <c r="AL142" s="963">
        <v>42614</v>
      </c>
      <c r="AM142" s="963">
        <v>42644</v>
      </c>
      <c r="AN142" s="963">
        <v>42675</v>
      </c>
      <c r="AO142" s="963">
        <v>42705</v>
      </c>
      <c r="AP142" s="1013">
        <v>42736</v>
      </c>
      <c r="AQ142" s="1013">
        <v>42767</v>
      </c>
      <c r="AR142" s="1013">
        <v>42795</v>
      </c>
      <c r="AS142" s="1013">
        <v>42826</v>
      </c>
      <c r="AT142" s="1013">
        <v>42856</v>
      </c>
      <c r="AU142" s="1013">
        <v>42887</v>
      </c>
      <c r="AV142" s="1013">
        <v>42917</v>
      </c>
      <c r="AW142" s="1013">
        <v>42948</v>
      </c>
      <c r="AX142" s="1013">
        <v>42979</v>
      </c>
      <c r="AY142" s="1013">
        <v>43009</v>
      </c>
      <c r="AZ142" s="1013">
        <v>43040</v>
      </c>
      <c r="BA142" s="1013">
        <v>43070</v>
      </c>
      <c r="BB142" s="1013">
        <v>43101</v>
      </c>
      <c r="BC142" s="1013">
        <v>43132</v>
      </c>
      <c r="BD142" s="1013">
        <v>43160</v>
      </c>
      <c r="BE142" s="1013">
        <v>43191</v>
      </c>
      <c r="BF142" s="1013">
        <v>43221</v>
      </c>
      <c r="BG142" s="1013">
        <v>43252</v>
      </c>
      <c r="BH142" s="1013">
        <v>43282</v>
      </c>
      <c r="BI142" s="1013">
        <v>43313</v>
      </c>
      <c r="BJ142" s="1013">
        <v>43344</v>
      </c>
      <c r="BK142" s="1013">
        <v>43374</v>
      </c>
      <c r="BL142" s="1013">
        <v>43405</v>
      </c>
      <c r="BM142" s="1013">
        <v>43435</v>
      </c>
      <c r="BN142" s="1013">
        <v>43466</v>
      </c>
      <c r="BO142" s="1013">
        <v>43497</v>
      </c>
      <c r="BP142" s="1013">
        <v>43525</v>
      </c>
      <c r="BQ142" s="1013">
        <v>43556</v>
      </c>
      <c r="BR142" s="1013">
        <v>43586</v>
      </c>
      <c r="BS142" s="1013">
        <v>43617</v>
      </c>
      <c r="BT142" s="1013">
        <v>43647</v>
      </c>
      <c r="BU142" s="1013">
        <v>43678</v>
      </c>
      <c r="BV142" s="1013">
        <v>43709</v>
      </c>
      <c r="BW142" s="1013">
        <v>43739</v>
      </c>
      <c r="BX142" s="1013">
        <v>43770</v>
      </c>
      <c r="BY142" s="1013">
        <v>43800</v>
      </c>
      <c r="BZ142" s="1013">
        <v>43831</v>
      </c>
      <c r="CA142" s="1013">
        <v>43862</v>
      </c>
      <c r="CB142" s="1013">
        <v>43891</v>
      </c>
      <c r="CC142" s="1013">
        <v>43922</v>
      </c>
      <c r="CD142" s="1013">
        <v>43952</v>
      </c>
      <c r="CE142" s="1013">
        <v>43983</v>
      </c>
      <c r="CF142" s="1013">
        <v>44013</v>
      </c>
      <c r="CG142" s="1013">
        <v>44044</v>
      </c>
      <c r="CH142" s="1013">
        <v>44075</v>
      </c>
      <c r="CI142" s="1013">
        <v>44105</v>
      </c>
      <c r="CJ142" s="1013">
        <v>44136</v>
      </c>
      <c r="CK142" s="1013">
        <v>44166</v>
      </c>
      <c r="CL142" s="1013">
        <v>44197</v>
      </c>
      <c r="CM142" s="1013">
        <v>44228</v>
      </c>
      <c r="CN142" s="1013">
        <v>44256</v>
      </c>
      <c r="CO142" s="1013">
        <v>44287</v>
      </c>
      <c r="CP142" s="1013">
        <v>44317</v>
      </c>
      <c r="CQ142" s="1013">
        <v>44348</v>
      </c>
      <c r="CR142" s="1013">
        <v>44378</v>
      </c>
      <c r="CS142" s="1013">
        <v>44409</v>
      </c>
      <c r="CT142" s="1013">
        <v>44440</v>
      </c>
      <c r="CU142" s="1013">
        <v>44470</v>
      </c>
      <c r="CV142" s="1013">
        <v>44501</v>
      </c>
      <c r="CW142" s="1013">
        <v>44531</v>
      </c>
      <c r="CX142" s="1013">
        <v>44562</v>
      </c>
      <c r="CY142" s="1013">
        <v>44593</v>
      </c>
      <c r="CZ142" s="1013">
        <v>44621</v>
      </c>
      <c r="DA142" s="1013">
        <v>44652</v>
      </c>
      <c r="DB142" s="1013">
        <v>44682</v>
      </c>
      <c r="DC142" s="1013">
        <v>44713</v>
      </c>
      <c r="DD142" s="1013">
        <v>44743</v>
      </c>
      <c r="DE142" s="1013">
        <v>44774</v>
      </c>
      <c r="DF142" s="1013">
        <v>44805</v>
      </c>
      <c r="DG142" s="1013">
        <v>44835</v>
      </c>
      <c r="DH142" s="1013">
        <v>44866</v>
      </c>
      <c r="DI142" s="1013">
        <v>44896</v>
      </c>
      <c r="DK142" s="961"/>
      <c r="DL142" s="947"/>
      <c r="DN142" s="964">
        <v>42583</v>
      </c>
      <c r="DO142" s="965">
        <v>42614</v>
      </c>
      <c r="DP142" s="965">
        <v>42644</v>
      </c>
      <c r="DQ142" s="965">
        <v>42675</v>
      </c>
      <c r="DR142" s="966">
        <v>42705</v>
      </c>
      <c r="DT142" s="964">
        <v>42583</v>
      </c>
      <c r="DU142" s="965">
        <v>42614</v>
      </c>
      <c r="DV142" s="965">
        <v>42644</v>
      </c>
      <c r="DW142" s="965">
        <v>42675</v>
      </c>
      <c r="DX142" s="966">
        <v>42705</v>
      </c>
      <c r="DZ142" s="964">
        <v>42583</v>
      </c>
      <c r="EA142" s="965">
        <v>42614</v>
      </c>
      <c r="EB142" s="965">
        <v>42644</v>
      </c>
      <c r="EC142" s="965">
        <v>42675</v>
      </c>
      <c r="ED142" s="966">
        <v>42705</v>
      </c>
      <c r="EF142" s="964">
        <v>42736</v>
      </c>
      <c r="EG142" s="965">
        <v>42767</v>
      </c>
      <c r="EH142" s="965">
        <v>42795</v>
      </c>
      <c r="EI142" s="965">
        <v>42826</v>
      </c>
      <c r="EJ142" s="965">
        <v>42856</v>
      </c>
      <c r="EK142" s="965">
        <v>42887</v>
      </c>
      <c r="EL142" s="965">
        <v>42917</v>
      </c>
      <c r="EM142" s="965">
        <v>42948</v>
      </c>
      <c r="EN142" s="965">
        <v>42979</v>
      </c>
      <c r="EO142" s="965">
        <v>43009</v>
      </c>
      <c r="EP142" s="965">
        <v>43040</v>
      </c>
      <c r="EQ142" s="966">
        <v>42705</v>
      </c>
      <c r="ES142" s="964">
        <v>43101</v>
      </c>
      <c r="ET142" s="1122">
        <v>43132</v>
      </c>
      <c r="EU142" s="1122">
        <v>43160</v>
      </c>
      <c r="EV142" s="1122">
        <v>43191</v>
      </c>
      <c r="EW142" s="1122">
        <v>43221</v>
      </c>
      <c r="EX142" s="1122">
        <v>43252</v>
      </c>
      <c r="EY142" s="1122">
        <v>43282</v>
      </c>
      <c r="EZ142" s="1122">
        <v>43313</v>
      </c>
      <c r="FA142" s="1122">
        <v>43344</v>
      </c>
      <c r="FB142" s="1122">
        <v>43374</v>
      </c>
      <c r="FC142" s="1122">
        <v>43405</v>
      </c>
      <c r="FD142" s="966">
        <v>43435</v>
      </c>
      <c r="FF142" s="964">
        <v>43466</v>
      </c>
      <c r="FG142" s="1122">
        <v>43497</v>
      </c>
      <c r="FH142" s="1122">
        <v>43525</v>
      </c>
      <c r="FI142" s="1122">
        <v>43556</v>
      </c>
      <c r="FJ142" s="1122">
        <v>43586</v>
      </c>
      <c r="FK142" s="1122">
        <v>43617</v>
      </c>
      <c r="FL142" s="1122">
        <v>43647</v>
      </c>
      <c r="FM142" s="1122">
        <v>43678</v>
      </c>
      <c r="FN142" s="1122">
        <v>43709</v>
      </c>
      <c r="FO142" s="1122">
        <v>43739</v>
      </c>
      <c r="FP142" s="1122">
        <v>43770</v>
      </c>
      <c r="FQ142" s="966">
        <v>43800</v>
      </c>
      <c r="FS142" s="964">
        <v>43831</v>
      </c>
      <c r="FT142" s="1122">
        <v>43862</v>
      </c>
      <c r="FU142" s="1122">
        <v>43891</v>
      </c>
      <c r="FV142" s="1122">
        <v>43922</v>
      </c>
      <c r="FW142" s="1122">
        <v>43952</v>
      </c>
      <c r="FX142" s="1122">
        <v>43983</v>
      </c>
      <c r="FY142" s="1122">
        <v>44013</v>
      </c>
      <c r="FZ142" s="1122">
        <v>44044</v>
      </c>
      <c r="GA142" s="1122">
        <v>44075</v>
      </c>
      <c r="GB142" s="1122">
        <v>44105</v>
      </c>
      <c r="GC142" s="1122">
        <v>44136</v>
      </c>
      <c r="GD142" s="966">
        <v>44166</v>
      </c>
      <c r="GF142" s="964">
        <v>44197</v>
      </c>
      <c r="GG142" s="1122">
        <v>44228</v>
      </c>
      <c r="GH142" s="1122">
        <v>44256</v>
      </c>
      <c r="GI142" s="1122">
        <v>44287</v>
      </c>
      <c r="GJ142" s="1122">
        <v>44317</v>
      </c>
      <c r="GK142" s="1122">
        <v>44348</v>
      </c>
      <c r="GL142" s="1122">
        <v>44378</v>
      </c>
      <c r="GM142" s="1122">
        <v>44409</v>
      </c>
      <c r="GN142" s="1122">
        <v>44440</v>
      </c>
      <c r="GO142" s="1122">
        <v>44470</v>
      </c>
      <c r="GP142" s="1122">
        <v>44501</v>
      </c>
      <c r="GQ142" s="966">
        <v>44531</v>
      </c>
      <c r="GS142" s="964">
        <v>44562</v>
      </c>
      <c r="GT142" s="1122">
        <v>44593</v>
      </c>
      <c r="GU142" s="1122">
        <v>44621</v>
      </c>
      <c r="GV142" s="1122">
        <v>44652</v>
      </c>
      <c r="GW142" s="1122">
        <v>44682</v>
      </c>
      <c r="GX142" s="1122">
        <v>44713</v>
      </c>
      <c r="GY142" s="1122">
        <v>44743</v>
      </c>
      <c r="GZ142" s="1122">
        <v>44774</v>
      </c>
      <c r="HA142" s="1122">
        <v>44805</v>
      </c>
      <c r="HB142" s="1122">
        <v>44835</v>
      </c>
      <c r="HC142" s="1122">
        <v>44866</v>
      </c>
      <c r="HD142" s="966">
        <v>44896</v>
      </c>
    </row>
    <row r="143" spans="1:212" ht="14.25">
      <c r="B143" s="984" t="s">
        <v>120</v>
      </c>
      <c r="C143" s="1076">
        <v>40</v>
      </c>
      <c r="D143" s="1107">
        <v>10</v>
      </c>
      <c r="E143" s="1025">
        <v>3</v>
      </c>
      <c r="F143" s="1107">
        <v>2</v>
      </c>
      <c r="G143" s="1079">
        <v>9</v>
      </c>
      <c r="H143" s="1027">
        <v>18</v>
      </c>
      <c r="I143" s="1078">
        <f t="shared" ref="I143:I153" si="807">H143/C143</f>
        <v>0.45</v>
      </c>
      <c r="N143" s="931" t="s">
        <v>206</v>
      </c>
      <c r="O143" s="950"/>
      <c r="P143" s="951">
        <f>[5]Assumption!D4</f>
        <v>13641.9247</v>
      </c>
      <c r="Q143" s="951">
        <f>[5]Assumption!E4</f>
        <v>13892.638999999999</v>
      </c>
      <c r="R143" s="951">
        <f>[5]Assumption!F4</f>
        <v>33141.966699999997</v>
      </c>
      <c r="S143" s="951">
        <f>[5]Assumption!G4</f>
        <v>30639.373500000002</v>
      </c>
      <c r="T143" s="951">
        <f>[5]Assumption!H4</f>
        <v>27458.014999999999</v>
      </c>
      <c r="U143" s="951">
        <f>[5]Assumption!I4</f>
        <v>41468.133600000001</v>
      </c>
      <c r="V143" s="951">
        <f>[5]Assumption!J4</f>
        <v>29747.920999999998</v>
      </c>
      <c r="W143" s="951"/>
      <c r="X143" s="951"/>
      <c r="Y143" s="951"/>
      <c r="AA143" s="931" t="s">
        <v>206</v>
      </c>
      <c r="AB143" s="950"/>
      <c r="AC143" s="951"/>
      <c r="AD143" s="951"/>
      <c r="AE143" s="951"/>
      <c r="AF143" s="951"/>
      <c r="AG143" s="951"/>
      <c r="AH143" s="951"/>
      <c r="AI143" s="951"/>
      <c r="DK143" s="931" t="s">
        <v>206</v>
      </c>
      <c r="DL143" s="950"/>
      <c r="DN143" s="985">
        <f>[5]Assumption!K4</f>
        <v>31024.388999999999</v>
      </c>
      <c r="DO143" s="992">
        <f>[5]Assumption!L4</f>
        <v>57115.435752778605</v>
      </c>
      <c r="DP143" s="992">
        <f>[5]Assumption!M4</f>
        <v>47631.558536618817</v>
      </c>
      <c r="DQ143" s="992">
        <f>[5]Assumption!N4</f>
        <v>53942.523858297791</v>
      </c>
      <c r="DR143" s="986">
        <f>[5]Assumption!O4</f>
        <v>70376.045614909744</v>
      </c>
      <c r="DT143" s="985">
        <f>[5]Assumption!K4</f>
        <v>31024.388999999999</v>
      </c>
      <c r="DU143" s="992">
        <f>[5]Assumption!L4</f>
        <v>57115.435752778605</v>
      </c>
      <c r="DV143" s="992">
        <f>[5]Assumption!M4</f>
        <v>47631.558536618817</v>
      </c>
      <c r="DW143" s="992">
        <f>[5]Assumption!N4</f>
        <v>53942.523858297791</v>
      </c>
      <c r="DX143" s="986">
        <f>[5]Assumption!O4</f>
        <v>70376.045614909744</v>
      </c>
      <c r="DZ143" s="985">
        <f>[5]Assumption!K4</f>
        <v>31024.388999999999</v>
      </c>
      <c r="EA143" s="992">
        <f>[5]Assumption!L4</f>
        <v>57115.435752778605</v>
      </c>
      <c r="EB143" s="992">
        <f>[5]Assumption!M4</f>
        <v>47631.558536618817</v>
      </c>
      <c r="EC143" s="992">
        <f>[5]Assumption!N4</f>
        <v>53942.523858297791</v>
      </c>
      <c r="ED143" s="986">
        <f>[5]Assumption!O4</f>
        <v>70376.045614909744</v>
      </c>
      <c r="EF143" s="985">
        <f>EF97</f>
        <v>20736.276566486489</v>
      </c>
      <c r="EG143" s="992">
        <f t="shared" ref="EG143:EQ143" si="808">EG97</f>
        <v>20450.289683551138</v>
      </c>
      <c r="EH143" s="992">
        <f t="shared" si="808"/>
        <v>48684.979787795397</v>
      </c>
      <c r="EI143" s="992">
        <f t="shared" si="808"/>
        <v>48320.230219621044</v>
      </c>
      <c r="EJ143" s="992">
        <f t="shared" si="808"/>
        <v>56564.783938693159</v>
      </c>
      <c r="EK143" s="992">
        <f t="shared" si="808"/>
        <v>63686.621018721395</v>
      </c>
      <c r="EL143" s="992">
        <f t="shared" si="808"/>
        <v>58694.06419691677</v>
      </c>
      <c r="EM143" s="992">
        <f t="shared" si="808"/>
        <v>65223.264761786886</v>
      </c>
      <c r="EN143" s="992">
        <f t="shared" si="808"/>
        <v>72867.135893726023</v>
      </c>
      <c r="EO143" s="992">
        <f t="shared" si="808"/>
        <v>68942.009470975565</v>
      </c>
      <c r="EP143" s="992">
        <f t="shared" si="808"/>
        <v>76422.789764412955</v>
      </c>
      <c r="EQ143" s="986">
        <f t="shared" si="808"/>
        <v>85561.107264922015</v>
      </c>
      <c r="ES143" s="985">
        <f>ES97</f>
        <v>33634.87184066388</v>
      </c>
      <c r="ET143" s="992">
        <f t="shared" ref="ET143:FD143" si="809">ET97</f>
        <v>31605.909403366346</v>
      </c>
      <c r="EU143" s="992">
        <f t="shared" si="809"/>
        <v>69270.736047451515</v>
      </c>
      <c r="EV143" s="992">
        <f t="shared" si="809"/>
        <v>68993.157764707124</v>
      </c>
      <c r="EW143" s="992">
        <f t="shared" si="809"/>
        <v>79757.509393595945</v>
      </c>
      <c r="EX143" s="992">
        <f t="shared" si="809"/>
        <v>86426.017720658405</v>
      </c>
      <c r="EY143" s="992">
        <f t="shared" si="809"/>
        <v>81303.597495043112</v>
      </c>
      <c r="EZ143" s="992">
        <f t="shared" si="809"/>
        <v>90323.510560228984</v>
      </c>
      <c r="FA143" s="992">
        <f t="shared" si="809"/>
        <v>99856.734877479015</v>
      </c>
      <c r="FB143" s="992">
        <f t="shared" si="809"/>
        <v>94095.128673818224</v>
      </c>
      <c r="FC143" s="992">
        <f t="shared" si="809"/>
        <v>102732.11183509197</v>
      </c>
      <c r="FD143" s="986">
        <f t="shared" si="809"/>
        <v>110588.30482163659</v>
      </c>
      <c r="FF143" s="985">
        <f>FF97</f>
        <v>46318.349922487585</v>
      </c>
      <c r="FG143" s="992">
        <f t="shared" ref="FG143:FQ143" si="810">FG97</f>
        <v>43005.179342212272</v>
      </c>
      <c r="FH143" s="992">
        <f t="shared" si="810"/>
        <v>98133.872946411808</v>
      </c>
      <c r="FI143" s="992">
        <f t="shared" si="810"/>
        <v>96299.872808433443</v>
      </c>
      <c r="FJ143" s="992">
        <f t="shared" si="810"/>
        <v>111182.80365888127</v>
      </c>
      <c r="FK143" s="992">
        <f t="shared" si="810"/>
        <v>119200.54428490785</v>
      </c>
      <c r="FL143" s="992">
        <f t="shared" si="810"/>
        <v>113362.15964138735</v>
      </c>
      <c r="FM143" s="992">
        <f t="shared" si="810"/>
        <v>125688.20032751787</v>
      </c>
      <c r="FN143" s="992">
        <f t="shared" si="810"/>
        <v>138762.26956290167</v>
      </c>
      <c r="FO143" s="992">
        <f t="shared" si="810"/>
        <v>132466.46696807331</v>
      </c>
      <c r="FP143" s="992">
        <f t="shared" si="810"/>
        <v>143880.03889398318</v>
      </c>
      <c r="FQ143" s="986">
        <f t="shared" si="810"/>
        <v>155348.77457851273</v>
      </c>
      <c r="FS143" s="985">
        <f>FS97</f>
        <v>61647.896999521479</v>
      </c>
      <c r="FT143" s="992">
        <f t="shared" ref="FT143:GD143" si="811">FT97</f>
        <v>57434.081744434043</v>
      </c>
      <c r="FU143" s="992">
        <f t="shared" si="811"/>
        <v>129200.72136715053</v>
      </c>
      <c r="FV143" s="992">
        <f t="shared" si="811"/>
        <v>128308.48034392958</v>
      </c>
      <c r="FW143" s="992">
        <f t="shared" si="811"/>
        <v>146860.52938208671</v>
      </c>
      <c r="FX143" s="992">
        <f t="shared" si="811"/>
        <v>155524.25254895756</v>
      </c>
      <c r="FY143" s="992">
        <f t="shared" si="811"/>
        <v>148398.75353611138</v>
      </c>
      <c r="FZ143" s="992">
        <f t="shared" si="811"/>
        <v>163072.75855433659</v>
      </c>
      <c r="GA143" s="992">
        <f t="shared" si="811"/>
        <v>179474.28221131454</v>
      </c>
      <c r="GB143" s="992">
        <f t="shared" si="811"/>
        <v>169825.29204644155</v>
      </c>
      <c r="GC143" s="992">
        <f t="shared" si="811"/>
        <v>182638.97724914533</v>
      </c>
      <c r="GD143" s="986">
        <f t="shared" si="811"/>
        <v>195891.76575396219</v>
      </c>
      <c r="GF143" s="985">
        <f>GF97</f>
        <v>79773.566176795241</v>
      </c>
      <c r="GG143" s="992">
        <f t="shared" ref="GG143:GQ143" si="812">GG97</f>
        <v>73960.874577816241</v>
      </c>
      <c r="GH143" s="992">
        <f t="shared" si="812"/>
        <v>166045.69701742672</v>
      </c>
      <c r="GI143" s="992">
        <f t="shared" si="812"/>
        <v>165098.28269728503</v>
      </c>
      <c r="GJ143" s="992">
        <f t="shared" si="812"/>
        <v>188943.1789052675</v>
      </c>
      <c r="GK143" s="992">
        <f t="shared" si="812"/>
        <v>200169.61300769183</v>
      </c>
      <c r="GL143" s="992">
        <f t="shared" si="812"/>
        <v>191093.14991266411</v>
      </c>
      <c r="GM143" s="992">
        <f t="shared" si="812"/>
        <v>212241.04562907212</v>
      </c>
      <c r="GN143" s="992">
        <f t="shared" si="812"/>
        <v>233831.69508343982</v>
      </c>
      <c r="GO143" s="992">
        <f t="shared" si="812"/>
        <v>221837.58026768558</v>
      </c>
      <c r="GP143" s="992">
        <f t="shared" si="812"/>
        <v>240114.07890424004</v>
      </c>
      <c r="GQ143" s="986">
        <f t="shared" si="812"/>
        <v>258165.48648485605</v>
      </c>
      <c r="GS143" s="985">
        <f>GS97</f>
        <v>102243.17354613698</v>
      </c>
      <c r="GT143" s="992">
        <f t="shared" ref="GT143:HD143" si="813">GT97</f>
        <v>94914.436736920587</v>
      </c>
      <c r="GU143" s="992">
        <f t="shared" si="813"/>
        <v>213376.11169026361</v>
      </c>
      <c r="GV143" s="992">
        <f t="shared" si="813"/>
        <v>212686.06389340316</v>
      </c>
      <c r="GW143" s="992">
        <f t="shared" si="813"/>
        <v>243766.73602706607</v>
      </c>
      <c r="GX143" s="992">
        <f t="shared" si="813"/>
        <v>258677.59641993258</v>
      </c>
      <c r="GY143" s="992">
        <f t="shared" si="813"/>
        <v>247325.83416245971</v>
      </c>
      <c r="GZ143" s="992">
        <f t="shared" si="813"/>
        <v>274551.78277930809</v>
      </c>
      <c r="HA143" s="992">
        <f t="shared" si="813"/>
        <v>302543.5324840942</v>
      </c>
      <c r="HB143" s="992">
        <f t="shared" si="813"/>
        <v>290274.66133140703</v>
      </c>
      <c r="HC143" s="992">
        <f t="shared" si="813"/>
        <v>317209.68443916366</v>
      </c>
      <c r="HD143" s="986">
        <f t="shared" si="813"/>
        <v>341316.06647489819</v>
      </c>
    </row>
    <row r="144" spans="1:212" ht="14.25">
      <c r="B144" s="984" t="s">
        <v>121</v>
      </c>
      <c r="C144" s="1076">
        <v>60</v>
      </c>
      <c r="D144" s="1107">
        <v>10</v>
      </c>
      <c r="E144" s="1025">
        <v>4</v>
      </c>
      <c r="F144" s="1107">
        <v>2</v>
      </c>
      <c r="G144" s="1079">
        <v>10</v>
      </c>
      <c r="H144" s="1027">
        <v>18</v>
      </c>
      <c r="I144" s="1078">
        <f t="shared" si="807"/>
        <v>0.3</v>
      </c>
      <c r="N144" s="931" t="s">
        <v>1035</v>
      </c>
      <c r="O144" s="950"/>
      <c r="P144" s="951">
        <f>[5]Assumption!D5</f>
        <v>4254.7024700000002</v>
      </c>
      <c r="Q144" s="951">
        <f>[5]Assumption!E5</f>
        <v>4245.9432999999999</v>
      </c>
      <c r="R144" s="951">
        <f>[5]Assumption!F5</f>
        <v>10233.976975</v>
      </c>
      <c r="S144" s="951">
        <f>[5]Assumption!G5</f>
        <v>9777.6431200000006</v>
      </c>
      <c r="T144" s="951">
        <f>[5]Assumption!H5</f>
        <v>8583.7165700000005</v>
      </c>
      <c r="U144" s="951">
        <f>[5]Assumption!I5</f>
        <v>12969.911534999999</v>
      </c>
      <c r="V144" s="951">
        <f>[5]Assumption!J5</f>
        <v>9370.4067799999993</v>
      </c>
      <c r="W144" s="951"/>
      <c r="X144" s="951"/>
      <c r="Y144" s="951"/>
      <c r="AA144" s="931" t="s">
        <v>1035</v>
      </c>
      <c r="AB144" s="950"/>
      <c r="AC144" s="951"/>
      <c r="AD144" s="951"/>
      <c r="AE144" s="951"/>
      <c r="AF144" s="951"/>
      <c r="AG144" s="951"/>
      <c r="AH144" s="951"/>
      <c r="AI144" s="951"/>
      <c r="DK144" s="931" t="s">
        <v>1035</v>
      </c>
      <c r="DL144" s="950"/>
      <c r="DN144" s="953">
        <f>[5]Assumption!K5</f>
        <v>9881.3886650000004</v>
      </c>
      <c r="DO144" s="967">
        <f>[5]Assumption!L5</f>
        <v>18276.939440889153</v>
      </c>
      <c r="DP144" s="967">
        <f>[5]Assumption!M5</f>
        <v>15242.098731718022</v>
      </c>
      <c r="DQ144" s="967">
        <f>[5]Assumption!N5</f>
        <v>17261.607634655295</v>
      </c>
      <c r="DR144" s="954">
        <f>[5]Assumption!O5</f>
        <v>22520.334596771118</v>
      </c>
      <c r="DT144" s="953">
        <f>[5]Assumption!K5</f>
        <v>9881.3886650000004</v>
      </c>
      <c r="DU144" s="967">
        <f>[5]Assumption!L5</f>
        <v>18276.939440889153</v>
      </c>
      <c r="DV144" s="967">
        <f>[5]Assumption!M5</f>
        <v>15242.098731718022</v>
      </c>
      <c r="DW144" s="967">
        <f>[5]Assumption!N5</f>
        <v>17261.607634655295</v>
      </c>
      <c r="DX144" s="954">
        <f>[5]Assumption!O5</f>
        <v>22520.334596771118</v>
      </c>
      <c r="DZ144" s="953">
        <f>[5]Assumption!K5</f>
        <v>9881.3886650000004</v>
      </c>
      <c r="EA144" s="967">
        <f>[5]Assumption!L5</f>
        <v>18276.939440889153</v>
      </c>
      <c r="EB144" s="967">
        <f>[5]Assumption!M5</f>
        <v>15242.098731718022</v>
      </c>
      <c r="EC144" s="967">
        <f>[5]Assumption!N5</f>
        <v>17261.607634655295</v>
      </c>
      <c r="ED144" s="954">
        <f>[5]Assumption!O5</f>
        <v>22520.334596771118</v>
      </c>
      <c r="EF144" s="953">
        <f>EF98</f>
        <v>6566.4125173686261</v>
      </c>
      <c r="EG144" s="967">
        <f t="shared" ref="EG144:EQ144" si="814">EG98</f>
        <v>6475.8510396660695</v>
      </c>
      <c r="EH144" s="967">
        <f t="shared" si="814"/>
        <v>15416.734034261828</v>
      </c>
      <c r="EI144" s="967">
        <f t="shared" si="814"/>
        <v>15301.231324675296</v>
      </c>
      <c r="EJ144" s="967">
        <f t="shared" si="814"/>
        <v>17911.976825076679</v>
      </c>
      <c r="EK144" s="967">
        <f t="shared" si="814"/>
        <v>20167.199453836263</v>
      </c>
      <c r="EL144" s="967">
        <f t="shared" si="814"/>
        <v>18586.241199192056</v>
      </c>
      <c r="EM144" s="967">
        <f t="shared" si="814"/>
        <v>20653.797743401374</v>
      </c>
      <c r="EN144" s="967">
        <f t="shared" si="814"/>
        <v>23074.329265585948</v>
      </c>
      <c r="EO144" s="967">
        <f t="shared" si="814"/>
        <v>21831.386773380847</v>
      </c>
      <c r="EP144" s="967">
        <f t="shared" si="814"/>
        <v>24200.273453736063</v>
      </c>
      <c r="EQ144" s="954">
        <f t="shared" si="814"/>
        <v>27094.040916309925</v>
      </c>
      <c r="ES144" s="953">
        <f>ES98</f>
        <v>10650.920996664106</v>
      </c>
      <c r="ET144" s="967">
        <f t="shared" ref="ET144:FD144" si="815">ET98</f>
        <v>10008.423569374116</v>
      </c>
      <c r="EU144" s="967">
        <f t="shared" si="815"/>
        <v>21935.482332660376</v>
      </c>
      <c r="EV144" s="967">
        <f t="shared" si="815"/>
        <v>21847.58354791383</v>
      </c>
      <c r="EW144" s="967">
        <f t="shared" si="815"/>
        <v>25256.255931823365</v>
      </c>
      <c r="EX144" s="967">
        <f t="shared" si="815"/>
        <v>27367.926096455009</v>
      </c>
      <c r="EY144" s="967">
        <f t="shared" si="815"/>
        <v>25745.844900688931</v>
      </c>
      <c r="EZ144" s="967">
        <f t="shared" si="815"/>
        <v>28602.118054015653</v>
      </c>
      <c r="FA144" s="967">
        <f t="shared" si="815"/>
        <v>31620.937912391037</v>
      </c>
      <c r="FB144" s="967">
        <f t="shared" si="815"/>
        <v>29796.450137328666</v>
      </c>
      <c r="FC144" s="967">
        <f t="shared" si="815"/>
        <v>32531.463540561814</v>
      </c>
      <c r="FD144" s="954">
        <f t="shared" si="815"/>
        <v>35019.229548133488</v>
      </c>
      <c r="FF144" s="953">
        <f>FF98</f>
        <v>14667.309810404229</v>
      </c>
      <c r="FG144" s="967">
        <f t="shared" ref="FG144:FQ144" si="816">FG98</f>
        <v>13618.151119800234</v>
      </c>
      <c r="FH144" s="967">
        <f t="shared" si="816"/>
        <v>31075.3712040389</v>
      </c>
      <c r="FI144" s="967">
        <f t="shared" si="816"/>
        <v>30494.611132467508</v>
      </c>
      <c r="FJ144" s="967">
        <f t="shared" si="816"/>
        <v>35207.485361269857</v>
      </c>
      <c r="FK144" s="967">
        <f t="shared" si="816"/>
        <v>37746.407536567429</v>
      </c>
      <c r="FL144" s="967">
        <f t="shared" si="816"/>
        <v>35897.606866808535</v>
      </c>
      <c r="FM144" s="967">
        <f t="shared" si="816"/>
        <v>39800.808465778937</v>
      </c>
      <c r="FN144" s="967">
        <f t="shared" si="816"/>
        <v>43940.883064268652</v>
      </c>
      <c r="FO144" s="967">
        <f t="shared" si="816"/>
        <v>41947.235032375742</v>
      </c>
      <c r="FP144" s="967">
        <f t="shared" si="816"/>
        <v>45561.491493601192</v>
      </c>
      <c r="FQ144" s="954">
        <f t="shared" si="816"/>
        <v>49193.216278705528</v>
      </c>
      <c r="FS144" s="953">
        <f>FS98</f>
        <v>19521.610894279223</v>
      </c>
      <c r="FT144" s="967">
        <f t="shared" ref="FT144:GD144" si="817">FT98</f>
        <v>18187.251316841677</v>
      </c>
      <c r="FU144" s="967">
        <f t="shared" si="817"/>
        <v>40913.094080229173</v>
      </c>
      <c r="FV144" s="967">
        <f t="shared" si="817"/>
        <v>40630.554319312949</v>
      </c>
      <c r="FW144" s="967">
        <f t="shared" si="817"/>
        <v>46505.30269259974</v>
      </c>
      <c r="FX144" s="967">
        <f t="shared" si="817"/>
        <v>49248.783667477415</v>
      </c>
      <c r="FY144" s="967">
        <f t="shared" si="817"/>
        <v>46992.401439914429</v>
      </c>
      <c r="FZ144" s="967">
        <f t="shared" si="817"/>
        <v>51639.116578124522</v>
      </c>
      <c r="GA144" s="967">
        <f t="shared" si="817"/>
        <v>56832.873031930634</v>
      </c>
      <c r="GB144" s="967">
        <f t="shared" si="817"/>
        <v>53777.394407528576</v>
      </c>
      <c r="GC144" s="967">
        <f t="shared" si="817"/>
        <v>57835.015004885019</v>
      </c>
      <c r="GD144" s="954">
        <f t="shared" si="817"/>
        <v>62031.683391759907</v>
      </c>
      <c r="GF144" s="953">
        <f>GF98</f>
        <v>25261.340521713475</v>
      </c>
      <c r="GG144" s="967">
        <f t="shared" ref="GG144:GQ144" si="818">GG98</f>
        <v>23420.675889721333</v>
      </c>
      <c r="GH144" s="967">
        <f t="shared" si="818"/>
        <v>52580.536329872622</v>
      </c>
      <c r="GI144" s="967">
        <f t="shared" si="818"/>
        <v>52280.525224650046</v>
      </c>
      <c r="GJ144" s="967">
        <f t="shared" si="818"/>
        <v>59831.322709117703</v>
      </c>
      <c r="GK144" s="967">
        <f t="shared" si="818"/>
        <v>63386.31953698185</v>
      </c>
      <c r="GL144" s="967">
        <f t="shared" si="818"/>
        <v>60512.139078907312</v>
      </c>
      <c r="GM144" s="967">
        <f t="shared" si="818"/>
        <v>67208.896170421984</v>
      </c>
      <c r="GN144" s="967">
        <f t="shared" si="818"/>
        <v>74045.857009592539</v>
      </c>
      <c r="GO144" s="967">
        <f t="shared" si="818"/>
        <v>70247.76406805584</v>
      </c>
      <c r="GP144" s="967">
        <f t="shared" si="818"/>
        <v>76035.255811617026</v>
      </c>
      <c r="GQ144" s="954">
        <f t="shared" si="818"/>
        <v>81751.469535591474</v>
      </c>
      <c r="GS144" s="953">
        <f>GS98</f>
        <v>32376.634852271472</v>
      </c>
      <c r="GT144" s="967">
        <f t="shared" ref="GT144:HD144" si="819">GT98</f>
        <v>30055.894724879705</v>
      </c>
      <c r="GU144" s="967">
        <f t="shared" si="819"/>
        <v>67568.329647707578</v>
      </c>
      <c r="GV144" s="967">
        <f t="shared" si="819"/>
        <v>67349.817009898237</v>
      </c>
      <c r="GW144" s="967">
        <f t="shared" si="819"/>
        <v>77191.917345141526</v>
      </c>
      <c r="GX144" s="967">
        <f t="shared" si="819"/>
        <v>81913.635827942635</v>
      </c>
      <c r="GY144" s="967">
        <f t="shared" si="819"/>
        <v>78318.95220464775</v>
      </c>
      <c r="GZ144" s="967">
        <f t="shared" si="819"/>
        <v>86940.404046385011</v>
      </c>
      <c r="HA144" s="967">
        <f t="shared" si="819"/>
        <v>95804.356793891246</v>
      </c>
      <c r="HB144" s="967">
        <f t="shared" si="819"/>
        <v>91919.258673566641</v>
      </c>
      <c r="HC144" s="967">
        <f t="shared" si="819"/>
        <v>100448.58515719553</v>
      </c>
      <c r="HD144" s="954">
        <f t="shared" si="819"/>
        <v>108082.18554058095</v>
      </c>
    </row>
    <row r="145" spans="2:212" ht="14.25">
      <c r="B145" s="984" t="s">
        <v>122</v>
      </c>
      <c r="C145" s="1076">
        <v>90</v>
      </c>
      <c r="D145" s="1107">
        <v>20</v>
      </c>
      <c r="E145" s="993">
        <v>6</v>
      </c>
      <c r="F145" s="1107">
        <v>2</v>
      </c>
      <c r="G145" s="1079"/>
      <c r="H145" s="1032">
        <v>15</v>
      </c>
      <c r="I145" s="1078">
        <f t="shared" si="807"/>
        <v>0.16666666666666666</v>
      </c>
      <c r="N145" s="931" t="s">
        <v>1107</v>
      </c>
      <c r="O145" s="950"/>
      <c r="P145" s="951">
        <f>[5]Assumption!D17</f>
        <v>32</v>
      </c>
      <c r="Q145" s="951">
        <f>[5]Assumption!E17</f>
        <v>33</v>
      </c>
      <c r="R145" s="951">
        <f>[5]Assumption!F17</f>
        <v>36</v>
      </c>
      <c r="S145" s="951">
        <f>[5]Assumption!G17</f>
        <v>38</v>
      </c>
      <c r="T145" s="951">
        <f>[5]Assumption!H17</f>
        <v>38</v>
      </c>
      <c r="U145" s="951">
        <f>[5]Assumption!I17</f>
        <v>45</v>
      </c>
      <c r="V145" s="951">
        <f>[5]Assumption!J17</f>
        <v>47</v>
      </c>
      <c r="W145" s="951"/>
      <c r="X145" s="951"/>
      <c r="Y145" s="951"/>
      <c r="AA145" s="931" t="s">
        <v>1107</v>
      </c>
      <c r="AB145" s="950"/>
      <c r="AC145" s="951"/>
      <c r="AD145" s="951"/>
      <c r="AE145" s="951"/>
      <c r="AF145" s="951"/>
      <c r="AG145" s="951"/>
      <c r="AH145" s="951"/>
      <c r="AI145" s="951"/>
      <c r="DK145" s="931" t="s">
        <v>1107</v>
      </c>
      <c r="DL145" s="950"/>
      <c r="DN145" s="969">
        <f>[5]Assumption!K17</f>
        <v>50</v>
      </c>
      <c r="DO145" s="970">
        <f>[5]Assumption!L17</f>
        <v>56</v>
      </c>
      <c r="DP145" s="970">
        <f>[5]Assumption!M17</f>
        <v>60</v>
      </c>
      <c r="DQ145" s="970">
        <f>[5]Assumption!N17</f>
        <v>62</v>
      </c>
      <c r="DR145" s="950">
        <f>[5]Assumption!O17</f>
        <v>64</v>
      </c>
      <c r="DT145" s="969">
        <f>[5]Assumption!K17</f>
        <v>50</v>
      </c>
      <c r="DU145" s="970">
        <f>[5]Assumption!L17</f>
        <v>56</v>
      </c>
      <c r="DV145" s="970">
        <f>[5]Assumption!M17</f>
        <v>60</v>
      </c>
      <c r="DW145" s="970">
        <f>[5]Assumption!N17</f>
        <v>62</v>
      </c>
      <c r="DX145" s="950">
        <f>[5]Assumption!O17</f>
        <v>64</v>
      </c>
      <c r="DZ145" s="969">
        <f>[5]Assumption!K17</f>
        <v>50</v>
      </c>
      <c r="EA145" s="970">
        <f>[5]Assumption!L17</f>
        <v>56</v>
      </c>
      <c r="EB145" s="970">
        <f>[5]Assumption!M17</f>
        <v>60</v>
      </c>
      <c r="EC145" s="970">
        <f>[5]Assumption!N17</f>
        <v>62</v>
      </c>
      <c r="ED145" s="950">
        <f>[5]Assumption!O17</f>
        <v>64</v>
      </c>
      <c r="EF145" s="969"/>
      <c r="EG145" s="970"/>
      <c r="EH145" s="970"/>
      <c r="EI145" s="970"/>
      <c r="EJ145" s="970"/>
      <c r="EK145" s="970"/>
      <c r="EL145" s="970"/>
      <c r="EM145" s="970"/>
      <c r="EN145" s="970"/>
      <c r="EO145" s="970"/>
      <c r="EP145" s="970"/>
      <c r="EQ145" s="950"/>
      <c r="ES145" s="969"/>
      <c r="ET145" s="970"/>
      <c r="EU145" s="970"/>
      <c r="EV145" s="970"/>
      <c r="EW145" s="970"/>
      <c r="EX145" s="970"/>
      <c r="EY145" s="970"/>
      <c r="EZ145" s="970"/>
      <c r="FA145" s="970"/>
      <c r="FB145" s="970"/>
      <c r="FC145" s="970"/>
      <c r="FD145" s="950"/>
      <c r="FF145" s="969"/>
      <c r="FG145" s="970"/>
      <c r="FH145" s="970"/>
      <c r="FI145" s="970"/>
      <c r="FJ145" s="970"/>
      <c r="FK145" s="970"/>
      <c r="FL145" s="970"/>
      <c r="FM145" s="970"/>
      <c r="FN145" s="970"/>
      <c r="FO145" s="970"/>
      <c r="FP145" s="970"/>
      <c r="FQ145" s="950"/>
      <c r="FS145" s="969"/>
      <c r="FT145" s="970"/>
      <c r="FU145" s="970"/>
      <c r="FV145" s="970"/>
      <c r="FW145" s="970"/>
      <c r="FX145" s="970"/>
      <c r="FY145" s="970"/>
      <c r="FZ145" s="970"/>
      <c r="GA145" s="970"/>
      <c r="GB145" s="970"/>
      <c r="GC145" s="970"/>
      <c r="GD145" s="950"/>
      <c r="GF145" s="969"/>
      <c r="GG145" s="970"/>
      <c r="GH145" s="970"/>
      <c r="GI145" s="970"/>
      <c r="GJ145" s="970"/>
      <c r="GK145" s="970"/>
      <c r="GL145" s="970"/>
      <c r="GM145" s="970"/>
      <c r="GN145" s="970"/>
      <c r="GO145" s="970"/>
      <c r="GP145" s="970"/>
      <c r="GQ145" s="950"/>
      <c r="GS145" s="969"/>
      <c r="GT145" s="970"/>
      <c r="GU145" s="970"/>
      <c r="GV145" s="970"/>
      <c r="GW145" s="970"/>
      <c r="GX145" s="970"/>
      <c r="GY145" s="970"/>
      <c r="GZ145" s="970"/>
      <c r="HA145" s="970"/>
      <c r="HB145" s="970"/>
      <c r="HC145" s="970"/>
      <c r="HD145" s="950"/>
    </row>
    <row r="146" spans="2:212" ht="14.25">
      <c r="B146" s="984" t="s">
        <v>123</v>
      </c>
      <c r="C146" s="1076">
        <v>100</v>
      </c>
      <c r="D146" s="1107">
        <v>20</v>
      </c>
      <c r="E146" s="993">
        <v>8</v>
      </c>
      <c r="F146" s="1107">
        <v>3</v>
      </c>
      <c r="G146" s="1079"/>
      <c r="H146" s="1032">
        <v>15</v>
      </c>
      <c r="I146" s="1078">
        <f t="shared" si="807"/>
        <v>0.15</v>
      </c>
      <c r="N146" s="931" t="s">
        <v>1108</v>
      </c>
      <c r="O146" s="950"/>
      <c r="P146" s="951">
        <f>SUM(P151:P162)</f>
        <v>17</v>
      </c>
      <c r="Q146" s="951">
        <f t="shared" ref="Q146:V146" si="820">SUM(Q151:Q162)</f>
        <v>16</v>
      </c>
      <c r="R146" s="951">
        <f t="shared" si="820"/>
        <v>14</v>
      </c>
      <c r="S146" s="951">
        <f t="shared" si="820"/>
        <v>16</v>
      </c>
      <c r="T146" s="951">
        <f t="shared" si="820"/>
        <v>16</v>
      </c>
      <c r="U146" s="951">
        <f t="shared" si="820"/>
        <v>17</v>
      </c>
      <c r="V146" s="951">
        <f t="shared" si="820"/>
        <v>18</v>
      </c>
      <c r="W146" s="951"/>
      <c r="X146" s="951"/>
      <c r="Y146" s="951"/>
      <c r="AA146" s="931" t="s">
        <v>1109</v>
      </c>
      <c r="AB146" s="950"/>
      <c r="AC146" s="610">
        <f t="shared" ref="AC146:AI146" si="821">P146/P145</f>
        <v>0.53125</v>
      </c>
      <c r="AD146" s="610">
        <f t="shared" si="821"/>
        <v>0.48484848484848486</v>
      </c>
      <c r="AE146" s="610">
        <f t="shared" si="821"/>
        <v>0.3888888888888889</v>
      </c>
      <c r="AF146" s="610">
        <f t="shared" si="821"/>
        <v>0.42105263157894735</v>
      </c>
      <c r="AG146" s="610">
        <f t="shared" si="821"/>
        <v>0.42105263157894735</v>
      </c>
      <c r="AH146" s="610">
        <f t="shared" si="821"/>
        <v>0.37777777777777777</v>
      </c>
      <c r="AI146" s="610">
        <f t="shared" si="821"/>
        <v>0.38297872340425532</v>
      </c>
      <c r="AJ146" s="952">
        <f>AVERAGE(AC146:AI146)</f>
        <v>0.42969273401104308</v>
      </c>
      <c r="AK146" s="952"/>
      <c r="AL146" s="952"/>
      <c r="AM146" s="952"/>
      <c r="AN146" s="952"/>
      <c r="AO146" s="952"/>
      <c r="AP146" s="952"/>
      <c r="AQ146" s="952"/>
      <c r="AR146" s="952"/>
      <c r="AS146" s="952"/>
      <c r="AT146" s="952"/>
      <c r="AU146" s="952"/>
      <c r="AV146" s="952"/>
      <c r="AW146" s="952"/>
      <c r="AX146" s="952"/>
      <c r="AY146" s="952"/>
      <c r="AZ146" s="952"/>
      <c r="BA146" s="952"/>
      <c r="BB146" s="952"/>
      <c r="BC146" s="952"/>
      <c r="BD146" s="952"/>
      <c r="BE146" s="952"/>
      <c r="BF146" s="952"/>
      <c r="BG146" s="952"/>
      <c r="BH146" s="952"/>
      <c r="BI146" s="952"/>
      <c r="BJ146" s="952"/>
      <c r="BK146" s="952"/>
      <c r="BL146" s="952"/>
      <c r="BM146" s="952"/>
      <c r="BN146" s="952"/>
      <c r="BO146" s="952"/>
      <c r="BP146" s="952"/>
      <c r="BQ146" s="952"/>
      <c r="BR146" s="952"/>
      <c r="BS146" s="952"/>
      <c r="BT146" s="952"/>
      <c r="BU146" s="952"/>
      <c r="BV146" s="952"/>
      <c r="BW146" s="952"/>
      <c r="BX146" s="952"/>
      <c r="BY146" s="952"/>
      <c r="BZ146" s="952"/>
      <c r="CA146" s="952"/>
      <c r="CB146" s="952"/>
      <c r="CC146" s="952"/>
      <c r="CD146" s="952"/>
      <c r="CE146" s="952"/>
      <c r="CF146" s="952"/>
      <c r="CG146" s="952"/>
      <c r="CH146" s="952"/>
      <c r="CI146" s="952"/>
      <c r="CJ146" s="952"/>
      <c r="CK146" s="952"/>
      <c r="CL146" s="952"/>
      <c r="CM146" s="952"/>
      <c r="CN146" s="952"/>
      <c r="CO146" s="952"/>
      <c r="CP146" s="952"/>
      <c r="CQ146" s="952"/>
      <c r="CR146" s="952"/>
      <c r="CS146" s="952"/>
      <c r="CT146" s="952"/>
      <c r="CU146" s="952"/>
      <c r="CV146" s="952"/>
      <c r="CW146" s="952"/>
      <c r="CX146" s="952"/>
      <c r="CY146" s="952"/>
      <c r="CZ146" s="952"/>
      <c r="DA146" s="952"/>
      <c r="DB146" s="952"/>
      <c r="DC146" s="952"/>
      <c r="DD146" s="952"/>
      <c r="DE146" s="952"/>
      <c r="DF146" s="952"/>
      <c r="DG146" s="952"/>
      <c r="DH146" s="952"/>
      <c r="DI146" s="952"/>
      <c r="DK146" s="931" t="s">
        <v>1108</v>
      </c>
      <c r="DL146" s="950"/>
      <c r="DN146" s="953">
        <f>SUM(DN151:DN162)</f>
        <v>19</v>
      </c>
      <c r="DO146" s="967">
        <f>SUM(DO151:DO162)</f>
        <v>22.5</v>
      </c>
      <c r="DP146" s="967">
        <f>SUM(DP151:DP162)</f>
        <v>26</v>
      </c>
      <c r="DQ146" s="967">
        <f>SUM(DQ151:DQ162)</f>
        <v>27</v>
      </c>
      <c r="DR146" s="954">
        <f>SUM(DR151:DR162)</f>
        <v>29</v>
      </c>
      <c r="DT146" s="953">
        <f>SUM(DT151:DT162)</f>
        <v>19</v>
      </c>
      <c r="DU146" s="967">
        <f>SUM(DU151:DU162)</f>
        <v>22.5</v>
      </c>
      <c r="DV146" s="967">
        <f>SUM(DV151:DV162)</f>
        <v>26</v>
      </c>
      <c r="DW146" s="967">
        <f>SUM(DW151:DW162)</f>
        <v>27</v>
      </c>
      <c r="DX146" s="954">
        <f>SUM(DX151:DX162)</f>
        <v>29</v>
      </c>
      <c r="DZ146" s="953">
        <f>SUM(DZ151:DZ162)</f>
        <v>19</v>
      </c>
      <c r="EA146" s="967">
        <f>SUM(EA151:EA162)</f>
        <v>22.5</v>
      </c>
      <c r="EB146" s="967">
        <f>SUM(EB151:EB162)</f>
        <v>26</v>
      </c>
      <c r="EC146" s="967">
        <f>SUM(EC151:EC162)</f>
        <v>27</v>
      </c>
      <c r="ED146" s="954">
        <f>SUM(ED151:ED162)</f>
        <v>29</v>
      </c>
      <c r="EF146" s="953">
        <f>SUM(EF151:EF162)</f>
        <v>29</v>
      </c>
      <c r="EG146" s="967">
        <f t="shared" ref="EG146:EQ146" si="822">SUM(EG151:EG162)</f>
        <v>29</v>
      </c>
      <c r="EH146" s="967">
        <f t="shared" si="822"/>
        <v>29.5</v>
      </c>
      <c r="EI146" s="967">
        <f t="shared" si="822"/>
        <v>28.5</v>
      </c>
      <c r="EJ146" s="967">
        <f t="shared" si="822"/>
        <v>26.5</v>
      </c>
      <c r="EK146" s="967">
        <f t="shared" si="822"/>
        <v>24.5</v>
      </c>
      <c r="EL146" s="967">
        <f t="shared" si="822"/>
        <v>23.5</v>
      </c>
      <c r="EM146" s="967">
        <f t="shared" si="822"/>
        <v>21.5</v>
      </c>
      <c r="EN146" s="967">
        <f t="shared" si="822"/>
        <v>18</v>
      </c>
      <c r="EO146" s="967">
        <f t="shared" si="822"/>
        <v>13.5</v>
      </c>
      <c r="EP146" s="967">
        <f t="shared" si="822"/>
        <v>11.5</v>
      </c>
      <c r="EQ146" s="954">
        <f t="shared" si="822"/>
        <v>10.5</v>
      </c>
      <c r="ES146" s="953">
        <f>SUM(ES151:ES162)</f>
        <v>10</v>
      </c>
      <c r="ET146" s="967">
        <f t="shared" ref="ET146:FD146" si="823">SUM(ET151:ET162)</f>
        <v>10</v>
      </c>
      <c r="EU146" s="967">
        <f t="shared" si="823"/>
        <v>10</v>
      </c>
      <c r="EV146" s="967">
        <f t="shared" si="823"/>
        <v>10</v>
      </c>
      <c r="EW146" s="967">
        <f t="shared" si="823"/>
        <v>10</v>
      </c>
      <c r="EX146" s="967">
        <f t="shared" si="823"/>
        <v>10</v>
      </c>
      <c r="EY146" s="967">
        <f t="shared" si="823"/>
        <v>10</v>
      </c>
      <c r="EZ146" s="967">
        <f t="shared" si="823"/>
        <v>10</v>
      </c>
      <c r="FA146" s="967">
        <f t="shared" si="823"/>
        <v>10</v>
      </c>
      <c r="FB146" s="967">
        <f t="shared" si="823"/>
        <v>10</v>
      </c>
      <c r="FC146" s="967">
        <f t="shared" si="823"/>
        <v>10</v>
      </c>
      <c r="FD146" s="954">
        <f t="shared" si="823"/>
        <v>10</v>
      </c>
      <c r="FF146" s="953">
        <f>SUM(FF151:FF162)</f>
        <v>10</v>
      </c>
      <c r="FG146" s="967">
        <f t="shared" ref="FG146:FQ146" si="824">SUM(FG151:FG162)</f>
        <v>10</v>
      </c>
      <c r="FH146" s="967">
        <f t="shared" si="824"/>
        <v>10</v>
      </c>
      <c r="FI146" s="967">
        <f t="shared" si="824"/>
        <v>10</v>
      </c>
      <c r="FJ146" s="967">
        <f t="shared" si="824"/>
        <v>10</v>
      </c>
      <c r="FK146" s="967">
        <f t="shared" si="824"/>
        <v>10</v>
      </c>
      <c r="FL146" s="967">
        <f t="shared" si="824"/>
        <v>10</v>
      </c>
      <c r="FM146" s="967">
        <f t="shared" si="824"/>
        <v>10</v>
      </c>
      <c r="FN146" s="967">
        <f t="shared" si="824"/>
        <v>10</v>
      </c>
      <c r="FO146" s="967">
        <f t="shared" si="824"/>
        <v>10</v>
      </c>
      <c r="FP146" s="967">
        <f t="shared" si="824"/>
        <v>10</v>
      </c>
      <c r="FQ146" s="954">
        <f t="shared" si="824"/>
        <v>10</v>
      </c>
      <c r="FS146" s="953">
        <f>SUM(FS151:FS162)</f>
        <v>10</v>
      </c>
      <c r="FT146" s="967">
        <f t="shared" ref="FT146:GD146" si="825">SUM(FT151:FT162)</f>
        <v>10</v>
      </c>
      <c r="FU146" s="967">
        <f t="shared" si="825"/>
        <v>9.5</v>
      </c>
      <c r="FV146" s="967">
        <f t="shared" si="825"/>
        <v>8.5</v>
      </c>
      <c r="FW146" s="967">
        <f t="shared" si="825"/>
        <v>7.5</v>
      </c>
      <c r="FX146" s="967">
        <f t="shared" si="825"/>
        <v>6.5</v>
      </c>
      <c r="FY146" s="967">
        <f t="shared" si="825"/>
        <v>5.5</v>
      </c>
      <c r="FZ146" s="967">
        <f t="shared" si="825"/>
        <v>4.5</v>
      </c>
      <c r="GA146" s="967">
        <f t="shared" si="825"/>
        <v>3.5</v>
      </c>
      <c r="GB146" s="967">
        <f t="shared" si="825"/>
        <v>2.5</v>
      </c>
      <c r="GC146" s="967">
        <f t="shared" si="825"/>
        <v>1.5</v>
      </c>
      <c r="GD146" s="954">
        <f t="shared" si="825"/>
        <v>0.5</v>
      </c>
      <c r="GF146" s="953">
        <f>SUM(GF151:GF162)</f>
        <v>0</v>
      </c>
      <c r="GG146" s="967">
        <f t="shared" ref="GG146:GQ146" si="826">SUM(GG151:GG162)</f>
        <v>0</v>
      </c>
      <c r="GH146" s="967">
        <f t="shared" si="826"/>
        <v>0</v>
      </c>
      <c r="GI146" s="967">
        <f t="shared" si="826"/>
        <v>0</v>
      </c>
      <c r="GJ146" s="967">
        <f t="shared" si="826"/>
        <v>0</v>
      </c>
      <c r="GK146" s="967">
        <f t="shared" si="826"/>
        <v>0</v>
      </c>
      <c r="GL146" s="967">
        <f t="shared" si="826"/>
        <v>0</v>
      </c>
      <c r="GM146" s="967">
        <f t="shared" si="826"/>
        <v>0</v>
      </c>
      <c r="GN146" s="967">
        <f t="shared" si="826"/>
        <v>0</v>
      </c>
      <c r="GO146" s="967">
        <f t="shared" si="826"/>
        <v>0</v>
      </c>
      <c r="GP146" s="967">
        <f t="shared" si="826"/>
        <v>0</v>
      </c>
      <c r="GQ146" s="954">
        <f t="shared" si="826"/>
        <v>0</v>
      </c>
      <c r="GS146" s="953">
        <f>SUM(GS151:GS162)</f>
        <v>0</v>
      </c>
      <c r="GT146" s="967">
        <f t="shared" ref="GT146:HD146" si="827">SUM(GT151:GT162)</f>
        <v>0</v>
      </c>
      <c r="GU146" s="967">
        <f t="shared" si="827"/>
        <v>0</v>
      </c>
      <c r="GV146" s="967">
        <f t="shared" si="827"/>
        <v>0</v>
      </c>
      <c r="GW146" s="967">
        <f t="shared" si="827"/>
        <v>0</v>
      </c>
      <c r="GX146" s="967">
        <f t="shared" si="827"/>
        <v>0</v>
      </c>
      <c r="GY146" s="967">
        <f t="shared" si="827"/>
        <v>0</v>
      </c>
      <c r="GZ146" s="967">
        <f t="shared" si="827"/>
        <v>0</v>
      </c>
      <c r="HA146" s="967">
        <f t="shared" si="827"/>
        <v>0</v>
      </c>
      <c r="HB146" s="967">
        <f t="shared" si="827"/>
        <v>0</v>
      </c>
      <c r="HC146" s="967">
        <f t="shared" si="827"/>
        <v>0</v>
      </c>
      <c r="HD146" s="954">
        <f t="shared" si="827"/>
        <v>0</v>
      </c>
    </row>
    <row r="147" spans="2:212" ht="14.25">
      <c r="B147" s="984" t="s">
        <v>124</v>
      </c>
      <c r="C147" s="1076">
        <v>100</v>
      </c>
      <c r="D147" s="1107">
        <v>20</v>
      </c>
      <c r="E147" s="993">
        <v>8</v>
      </c>
      <c r="F147" s="1107">
        <v>3</v>
      </c>
      <c r="G147" s="1079"/>
      <c r="H147" s="1032">
        <v>15</v>
      </c>
      <c r="I147" s="1078">
        <f t="shared" si="807"/>
        <v>0.15</v>
      </c>
      <c r="N147" s="931" t="s">
        <v>1110</v>
      </c>
      <c r="O147" s="950"/>
      <c r="P147" s="606">
        <f>[5]Assumption!D37</f>
        <v>0</v>
      </c>
      <c r="Q147" s="606">
        <f>[5]Assumption!E37</f>
        <v>0</v>
      </c>
      <c r="R147" s="606">
        <f>[5]Assumption!F37</f>
        <v>2</v>
      </c>
      <c r="S147" s="606">
        <f>[5]Assumption!G37</f>
        <v>2</v>
      </c>
      <c r="T147" s="606">
        <f>[5]Assumption!H37</f>
        <v>2</v>
      </c>
      <c r="U147" s="606">
        <f>[5]Assumption!I37</f>
        <v>3</v>
      </c>
      <c r="V147" s="606">
        <f>[5]Assumption!J37</f>
        <v>2</v>
      </c>
      <c r="AA147" s="931" t="s">
        <v>1110</v>
      </c>
      <c r="AB147" s="950"/>
      <c r="DK147" s="931" t="s">
        <v>1110</v>
      </c>
      <c r="DL147" s="950"/>
      <c r="DN147" s="969">
        <f>[5]Assumption!K37</f>
        <v>2</v>
      </c>
      <c r="DO147" s="970">
        <f>[5]Assumption!L37</f>
        <v>7</v>
      </c>
      <c r="DP147" s="970">
        <f>[5]Assumption!M37</f>
        <v>4</v>
      </c>
      <c r="DQ147" s="970">
        <f>[5]Assumption!N37</f>
        <v>2</v>
      </c>
      <c r="DR147" s="950">
        <f>[5]Assumption!O37</f>
        <v>2</v>
      </c>
      <c r="DT147" s="969">
        <f>[5]Assumption!K37</f>
        <v>2</v>
      </c>
      <c r="DU147" s="970">
        <f>[5]Assumption!L37</f>
        <v>7</v>
      </c>
      <c r="DV147" s="970">
        <f>[5]Assumption!M37</f>
        <v>4</v>
      </c>
      <c r="DW147" s="970">
        <f>[5]Assumption!N37</f>
        <v>2</v>
      </c>
      <c r="DX147" s="950">
        <f>[5]Assumption!O37</f>
        <v>2</v>
      </c>
      <c r="DZ147" s="969">
        <f>[5]Assumption!K37</f>
        <v>2</v>
      </c>
      <c r="EA147" s="970">
        <f>[5]Assumption!L37</f>
        <v>7</v>
      </c>
      <c r="EB147" s="970">
        <f>[5]Assumption!M37</f>
        <v>4</v>
      </c>
      <c r="EC147" s="970">
        <f>[5]Assumption!N37</f>
        <v>2</v>
      </c>
      <c r="ED147" s="950">
        <f>[5]Assumption!O37</f>
        <v>2</v>
      </c>
      <c r="EF147" s="994">
        <f>'[1]AL Promotion &amp; Recruited'!Z13</f>
        <v>0</v>
      </c>
      <c r="EG147" s="970">
        <f>'[1]AL Promotion &amp; Recruited'!AA13</f>
        <v>0</v>
      </c>
      <c r="EH147" s="970">
        <f>'[1]AL Promotion &amp; Recruited'!AB13</f>
        <v>1</v>
      </c>
      <c r="EI147" s="970">
        <f>'[1]AL Promotion &amp; Recruited'!AC13</f>
        <v>1</v>
      </c>
      <c r="EJ147" s="970">
        <f>'[1]AL Promotion &amp; Recruited'!AD13</f>
        <v>1</v>
      </c>
      <c r="EK147" s="970">
        <f>'[1]AL Promotion &amp; Recruited'!AE13</f>
        <v>1</v>
      </c>
      <c r="EL147" s="970">
        <f>'[1]AL Promotion &amp; Recruited'!AF13</f>
        <v>1</v>
      </c>
      <c r="EM147" s="970">
        <f>'[1]AL Promotion &amp; Recruited'!AG13</f>
        <v>1</v>
      </c>
      <c r="EN147" s="970">
        <f>'[1]AL Promotion &amp; Recruited'!AH13</f>
        <v>1</v>
      </c>
      <c r="EO147" s="970">
        <f>'[1]AL Promotion &amp; Recruited'!AI13</f>
        <v>1</v>
      </c>
      <c r="EP147" s="970">
        <f>'[1]AL Promotion &amp; Recruited'!AJ13</f>
        <v>1</v>
      </c>
      <c r="EQ147" s="950">
        <f>'[1]AL Promotion &amp; Recruited'!AK13</f>
        <v>1</v>
      </c>
      <c r="ES147" s="994">
        <f>'[6]AL Promotion &amp; Recruited'!AL$13</f>
        <v>0</v>
      </c>
      <c r="ET147" s="970">
        <f>'[6]AL Promotion &amp; Recruited'!AM$13</f>
        <v>0</v>
      </c>
      <c r="EU147" s="970">
        <f>'[6]AL Promotion &amp; Recruited'!AN$13</f>
        <v>1</v>
      </c>
      <c r="EV147" s="970">
        <f>'[6]AL Promotion &amp; Recruited'!AO$13</f>
        <v>1</v>
      </c>
      <c r="EW147" s="970">
        <f>'[6]AL Promotion &amp; Recruited'!AP$13</f>
        <v>1</v>
      </c>
      <c r="EX147" s="970">
        <f>'[6]AL Promotion &amp; Recruited'!AQ$13</f>
        <v>1</v>
      </c>
      <c r="EY147" s="970">
        <f>'[6]AL Promotion &amp; Recruited'!AR$13</f>
        <v>1</v>
      </c>
      <c r="EZ147" s="970">
        <f>'[6]AL Promotion &amp; Recruited'!AS$13</f>
        <v>1</v>
      </c>
      <c r="FA147" s="970">
        <f>'[6]AL Promotion &amp; Recruited'!AT$13</f>
        <v>1</v>
      </c>
      <c r="FB147" s="970">
        <f>'[6]AL Promotion &amp; Recruited'!AU$13</f>
        <v>1</v>
      </c>
      <c r="FC147" s="970">
        <f>'[6]AL Promotion &amp; Recruited'!AV$13</f>
        <v>1</v>
      </c>
      <c r="FD147" s="950">
        <f>'[6]AL Promotion &amp; Recruited'!AW$13</f>
        <v>1</v>
      </c>
      <c r="FF147" s="994">
        <f>'[6]AL Promotion &amp; Recruited'!AX$13</f>
        <v>0</v>
      </c>
      <c r="FG147" s="970">
        <f>'[6]AL Promotion &amp; Recruited'!AY$13</f>
        <v>0</v>
      </c>
      <c r="FH147" s="970">
        <f>'[6]AL Promotion &amp; Recruited'!AZ$13</f>
        <v>1</v>
      </c>
      <c r="FI147" s="970">
        <f>'[6]AL Promotion &amp; Recruited'!BA$13</f>
        <v>1</v>
      </c>
      <c r="FJ147" s="970">
        <f>'[6]AL Promotion &amp; Recruited'!BB$13</f>
        <v>1</v>
      </c>
      <c r="FK147" s="970">
        <f>'[6]AL Promotion &amp; Recruited'!BC$13</f>
        <v>1</v>
      </c>
      <c r="FL147" s="970">
        <f>'[6]AL Promotion &amp; Recruited'!BD$13</f>
        <v>1</v>
      </c>
      <c r="FM147" s="970">
        <f>'[6]AL Promotion &amp; Recruited'!BE$13</f>
        <v>1</v>
      </c>
      <c r="FN147" s="970">
        <f>'[6]AL Promotion &amp; Recruited'!BF$13</f>
        <v>1</v>
      </c>
      <c r="FO147" s="970">
        <f>'[6]AL Promotion &amp; Recruited'!BG$13</f>
        <v>1</v>
      </c>
      <c r="FP147" s="970">
        <f>'[6]AL Promotion &amp; Recruited'!BH$13</f>
        <v>1</v>
      </c>
      <c r="FQ147" s="950">
        <f>'[6]AL Promotion &amp; Recruited'!BI$13</f>
        <v>1</v>
      </c>
      <c r="FS147" s="994">
        <f>'[6]AL Promotion &amp; Recruited'!BJ$13</f>
        <v>0</v>
      </c>
      <c r="FT147" s="970">
        <f>'[6]AL Promotion &amp; Recruited'!BK$13</f>
        <v>0</v>
      </c>
      <c r="FU147" s="970">
        <f>'[6]AL Promotion &amp; Recruited'!BL$13</f>
        <v>0</v>
      </c>
      <c r="FV147" s="970">
        <f>'[6]AL Promotion &amp; Recruited'!BM$13</f>
        <v>0</v>
      </c>
      <c r="FW147" s="970">
        <f>'[6]AL Promotion &amp; Recruited'!BN$13</f>
        <v>0</v>
      </c>
      <c r="FX147" s="970">
        <f>'[6]AL Promotion &amp; Recruited'!BO$13</f>
        <v>0</v>
      </c>
      <c r="FY147" s="970">
        <f>'[6]AL Promotion &amp; Recruited'!BP$13</f>
        <v>0</v>
      </c>
      <c r="FZ147" s="970">
        <f>'[6]AL Promotion &amp; Recruited'!BQ$13</f>
        <v>0</v>
      </c>
      <c r="GA147" s="970">
        <f>'[6]AL Promotion &amp; Recruited'!BR$13</f>
        <v>0</v>
      </c>
      <c r="GB147" s="970">
        <f>'[6]AL Promotion &amp; Recruited'!BS$13</f>
        <v>0</v>
      </c>
      <c r="GC147" s="970">
        <f>'[6]AL Promotion &amp; Recruited'!BT$13</f>
        <v>0</v>
      </c>
      <c r="GD147" s="950">
        <f>'[6]AL Promotion &amp; Recruited'!BU$13</f>
        <v>0</v>
      </c>
      <c r="GF147" s="994">
        <f>'[6]AL Promotion &amp; Recruited'!BV$13</f>
        <v>0</v>
      </c>
      <c r="GG147" s="970">
        <f>'[6]AL Promotion &amp; Recruited'!BW$13</f>
        <v>0</v>
      </c>
      <c r="GH147" s="970">
        <f>'[6]AL Promotion &amp; Recruited'!BX$13</f>
        <v>0</v>
      </c>
      <c r="GI147" s="970">
        <f>'[6]AL Promotion &amp; Recruited'!BY$13</f>
        <v>0</v>
      </c>
      <c r="GJ147" s="970">
        <f>'[6]AL Promotion &amp; Recruited'!BZ$13</f>
        <v>0</v>
      </c>
      <c r="GK147" s="970">
        <f>'[6]AL Promotion &amp; Recruited'!CA$13</f>
        <v>0</v>
      </c>
      <c r="GL147" s="970">
        <f>'[6]AL Promotion &amp; Recruited'!CB$13</f>
        <v>0</v>
      </c>
      <c r="GM147" s="970">
        <f>'[6]AL Promotion &amp; Recruited'!CC$13</f>
        <v>0</v>
      </c>
      <c r="GN147" s="970">
        <f>'[6]AL Promotion &amp; Recruited'!CD$13</f>
        <v>0</v>
      </c>
      <c r="GO147" s="970">
        <f>'[6]AL Promotion &amp; Recruited'!CE$13</f>
        <v>0</v>
      </c>
      <c r="GP147" s="970">
        <f>'[6]AL Promotion &amp; Recruited'!CF$13</f>
        <v>0</v>
      </c>
      <c r="GQ147" s="950">
        <f>'[6]AL Promotion &amp; Recruited'!CG$13</f>
        <v>0</v>
      </c>
      <c r="GS147" s="994">
        <f>'[6]AL Promotion &amp; Recruited'!CH$13</f>
        <v>0</v>
      </c>
      <c r="GT147" s="970">
        <f>'[6]AL Promotion &amp; Recruited'!CI$13</f>
        <v>0</v>
      </c>
      <c r="GU147" s="970">
        <f>'[6]AL Promotion &amp; Recruited'!CJ$13</f>
        <v>0</v>
      </c>
      <c r="GV147" s="970">
        <f>'[6]AL Promotion &amp; Recruited'!CK$13</f>
        <v>0</v>
      </c>
      <c r="GW147" s="970">
        <f>'[6]AL Promotion &amp; Recruited'!CL$13</f>
        <v>0</v>
      </c>
      <c r="GX147" s="970">
        <f>'[6]AL Promotion &amp; Recruited'!CM$13</f>
        <v>0</v>
      </c>
      <c r="GY147" s="970">
        <f>'[6]AL Promotion &amp; Recruited'!CN$13</f>
        <v>0</v>
      </c>
      <c r="GZ147" s="970">
        <f>'[6]AL Promotion &amp; Recruited'!CO$13</f>
        <v>0</v>
      </c>
      <c r="HA147" s="970">
        <f>'[6]AL Promotion &amp; Recruited'!CP$13</f>
        <v>0</v>
      </c>
      <c r="HB147" s="970">
        <f>'[6]AL Promotion &amp; Recruited'!CQ$13</f>
        <v>0</v>
      </c>
      <c r="HC147" s="970">
        <f>'[6]AL Promotion &amp; Recruited'!CR$13</f>
        <v>0</v>
      </c>
      <c r="HD147" s="950">
        <f>'[6]AL Promotion &amp; Recruited'!CS$13</f>
        <v>0</v>
      </c>
    </row>
    <row r="148" spans="2:212" ht="14.25">
      <c r="B148" s="984" t="s">
        <v>125</v>
      </c>
      <c r="C148" s="1076">
        <v>125</v>
      </c>
      <c r="D148" s="1107">
        <v>20</v>
      </c>
      <c r="E148" s="993">
        <v>10</v>
      </c>
      <c r="F148" s="1107">
        <v>4</v>
      </c>
      <c r="G148" s="1079"/>
      <c r="H148" s="1032">
        <v>12</v>
      </c>
      <c r="I148" s="1078">
        <f t="shared" si="807"/>
        <v>9.6000000000000002E-2</v>
      </c>
      <c r="N148" s="931" t="s">
        <v>1041</v>
      </c>
      <c r="O148" s="950"/>
      <c r="P148" s="606">
        <v>189</v>
      </c>
      <c r="Q148" s="606">
        <v>57</v>
      </c>
      <c r="R148" s="606">
        <v>136</v>
      </c>
      <c r="S148" s="606">
        <v>202</v>
      </c>
      <c r="T148" s="606">
        <v>213</v>
      </c>
      <c r="U148" s="606">
        <v>198</v>
      </c>
      <c r="V148" s="606">
        <v>117</v>
      </c>
      <c r="AA148" s="931" t="s">
        <v>1042</v>
      </c>
      <c r="AB148" s="950"/>
      <c r="AC148" s="610">
        <f t="shared" ref="AC148:AI148" si="828">P148/P143</f>
        <v>1.3854350039038114E-2</v>
      </c>
      <c r="AD148" s="610">
        <f t="shared" si="828"/>
        <v>4.1028921862865655E-3</v>
      </c>
      <c r="AE148" s="610">
        <f t="shared" si="828"/>
        <v>4.1035585253907103E-3</v>
      </c>
      <c r="AF148" s="610">
        <f t="shared" si="828"/>
        <v>6.592824099356992E-3</v>
      </c>
      <c r="AG148" s="610">
        <f t="shared" si="828"/>
        <v>7.7572978236045108E-3</v>
      </c>
      <c r="AH148" s="610">
        <f t="shared" si="828"/>
        <v>4.7747507015845052E-3</v>
      </c>
      <c r="AI148" s="610">
        <f t="shared" si="828"/>
        <v>3.9330479598893653E-3</v>
      </c>
      <c r="AJ148" s="952">
        <f>AVERAGE(AC148:AI148)</f>
        <v>6.4455316193072513E-3</v>
      </c>
      <c r="AK148" s="952"/>
      <c r="AL148" s="952"/>
      <c r="AM148" s="952"/>
      <c r="AN148" s="952"/>
      <c r="AO148" s="952"/>
      <c r="AP148" s="952"/>
      <c r="AQ148" s="952"/>
      <c r="AR148" s="952"/>
      <c r="AS148" s="952"/>
      <c r="AT148" s="952"/>
      <c r="AU148" s="952"/>
      <c r="AV148" s="952"/>
      <c r="AW148" s="952"/>
      <c r="AX148" s="952"/>
      <c r="AY148" s="952"/>
      <c r="AZ148" s="952"/>
      <c r="BA148" s="952"/>
      <c r="BB148" s="952"/>
      <c r="BC148" s="952"/>
      <c r="BD148" s="952"/>
      <c r="BE148" s="952"/>
      <c r="BF148" s="952"/>
      <c r="BG148" s="952"/>
      <c r="BH148" s="952"/>
      <c r="BI148" s="952"/>
      <c r="BJ148" s="952"/>
      <c r="BK148" s="952"/>
      <c r="BL148" s="952"/>
      <c r="BM148" s="952"/>
      <c r="BN148" s="952"/>
      <c r="BO148" s="952"/>
      <c r="BP148" s="952"/>
      <c r="BQ148" s="952"/>
      <c r="BR148" s="952"/>
      <c r="BS148" s="952"/>
      <c r="BT148" s="952"/>
      <c r="BU148" s="952"/>
      <c r="BV148" s="952"/>
      <c r="BW148" s="952"/>
      <c r="BX148" s="952"/>
      <c r="BY148" s="952"/>
      <c r="BZ148" s="952"/>
      <c r="CA148" s="952"/>
      <c r="CB148" s="952"/>
      <c r="CC148" s="952"/>
      <c r="CD148" s="952"/>
      <c r="CE148" s="952"/>
      <c r="CF148" s="952"/>
      <c r="CG148" s="952"/>
      <c r="CH148" s="952"/>
      <c r="CI148" s="952"/>
      <c r="CJ148" s="952"/>
      <c r="CK148" s="952"/>
      <c r="CL148" s="952"/>
      <c r="CM148" s="952"/>
      <c r="CN148" s="952"/>
      <c r="CO148" s="952"/>
      <c r="CP148" s="952"/>
      <c r="CQ148" s="952"/>
      <c r="CR148" s="952"/>
      <c r="CS148" s="952"/>
      <c r="CT148" s="952"/>
      <c r="CU148" s="952"/>
      <c r="CV148" s="952"/>
      <c r="CW148" s="952"/>
      <c r="CX148" s="952"/>
      <c r="CY148" s="952"/>
      <c r="CZ148" s="952"/>
      <c r="DA148" s="952"/>
      <c r="DB148" s="952"/>
      <c r="DC148" s="952"/>
      <c r="DD148" s="952"/>
      <c r="DE148" s="952"/>
      <c r="DF148" s="952"/>
      <c r="DG148" s="952"/>
      <c r="DH148" s="952"/>
      <c r="DI148" s="952"/>
      <c r="DK148" s="931" t="s">
        <v>1041</v>
      </c>
      <c r="DL148" s="950"/>
      <c r="DN148" s="994">
        <f>SUM(DN165:DN167)*18+SUM(DN168:DN170)*15+SUM(DN171:DN176)*12+DN177*40</f>
        <v>108</v>
      </c>
      <c r="DO148" s="995">
        <f>SUM(DO165:DO167)*18+SUM(DO168:DO170)*15+SUM(DO171:DO176)*12+DO177*40</f>
        <v>190.64999999999998</v>
      </c>
      <c r="DP148" s="995">
        <f>SUM(DP165:DP167)*18+SUM(DP168:DP170)*15+SUM(DP171:DP176)*12+DP177*40</f>
        <v>272.85000000000002</v>
      </c>
      <c r="DQ148" s="995">
        <f>SUM(DQ165:DQ167)*18+SUM(DQ168:DQ170)*15+SUM(DQ171:DQ176)*12+DQ177*40</f>
        <v>261.32499999999999</v>
      </c>
      <c r="DR148" s="996">
        <f>SUM(DR165:DR167)*18+SUM(DR168:DR170)*15+SUM(DR171:DR176)*12+DR177*40</f>
        <v>270.92499999999995</v>
      </c>
      <c r="DT148" s="994">
        <f>SUM(DT165:DT167)*18+SUM(DT168:DT170)*15+SUM(DT171:DT176)*12+DT177*40</f>
        <v>108</v>
      </c>
      <c r="DU148" s="995">
        <f>SUM(DU165:DU167)*18+SUM(DU168:DU170)*15+SUM(DU171:DU176)*12+DU177*40</f>
        <v>126</v>
      </c>
      <c r="DV148" s="995">
        <f>SUM(DV165:DV167)*18+SUM(DV168:DV170)*15+SUM(DV171:DV176)*12+DV177*40</f>
        <v>184</v>
      </c>
      <c r="DW148" s="995">
        <f>SUM(DW165:DW167)*18+SUM(DW168:DW170)*15+SUM(DW171:DW176)*12+DW177*40</f>
        <v>161.5</v>
      </c>
      <c r="DX148" s="996">
        <f>SUM(DX165:DX167)*18+SUM(DX168:DX170)*15+SUM(DX171:DX176)*12+DX177*40</f>
        <v>185.5</v>
      </c>
      <c r="DZ148" s="994">
        <f>SUM(DZ165:DZ167)*18+SUM(DZ168:DZ170)*15+SUM(DZ171:DZ176)*12+DZ177*40</f>
        <v>108</v>
      </c>
      <c r="EA148" s="995">
        <f>SUM(EA165:EA167)*18+SUM(EA168:EA170)*15+SUM(EA171:EA176)*12+EA177*40</f>
        <v>209.71499999999997</v>
      </c>
      <c r="EB148" s="995">
        <f>SUM(EB165:EB167)*18+SUM(EB168:EB170)*15+SUM(EB171:EB176)*12+EB177*40</f>
        <v>296.13500000000005</v>
      </c>
      <c r="EC148" s="995">
        <f>SUM(EC165:EC167)*18+SUM(EC168:EC170)*15+SUM(EC171:EC176)*12+EC177*40</f>
        <v>283.45749999999998</v>
      </c>
      <c r="ED148" s="996">
        <f>SUM(ED165:ED167)*18+SUM(ED168:ED170)*15+SUM(ED171:ED176)*12+ED177*40</f>
        <v>319.41925000000003</v>
      </c>
      <c r="EF148" s="994">
        <f>SUM(EF165:EF167)*18+SUM(EF168:EF170)*15+SUM(EF171:EF176)*12+EF177*40</f>
        <v>229.26000000000002</v>
      </c>
      <c r="EG148" s="995">
        <f t="shared" ref="EG148:EQ148" si="829">SUM(EG165:EG167)*18+SUM(EG168:EG170)*15+SUM(EG171:EG176)*12+EG177*40</f>
        <v>203.38560000000001</v>
      </c>
      <c r="EH148" s="995">
        <f t="shared" si="829"/>
        <v>197.6454</v>
      </c>
      <c r="EI148" s="995">
        <f t="shared" si="829"/>
        <v>176.24520000000001</v>
      </c>
      <c r="EJ148" s="995">
        <f t="shared" si="829"/>
        <v>161.27100000000002</v>
      </c>
      <c r="EK148" s="995">
        <f t="shared" si="829"/>
        <v>157.46443416000002</v>
      </c>
      <c r="EL148" s="995">
        <f t="shared" si="829"/>
        <v>143.08466832000002</v>
      </c>
      <c r="EM148" s="995">
        <f t="shared" si="829"/>
        <v>123.15596832000003</v>
      </c>
      <c r="EN148" s="995">
        <f t="shared" si="829"/>
        <v>100.12361832000002</v>
      </c>
      <c r="EO148" s="995">
        <f t="shared" si="829"/>
        <v>78.561418320000016</v>
      </c>
      <c r="EP148" s="995">
        <f t="shared" si="829"/>
        <v>71.047318320000016</v>
      </c>
      <c r="EQ148" s="996">
        <f t="shared" si="829"/>
        <v>69.25046832000001</v>
      </c>
      <c r="ES148" s="994">
        <f>SUM(ES165:ES167)*18+SUM(ES168:ES170)*15+SUM(ES171:ES176)*12+ES177*40</f>
        <v>65.22</v>
      </c>
      <c r="ET148" s="995">
        <f t="shared" ref="ET148:FD148" si="830">SUM(ET165:ET167)*18+SUM(ET168:ET170)*15+SUM(ET171:ET176)*12+ET177*40</f>
        <v>62.305199999999999</v>
      </c>
      <c r="EU148" s="995">
        <f t="shared" si="830"/>
        <v>63.925200000000004</v>
      </c>
      <c r="EV148" s="995">
        <f t="shared" si="830"/>
        <v>56.6676</v>
      </c>
      <c r="EW148" s="995">
        <f t="shared" si="830"/>
        <v>49.896000000000001</v>
      </c>
      <c r="EX148" s="995">
        <f t="shared" si="830"/>
        <v>54.063884160000015</v>
      </c>
      <c r="EY148" s="995">
        <f t="shared" si="830"/>
        <v>58.959418320000012</v>
      </c>
      <c r="EZ148" s="995">
        <f t="shared" si="830"/>
        <v>60.59291832000001</v>
      </c>
      <c r="FA148" s="995">
        <f t="shared" si="830"/>
        <v>61.409668320000016</v>
      </c>
      <c r="FB148" s="995">
        <f t="shared" si="830"/>
        <v>62.226418320000008</v>
      </c>
      <c r="FC148" s="995">
        <f t="shared" si="830"/>
        <v>64.51331832000001</v>
      </c>
      <c r="FD148" s="996">
        <f t="shared" si="830"/>
        <v>67.29026832000001</v>
      </c>
      <c r="FF148" s="994">
        <f>SUM(FF165:FF167)*18+SUM(FF168:FF170)*15+SUM(FF171:FF176)*12+FF177*40</f>
        <v>65.22</v>
      </c>
      <c r="FG148" s="995">
        <f t="shared" ref="FG148:FQ148" si="831">SUM(FG165:FG167)*18+SUM(FG168:FG170)*15+SUM(FG171:FG176)*12+FG177*40</f>
        <v>62.305199999999999</v>
      </c>
      <c r="FH148" s="995">
        <f t="shared" si="831"/>
        <v>63.925200000000004</v>
      </c>
      <c r="FI148" s="995">
        <f t="shared" si="831"/>
        <v>56.6676</v>
      </c>
      <c r="FJ148" s="995">
        <f t="shared" si="831"/>
        <v>49.896000000000001</v>
      </c>
      <c r="FK148" s="995">
        <f t="shared" si="831"/>
        <v>54.063884160000015</v>
      </c>
      <c r="FL148" s="995">
        <f t="shared" si="831"/>
        <v>58.959418320000012</v>
      </c>
      <c r="FM148" s="995">
        <f t="shared" si="831"/>
        <v>60.59291832000001</v>
      </c>
      <c r="FN148" s="995">
        <f t="shared" si="831"/>
        <v>61.409668320000016</v>
      </c>
      <c r="FO148" s="995">
        <f t="shared" si="831"/>
        <v>62.226418320000008</v>
      </c>
      <c r="FP148" s="995">
        <f t="shared" si="831"/>
        <v>64.51331832000001</v>
      </c>
      <c r="FQ148" s="996">
        <f t="shared" si="831"/>
        <v>67.29026832000001</v>
      </c>
      <c r="FS148" s="994">
        <f>SUM(FS165:FS167)*18+SUM(FS168:FS170)*15+SUM(FS171:FS176)*12+FS177*40</f>
        <v>65.22</v>
      </c>
      <c r="FT148" s="995">
        <f t="shared" ref="FT148:GD148" si="832">SUM(FT165:FT167)*18+SUM(FT168:FT170)*15+SUM(FT171:FT176)*12+FT177*40</f>
        <v>62.305199999999999</v>
      </c>
      <c r="FU148" s="995">
        <f t="shared" si="832"/>
        <v>63.925200000000004</v>
      </c>
      <c r="FV148" s="995">
        <f t="shared" si="832"/>
        <v>56.6676</v>
      </c>
      <c r="FW148" s="995">
        <f t="shared" si="832"/>
        <v>49.896000000000001</v>
      </c>
      <c r="FX148" s="995">
        <f t="shared" si="832"/>
        <v>45.084600000000009</v>
      </c>
      <c r="FY148" s="995">
        <f t="shared" si="832"/>
        <v>36.100350000000006</v>
      </c>
      <c r="FZ148" s="995">
        <f t="shared" si="832"/>
        <v>27.932850000000002</v>
      </c>
      <c r="GA148" s="995">
        <f t="shared" si="832"/>
        <v>19.765350000000005</v>
      </c>
      <c r="GB148" s="995">
        <f t="shared" si="832"/>
        <v>12.4146</v>
      </c>
      <c r="GC148" s="995">
        <f t="shared" si="832"/>
        <v>6.5340000000000007</v>
      </c>
      <c r="GD148" s="996">
        <f t="shared" si="832"/>
        <v>1.9602000000000004</v>
      </c>
      <c r="GF148" s="994">
        <f>SUM(GF165:GF167)*18+SUM(GF168:GF170)*15+SUM(GF171:GF176)*12+GF177*40</f>
        <v>0</v>
      </c>
      <c r="GG148" s="995">
        <f t="shared" ref="GG148:GQ148" si="833">SUM(GG165:GG167)*18+SUM(GG168:GG170)*15+SUM(GG171:GG176)*12+GG177*40</f>
        <v>0</v>
      </c>
      <c r="GH148" s="995">
        <f t="shared" si="833"/>
        <v>0</v>
      </c>
      <c r="GI148" s="995">
        <f t="shared" si="833"/>
        <v>0</v>
      </c>
      <c r="GJ148" s="995">
        <f t="shared" si="833"/>
        <v>0</v>
      </c>
      <c r="GK148" s="995">
        <f t="shared" si="833"/>
        <v>0</v>
      </c>
      <c r="GL148" s="995">
        <f t="shared" si="833"/>
        <v>0</v>
      </c>
      <c r="GM148" s="995">
        <f t="shared" si="833"/>
        <v>0</v>
      </c>
      <c r="GN148" s="995">
        <f t="shared" si="833"/>
        <v>0</v>
      </c>
      <c r="GO148" s="995">
        <f t="shared" si="833"/>
        <v>0</v>
      </c>
      <c r="GP148" s="995">
        <f t="shared" si="833"/>
        <v>0</v>
      </c>
      <c r="GQ148" s="996">
        <f t="shared" si="833"/>
        <v>0</v>
      </c>
      <c r="GS148" s="994">
        <f>SUM(GS165:GS167)*18+SUM(GS168:GS170)*15+SUM(GS171:GS176)*12+GS177*40</f>
        <v>0</v>
      </c>
      <c r="GT148" s="995">
        <f t="shared" ref="GT148:HD148" si="834">SUM(GT165:GT167)*18+SUM(GT168:GT170)*15+SUM(GT171:GT176)*12+GT177*40</f>
        <v>0</v>
      </c>
      <c r="GU148" s="995">
        <f t="shared" si="834"/>
        <v>0</v>
      </c>
      <c r="GV148" s="995">
        <f t="shared" si="834"/>
        <v>0</v>
      </c>
      <c r="GW148" s="995">
        <f t="shared" si="834"/>
        <v>0</v>
      </c>
      <c r="GX148" s="995">
        <f t="shared" si="834"/>
        <v>0</v>
      </c>
      <c r="GY148" s="995">
        <f t="shared" si="834"/>
        <v>0</v>
      </c>
      <c r="GZ148" s="995">
        <f t="shared" si="834"/>
        <v>0</v>
      </c>
      <c r="HA148" s="995">
        <f t="shared" si="834"/>
        <v>0</v>
      </c>
      <c r="HB148" s="995">
        <f t="shared" si="834"/>
        <v>0</v>
      </c>
      <c r="HC148" s="995">
        <f t="shared" si="834"/>
        <v>0</v>
      </c>
      <c r="HD148" s="996">
        <f t="shared" si="834"/>
        <v>0</v>
      </c>
    </row>
    <row r="149" spans="2:212" ht="14.25">
      <c r="B149" s="984" t="s">
        <v>126</v>
      </c>
      <c r="C149" s="1076">
        <v>125</v>
      </c>
      <c r="D149" s="1107">
        <v>20</v>
      </c>
      <c r="E149" s="993">
        <v>10</v>
      </c>
      <c r="F149" s="1107">
        <v>4</v>
      </c>
      <c r="G149" s="1079"/>
      <c r="H149" s="1032">
        <v>12</v>
      </c>
      <c r="I149" s="1078">
        <f t="shared" si="807"/>
        <v>9.6000000000000002E-2</v>
      </c>
      <c r="N149" s="931"/>
      <c r="O149" s="950"/>
      <c r="P149" s="978"/>
      <c r="Q149" s="978"/>
      <c r="R149" s="978"/>
      <c r="S149" s="978"/>
      <c r="T149" s="978"/>
      <c r="U149" s="978"/>
      <c r="AA149" s="931"/>
      <c r="AB149" s="950"/>
      <c r="AC149" s="978"/>
      <c r="AD149" s="978"/>
      <c r="AE149" s="978"/>
      <c r="AF149" s="978"/>
      <c r="AG149" s="978"/>
      <c r="AH149" s="978"/>
      <c r="DK149" s="931"/>
      <c r="DL149" s="950"/>
      <c r="DM149" s="999">
        <v>1.1499999999999999</v>
      </c>
      <c r="DN149" s="1000">
        <f>DN148*$DM$149</f>
        <v>124.19999999999999</v>
      </c>
      <c r="DO149" s="1001">
        <f>DO148*$DM$149</f>
        <v>219.24749999999995</v>
      </c>
      <c r="DP149" s="1001">
        <f>DP148*$DM$149</f>
        <v>313.77749999999997</v>
      </c>
      <c r="DQ149" s="1001">
        <f>DQ148*$DM$149</f>
        <v>300.52374999999995</v>
      </c>
      <c r="DR149" s="1002">
        <f>DR148*$DM$149</f>
        <v>311.56374999999991</v>
      </c>
      <c r="DT149" s="1000">
        <f>DT148*$DM$149</f>
        <v>124.19999999999999</v>
      </c>
      <c r="DU149" s="1001">
        <f>DU148*$DM$149</f>
        <v>144.89999999999998</v>
      </c>
      <c r="DV149" s="1001">
        <f>DV148*$DM$149</f>
        <v>211.6</v>
      </c>
      <c r="DW149" s="1001">
        <f>DW148*$DM$149</f>
        <v>185.72499999999999</v>
      </c>
      <c r="DX149" s="1002">
        <f>DX148*$DM$149</f>
        <v>213.32499999999999</v>
      </c>
      <c r="DZ149" s="1000">
        <f>DZ148*$DM$149</f>
        <v>124.19999999999999</v>
      </c>
      <c r="EA149" s="1001">
        <f>EA148*$DM$149</f>
        <v>241.17224999999996</v>
      </c>
      <c r="EB149" s="1001">
        <f>EB148*$DM$149</f>
        <v>340.55525</v>
      </c>
      <c r="EC149" s="1001">
        <f>EC148*$DM$149</f>
        <v>325.97612499999997</v>
      </c>
      <c r="ED149" s="1002">
        <f>ED148*$DM$149</f>
        <v>367.33213749999999</v>
      </c>
      <c r="EF149" s="1000">
        <f>EF148*$DM$149</f>
        <v>263.649</v>
      </c>
      <c r="EG149" s="1001">
        <f t="shared" ref="EG149:EQ149" si="835">EG148*$DM$149</f>
        <v>233.89344</v>
      </c>
      <c r="EH149" s="1001">
        <f t="shared" si="835"/>
        <v>227.29220999999998</v>
      </c>
      <c r="EI149" s="1001">
        <f t="shared" si="835"/>
        <v>202.68198000000001</v>
      </c>
      <c r="EJ149" s="1001">
        <f t="shared" si="835"/>
        <v>185.46164999999999</v>
      </c>
      <c r="EK149" s="1001">
        <f t="shared" si="835"/>
        <v>181.08409928400002</v>
      </c>
      <c r="EL149" s="1001">
        <f t="shared" si="835"/>
        <v>164.54736856800002</v>
      </c>
      <c r="EM149" s="1001">
        <f t="shared" si="835"/>
        <v>141.62936356800003</v>
      </c>
      <c r="EN149" s="1001">
        <f t="shared" si="835"/>
        <v>115.14216106800001</v>
      </c>
      <c r="EO149" s="1001">
        <f t="shared" si="835"/>
        <v>90.345631068000017</v>
      </c>
      <c r="EP149" s="1001">
        <f t="shared" si="835"/>
        <v>81.704416068000015</v>
      </c>
      <c r="EQ149" s="1002">
        <f t="shared" si="835"/>
        <v>79.638038567999999</v>
      </c>
      <c r="ES149" s="1000">
        <f>ES148*$DM$149</f>
        <v>75.002999999999986</v>
      </c>
      <c r="ET149" s="1001">
        <f t="shared" ref="ET149:FD149" si="836">ET148*$DM$149</f>
        <v>71.65097999999999</v>
      </c>
      <c r="EU149" s="1001">
        <f t="shared" si="836"/>
        <v>73.513980000000004</v>
      </c>
      <c r="EV149" s="1001">
        <f t="shared" si="836"/>
        <v>65.167739999999995</v>
      </c>
      <c r="EW149" s="1001">
        <f t="shared" si="836"/>
        <v>57.380399999999995</v>
      </c>
      <c r="EX149" s="1001">
        <f t="shared" si="836"/>
        <v>62.173466784000013</v>
      </c>
      <c r="EY149" s="1001">
        <f t="shared" si="836"/>
        <v>67.803331068000006</v>
      </c>
      <c r="EZ149" s="1001">
        <f t="shared" si="836"/>
        <v>69.681856068000002</v>
      </c>
      <c r="FA149" s="1001">
        <f t="shared" si="836"/>
        <v>70.621118568000014</v>
      </c>
      <c r="FB149" s="1001">
        <f t="shared" si="836"/>
        <v>71.560381067999998</v>
      </c>
      <c r="FC149" s="1001">
        <f t="shared" si="836"/>
        <v>74.190316068000001</v>
      </c>
      <c r="FD149" s="1002">
        <f t="shared" si="836"/>
        <v>77.383808568000006</v>
      </c>
      <c r="FF149" s="1000">
        <f>FF148*$DM$149</f>
        <v>75.002999999999986</v>
      </c>
      <c r="FG149" s="1001">
        <f t="shared" ref="FG149:FQ149" si="837">FG148*$DM$149</f>
        <v>71.65097999999999</v>
      </c>
      <c r="FH149" s="1001">
        <f t="shared" si="837"/>
        <v>73.513980000000004</v>
      </c>
      <c r="FI149" s="1001">
        <f t="shared" si="837"/>
        <v>65.167739999999995</v>
      </c>
      <c r="FJ149" s="1001">
        <f t="shared" si="837"/>
        <v>57.380399999999995</v>
      </c>
      <c r="FK149" s="1001">
        <f t="shared" si="837"/>
        <v>62.173466784000013</v>
      </c>
      <c r="FL149" s="1001">
        <f t="shared" si="837"/>
        <v>67.803331068000006</v>
      </c>
      <c r="FM149" s="1001">
        <f t="shared" si="837"/>
        <v>69.681856068000002</v>
      </c>
      <c r="FN149" s="1001">
        <f t="shared" si="837"/>
        <v>70.621118568000014</v>
      </c>
      <c r="FO149" s="1001">
        <f t="shared" si="837"/>
        <v>71.560381067999998</v>
      </c>
      <c r="FP149" s="1001">
        <f t="shared" si="837"/>
        <v>74.190316068000001</v>
      </c>
      <c r="FQ149" s="1002">
        <f t="shared" si="837"/>
        <v>77.383808568000006</v>
      </c>
      <c r="FS149" s="1000">
        <f>FS148*$DM$149</f>
        <v>75.002999999999986</v>
      </c>
      <c r="FT149" s="1001">
        <f t="shared" ref="FT149:GD149" si="838">FT148*$DM$149</f>
        <v>71.65097999999999</v>
      </c>
      <c r="FU149" s="1001">
        <f t="shared" si="838"/>
        <v>73.513980000000004</v>
      </c>
      <c r="FV149" s="1001">
        <f t="shared" si="838"/>
        <v>65.167739999999995</v>
      </c>
      <c r="FW149" s="1001">
        <f t="shared" si="838"/>
        <v>57.380399999999995</v>
      </c>
      <c r="FX149" s="1001">
        <f t="shared" si="838"/>
        <v>51.847290000000008</v>
      </c>
      <c r="FY149" s="1001">
        <f t="shared" si="838"/>
        <v>41.5154025</v>
      </c>
      <c r="FZ149" s="1001">
        <f t="shared" si="838"/>
        <v>32.122777499999998</v>
      </c>
      <c r="GA149" s="1001">
        <f t="shared" si="838"/>
        <v>22.730152500000003</v>
      </c>
      <c r="GB149" s="1001">
        <f t="shared" si="838"/>
        <v>14.276789999999998</v>
      </c>
      <c r="GC149" s="1001">
        <f t="shared" si="838"/>
        <v>7.5141</v>
      </c>
      <c r="GD149" s="1002">
        <f t="shared" si="838"/>
        <v>2.2542300000000002</v>
      </c>
      <c r="GF149" s="1000">
        <f>GF148*$DM$149</f>
        <v>0</v>
      </c>
      <c r="GG149" s="1001">
        <f t="shared" ref="GG149:GQ149" si="839">GG148*$DM$149</f>
        <v>0</v>
      </c>
      <c r="GH149" s="1001">
        <f t="shared" si="839"/>
        <v>0</v>
      </c>
      <c r="GI149" s="1001">
        <f t="shared" si="839"/>
        <v>0</v>
      </c>
      <c r="GJ149" s="1001">
        <f t="shared" si="839"/>
        <v>0</v>
      </c>
      <c r="GK149" s="1001">
        <f t="shared" si="839"/>
        <v>0</v>
      </c>
      <c r="GL149" s="1001">
        <f t="shared" si="839"/>
        <v>0</v>
      </c>
      <c r="GM149" s="1001">
        <f t="shared" si="839"/>
        <v>0</v>
      </c>
      <c r="GN149" s="1001">
        <f t="shared" si="839"/>
        <v>0</v>
      </c>
      <c r="GO149" s="1001">
        <f t="shared" si="839"/>
        <v>0</v>
      </c>
      <c r="GP149" s="1001">
        <f t="shared" si="839"/>
        <v>0</v>
      </c>
      <c r="GQ149" s="1002">
        <f t="shared" si="839"/>
        <v>0</v>
      </c>
      <c r="GS149" s="1000">
        <f>GS148*$DM$149</f>
        <v>0</v>
      </c>
      <c r="GT149" s="1001">
        <f t="shared" ref="GT149:HD149" si="840">GT148*$DM$149</f>
        <v>0</v>
      </c>
      <c r="GU149" s="1001">
        <f t="shared" si="840"/>
        <v>0</v>
      </c>
      <c r="GV149" s="1001">
        <f t="shared" si="840"/>
        <v>0</v>
      </c>
      <c r="GW149" s="1001">
        <f t="shared" si="840"/>
        <v>0</v>
      </c>
      <c r="GX149" s="1001">
        <f t="shared" si="840"/>
        <v>0</v>
      </c>
      <c r="GY149" s="1001">
        <f t="shared" si="840"/>
        <v>0</v>
      </c>
      <c r="GZ149" s="1001">
        <f t="shared" si="840"/>
        <v>0</v>
      </c>
      <c r="HA149" s="1001">
        <f t="shared" si="840"/>
        <v>0</v>
      </c>
      <c r="HB149" s="1001">
        <f t="shared" si="840"/>
        <v>0</v>
      </c>
      <c r="HC149" s="1001">
        <f t="shared" si="840"/>
        <v>0</v>
      </c>
      <c r="HD149" s="1002">
        <f t="shared" si="840"/>
        <v>0</v>
      </c>
    </row>
    <row r="150" spans="2:212" ht="14.25">
      <c r="B150" s="984" t="s">
        <v>127</v>
      </c>
      <c r="C150" s="1076">
        <v>150</v>
      </c>
      <c r="D150" s="1107">
        <v>20</v>
      </c>
      <c r="E150" s="993">
        <v>12</v>
      </c>
      <c r="F150" s="1107">
        <v>5</v>
      </c>
      <c r="G150" s="1079"/>
      <c r="H150" s="1032">
        <v>12</v>
      </c>
      <c r="I150" s="1078">
        <f t="shared" si="807"/>
        <v>0.08</v>
      </c>
      <c r="N150" s="931"/>
      <c r="O150" s="950"/>
      <c r="AA150" s="931"/>
      <c r="AB150" s="950"/>
      <c r="DK150" s="931"/>
      <c r="DL150" s="950"/>
      <c r="DN150" s="971">
        <f>DN149/DN143</f>
        <v>4.0033020473022041E-3</v>
      </c>
      <c r="DO150" s="1003">
        <f>DO149/DO143</f>
        <v>3.838673330778778E-3</v>
      </c>
      <c r="DP150" s="1003">
        <f>DP149/DP143</f>
        <v>6.5875967455226135E-3</v>
      </c>
      <c r="DQ150" s="1003">
        <f>DQ149/DQ143</f>
        <v>5.5711844479032734E-3</v>
      </c>
      <c r="DR150" s="972">
        <f>DR149/DR143</f>
        <v>4.4271278284779411E-3</v>
      </c>
      <c r="DT150" s="971">
        <f>DT149/DT143</f>
        <v>4.0033020473022041E-3</v>
      </c>
      <c r="DU150" s="1003">
        <f>DU149/DU143</f>
        <v>2.5369674255343619E-3</v>
      </c>
      <c r="DV150" s="1003">
        <f>DV149/DV143</f>
        <v>4.4424328428666338E-3</v>
      </c>
      <c r="DW150" s="1003">
        <f>DW149/DW143</f>
        <v>3.4430165056400222E-3</v>
      </c>
      <c r="DX150" s="972">
        <f>DX149/DX143</f>
        <v>3.0312160641604072E-3</v>
      </c>
      <c r="DZ150" s="971">
        <f>DZ149/DZ143</f>
        <v>4.0033020473022041E-3</v>
      </c>
      <c r="EA150" s="1003">
        <f>EA149/EA143</f>
        <v>4.2225406638566557E-3</v>
      </c>
      <c r="EB150" s="1003">
        <f>EB149/EB143</f>
        <v>7.1497817930560358E-3</v>
      </c>
      <c r="EC150" s="1003">
        <f>EC149/EC143</f>
        <v>6.043026942089514E-3</v>
      </c>
      <c r="ED150" s="972">
        <f>ED149/ED143</f>
        <v>5.2195620582321783E-3</v>
      </c>
      <c r="EF150" s="971">
        <f>EF149/EF143</f>
        <v>1.271438481998758E-2</v>
      </c>
      <c r="EG150" s="1003">
        <f t="shared" ref="EG150:EQ150" si="841">EG149/EG143</f>
        <v>1.1437170016624676E-2</v>
      </c>
      <c r="EH150" s="1003">
        <f t="shared" si="841"/>
        <v>4.6686310847966865E-3</v>
      </c>
      <c r="EI150" s="1003">
        <f t="shared" si="841"/>
        <v>4.1945574157818974E-3</v>
      </c>
      <c r="EJ150" s="1003">
        <f t="shared" si="841"/>
        <v>3.2787476073630837E-3</v>
      </c>
      <c r="EK150" s="1003">
        <f t="shared" si="841"/>
        <v>2.8433617043486783E-3</v>
      </c>
      <c r="EL150" s="1003">
        <f t="shared" si="841"/>
        <v>2.8034754590506579E-3</v>
      </c>
      <c r="EM150" s="1003">
        <f t="shared" si="841"/>
        <v>2.1714546808607178E-3</v>
      </c>
      <c r="EN150" s="1003">
        <f t="shared" si="841"/>
        <v>1.5801658684091895E-3</v>
      </c>
      <c r="EO150" s="1003">
        <f t="shared" si="841"/>
        <v>1.3104583368147302E-3</v>
      </c>
      <c r="EP150" s="1003">
        <f t="shared" si="841"/>
        <v>1.069110618964168E-3</v>
      </c>
      <c r="EQ150" s="972">
        <f t="shared" si="841"/>
        <v>9.3077381901355628E-4</v>
      </c>
      <c r="ES150" s="971">
        <f>ES149/ES143</f>
        <v>2.229917817297073E-3</v>
      </c>
      <c r="ET150" s="1003">
        <f t="shared" ref="ET150:FD150" si="842">ET149/ET143</f>
        <v>2.2670121300913571E-3</v>
      </c>
      <c r="EU150" s="1003">
        <f t="shared" si="842"/>
        <v>1.0612559385776094E-3</v>
      </c>
      <c r="EV150" s="1003">
        <f t="shared" si="842"/>
        <v>9.4455366461478312E-4</v>
      </c>
      <c r="EW150" s="1003">
        <f t="shared" si="842"/>
        <v>7.1943570500469138E-4</v>
      </c>
      <c r="EX150" s="1003">
        <f t="shared" si="842"/>
        <v>7.1938368125387653E-4</v>
      </c>
      <c r="EY150" s="1003">
        <f t="shared" si="842"/>
        <v>8.3395240994266965E-4</v>
      </c>
      <c r="EZ150" s="1003">
        <f t="shared" si="842"/>
        <v>7.7146974952368758E-4</v>
      </c>
      <c r="FA150" s="1003">
        <f t="shared" si="842"/>
        <v>7.0722439157108275E-4</v>
      </c>
      <c r="FB150" s="1003">
        <f t="shared" si="842"/>
        <v>7.6051100706886574E-4</v>
      </c>
      <c r="FC150" s="1003">
        <f t="shared" si="842"/>
        <v>7.2217259766928633E-4</v>
      </c>
      <c r="FD150" s="972">
        <f t="shared" si="842"/>
        <v>6.9974676520097876E-4</v>
      </c>
      <c r="FF150" s="971">
        <f>FF149/FF143</f>
        <v>1.6192934360899154E-3</v>
      </c>
      <c r="FG150" s="1003">
        <f t="shared" ref="FG150:FQ150" si="843">FG149/FG143</f>
        <v>1.6661011788798674E-3</v>
      </c>
      <c r="FH150" s="1003">
        <f t="shared" si="843"/>
        <v>7.4911931826173773E-4</v>
      </c>
      <c r="FI150" s="1003">
        <f t="shared" si="843"/>
        <v>6.7671678164763827E-4</v>
      </c>
      <c r="FJ150" s="1003">
        <f t="shared" si="843"/>
        <v>5.1609060134918136E-4</v>
      </c>
      <c r="FK150" s="1003">
        <f t="shared" si="843"/>
        <v>5.2158710479874781E-4</v>
      </c>
      <c r="FL150" s="1003">
        <f t="shared" si="843"/>
        <v>5.9811255609888464E-4</v>
      </c>
      <c r="FM150" s="1003">
        <f t="shared" si="843"/>
        <v>5.5440252853030964E-4</v>
      </c>
      <c r="FN150" s="1003">
        <f t="shared" si="843"/>
        <v>5.0893602987652983E-4</v>
      </c>
      <c r="FO150" s="1003">
        <f t="shared" si="843"/>
        <v>5.4021506503413642E-4</v>
      </c>
      <c r="FP150" s="1003">
        <f t="shared" si="843"/>
        <v>5.15640089051314E-4</v>
      </c>
      <c r="FQ150" s="972">
        <f t="shared" si="843"/>
        <v>4.981295074773216E-4</v>
      </c>
      <c r="FS150" s="971">
        <f>FS149/FS143</f>
        <v>1.2166351757397689E-3</v>
      </c>
      <c r="FT150" s="1003">
        <f t="shared" ref="FT150:GD150" si="844">FT149/FT143</f>
        <v>1.2475341787273149E-3</v>
      </c>
      <c r="FU150" s="1003">
        <f t="shared" si="844"/>
        <v>5.6899047638514998E-4</v>
      </c>
      <c r="FV150" s="1003">
        <f t="shared" si="844"/>
        <v>5.078989309616834E-4</v>
      </c>
      <c r="FW150" s="1003">
        <f t="shared" si="844"/>
        <v>3.9071355824078189E-4</v>
      </c>
      <c r="FX150" s="1003">
        <f t="shared" si="844"/>
        <v>3.3337109261257484E-4</v>
      </c>
      <c r="FY150" s="1003">
        <f t="shared" si="844"/>
        <v>2.7975573588559581E-4</v>
      </c>
      <c r="FZ150" s="1003">
        <f t="shared" si="844"/>
        <v>1.9698432641216738E-4</v>
      </c>
      <c r="GA150" s="1003">
        <f t="shared" si="844"/>
        <v>1.2664852155941389E-4</v>
      </c>
      <c r="GB150" s="1003">
        <f t="shared" si="844"/>
        <v>8.406751331300978E-5</v>
      </c>
      <c r="GC150" s="1003">
        <f t="shared" si="844"/>
        <v>4.1141820399868467E-5</v>
      </c>
      <c r="GD150" s="972">
        <f t="shared" si="844"/>
        <v>1.1507528105246074E-5</v>
      </c>
      <c r="GF150" s="971">
        <f>GF149/GF143</f>
        <v>0</v>
      </c>
      <c r="GG150" s="1003">
        <f t="shared" ref="GG150:GQ150" si="845">GG149/GG143</f>
        <v>0</v>
      </c>
      <c r="GH150" s="1003">
        <f t="shared" si="845"/>
        <v>0</v>
      </c>
      <c r="GI150" s="1003">
        <f t="shared" si="845"/>
        <v>0</v>
      </c>
      <c r="GJ150" s="1003">
        <f t="shared" si="845"/>
        <v>0</v>
      </c>
      <c r="GK150" s="1003">
        <f t="shared" si="845"/>
        <v>0</v>
      </c>
      <c r="GL150" s="1003">
        <f t="shared" si="845"/>
        <v>0</v>
      </c>
      <c r="GM150" s="1003">
        <f t="shared" si="845"/>
        <v>0</v>
      </c>
      <c r="GN150" s="1003">
        <f t="shared" si="845"/>
        <v>0</v>
      </c>
      <c r="GO150" s="1003">
        <f t="shared" si="845"/>
        <v>0</v>
      </c>
      <c r="GP150" s="1003">
        <f t="shared" si="845"/>
        <v>0</v>
      </c>
      <c r="GQ150" s="972">
        <f t="shared" si="845"/>
        <v>0</v>
      </c>
      <c r="GS150" s="971">
        <f>GS149/GS143</f>
        <v>0</v>
      </c>
      <c r="GT150" s="1003">
        <f t="shared" ref="GT150:HD150" si="846">GT149/GT143</f>
        <v>0</v>
      </c>
      <c r="GU150" s="1003">
        <f t="shared" si="846"/>
        <v>0</v>
      </c>
      <c r="GV150" s="1003">
        <f t="shared" si="846"/>
        <v>0</v>
      </c>
      <c r="GW150" s="1003">
        <f t="shared" si="846"/>
        <v>0</v>
      </c>
      <c r="GX150" s="1003">
        <f t="shared" si="846"/>
        <v>0</v>
      </c>
      <c r="GY150" s="1003">
        <f t="shared" si="846"/>
        <v>0</v>
      </c>
      <c r="GZ150" s="1003">
        <f t="shared" si="846"/>
        <v>0</v>
      </c>
      <c r="HA150" s="1003">
        <f t="shared" si="846"/>
        <v>0</v>
      </c>
      <c r="HB150" s="1003">
        <f t="shared" si="846"/>
        <v>0</v>
      </c>
      <c r="HC150" s="1003">
        <f t="shared" si="846"/>
        <v>0</v>
      </c>
      <c r="HD150" s="972">
        <f t="shared" si="846"/>
        <v>0</v>
      </c>
    </row>
    <row r="151" spans="2:212" ht="14.25" customHeight="1">
      <c r="B151" s="984" t="s">
        <v>163</v>
      </c>
      <c r="C151" s="1076">
        <v>150</v>
      </c>
      <c r="D151" s="1107">
        <v>20</v>
      </c>
      <c r="E151" s="993">
        <v>12</v>
      </c>
      <c r="F151" s="1107">
        <v>5</v>
      </c>
      <c r="G151" s="1079"/>
      <c r="H151" s="1032">
        <v>12</v>
      </c>
      <c r="I151" s="1078">
        <f t="shared" si="807"/>
        <v>0.08</v>
      </c>
      <c r="N151" s="1684" t="s">
        <v>1111</v>
      </c>
      <c r="O151" s="957" t="s">
        <v>119</v>
      </c>
      <c r="P151" s="606">
        <v>1</v>
      </c>
      <c r="Q151" s="606">
        <v>1</v>
      </c>
      <c r="S151" s="606">
        <v>2</v>
      </c>
      <c r="T151" s="606">
        <v>3</v>
      </c>
      <c r="U151" s="606">
        <v>3</v>
      </c>
      <c r="V151" s="606">
        <v>2</v>
      </c>
      <c r="AA151" s="1684" t="s">
        <v>1111</v>
      </c>
      <c r="AB151" s="957" t="s">
        <v>119</v>
      </c>
      <c r="DK151" s="1684" t="s">
        <v>1111</v>
      </c>
      <c r="DL151" s="957" t="s">
        <v>119</v>
      </c>
      <c r="DN151" s="969">
        <v>3</v>
      </c>
      <c r="DO151" s="970">
        <f>DN147*0.5+DO147*0.5</f>
        <v>4.5</v>
      </c>
      <c r="DP151" s="995">
        <f>DO147*0.5+DP147*0.5</f>
        <v>5.5</v>
      </c>
      <c r="DQ151" s="970">
        <f>DP147*0.5+DQ147*0.5</f>
        <v>3</v>
      </c>
      <c r="DR151" s="950">
        <f>DQ147*0.5+DR147*0.5</f>
        <v>2</v>
      </c>
      <c r="DT151" s="969">
        <v>3</v>
      </c>
      <c r="DU151" s="970">
        <f>DT147*0.5+DU147*0.5</f>
        <v>4.5</v>
      </c>
      <c r="DV151" s="995">
        <f>DU147*0.5+DV147*0.5</f>
        <v>5.5</v>
      </c>
      <c r="DW151" s="970">
        <f>DV147*0.5+DW147*0.5</f>
        <v>3</v>
      </c>
      <c r="DX151" s="950">
        <f>DW147*0.5+DX147*0.5</f>
        <v>2</v>
      </c>
      <c r="DZ151" s="994">
        <v>3</v>
      </c>
      <c r="EA151" s="995">
        <f>DZ147*0.5+EA147*0.5</f>
        <v>4.5</v>
      </c>
      <c r="EB151" s="995">
        <f>EA147*0.5+EB147*0.5</f>
        <v>5.5</v>
      </c>
      <c r="EC151" s="995">
        <f>EB147*0.5+EC147*0.5</f>
        <v>3</v>
      </c>
      <c r="ED151" s="996">
        <f>EC147*0.5+ED147*0.5</f>
        <v>2</v>
      </c>
      <c r="EE151" s="978"/>
      <c r="EF151" s="994">
        <f>ED147*0.5+EF147*0.5</f>
        <v>1</v>
      </c>
      <c r="EG151" s="995">
        <f>EF147*0.5+EG147*0.5</f>
        <v>0</v>
      </c>
      <c r="EH151" s="995">
        <f t="shared" ref="EH151:EQ151" si="847">EG147*0.5+EH147*0.5</f>
        <v>0.5</v>
      </c>
      <c r="EI151" s="995">
        <f t="shared" si="847"/>
        <v>1</v>
      </c>
      <c r="EJ151" s="995">
        <f t="shared" si="847"/>
        <v>1</v>
      </c>
      <c r="EK151" s="995">
        <f t="shared" si="847"/>
        <v>1</v>
      </c>
      <c r="EL151" s="995">
        <f t="shared" si="847"/>
        <v>1</v>
      </c>
      <c r="EM151" s="995">
        <f t="shared" si="847"/>
        <v>1</v>
      </c>
      <c r="EN151" s="995">
        <f t="shared" si="847"/>
        <v>1</v>
      </c>
      <c r="EO151" s="995">
        <f t="shared" si="847"/>
        <v>1</v>
      </c>
      <c r="EP151" s="995">
        <f t="shared" si="847"/>
        <v>1</v>
      </c>
      <c r="EQ151" s="996">
        <f t="shared" si="847"/>
        <v>1</v>
      </c>
      <c r="ES151" s="994">
        <f>EQ147*0.5+ES147*0.5</f>
        <v>0.5</v>
      </c>
      <c r="ET151" s="995">
        <f>ES147*0.5+ET147*0.5</f>
        <v>0</v>
      </c>
      <c r="EU151" s="995">
        <f t="shared" ref="EU151" si="848">ET147*0.5+EU147*0.5</f>
        <v>0.5</v>
      </c>
      <c r="EV151" s="995">
        <f t="shared" ref="EV151" si="849">EU147*0.5+EV147*0.5</f>
        <v>1</v>
      </c>
      <c r="EW151" s="995">
        <f t="shared" ref="EW151" si="850">EV147*0.5+EW147*0.5</f>
        <v>1</v>
      </c>
      <c r="EX151" s="995">
        <f t="shared" ref="EX151" si="851">EW147*0.5+EX147*0.5</f>
        <v>1</v>
      </c>
      <c r="EY151" s="995">
        <f t="shared" ref="EY151" si="852">EX147*0.5+EY147*0.5</f>
        <v>1</v>
      </c>
      <c r="EZ151" s="995">
        <f t="shared" ref="EZ151" si="853">EY147*0.5+EZ147*0.5</f>
        <v>1</v>
      </c>
      <c r="FA151" s="995">
        <f t="shared" ref="FA151" si="854">EZ147*0.5+FA147*0.5</f>
        <v>1</v>
      </c>
      <c r="FB151" s="995">
        <f t="shared" ref="FB151" si="855">FA147*0.5+FB147*0.5</f>
        <v>1</v>
      </c>
      <c r="FC151" s="995">
        <f t="shared" ref="FC151" si="856">FB147*0.5+FC147*0.5</f>
        <v>1</v>
      </c>
      <c r="FD151" s="996">
        <f t="shared" ref="FD151" si="857">FC147*0.5+FD147*0.5</f>
        <v>1</v>
      </c>
      <c r="FF151" s="994">
        <f>FD147*0.5+FF147*0.5</f>
        <v>0.5</v>
      </c>
      <c r="FG151" s="995">
        <f>FF147*0.5+FG147*0.5</f>
        <v>0</v>
      </c>
      <c r="FH151" s="995">
        <f t="shared" ref="FH151" si="858">FG147*0.5+FH147*0.5</f>
        <v>0.5</v>
      </c>
      <c r="FI151" s="995">
        <f t="shared" ref="FI151" si="859">FH147*0.5+FI147*0.5</f>
        <v>1</v>
      </c>
      <c r="FJ151" s="995">
        <f t="shared" ref="FJ151" si="860">FI147*0.5+FJ147*0.5</f>
        <v>1</v>
      </c>
      <c r="FK151" s="995">
        <f t="shared" ref="FK151" si="861">FJ147*0.5+FK147*0.5</f>
        <v>1</v>
      </c>
      <c r="FL151" s="995">
        <f t="shared" ref="FL151" si="862">FK147*0.5+FL147*0.5</f>
        <v>1</v>
      </c>
      <c r="FM151" s="995">
        <f t="shared" ref="FM151" si="863">FL147*0.5+FM147*0.5</f>
        <v>1</v>
      </c>
      <c r="FN151" s="995">
        <f t="shared" ref="FN151" si="864">FM147*0.5+FN147*0.5</f>
        <v>1</v>
      </c>
      <c r="FO151" s="995">
        <f t="shared" ref="FO151" si="865">FN147*0.5+FO147*0.5</f>
        <v>1</v>
      </c>
      <c r="FP151" s="995">
        <f t="shared" ref="FP151" si="866">FO147*0.5+FP147*0.5</f>
        <v>1</v>
      </c>
      <c r="FQ151" s="996">
        <f t="shared" ref="FQ151" si="867">FP147*0.5+FQ147*0.5</f>
        <v>1</v>
      </c>
      <c r="FS151" s="994">
        <f>FQ147*0.5+FS147*0.5</f>
        <v>0.5</v>
      </c>
      <c r="FT151" s="995">
        <f>FS147*0.5+FT147*0.5</f>
        <v>0</v>
      </c>
      <c r="FU151" s="995">
        <f t="shared" ref="FU151" si="868">FT147*0.5+FU147*0.5</f>
        <v>0</v>
      </c>
      <c r="FV151" s="995">
        <f t="shared" ref="FV151" si="869">FU147*0.5+FV147*0.5</f>
        <v>0</v>
      </c>
      <c r="FW151" s="995">
        <f t="shared" ref="FW151" si="870">FV147*0.5+FW147*0.5</f>
        <v>0</v>
      </c>
      <c r="FX151" s="995">
        <f t="shared" ref="FX151" si="871">FW147*0.5+FX147*0.5</f>
        <v>0</v>
      </c>
      <c r="FY151" s="995">
        <f t="shared" ref="FY151" si="872">FX147*0.5+FY147*0.5</f>
        <v>0</v>
      </c>
      <c r="FZ151" s="995">
        <f t="shared" ref="FZ151" si="873">FY147*0.5+FZ147*0.5</f>
        <v>0</v>
      </c>
      <c r="GA151" s="995">
        <f t="shared" ref="GA151" si="874">FZ147*0.5+GA147*0.5</f>
        <v>0</v>
      </c>
      <c r="GB151" s="995">
        <f t="shared" ref="GB151" si="875">GA147*0.5+GB147*0.5</f>
        <v>0</v>
      </c>
      <c r="GC151" s="995">
        <f t="shared" ref="GC151" si="876">GB147*0.5+GC147*0.5</f>
        <v>0</v>
      </c>
      <c r="GD151" s="996">
        <f t="shared" ref="GD151" si="877">GC147*0.5+GD147*0.5</f>
        <v>0</v>
      </c>
      <c r="GF151" s="994">
        <f>GD147*0.5+GF147*0.5</f>
        <v>0</v>
      </c>
      <c r="GG151" s="995">
        <f>GF147*0.5+GG147*0.5</f>
        <v>0</v>
      </c>
      <c r="GH151" s="995">
        <f t="shared" ref="GH151" si="878">GG147*0.5+GH147*0.5</f>
        <v>0</v>
      </c>
      <c r="GI151" s="995">
        <f t="shared" ref="GI151" si="879">GH147*0.5+GI147*0.5</f>
        <v>0</v>
      </c>
      <c r="GJ151" s="995">
        <f t="shared" ref="GJ151" si="880">GI147*0.5+GJ147*0.5</f>
        <v>0</v>
      </c>
      <c r="GK151" s="995">
        <f t="shared" ref="GK151" si="881">GJ147*0.5+GK147*0.5</f>
        <v>0</v>
      </c>
      <c r="GL151" s="995">
        <f t="shared" ref="GL151" si="882">GK147*0.5+GL147*0.5</f>
        <v>0</v>
      </c>
      <c r="GM151" s="995">
        <f t="shared" ref="GM151" si="883">GL147*0.5+GM147*0.5</f>
        <v>0</v>
      </c>
      <c r="GN151" s="995">
        <f t="shared" ref="GN151" si="884">GM147*0.5+GN147*0.5</f>
        <v>0</v>
      </c>
      <c r="GO151" s="995">
        <f t="shared" ref="GO151" si="885">GN147*0.5+GO147*0.5</f>
        <v>0</v>
      </c>
      <c r="GP151" s="995">
        <f t="shared" ref="GP151" si="886">GO147*0.5+GP147*0.5</f>
        <v>0</v>
      </c>
      <c r="GQ151" s="996">
        <f t="shared" ref="GQ151" si="887">GP147*0.5+GQ147*0.5</f>
        <v>0</v>
      </c>
      <c r="GS151" s="994">
        <f>GQ147*0.5+GS147*0.5</f>
        <v>0</v>
      </c>
      <c r="GT151" s="995">
        <f>GS147*0.5+GT147*0.5</f>
        <v>0</v>
      </c>
      <c r="GU151" s="995">
        <f t="shared" ref="GU151" si="888">GT147*0.5+GU147*0.5</f>
        <v>0</v>
      </c>
      <c r="GV151" s="995">
        <f t="shared" ref="GV151" si="889">GU147*0.5+GV147*0.5</f>
        <v>0</v>
      </c>
      <c r="GW151" s="995">
        <f t="shared" ref="GW151" si="890">GV147*0.5+GW147*0.5</f>
        <v>0</v>
      </c>
      <c r="GX151" s="995">
        <f t="shared" ref="GX151" si="891">GW147*0.5+GX147*0.5</f>
        <v>0</v>
      </c>
      <c r="GY151" s="995">
        <f t="shared" ref="GY151" si="892">GX147*0.5+GY147*0.5</f>
        <v>0</v>
      </c>
      <c r="GZ151" s="995">
        <f t="shared" ref="GZ151" si="893">GY147*0.5+GZ147*0.5</f>
        <v>0</v>
      </c>
      <c r="HA151" s="995">
        <f t="shared" ref="HA151" si="894">GZ147*0.5+HA147*0.5</f>
        <v>0</v>
      </c>
      <c r="HB151" s="995">
        <f t="shared" ref="HB151" si="895">HA147*0.5+HB147*0.5</f>
        <v>0</v>
      </c>
      <c r="HC151" s="995">
        <f t="shared" ref="HC151" si="896">HB147*0.5+HC147*0.5</f>
        <v>0</v>
      </c>
      <c r="HD151" s="996">
        <f t="shared" ref="HD151" si="897">HC147*0.5+HD147*0.5</f>
        <v>0</v>
      </c>
    </row>
    <row r="152" spans="2:212" ht="14.25">
      <c r="B152" s="984" t="s">
        <v>164</v>
      </c>
      <c r="C152" s="1076">
        <v>170</v>
      </c>
      <c r="D152" s="1107">
        <v>20</v>
      </c>
      <c r="E152" s="993">
        <v>12</v>
      </c>
      <c r="F152" s="1108" t="s">
        <v>165</v>
      </c>
      <c r="G152" s="1079"/>
      <c r="H152" s="1032">
        <v>12</v>
      </c>
      <c r="I152" s="1078">
        <f t="shared" si="807"/>
        <v>7.0588235294117646E-2</v>
      </c>
      <c r="N152" s="1684"/>
      <c r="O152" s="957" t="s">
        <v>120</v>
      </c>
      <c r="Q152" s="606">
        <v>1</v>
      </c>
      <c r="T152" s="606">
        <v>2</v>
      </c>
      <c r="U152" s="606">
        <v>3</v>
      </c>
      <c r="V152" s="606">
        <v>3</v>
      </c>
      <c r="AA152" s="1684"/>
      <c r="AB152" s="957" t="s">
        <v>120</v>
      </c>
      <c r="DK152" s="1684"/>
      <c r="DL152" s="957" t="s">
        <v>120</v>
      </c>
      <c r="DN152" s="969">
        <v>2</v>
      </c>
      <c r="DO152" s="970">
        <f>DN151</f>
        <v>3</v>
      </c>
      <c r="DP152" s="970">
        <f>DO151</f>
        <v>4.5</v>
      </c>
      <c r="DQ152" s="995">
        <f>DP151</f>
        <v>5.5</v>
      </c>
      <c r="DR152" s="950">
        <f>DQ151</f>
        <v>3</v>
      </c>
      <c r="DT152" s="969">
        <v>2</v>
      </c>
      <c r="DU152" s="970">
        <f>DT151</f>
        <v>3</v>
      </c>
      <c r="DV152" s="970">
        <f>DU151</f>
        <v>4.5</v>
      </c>
      <c r="DW152" s="995">
        <f>DV151</f>
        <v>5.5</v>
      </c>
      <c r="DX152" s="950">
        <f>DW151</f>
        <v>3</v>
      </c>
      <c r="DZ152" s="994">
        <v>2</v>
      </c>
      <c r="EA152" s="995">
        <f>DZ151</f>
        <v>3</v>
      </c>
      <c r="EB152" s="995">
        <f>EA151</f>
        <v>4.5</v>
      </c>
      <c r="EC152" s="995">
        <f>EB151</f>
        <v>5.5</v>
      </c>
      <c r="ED152" s="996">
        <f>EC151</f>
        <v>3</v>
      </c>
      <c r="EE152" s="978"/>
      <c r="EF152" s="994">
        <f>ED151</f>
        <v>2</v>
      </c>
      <c r="EG152" s="995">
        <f t="shared" ref="EG152:EQ162" si="898">EF151</f>
        <v>1</v>
      </c>
      <c r="EH152" s="995">
        <f t="shared" si="898"/>
        <v>0</v>
      </c>
      <c r="EI152" s="995">
        <f t="shared" si="898"/>
        <v>0.5</v>
      </c>
      <c r="EJ152" s="995">
        <f t="shared" si="898"/>
        <v>1</v>
      </c>
      <c r="EK152" s="995">
        <f t="shared" si="898"/>
        <v>1</v>
      </c>
      <c r="EL152" s="995">
        <f t="shared" si="898"/>
        <v>1</v>
      </c>
      <c r="EM152" s="995">
        <f t="shared" si="898"/>
        <v>1</v>
      </c>
      <c r="EN152" s="995">
        <f t="shared" si="898"/>
        <v>1</v>
      </c>
      <c r="EO152" s="995">
        <f t="shared" si="898"/>
        <v>1</v>
      </c>
      <c r="EP152" s="995">
        <f t="shared" si="898"/>
        <v>1</v>
      </c>
      <c r="EQ152" s="996">
        <f t="shared" si="898"/>
        <v>1</v>
      </c>
      <c r="ES152" s="994">
        <f>EQ151</f>
        <v>1</v>
      </c>
      <c r="ET152" s="995">
        <f t="shared" ref="ET152:ET162" si="899">ES151</f>
        <v>0.5</v>
      </c>
      <c r="EU152" s="995">
        <f t="shared" ref="EU152:EU162" si="900">ET151</f>
        <v>0</v>
      </c>
      <c r="EV152" s="995">
        <f t="shared" ref="EV152:EV162" si="901">EU151</f>
        <v>0.5</v>
      </c>
      <c r="EW152" s="995">
        <f t="shared" ref="EW152:EW162" si="902">EV151</f>
        <v>1</v>
      </c>
      <c r="EX152" s="995">
        <f t="shared" ref="EX152:EX162" si="903">EW151</f>
        <v>1</v>
      </c>
      <c r="EY152" s="995">
        <f t="shared" ref="EY152:EY162" si="904">EX151</f>
        <v>1</v>
      </c>
      <c r="EZ152" s="995">
        <f t="shared" ref="EZ152:EZ162" si="905">EY151</f>
        <v>1</v>
      </c>
      <c r="FA152" s="995">
        <f t="shared" ref="FA152:FA162" si="906">EZ151</f>
        <v>1</v>
      </c>
      <c r="FB152" s="995">
        <f t="shared" ref="FB152:FB162" si="907">FA151</f>
        <v>1</v>
      </c>
      <c r="FC152" s="995">
        <f t="shared" ref="FC152:FC162" si="908">FB151</f>
        <v>1</v>
      </c>
      <c r="FD152" s="996">
        <f t="shared" ref="FD152:FD162" si="909">FC151</f>
        <v>1</v>
      </c>
      <c r="FF152" s="994">
        <f>FD151</f>
        <v>1</v>
      </c>
      <c r="FG152" s="995">
        <f t="shared" ref="FG152:FG162" si="910">FF151</f>
        <v>0.5</v>
      </c>
      <c r="FH152" s="995">
        <f t="shared" ref="FH152:FH162" si="911">FG151</f>
        <v>0</v>
      </c>
      <c r="FI152" s="995">
        <f t="shared" ref="FI152:FI162" si="912">FH151</f>
        <v>0.5</v>
      </c>
      <c r="FJ152" s="995">
        <f t="shared" ref="FJ152:FJ162" si="913">FI151</f>
        <v>1</v>
      </c>
      <c r="FK152" s="995">
        <f t="shared" ref="FK152:FK162" si="914">FJ151</f>
        <v>1</v>
      </c>
      <c r="FL152" s="995">
        <f t="shared" ref="FL152:FL162" si="915">FK151</f>
        <v>1</v>
      </c>
      <c r="FM152" s="995">
        <f t="shared" ref="FM152:FM162" si="916">FL151</f>
        <v>1</v>
      </c>
      <c r="FN152" s="995">
        <f t="shared" ref="FN152:FN162" si="917">FM151</f>
        <v>1</v>
      </c>
      <c r="FO152" s="995">
        <f t="shared" ref="FO152:FO162" si="918">FN151</f>
        <v>1</v>
      </c>
      <c r="FP152" s="995">
        <f t="shared" ref="FP152:FP162" si="919">FO151</f>
        <v>1</v>
      </c>
      <c r="FQ152" s="996">
        <f t="shared" ref="FQ152:FQ162" si="920">FP151</f>
        <v>1</v>
      </c>
      <c r="FS152" s="994">
        <f>FQ151</f>
        <v>1</v>
      </c>
      <c r="FT152" s="995">
        <f t="shared" ref="FT152:FT162" si="921">FS151</f>
        <v>0.5</v>
      </c>
      <c r="FU152" s="995">
        <f t="shared" ref="FU152:FU162" si="922">FT151</f>
        <v>0</v>
      </c>
      <c r="FV152" s="995">
        <f t="shared" ref="FV152:FV162" si="923">FU151</f>
        <v>0</v>
      </c>
      <c r="FW152" s="995">
        <f t="shared" ref="FW152:FW162" si="924">FV151</f>
        <v>0</v>
      </c>
      <c r="FX152" s="995">
        <f t="shared" ref="FX152:FX162" si="925">FW151</f>
        <v>0</v>
      </c>
      <c r="FY152" s="995">
        <f t="shared" ref="FY152:FY162" si="926">FX151</f>
        <v>0</v>
      </c>
      <c r="FZ152" s="995">
        <f t="shared" ref="FZ152:FZ162" si="927">FY151</f>
        <v>0</v>
      </c>
      <c r="GA152" s="995">
        <f t="shared" ref="GA152:GA162" si="928">FZ151</f>
        <v>0</v>
      </c>
      <c r="GB152" s="995">
        <f t="shared" ref="GB152:GB162" si="929">GA151</f>
        <v>0</v>
      </c>
      <c r="GC152" s="995">
        <f t="shared" ref="GC152:GC162" si="930">GB151</f>
        <v>0</v>
      </c>
      <c r="GD152" s="996">
        <f t="shared" ref="GD152:GD162" si="931">GC151</f>
        <v>0</v>
      </c>
      <c r="GF152" s="994">
        <f>GD151</f>
        <v>0</v>
      </c>
      <c r="GG152" s="995">
        <f t="shared" ref="GG152:GG162" si="932">GF151</f>
        <v>0</v>
      </c>
      <c r="GH152" s="995">
        <f t="shared" ref="GH152:GH162" si="933">GG151</f>
        <v>0</v>
      </c>
      <c r="GI152" s="995">
        <f t="shared" ref="GI152:GI162" si="934">GH151</f>
        <v>0</v>
      </c>
      <c r="GJ152" s="995">
        <f t="shared" ref="GJ152:GJ162" si="935">GI151</f>
        <v>0</v>
      </c>
      <c r="GK152" s="995">
        <f t="shared" ref="GK152:GK162" si="936">GJ151</f>
        <v>0</v>
      </c>
      <c r="GL152" s="995">
        <f t="shared" ref="GL152:GL162" si="937">GK151</f>
        <v>0</v>
      </c>
      <c r="GM152" s="995">
        <f t="shared" ref="GM152:GM162" si="938">GL151</f>
        <v>0</v>
      </c>
      <c r="GN152" s="995">
        <f t="shared" ref="GN152:GN162" si="939">GM151</f>
        <v>0</v>
      </c>
      <c r="GO152" s="995">
        <f t="shared" ref="GO152:GO162" si="940">GN151</f>
        <v>0</v>
      </c>
      <c r="GP152" s="995">
        <f t="shared" ref="GP152:GP162" si="941">GO151</f>
        <v>0</v>
      </c>
      <c r="GQ152" s="996">
        <f t="shared" ref="GQ152:GQ162" si="942">GP151</f>
        <v>0</v>
      </c>
      <c r="GS152" s="994">
        <f>GQ151</f>
        <v>0</v>
      </c>
      <c r="GT152" s="995">
        <f t="shared" ref="GT152:GT162" si="943">GS151</f>
        <v>0</v>
      </c>
      <c r="GU152" s="995">
        <f t="shared" ref="GU152:GU162" si="944">GT151</f>
        <v>0</v>
      </c>
      <c r="GV152" s="995">
        <f t="shared" ref="GV152:GV162" si="945">GU151</f>
        <v>0</v>
      </c>
      <c r="GW152" s="995">
        <f t="shared" ref="GW152:GW162" si="946">GV151</f>
        <v>0</v>
      </c>
      <c r="GX152" s="995">
        <f t="shared" ref="GX152:GX162" si="947">GW151</f>
        <v>0</v>
      </c>
      <c r="GY152" s="995">
        <f t="shared" ref="GY152:GY162" si="948">GX151</f>
        <v>0</v>
      </c>
      <c r="GZ152" s="995">
        <f t="shared" ref="GZ152:GZ162" si="949">GY151</f>
        <v>0</v>
      </c>
      <c r="HA152" s="995">
        <f t="shared" ref="HA152:HA162" si="950">GZ151</f>
        <v>0</v>
      </c>
      <c r="HB152" s="995">
        <f t="shared" ref="HB152:HB162" si="951">HA151</f>
        <v>0</v>
      </c>
      <c r="HC152" s="995">
        <f t="shared" ref="HC152:HC162" si="952">HB151</f>
        <v>0</v>
      </c>
      <c r="HD152" s="996">
        <f t="shared" ref="HD152:HD162" si="953">HC151</f>
        <v>0</v>
      </c>
    </row>
    <row r="153" spans="2:212" ht="14.25">
      <c r="B153" s="997" t="s">
        <v>166</v>
      </c>
      <c r="C153" s="1081">
        <v>170</v>
      </c>
      <c r="D153" s="1109">
        <v>20</v>
      </c>
      <c r="E153" s="998">
        <v>12</v>
      </c>
      <c r="F153" s="1110" t="s">
        <v>165</v>
      </c>
      <c r="G153" s="1082"/>
      <c r="H153" s="1036">
        <v>12</v>
      </c>
      <c r="I153" s="1078">
        <f t="shared" si="807"/>
        <v>7.0588235294117646E-2</v>
      </c>
      <c r="N153" s="1684"/>
      <c r="O153" s="957" t="s">
        <v>121</v>
      </c>
      <c r="P153" s="606">
        <v>2</v>
      </c>
      <c r="R153" s="606">
        <v>1</v>
      </c>
      <c r="U153" s="606">
        <v>2</v>
      </c>
      <c r="V153" s="606">
        <v>3</v>
      </c>
      <c r="AA153" s="1684"/>
      <c r="AB153" s="957" t="s">
        <v>121</v>
      </c>
      <c r="DK153" s="1684"/>
      <c r="DL153" s="957" t="s">
        <v>121</v>
      </c>
      <c r="DN153" s="969">
        <v>3</v>
      </c>
      <c r="DO153" s="970">
        <v>2</v>
      </c>
      <c r="DP153" s="970">
        <f>DO152</f>
        <v>3</v>
      </c>
      <c r="DQ153" s="970">
        <f>DP152</f>
        <v>4.5</v>
      </c>
      <c r="DR153" s="996">
        <f>DQ152</f>
        <v>5.5</v>
      </c>
      <c r="DT153" s="969">
        <v>3</v>
      </c>
      <c r="DU153" s="970">
        <v>2</v>
      </c>
      <c r="DV153" s="970">
        <f>DU152</f>
        <v>3</v>
      </c>
      <c r="DW153" s="970">
        <f>DV152</f>
        <v>4.5</v>
      </c>
      <c r="DX153" s="996">
        <f>DW152</f>
        <v>5.5</v>
      </c>
      <c r="DZ153" s="994">
        <v>3</v>
      </c>
      <c r="EA153" s="995">
        <f t="shared" ref="EA153:ED162" si="954">DZ152</f>
        <v>2</v>
      </c>
      <c r="EB153" s="995">
        <f>EA152</f>
        <v>3</v>
      </c>
      <c r="EC153" s="995">
        <f>EB152</f>
        <v>4.5</v>
      </c>
      <c r="ED153" s="996">
        <f>EC152</f>
        <v>5.5</v>
      </c>
      <c r="EE153" s="978"/>
      <c r="EF153" s="994">
        <f t="shared" ref="EF153:EF162" si="955">ED152</f>
        <v>3</v>
      </c>
      <c r="EG153" s="995">
        <f t="shared" si="898"/>
        <v>2</v>
      </c>
      <c r="EH153" s="995">
        <f t="shared" si="898"/>
        <v>1</v>
      </c>
      <c r="EI153" s="995">
        <f t="shared" si="898"/>
        <v>0</v>
      </c>
      <c r="EJ153" s="995">
        <f t="shared" si="898"/>
        <v>0.5</v>
      </c>
      <c r="EK153" s="995">
        <f t="shared" si="898"/>
        <v>1</v>
      </c>
      <c r="EL153" s="995">
        <f t="shared" si="898"/>
        <v>1</v>
      </c>
      <c r="EM153" s="995">
        <f t="shared" si="898"/>
        <v>1</v>
      </c>
      <c r="EN153" s="995">
        <f t="shared" si="898"/>
        <v>1</v>
      </c>
      <c r="EO153" s="995">
        <f t="shared" si="898"/>
        <v>1</v>
      </c>
      <c r="EP153" s="995">
        <f t="shared" si="898"/>
        <v>1</v>
      </c>
      <c r="EQ153" s="996">
        <f t="shared" si="898"/>
        <v>1</v>
      </c>
      <c r="ES153" s="994">
        <f t="shared" ref="ES153:ES162" si="956">EQ152</f>
        <v>1</v>
      </c>
      <c r="ET153" s="995">
        <f t="shared" si="899"/>
        <v>1</v>
      </c>
      <c r="EU153" s="995">
        <f t="shared" si="900"/>
        <v>0.5</v>
      </c>
      <c r="EV153" s="995">
        <f t="shared" si="901"/>
        <v>0</v>
      </c>
      <c r="EW153" s="995">
        <f t="shared" si="902"/>
        <v>0.5</v>
      </c>
      <c r="EX153" s="995">
        <f t="shared" si="903"/>
        <v>1</v>
      </c>
      <c r="EY153" s="995">
        <f t="shared" si="904"/>
        <v>1</v>
      </c>
      <c r="EZ153" s="995">
        <f t="shared" si="905"/>
        <v>1</v>
      </c>
      <c r="FA153" s="995">
        <f t="shared" si="906"/>
        <v>1</v>
      </c>
      <c r="FB153" s="995">
        <f t="shared" si="907"/>
        <v>1</v>
      </c>
      <c r="FC153" s="995">
        <f t="shared" si="908"/>
        <v>1</v>
      </c>
      <c r="FD153" s="996">
        <f t="shared" si="909"/>
        <v>1</v>
      </c>
      <c r="FF153" s="994">
        <f t="shared" ref="FF153:FF162" si="957">FD152</f>
        <v>1</v>
      </c>
      <c r="FG153" s="995">
        <f t="shared" si="910"/>
        <v>1</v>
      </c>
      <c r="FH153" s="995">
        <f t="shared" si="911"/>
        <v>0.5</v>
      </c>
      <c r="FI153" s="995">
        <f t="shared" si="912"/>
        <v>0</v>
      </c>
      <c r="FJ153" s="995">
        <f t="shared" si="913"/>
        <v>0.5</v>
      </c>
      <c r="FK153" s="995">
        <f t="shared" si="914"/>
        <v>1</v>
      </c>
      <c r="FL153" s="995">
        <f t="shared" si="915"/>
        <v>1</v>
      </c>
      <c r="FM153" s="995">
        <f t="shared" si="916"/>
        <v>1</v>
      </c>
      <c r="FN153" s="995">
        <f t="shared" si="917"/>
        <v>1</v>
      </c>
      <c r="FO153" s="995">
        <f t="shared" si="918"/>
        <v>1</v>
      </c>
      <c r="FP153" s="995">
        <f t="shared" si="919"/>
        <v>1</v>
      </c>
      <c r="FQ153" s="996">
        <f t="shared" si="920"/>
        <v>1</v>
      </c>
      <c r="FS153" s="994">
        <f t="shared" ref="FS153:FS162" si="958">FQ152</f>
        <v>1</v>
      </c>
      <c r="FT153" s="995">
        <f t="shared" si="921"/>
        <v>1</v>
      </c>
      <c r="FU153" s="995">
        <f t="shared" si="922"/>
        <v>0.5</v>
      </c>
      <c r="FV153" s="995">
        <f t="shared" si="923"/>
        <v>0</v>
      </c>
      <c r="FW153" s="995">
        <f t="shared" si="924"/>
        <v>0</v>
      </c>
      <c r="FX153" s="995">
        <f t="shared" si="925"/>
        <v>0</v>
      </c>
      <c r="FY153" s="995">
        <f t="shared" si="926"/>
        <v>0</v>
      </c>
      <c r="FZ153" s="995">
        <f t="shared" si="927"/>
        <v>0</v>
      </c>
      <c r="GA153" s="995">
        <f t="shared" si="928"/>
        <v>0</v>
      </c>
      <c r="GB153" s="995">
        <f t="shared" si="929"/>
        <v>0</v>
      </c>
      <c r="GC153" s="995">
        <f t="shared" si="930"/>
        <v>0</v>
      </c>
      <c r="GD153" s="996">
        <f t="shared" si="931"/>
        <v>0</v>
      </c>
      <c r="GF153" s="994">
        <f t="shared" ref="GF153:GF162" si="959">GD152</f>
        <v>0</v>
      </c>
      <c r="GG153" s="995">
        <f t="shared" si="932"/>
        <v>0</v>
      </c>
      <c r="GH153" s="995">
        <f t="shared" si="933"/>
        <v>0</v>
      </c>
      <c r="GI153" s="995">
        <f t="shared" si="934"/>
        <v>0</v>
      </c>
      <c r="GJ153" s="995">
        <f t="shared" si="935"/>
        <v>0</v>
      </c>
      <c r="GK153" s="995">
        <f t="shared" si="936"/>
        <v>0</v>
      </c>
      <c r="GL153" s="995">
        <f t="shared" si="937"/>
        <v>0</v>
      </c>
      <c r="GM153" s="995">
        <f t="shared" si="938"/>
        <v>0</v>
      </c>
      <c r="GN153" s="995">
        <f t="shared" si="939"/>
        <v>0</v>
      </c>
      <c r="GO153" s="995">
        <f t="shared" si="940"/>
        <v>0</v>
      </c>
      <c r="GP153" s="995">
        <f t="shared" si="941"/>
        <v>0</v>
      </c>
      <c r="GQ153" s="996">
        <f t="shared" si="942"/>
        <v>0</v>
      </c>
      <c r="GS153" s="994">
        <f t="shared" ref="GS153:GS162" si="960">GQ152</f>
        <v>0</v>
      </c>
      <c r="GT153" s="995">
        <f t="shared" si="943"/>
        <v>0</v>
      </c>
      <c r="GU153" s="995">
        <f t="shared" si="944"/>
        <v>0</v>
      </c>
      <c r="GV153" s="995">
        <f t="shared" si="945"/>
        <v>0</v>
      </c>
      <c r="GW153" s="995">
        <f t="shared" si="946"/>
        <v>0</v>
      </c>
      <c r="GX153" s="995">
        <f t="shared" si="947"/>
        <v>0</v>
      </c>
      <c r="GY153" s="995">
        <f t="shared" si="948"/>
        <v>0</v>
      </c>
      <c r="GZ153" s="995">
        <f t="shared" si="949"/>
        <v>0</v>
      </c>
      <c r="HA153" s="995">
        <f t="shared" si="950"/>
        <v>0</v>
      </c>
      <c r="HB153" s="995">
        <f t="shared" si="951"/>
        <v>0</v>
      </c>
      <c r="HC153" s="995">
        <f t="shared" si="952"/>
        <v>0</v>
      </c>
      <c r="HD153" s="996">
        <f t="shared" si="953"/>
        <v>0</v>
      </c>
    </row>
    <row r="154" spans="2:212">
      <c r="B154" s="607" t="s">
        <v>167</v>
      </c>
      <c r="C154" s="1083">
        <v>1300</v>
      </c>
      <c r="D154" s="1111">
        <v>210</v>
      </c>
      <c r="E154" s="1038">
        <v>99</v>
      </c>
      <c r="F154" s="1112" t="s">
        <v>165</v>
      </c>
      <c r="G154" s="1113"/>
      <c r="H154" s="1039">
        <f>SUM(H142:H153)</f>
        <v>171</v>
      </c>
      <c r="I154" s="1078">
        <f>H154/C154</f>
        <v>0.13153846153846155</v>
      </c>
      <c r="N154" s="1684"/>
      <c r="O154" s="957" t="s">
        <v>122</v>
      </c>
      <c r="P154" s="606">
        <v>2</v>
      </c>
      <c r="Q154" s="606">
        <v>2</v>
      </c>
      <c r="S154" s="606">
        <v>1</v>
      </c>
      <c r="V154" s="606">
        <v>2</v>
      </c>
      <c r="AA154" s="1684"/>
      <c r="AB154" s="957" t="s">
        <v>122</v>
      </c>
      <c r="DK154" s="1684"/>
      <c r="DL154" s="957" t="s">
        <v>122</v>
      </c>
      <c r="DN154" s="969">
        <v>3</v>
      </c>
      <c r="DO154" s="970">
        <v>3</v>
      </c>
      <c r="DP154" s="970">
        <v>2</v>
      </c>
      <c r="DQ154" s="970">
        <f>DP153</f>
        <v>3</v>
      </c>
      <c r="DR154" s="950">
        <f>DQ153</f>
        <v>4.5</v>
      </c>
      <c r="DT154" s="969">
        <v>3</v>
      </c>
      <c r="DU154" s="970">
        <v>3</v>
      </c>
      <c r="DV154" s="970">
        <v>2</v>
      </c>
      <c r="DW154" s="970">
        <f>DV153</f>
        <v>3</v>
      </c>
      <c r="DX154" s="950">
        <f>DW153</f>
        <v>4.5</v>
      </c>
      <c r="DZ154" s="994">
        <v>3</v>
      </c>
      <c r="EA154" s="995">
        <f t="shared" si="954"/>
        <v>3</v>
      </c>
      <c r="EB154" s="995">
        <f t="shared" si="954"/>
        <v>2</v>
      </c>
      <c r="EC154" s="995">
        <f>EB153</f>
        <v>3</v>
      </c>
      <c r="ED154" s="996">
        <f>EC153</f>
        <v>4.5</v>
      </c>
      <c r="EE154" s="978"/>
      <c r="EF154" s="994">
        <f t="shared" si="955"/>
        <v>5.5</v>
      </c>
      <c r="EG154" s="995">
        <f t="shared" si="898"/>
        <v>3</v>
      </c>
      <c r="EH154" s="995">
        <f t="shared" si="898"/>
        <v>2</v>
      </c>
      <c r="EI154" s="995">
        <f t="shared" si="898"/>
        <v>1</v>
      </c>
      <c r="EJ154" s="995">
        <f t="shared" si="898"/>
        <v>0</v>
      </c>
      <c r="EK154" s="995">
        <f t="shared" si="898"/>
        <v>0.5</v>
      </c>
      <c r="EL154" s="995">
        <f t="shared" si="898"/>
        <v>1</v>
      </c>
      <c r="EM154" s="995">
        <f t="shared" si="898"/>
        <v>1</v>
      </c>
      <c r="EN154" s="995">
        <f t="shared" si="898"/>
        <v>1</v>
      </c>
      <c r="EO154" s="995">
        <f t="shared" si="898"/>
        <v>1</v>
      </c>
      <c r="EP154" s="995">
        <f t="shared" si="898"/>
        <v>1</v>
      </c>
      <c r="EQ154" s="996">
        <f t="shared" si="898"/>
        <v>1</v>
      </c>
      <c r="ES154" s="994">
        <f t="shared" si="956"/>
        <v>1</v>
      </c>
      <c r="ET154" s="995">
        <f t="shared" si="899"/>
        <v>1</v>
      </c>
      <c r="EU154" s="995">
        <f t="shared" si="900"/>
        <v>1</v>
      </c>
      <c r="EV154" s="995">
        <f t="shared" si="901"/>
        <v>0.5</v>
      </c>
      <c r="EW154" s="995">
        <f t="shared" si="902"/>
        <v>0</v>
      </c>
      <c r="EX154" s="995">
        <f t="shared" si="903"/>
        <v>0.5</v>
      </c>
      <c r="EY154" s="995">
        <f t="shared" si="904"/>
        <v>1</v>
      </c>
      <c r="EZ154" s="995">
        <f t="shared" si="905"/>
        <v>1</v>
      </c>
      <c r="FA154" s="995">
        <f t="shared" si="906"/>
        <v>1</v>
      </c>
      <c r="FB154" s="995">
        <f t="shared" si="907"/>
        <v>1</v>
      </c>
      <c r="FC154" s="995">
        <f t="shared" si="908"/>
        <v>1</v>
      </c>
      <c r="FD154" s="996">
        <f t="shared" si="909"/>
        <v>1</v>
      </c>
      <c r="FF154" s="994">
        <f t="shared" si="957"/>
        <v>1</v>
      </c>
      <c r="FG154" s="995">
        <f t="shared" si="910"/>
        <v>1</v>
      </c>
      <c r="FH154" s="995">
        <f t="shared" si="911"/>
        <v>1</v>
      </c>
      <c r="FI154" s="995">
        <f t="shared" si="912"/>
        <v>0.5</v>
      </c>
      <c r="FJ154" s="995">
        <f t="shared" si="913"/>
        <v>0</v>
      </c>
      <c r="FK154" s="995">
        <f t="shared" si="914"/>
        <v>0.5</v>
      </c>
      <c r="FL154" s="995">
        <f t="shared" si="915"/>
        <v>1</v>
      </c>
      <c r="FM154" s="995">
        <f t="shared" si="916"/>
        <v>1</v>
      </c>
      <c r="FN154" s="995">
        <f t="shared" si="917"/>
        <v>1</v>
      </c>
      <c r="FO154" s="995">
        <f t="shared" si="918"/>
        <v>1</v>
      </c>
      <c r="FP154" s="995">
        <f t="shared" si="919"/>
        <v>1</v>
      </c>
      <c r="FQ154" s="996">
        <f t="shared" si="920"/>
        <v>1</v>
      </c>
      <c r="FS154" s="994">
        <f t="shared" si="958"/>
        <v>1</v>
      </c>
      <c r="FT154" s="995">
        <f t="shared" si="921"/>
        <v>1</v>
      </c>
      <c r="FU154" s="995">
        <f t="shared" si="922"/>
        <v>1</v>
      </c>
      <c r="FV154" s="995">
        <f t="shared" si="923"/>
        <v>0.5</v>
      </c>
      <c r="FW154" s="995">
        <f t="shared" si="924"/>
        <v>0</v>
      </c>
      <c r="FX154" s="995">
        <f t="shared" si="925"/>
        <v>0</v>
      </c>
      <c r="FY154" s="995">
        <f t="shared" si="926"/>
        <v>0</v>
      </c>
      <c r="FZ154" s="995">
        <f t="shared" si="927"/>
        <v>0</v>
      </c>
      <c r="GA154" s="995">
        <f t="shared" si="928"/>
        <v>0</v>
      </c>
      <c r="GB154" s="995">
        <f t="shared" si="929"/>
        <v>0</v>
      </c>
      <c r="GC154" s="995">
        <f t="shared" si="930"/>
        <v>0</v>
      </c>
      <c r="GD154" s="996">
        <f t="shared" si="931"/>
        <v>0</v>
      </c>
      <c r="GF154" s="994">
        <f t="shared" si="959"/>
        <v>0</v>
      </c>
      <c r="GG154" s="995">
        <f t="shared" si="932"/>
        <v>0</v>
      </c>
      <c r="GH154" s="995">
        <f t="shared" si="933"/>
        <v>0</v>
      </c>
      <c r="GI154" s="995">
        <f t="shared" si="934"/>
        <v>0</v>
      </c>
      <c r="GJ154" s="995">
        <f t="shared" si="935"/>
        <v>0</v>
      </c>
      <c r="GK154" s="995">
        <f t="shared" si="936"/>
        <v>0</v>
      </c>
      <c r="GL154" s="995">
        <f t="shared" si="937"/>
        <v>0</v>
      </c>
      <c r="GM154" s="995">
        <f t="shared" si="938"/>
        <v>0</v>
      </c>
      <c r="GN154" s="995">
        <f t="shared" si="939"/>
        <v>0</v>
      </c>
      <c r="GO154" s="995">
        <f t="shared" si="940"/>
        <v>0</v>
      </c>
      <c r="GP154" s="995">
        <f t="shared" si="941"/>
        <v>0</v>
      </c>
      <c r="GQ154" s="996">
        <f t="shared" si="942"/>
        <v>0</v>
      </c>
      <c r="GS154" s="994">
        <f t="shared" si="960"/>
        <v>0</v>
      </c>
      <c r="GT154" s="995">
        <f t="shared" si="943"/>
        <v>0</v>
      </c>
      <c r="GU154" s="995">
        <f t="shared" si="944"/>
        <v>0</v>
      </c>
      <c r="GV154" s="995">
        <f t="shared" si="945"/>
        <v>0</v>
      </c>
      <c r="GW154" s="995">
        <f t="shared" si="946"/>
        <v>0</v>
      </c>
      <c r="GX154" s="995">
        <f t="shared" si="947"/>
        <v>0</v>
      </c>
      <c r="GY154" s="995">
        <f t="shared" si="948"/>
        <v>0</v>
      </c>
      <c r="GZ154" s="995">
        <f t="shared" si="949"/>
        <v>0</v>
      </c>
      <c r="HA154" s="995">
        <f t="shared" si="950"/>
        <v>0</v>
      </c>
      <c r="HB154" s="995">
        <f t="shared" si="951"/>
        <v>0</v>
      </c>
      <c r="HC154" s="995">
        <f t="shared" si="952"/>
        <v>0</v>
      </c>
      <c r="HD154" s="996">
        <f t="shared" si="953"/>
        <v>0</v>
      </c>
    </row>
    <row r="155" spans="2:212" ht="14.25">
      <c r="B155" s="31"/>
      <c r="C155" s="1114" t="s">
        <v>168</v>
      </c>
      <c r="D155" s="31"/>
      <c r="E155" s="31"/>
      <c r="F155" s="31"/>
      <c r="G155" s="31"/>
      <c r="H155" s="1115"/>
      <c r="I155" s="31"/>
      <c r="N155" s="1684"/>
      <c r="O155" s="957" t="s">
        <v>123</v>
      </c>
      <c r="P155" s="606">
        <v>1</v>
      </c>
      <c r="Q155" s="606">
        <v>2</v>
      </c>
      <c r="R155" s="606">
        <v>2</v>
      </c>
      <c r="T155" s="606">
        <v>1</v>
      </c>
      <c r="V155" s="606">
        <v>0</v>
      </c>
      <c r="AA155" s="1684"/>
      <c r="AB155" s="957" t="s">
        <v>123</v>
      </c>
      <c r="DK155" s="1684"/>
      <c r="DL155" s="957" t="s">
        <v>123</v>
      </c>
      <c r="DN155" s="969">
        <v>2</v>
      </c>
      <c r="DO155" s="970">
        <v>3</v>
      </c>
      <c r="DP155" s="970">
        <v>3</v>
      </c>
      <c r="DQ155" s="970">
        <v>2</v>
      </c>
      <c r="DR155" s="950">
        <f>DQ154</f>
        <v>3</v>
      </c>
      <c r="DT155" s="969">
        <v>2</v>
      </c>
      <c r="DU155" s="970">
        <v>3</v>
      </c>
      <c r="DV155" s="970">
        <v>3</v>
      </c>
      <c r="DW155" s="970">
        <v>2</v>
      </c>
      <c r="DX155" s="950">
        <f>DW154</f>
        <v>3</v>
      </c>
      <c r="DZ155" s="994">
        <v>2</v>
      </c>
      <c r="EA155" s="995">
        <f t="shared" si="954"/>
        <v>3</v>
      </c>
      <c r="EB155" s="995">
        <f t="shared" si="954"/>
        <v>3</v>
      </c>
      <c r="EC155" s="995">
        <f t="shared" si="954"/>
        <v>2</v>
      </c>
      <c r="ED155" s="996">
        <f>EC154</f>
        <v>3</v>
      </c>
      <c r="EE155" s="978"/>
      <c r="EF155" s="994">
        <f t="shared" si="955"/>
        <v>4.5</v>
      </c>
      <c r="EG155" s="995">
        <f t="shared" si="898"/>
        <v>5.5</v>
      </c>
      <c r="EH155" s="995">
        <f t="shared" si="898"/>
        <v>3</v>
      </c>
      <c r="EI155" s="995">
        <f t="shared" si="898"/>
        <v>2</v>
      </c>
      <c r="EJ155" s="995">
        <f t="shared" si="898"/>
        <v>1</v>
      </c>
      <c r="EK155" s="995">
        <f t="shared" si="898"/>
        <v>0</v>
      </c>
      <c r="EL155" s="995">
        <f t="shared" si="898"/>
        <v>0.5</v>
      </c>
      <c r="EM155" s="995">
        <f t="shared" si="898"/>
        <v>1</v>
      </c>
      <c r="EN155" s="995">
        <f t="shared" si="898"/>
        <v>1</v>
      </c>
      <c r="EO155" s="995">
        <f t="shared" si="898"/>
        <v>1</v>
      </c>
      <c r="EP155" s="995">
        <f t="shared" si="898"/>
        <v>1</v>
      </c>
      <c r="EQ155" s="996">
        <f t="shared" si="898"/>
        <v>1</v>
      </c>
      <c r="ES155" s="994">
        <f t="shared" si="956"/>
        <v>1</v>
      </c>
      <c r="ET155" s="995">
        <f t="shared" si="899"/>
        <v>1</v>
      </c>
      <c r="EU155" s="995">
        <f t="shared" si="900"/>
        <v>1</v>
      </c>
      <c r="EV155" s="995">
        <f t="shared" si="901"/>
        <v>1</v>
      </c>
      <c r="EW155" s="995">
        <f t="shared" si="902"/>
        <v>0.5</v>
      </c>
      <c r="EX155" s="995">
        <f t="shared" si="903"/>
        <v>0</v>
      </c>
      <c r="EY155" s="995">
        <f t="shared" si="904"/>
        <v>0.5</v>
      </c>
      <c r="EZ155" s="995">
        <f t="shared" si="905"/>
        <v>1</v>
      </c>
      <c r="FA155" s="995">
        <f t="shared" si="906"/>
        <v>1</v>
      </c>
      <c r="FB155" s="995">
        <f t="shared" si="907"/>
        <v>1</v>
      </c>
      <c r="FC155" s="995">
        <f t="shared" si="908"/>
        <v>1</v>
      </c>
      <c r="FD155" s="996">
        <f t="shared" si="909"/>
        <v>1</v>
      </c>
      <c r="FF155" s="994">
        <f t="shared" si="957"/>
        <v>1</v>
      </c>
      <c r="FG155" s="995">
        <f t="shared" si="910"/>
        <v>1</v>
      </c>
      <c r="FH155" s="995">
        <f t="shared" si="911"/>
        <v>1</v>
      </c>
      <c r="FI155" s="995">
        <f t="shared" si="912"/>
        <v>1</v>
      </c>
      <c r="FJ155" s="995">
        <f t="shared" si="913"/>
        <v>0.5</v>
      </c>
      <c r="FK155" s="995">
        <f t="shared" si="914"/>
        <v>0</v>
      </c>
      <c r="FL155" s="995">
        <f t="shared" si="915"/>
        <v>0.5</v>
      </c>
      <c r="FM155" s="995">
        <f t="shared" si="916"/>
        <v>1</v>
      </c>
      <c r="FN155" s="995">
        <f t="shared" si="917"/>
        <v>1</v>
      </c>
      <c r="FO155" s="995">
        <f t="shared" si="918"/>
        <v>1</v>
      </c>
      <c r="FP155" s="995">
        <f t="shared" si="919"/>
        <v>1</v>
      </c>
      <c r="FQ155" s="996">
        <f t="shared" si="920"/>
        <v>1</v>
      </c>
      <c r="FS155" s="994">
        <f t="shared" si="958"/>
        <v>1</v>
      </c>
      <c r="FT155" s="995">
        <f t="shared" si="921"/>
        <v>1</v>
      </c>
      <c r="FU155" s="995">
        <f t="shared" si="922"/>
        <v>1</v>
      </c>
      <c r="FV155" s="995">
        <f t="shared" si="923"/>
        <v>1</v>
      </c>
      <c r="FW155" s="995">
        <f t="shared" si="924"/>
        <v>0.5</v>
      </c>
      <c r="FX155" s="995">
        <f t="shared" si="925"/>
        <v>0</v>
      </c>
      <c r="FY155" s="995">
        <f t="shared" si="926"/>
        <v>0</v>
      </c>
      <c r="FZ155" s="995">
        <f t="shared" si="927"/>
        <v>0</v>
      </c>
      <c r="GA155" s="995">
        <f t="shared" si="928"/>
        <v>0</v>
      </c>
      <c r="GB155" s="995">
        <f t="shared" si="929"/>
        <v>0</v>
      </c>
      <c r="GC155" s="995">
        <f t="shared" si="930"/>
        <v>0</v>
      </c>
      <c r="GD155" s="996">
        <f t="shared" si="931"/>
        <v>0</v>
      </c>
      <c r="GF155" s="994">
        <f t="shared" si="959"/>
        <v>0</v>
      </c>
      <c r="GG155" s="995">
        <f t="shared" si="932"/>
        <v>0</v>
      </c>
      <c r="GH155" s="995">
        <f t="shared" si="933"/>
        <v>0</v>
      </c>
      <c r="GI155" s="995">
        <f t="shared" si="934"/>
        <v>0</v>
      </c>
      <c r="GJ155" s="995">
        <f t="shared" si="935"/>
        <v>0</v>
      </c>
      <c r="GK155" s="995">
        <f t="shared" si="936"/>
        <v>0</v>
      </c>
      <c r="GL155" s="995">
        <f t="shared" si="937"/>
        <v>0</v>
      </c>
      <c r="GM155" s="995">
        <f t="shared" si="938"/>
        <v>0</v>
      </c>
      <c r="GN155" s="995">
        <f t="shared" si="939"/>
        <v>0</v>
      </c>
      <c r="GO155" s="995">
        <f t="shared" si="940"/>
        <v>0</v>
      </c>
      <c r="GP155" s="995">
        <f t="shared" si="941"/>
        <v>0</v>
      </c>
      <c r="GQ155" s="996">
        <f t="shared" si="942"/>
        <v>0</v>
      </c>
      <c r="GS155" s="994">
        <f t="shared" si="960"/>
        <v>0</v>
      </c>
      <c r="GT155" s="995">
        <f t="shared" si="943"/>
        <v>0</v>
      </c>
      <c r="GU155" s="995">
        <f t="shared" si="944"/>
        <v>0</v>
      </c>
      <c r="GV155" s="995">
        <f t="shared" si="945"/>
        <v>0</v>
      </c>
      <c r="GW155" s="995">
        <f t="shared" si="946"/>
        <v>0</v>
      </c>
      <c r="GX155" s="995">
        <f t="shared" si="947"/>
        <v>0</v>
      </c>
      <c r="GY155" s="995">
        <f t="shared" si="948"/>
        <v>0</v>
      </c>
      <c r="GZ155" s="995">
        <f t="shared" si="949"/>
        <v>0</v>
      </c>
      <c r="HA155" s="995">
        <f t="shared" si="950"/>
        <v>0</v>
      </c>
      <c r="HB155" s="995">
        <f t="shared" si="951"/>
        <v>0</v>
      </c>
      <c r="HC155" s="995">
        <f t="shared" si="952"/>
        <v>0</v>
      </c>
      <c r="HD155" s="996">
        <f t="shared" si="953"/>
        <v>0</v>
      </c>
    </row>
    <row r="156" spans="2:212" ht="14.25">
      <c r="B156" s="31"/>
      <c r="C156" s="1114" t="s">
        <v>1095</v>
      </c>
      <c r="D156" s="31"/>
      <c r="E156" s="31"/>
      <c r="F156" s="31"/>
      <c r="G156" s="31"/>
      <c r="H156" s="31"/>
      <c r="I156" s="31"/>
      <c r="N156" s="1684"/>
      <c r="O156" s="957" t="s">
        <v>124</v>
      </c>
      <c r="P156" s="606">
        <v>2</v>
      </c>
      <c r="Q156" s="606">
        <v>1</v>
      </c>
      <c r="R156" s="606">
        <v>2</v>
      </c>
      <c r="S156" s="606">
        <v>2</v>
      </c>
      <c r="U156" s="606">
        <v>1</v>
      </c>
      <c r="V156" s="606">
        <v>0</v>
      </c>
      <c r="AA156" s="1684"/>
      <c r="AB156" s="957" t="s">
        <v>124</v>
      </c>
      <c r="DK156" s="1684"/>
      <c r="DL156" s="957" t="s">
        <v>124</v>
      </c>
      <c r="DN156" s="969">
        <v>0</v>
      </c>
      <c r="DO156" s="970">
        <v>2</v>
      </c>
      <c r="DP156" s="970">
        <v>3</v>
      </c>
      <c r="DQ156" s="970">
        <v>3</v>
      </c>
      <c r="DR156" s="950">
        <v>2</v>
      </c>
      <c r="DT156" s="969">
        <v>0</v>
      </c>
      <c r="DU156" s="970">
        <v>2</v>
      </c>
      <c r="DV156" s="970">
        <v>3</v>
      </c>
      <c r="DW156" s="970">
        <v>3</v>
      </c>
      <c r="DX156" s="950">
        <v>2</v>
      </c>
      <c r="DZ156" s="994">
        <v>0</v>
      </c>
      <c r="EA156" s="995">
        <f t="shared" si="954"/>
        <v>2</v>
      </c>
      <c r="EB156" s="995">
        <f t="shared" si="954"/>
        <v>3</v>
      </c>
      <c r="EC156" s="995">
        <f t="shared" si="954"/>
        <v>3</v>
      </c>
      <c r="ED156" s="996">
        <f t="shared" si="954"/>
        <v>2</v>
      </c>
      <c r="EE156" s="978"/>
      <c r="EF156" s="994">
        <f t="shared" si="955"/>
        <v>3</v>
      </c>
      <c r="EG156" s="995">
        <f t="shared" si="898"/>
        <v>4.5</v>
      </c>
      <c r="EH156" s="995">
        <f t="shared" si="898"/>
        <v>5.5</v>
      </c>
      <c r="EI156" s="995">
        <f t="shared" si="898"/>
        <v>3</v>
      </c>
      <c r="EJ156" s="995">
        <f t="shared" si="898"/>
        <v>2</v>
      </c>
      <c r="EK156" s="995">
        <f t="shared" si="898"/>
        <v>1</v>
      </c>
      <c r="EL156" s="995">
        <f t="shared" si="898"/>
        <v>0</v>
      </c>
      <c r="EM156" s="995">
        <f t="shared" si="898"/>
        <v>0.5</v>
      </c>
      <c r="EN156" s="995">
        <f t="shared" si="898"/>
        <v>1</v>
      </c>
      <c r="EO156" s="995">
        <f t="shared" si="898"/>
        <v>1</v>
      </c>
      <c r="EP156" s="995">
        <f t="shared" si="898"/>
        <v>1</v>
      </c>
      <c r="EQ156" s="996">
        <f t="shared" si="898"/>
        <v>1</v>
      </c>
      <c r="ES156" s="994">
        <f t="shared" si="956"/>
        <v>1</v>
      </c>
      <c r="ET156" s="995">
        <f t="shared" si="899"/>
        <v>1</v>
      </c>
      <c r="EU156" s="995">
        <f t="shared" si="900"/>
        <v>1</v>
      </c>
      <c r="EV156" s="995">
        <f t="shared" si="901"/>
        <v>1</v>
      </c>
      <c r="EW156" s="995">
        <f t="shared" si="902"/>
        <v>1</v>
      </c>
      <c r="EX156" s="995">
        <f t="shared" si="903"/>
        <v>0.5</v>
      </c>
      <c r="EY156" s="995">
        <f t="shared" si="904"/>
        <v>0</v>
      </c>
      <c r="EZ156" s="995">
        <f t="shared" si="905"/>
        <v>0.5</v>
      </c>
      <c r="FA156" s="995">
        <f t="shared" si="906"/>
        <v>1</v>
      </c>
      <c r="FB156" s="995">
        <f t="shared" si="907"/>
        <v>1</v>
      </c>
      <c r="FC156" s="995">
        <f t="shared" si="908"/>
        <v>1</v>
      </c>
      <c r="FD156" s="996">
        <f t="shared" si="909"/>
        <v>1</v>
      </c>
      <c r="FF156" s="994">
        <f t="shared" si="957"/>
        <v>1</v>
      </c>
      <c r="FG156" s="995">
        <f t="shared" si="910"/>
        <v>1</v>
      </c>
      <c r="FH156" s="995">
        <f t="shared" si="911"/>
        <v>1</v>
      </c>
      <c r="FI156" s="995">
        <f t="shared" si="912"/>
        <v>1</v>
      </c>
      <c r="FJ156" s="995">
        <f t="shared" si="913"/>
        <v>1</v>
      </c>
      <c r="FK156" s="995">
        <f t="shared" si="914"/>
        <v>0.5</v>
      </c>
      <c r="FL156" s="995">
        <f t="shared" si="915"/>
        <v>0</v>
      </c>
      <c r="FM156" s="995">
        <f t="shared" si="916"/>
        <v>0.5</v>
      </c>
      <c r="FN156" s="995">
        <f t="shared" si="917"/>
        <v>1</v>
      </c>
      <c r="FO156" s="995">
        <f t="shared" si="918"/>
        <v>1</v>
      </c>
      <c r="FP156" s="995">
        <f t="shared" si="919"/>
        <v>1</v>
      </c>
      <c r="FQ156" s="996">
        <f t="shared" si="920"/>
        <v>1</v>
      </c>
      <c r="FS156" s="994">
        <f t="shared" si="958"/>
        <v>1</v>
      </c>
      <c r="FT156" s="995">
        <f t="shared" si="921"/>
        <v>1</v>
      </c>
      <c r="FU156" s="995">
        <f t="shared" si="922"/>
        <v>1</v>
      </c>
      <c r="FV156" s="995">
        <f t="shared" si="923"/>
        <v>1</v>
      </c>
      <c r="FW156" s="995">
        <f t="shared" si="924"/>
        <v>1</v>
      </c>
      <c r="FX156" s="995">
        <f t="shared" si="925"/>
        <v>0.5</v>
      </c>
      <c r="FY156" s="995">
        <f t="shared" si="926"/>
        <v>0</v>
      </c>
      <c r="FZ156" s="995">
        <f t="shared" si="927"/>
        <v>0</v>
      </c>
      <c r="GA156" s="995">
        <f t="shared" si="928"/>
        <v>0</v>
      </c>
      <c r="GB156" s="995">
        <f t="shared" si="929"/>
        <v>0</v>
      </c>
      <c r="GC156" s="995">
        <f t="shared" si="930"/>
        <v>0</v>
      </c>
      <c r="GD156" s="996">
        <f t="shared" si="931"/>
        <v>0</v>
      </c>
      <c r="GF156" s="994">
        <f t="shared" si="959"/>
        <v>0</v>
      </c>
      <c r="GG156" s="995">
        <f t="shared" si="932"/>
        <v>0</v>
      </c>
      <c r="GH156" s="995">
        <f t="shared" si="933"/>
        <v>0</v>
      </c>
      <c r="GI156" s="995">
        <f t="shared" si="934"/>
        <v>0</v>
      </c>
      <c r="GJ156" s="995">
        <f t="shared" si="935"/>
        <v>0</v>
      </c>
      <c r="GK156" s="995">
        <f t="shared" si="936"/>
        <v>0</v>
      </c>
      <c r="GL156" s="995">
        <f t="shared" si="937"/>
        <v>0</v>
      </c>
      <c r="GM156" s="995">
        <f t="shared" si="938"/>
        <v>0</v>
      </c>
      <c r="GN156" s="995">
        <f t="shared" si="939"/>
        <v>0</v>
      </c>
      <c r="GO156" s="995">
        <f t="shared" si="940"/>
        <v>0</v>
      </c>
      <c r="GP156" s="995">
        <f t="shared" si="941"/>
        <v>0</v>
      </c>
      <c r="GQ156" s="996">
        <f t="shared" si="942"/>
        <v>0</v>
      </c>
      <c r="GS156" s="994">
        <f t="shared" si="960"/>
        <v>0</v>
      </c>
      <c r="GT156" s="995">
        <f t="shared" si="943"/>
        <v>0</v>
      </c>
      <c r="GU156" s="995">
        <f t="shared" si="944"/>
        <v>0</v>
      </c>
      <c r="GV156" s="995">
        <f t="shared" si="945"/>
        <v>0</v>
      </c>
      <c r="GW156" s="995">
        <f t="shared" si="946"/>
        <v>0</v>
      </c>
      <c r="GX156" s="995">
        <f t="shared" si="947"/>
        <v>0</v>
      </c>
      <c r="GY156" s="995">
        <f t="shared" si="948"/>
        <v>0</v>
      </c>
      <c r="GZ156" s="995">
        <f t="shared" si="949"/>
        <v>0</v>
      </c>
      <c r="HA156" s="995">
        <f t="shared" si="950"/>
        <v>0</v>
      </c>
      <c r="HB156" s="995">
        <f t="shared" si="951"/>
        <v>0</v>
      </c>
      <c r="HC156" s="995">
        <f t="shared" si="952"/>
        <v>0</v>
      </c>
      <c r="HD156" s="996">
        <f t="shared" si="953"/>
        <v>0</v>
      </c>
    </row>
    <row r="157" spans="2:212" ht="14.25">
      <c r="B157" s="31"/>
      <c r="C157" s="1116"/>
      <c r="D157" s="31"/>
      <c r="E157" s="31"/>
      <c r="F157" s="31"/>
      <c r="G157" s="31"/>
      <c r="H157" s="31"/>
      <c r="I157" s="31"/>
      <c r="N157" s="1684"/>
      <c r="O157" s="957" t="s">
        <v>125</v>
      </c>
      <c r="P157" s="606">
        <v>1</v>
      </c>
      <c r="Q157" s="606">
        <v>2</v>
      </c>
      <c r="R157" s="606">
        <v>1</v>
      </c>
      <c r="S157" s="606">
        <v>2</v>
      </c>
      <c r="T157" s="606">
        <v>2</v>
      </c>
      <c r="V157" s="606">
        <v>1</v>
      </c>
      <c r="AA157" s="1684"/>
      <c r="AB157" s="957" t="s">
        <v>125</v>
      </c>
      <c r="DK157" s="1684"/>
      <c r="DL157" s="957" t="s">
        <v>125</v>
      </c>
      <c r="DN157" s="969">
        <v>0</v>
      </c>
      <c r="DO157" s="970"/>
      <c r="DP157" s="970">
        <v>2</v>
      </c>
      <c r="DQ157" s="970">
        <v>3</v>
      </c>
      <c r="DR157" s="950">
        <v>3</v>
      </c>
      <c r="DT157" s="969">
        <v>0</v>
      </c>
      <c r="DU157" s="970"/>
      <c r="DV157" s="970">
        <v>2</v>
      </c>
      <c r="DW157" s="970">
        <v>3</v>
      </c>
      <c r="DX157" s="950">
        <v>3</v>
      </c>
      <c r="DZ157" s="994">
        <v>0</v>
      </c>
      <c r="EA157" s="995">
        <f t="shared" si="954"/>
        <v>0</v>
      </c>
      <c r="EB157" s="995">
        <f t="shared" si="954"/>
        <v>2</v>
      </c>
      <c r="EC157" s="995">
        <f t="shared" si="954"/>
        <v>3</v>
      </c>
      <c r="ED157" s="996">
        <f t="shared" si="954"/>
        <v>3</v>
      </c>
      <c r="EE157" s="978"/>
      <c r="EF157" s="994">
        <f t="shared" si="955"/>
        <v>2</v>
      </c>
      <c r="EG157" s="995">
        <f t="shared" si="898"/>
        <v>3</v>
      </c>
      <c r="EH157" s="995">
        <f t="shared" si="898"/>
        <v>4.5</v>
      </c>
      <c r="EI157" s="995">
        <f t="shared" si="898"/>
        <v>5.5</v>
      </c>
      <c r="EJ157" s="995">
        <f t="shared" si="898"/>
        <v>3</v>
      </c>
      <c r="EK157" s="995">
        <f t="shared" si="898"/>
        <v>2</v>
      </c>
      <c r="EL157" s="995">
        <f t="shared" si="898"/>
        <v>1</v>
      </c>
      <c r="EM157" s="995">
        <f t="shared" si="898"/>
        <v>0</v>
      </c>
      <c r="EN157" s="995">
        <f t="shared" si="898"/>
        <v>0.5</v>
      </c>
      <c r="EO157" s="995">
        <f t="shared" si="898"/>
        <v>1</v>
      </c>
      <c r="EP157" s="995">
        <f t="shared" si="898"/>
        <v>1</v>
      </c>
      <c r="EQ157" s="996">
        <f t="shared" si="898"/>
        <v>1</v>
      </c>
      <c r="ES157" s="994">
        <f t="shared" si="956"/>
        <v>1</v>
      </c>
      <c r="ET157" s="995">
        <f t="shared" si="899"/>
        <v>1</v>
      </c>
      <c r="EU157" s="995">
        <f t="shared" si="900"/>
        <v>1</v>
      </c>
      <c r="EV157" s="995">
        <f t="shared" si="901"/>
        <v>1</v>
      </c>
      <c r="EW157" s="995">
        <f t="shared" si="902"/>
        <v>1</v>
      </c>
      <c r="EX157" s="995">
        <f t="shared" si="903"/>
        <v>1</v>
      </c>
      <c r="EY157" s="995">
        <f t="shared" si="904"/>
        <v>0.5</v>
      </c>
      <c r="EZ157" s="995">
        <f t="shared" si="905"/>
        <v>0</v>
      </c>
      <c r="FA157" s="995">
        <f t="shared" si="906"/>
        <v>0.5</v>
      </c>
      <c r="FB157" s="995">
        <f t="shared" si="907"/>
        <v>1</v>
      </c>
      <c r="FC157" s="995">
        <f t="shared" si="908"/>
        <v>1</v>
      </c>
      <c r="FD157" s="996">
        <f t="shared" si="909"/>
        <v>1</v>
      </c>
      <c r="FF157" s="994">
        <f t="shared" si="957"/>
        <v>1</v>
      </c>
      <c r="FG157" s="995">
        <f t="shared" si="910"/>
        <v>1</v>
      </c>
      <c r="FH157" s="995">
        <f t="shared" si="911"/>
        <v>1</v>
      </c>
      <c r="FI157" s="995">
        <f t="shared" si="912"/>
        <v>1</v>
      </c>
      <c r="FJ157" s="995">
        <f t="shared" si="913"/>
        <v>1</v>
      </c>
      <c r="FK157" s="995">
        <f t="shared" si="914"/>
        <v>1</v>
      </c>
      <c r="FL157" s="995">
        <f t="shared" si="915"/>
        <v>0.5</v>
      </c>
      <c r="FM157" s="995">
        <f t="shared" si="916"/>
        <v>0</v>
      </c>
      <c r="FN157" s="995">
        <f t="shared" si="917"/>
        <v>0.5</v>
      </c>
      <c r="FO157" s="995">
        <f t="shared" si="918"/>
        <v>1</v>
      </c>
      <c r="FP157" s="995">
        <f t="shared" si="919"/>
        <v>1</v>
      </c>
      <c r="FQ157" s="996">
        <f t="shared" si="920"/>
        <v>1</v>
      </c>
      <c r="FS157" s="994">
        <f t="shared" si="958"/>
        <v>1</v>
      </c>
      <c r="FT157" s="995">
        <f t="shared" si="921"/>
        <v>1</v>
      </c>
      <c r="FU157" s="995">
        <f t="shared" si="922"/>
        <v>1</v>
      </c>
      <c r="FV157" s="995">
        <f t="shared" si="923"/>
        <v>1</v>
      </c>
      <c r="FW157" s="995">
        <f t="shared" si="924"/>
        <v>1</v>
      </c>
      <c r="FX157" s="995">
        <f t="shared" si="925"/>
        <v>1</v>
      </c>
      <c r="FY157" s="995">
        <f t="shared" si="926"/>
        <v>0.5</v>
      </c>
      <c r="FZ157" s="995">
        <f t="shared" si="927"/>
        <v>0</v>
      </c>
      <c r="GA157" s="995">
        <f t="shared" si="928"/>
        <v>0</v>
      </c>
      <c r="GB157" s="995">
        <f t="shared" si="929"/>
        <v>0</v>
      </c>
      <c r="GC157" s="995">
        <f t="shared" si="930"/>
        <v>0</v>
      </c>
      <c r="GD157" s="996">
        <f t="shared" si="931"/>
        <v>0</v>
      </c>
      <c r="GF157" s="994">
        <f t="shared" si="959"/>
        <v>0</v>
      </c>
      <c r="GG157" s="995">
        <f t="shared" si="932"/>
        <v>0</v>
      </c>
      <c r="GH157" s="995">
        <f t="shared" si="933"/>
        <v>0</v>
      </c>
      <c r="GI157" s="995">
        <f t="shared" si="934"/>
        <v>0</v>
      </c>
      <c r="GJ157" s="995">
        <f t="shared" si="935"/>
        <v>0</v>
      </c>
      <c r="GK157" s="995">
        <f t="shared" si="936"/>
        <v>0</v>
      </c>
      <c r="GL157" s="995">
        <f t="shared" si="937"/>
        <v>0</v>
      </c>
      <c r="GM157" s="995">
        <f t="shared" si="938"/>
        <v>0</v>
      </c>
      <c r="GN157" s="995">
        <f t="shared" si="939"/>
        <v>0</v>
      </c>
      <c r="GO157" s="995">
        <f t="shared" si="940"/>
        <v>0</v>
      </c>
      <c r="GP157" s="995">
        <f t="shared" si="941"/>
        <v>0</v>
      </c>
      <c r="GQ157" s="996">
        <f t="shared" si="942"/>
        <v>0</v>
      </c>
      <c r="GS157" s="994">
        <f t="shared" si="960"/>
        <v>0</v>
      </c>
      <c r="GT157" s="995">
        <f t="shared" si="943"/>
        <v>0</v>
      </c>
      <c r="GU157" s="995">
        <f t="shared" si="944"/>
        <v>0</v>
      </c>
      <c r="GV157" s="995">
        <f t="shared" si="945"/>
        <v>0</v>
      </c>
      <c r="GW157" s="995">
        <f t="shared" si="946"/>
        <v>0</v>
      </c>
      <c r="GX157" s="995">
        <f t="shared" si="947"/>
        <v>0</v>
      </c>
      <c r="GY157" s="995">
        <f t="shared" si="948"/>
        <v>0</v>
      </c>
      <c r="GZ157" s="995">
        <f t="shared" si="949"/>
        <v>0</v>
      </c>
      <c r="HA157" s="995">
        <f t="shared" si="950"/>
        <v>0</v>
      </c>
      <c r="HB157" s="995">
        <f t="shared" si="951"/>
        <v>0</v>
      </c>
      <c r="HC157" s="995">
        <f t="shared" si="952"/>
        <v>0</v>
      </c>
      <c r="HD157" s="996">
        <f t="shared" si="953"/>
        <v>0</v>
      </c>
    </row>
    <row r="158" spans="2:212" ht="14.25" customHeight="1">
      <c r="B158" s="1117" t="s">
        <v>1112</v>
      </c>
      <c r="C158" s="1009"/>
      <c r="D158" s="31"/>
      <c r="E158" s="31"/>
      <c r="F158" s="31"/>
      <c r="G158" s="31"/>
      <c r="H158" s="31"/>
      <c r="I158" s="31"/>
      <c r="N158" s="1684"/>
      <c r="O158" s="957" t="s">
        <v>126</v>
      </c>
      <c r="P158" s="606">
        <v>2</v>
      </c>
      <c r="Q158" s="606">
        <v>1</v>
      </c>
      <c r="R158" s="606">
        <v>2</v>
      </c>
      <c r="S158" s="606">
        <v>1</v>
      </c>
      <c r="T158" s="606">
        <v>2</v>
      </c>
      <c r="U158" s="606">
        <v>2</v>
      </c>
      <c r="V158" s="606">
        <v>0</v>
      </c>
      <c r="AA158" s="1684"/>
      <c r="AB158" s="957" t="s">
        <v>126</v>
      </c>
      <c r="DK158" s="1684"/>
      <c r="DL158" s="957" t="s">
        <v>126</v>
      </c>
      <c r="DN158" s="994">
        <v>1</v>
      </c>
      <c r="DO158" s="995"/>
      <c r="DP158" s="995"/>
      <c r="DQ158" s="995">
        <v>2</v>
      </c>
      <c r="DR158" s="996">
        <v>3</v>
      </c>
      <c r="DT158" s="994">
        <v>1</v>
      </c>
      <c r="DU158" s="995"/>
      <c r="DV158" s="995"/>
      <c r="DW158" s="995">
        <v>2</v>
      </c>
      <c r="DX158" s="996">
        <v>3</v>
      </c>
      <c r="DZ158" s="994">
        <v>1</v>
      </c>
      <c r="EA158" s="995">
        <f t="shared" si="954"/>
        <v>0</v>
      </c>
      <c r="EB158" s="995">
        <f t="shared" si="954"/>
        <v>0</v>
      </c>
      <c r="EC158" s="995">
        <f t="shared" si="954"/>
        <v>2</v>
      </c>
      <c r="ED158" s="996">
        <f t="shared" si="954"/>
        <v>3</v>
      </c>
      <c r="EE158" s="978"/>
      <c r="EF158" s="994">
        <f t="shared" si="955"/>
        <v>3</v>
      </c>
      <c r="EG158" s="995">
        <f t="shared" si="898"/>
        <v>2</v>
      </c>
      <c r="EH158" s="995">
        <f t="shared" si="898"/>
        <v>3</v>
      </c>
      <c r="EI158" s="995">
        <f t="shared" si="898"/>
        <v>4.5</v>
      </c>
      <c r="EJ158" s="995">
        <f t="shared" si="898"/>
        <v>5.5</v>
      </c>
      <c r="EK158" s="995">
        <f t="shared" si="898"/>
        <v>3</v>
      </c>
      <c r="EL158" s="995">
        <f t="shared" si="898"/>
        <v>2</v>
      </c>
      <c r="EM158" s="995">
        <f t="shared" si="898"/>
        <v>1</v>
      </c>
      <c r="EN158" s="995">
        <f t="shared" si="898"/>
        <v>0</v>
      </c>
      <c r="EO158" s="995">
        <f t="shared" si="898"/>
        <v>0.5</v>
      </c>
      <c r="EP158" s="995">
        <f t="shared" si="898"/>
        <v>1</v>
      </c>
      <c r="EQ158" s="996">
        <f t="shared" si="898"/>
        <v>1</v>
      </c>
      <c r="ES158" s="994">
        <f t="shared" si="956"/>
        <v>1</v>
      </c>
      <c r="ET158" s="995">
        <f t="shared" si="899"/>
        <v>1</v>
      </c>
      <c r="EU158" s="995">
        <f t="shared" si="900"/>
        <v>1</v>
      </c>
      <c r="EV158" s="995">
        <f t="shared" si="901"/>
        <v>1</v>
      </c>
      <c r="EW158" s="995">
        <f t="shared" si="902"/>
        <v>1</v>
      </c>
      <c r="EX158" s="995">
        <f t="shared" si="903"/>
        <v>1</v>
      </c>
      <c r="EY158" s="995">
        <f t="shared" si="904"/>
        <v>1</v>
      </c>
      <c r="EZ158" s="995">
        <f t="shared" si="905"/>
        <v>0.5</v>
      </c>
      <c r="FA158" s="995">
        <f t="shared" si="906"/>
        <v>0</v>
      </c>
      <c r="FB158" s="995">
        <f t="shared" si="907"/>
        <v>0.5</v>
      </c>
      <c r="FC158" s="995">
        <f t="shared" si="908"/>
        <v>1</v>
      </c>
      <c r="FD158" s="996">
        <f t="shared" si="909"/>
        <v>1</v>
      </c>
      <c r="FF158" s="994">
        <f t="shared" si="957"/>
        <v>1</v>
      </c>
      <c r="FG158" s="995">
        <f t="shared" si="910"/>
        <v>1</v>
      </c>
      <c r="FH158" s="995">
        <f t="shared" si="911"/>
        <v>1</v>
      </c>
      <c r="FI158" s="995">
        <f t="shared" si="912"/>
        <v>1</v>
      </c>
      <c r="FJ158" s="995">
        <f t="shared" si="913"/>
        <v>1</v>
      </c>
      <c r="FK158" s="995">
        <f t="shared" si="914"/>
        <v>1</v>
      </c>
      <c r="FL158" s="995">
        <f t="shared" si="915"/>
        <v>1</v>
      </c>
      <c r="FM158" s="995">
        <f t="shared" si="916"/>
        <v>0.5</v>
      </c>
      <c r="FN158" s="995">
        <f t="shared" si="917"/>
        <v>0</v>
      </c>
      <c r="FO158" s="995">
        <f t="shared" si="918"/>
        <v>0.5</v>
      </c>
      <c r="FP158" s="995">
        <f t="shared" si="919"/>
        <v>1</v>
      </c>
      <c r="FQ158" s="996">
        <f t="shared" si="920"/>
        <v>1</v>
      </c>
      <c r="FS158" s="994">
        <f t="shared" si="958"/>
        <v>1</v>
      </c>
      <c r="FT158" s="995">
        <f t="shared" si="921"/>
        <v>1</v>
      </c>
      <c r="FU158" s="995">
        <f t="shared" si="922"/>
        <v>1</v>
      </c>
      <c r="FV158" s="995">
        <f t="shared" si="923"/>
        <v>1</v>
      </c>
      <c r="FW158" s="995">
        <f t="shared" si="924"/>
        <v>1</v>
      </c>
      <c r="FX158" s="995">
        <f t="shared" si="925"/>
        <v>1</v>
      </c>
      <c r="FY158" s="995">
        <f t="shared" si="926"/>
        <v>1</v>
      </c>
      <c r="FZ158" s="995">
        <f t="shared" si="927"/>
        <v>0.5</v>
      </c>
      <c r="GA158" s="995">
        <f t="shared" si="928"/>
        <v>0</v>
      </c>
      <c r="GB158" s="995">
        <f t="shared" si="929"/>
        <v>0</v>
      </c>
      <c r="GC158" s="995">
        <f t="shared" si="930"/>
        <v>0</v>
      </c>
      <c r="GD158" s="996">
        <f t="shared" si="931"/>
        <v>0</v>
      </c>
      <c r="GF158" s="994">
        <f t="shared" si="959"/>
        <v>0</v>
      </c>
      <c r="GG158" s="995">
        <f t="shared" si="932"/>
        <v>0</v>
      </c>
      <c r="GH158" s="995">
        <f t="shared" si="933"/>
        <v>0</v>
      </c>
      <c r="GI158" s="995">
        <f t="shared" si="934"/>
        <v>0</v>
      </c>
      <c r="GJ158" s="995">
        <f t="shared" si="935"/>
        <v>0</v>
      </c>
      <c r="GK158" s="995">
        <f t="shared" si="936"/>
        <v>0</v>
      </c>
      <c r="GL158" s="995">
        <f t="shared" si="937"/>
        <v>0</v>
      </c>
      <c r="GM158" s="995">
        <f t="shared" si="938"/>
        <v>0</v>
      </c>
      <c r="GN158" s="995">
        <f t="shared" si="939"/>
        <v>0</v>
      </c>
      <c r="GO158" s="995">
        <f t="shared" si="940"/>
        <v>0</v>
      </c>
      <c r="GP158" s="995">
        <f t="shared" si="941"/>
        <v>0</v>
      </c>
      <c r="GQ158" s="996">
        <f t="shared" si="942"/>
        <v>0</v>
      </c>
      <c r="GS158" s="994">
        <f t="shared" si="960"/>
        <v>0</v>
      </c>
      <c r="GT158" s="995">
        <f t="shared" si="943"/>
        <v>0</v>
      </c>
      <c r="GU158" s="995">
        <f t="shared" si="944"/>
        <v>0</v>
      </c>
      <c r="GV158" s="995">
        <f t="shared" si="945"/>
        <v>0</v>
      </c>
      <c r="GW158" s="995">
        <f t="shared" si="946"/>
        <v>0</v>
      </c>
      <c r="GX158" s="995">
        <f t="shared" si="947"/>
        <v>0</v>
      </c>
      <c r="GY158" s="995">
        <f t="shared" si="948"/>
        <v>0</v>
      </c>
      <c r="GZ158" s="995">
        <f t="shared" si="949"/>
        <v>0</v>
      </c>
      <c r="HA158" s="995">
        <f t="shared" si="950"/>
        <v>0</v>
      </c>
      <c r="HB158" s="995">
        <f t="shared" si="951"/>
        <v>0</v>
      </c>
      <c r="HC158" s="995">
        <f t="shared" si="952"/>
        <v>0</v>
      </c>
      <c r="HD158" s="996">
        <f t="shared" si="953"/>
        <v>0</v>
      </c>
    </row>
    <row r="159" spans="2:212" ht="14.25">
      <c r="B159" s="988" t="s">
        <v>1113</v>
      </c>
      <c r="C159" s="1118"/>
      <c r="D159" s="1119"/>
      <c r="E159" s="31"/>
      <c r="F159" s="31"/>
      <c r="G159" s="31"/>
      <c r="H159" s="31"/>
      <c r="I159" s="31"/>
      <c r="N159" s="1684"/>
      <c r="O159" s="957" t="s">
        <v>127</v>
      </c>
      <c r="P159" s="606">
        <v>4</v>
      </c>
      <c r="Q159" s="606">
        <v>2</v>
      </c>
      <c r="R159" s="606">
        <v>1</v>
      </c>
      <c r="S159" s="606">
        <v>2</v>
      </c>
      <c r="T159" s="606">
        <v>1</v>
      </c>
      <c r="U159" s="606">
        <v>2</v>
      </c>
      <c r="V159" s="606">
        <v>2</v>
      </c>
      <c r="AA159" s="1684"/>
      <c r="AB159" s="957" t="s">
        <v>127</v>
      </c>
      <c r="DK159" s="1684"/>
      <c r="DL159" s="957" t="s">
        <v>127</v>
      </c>
      <c r="DN159" s="994">
        <v>0</v>
      </c>
      <c r="DO159" s="995">
        <v>1</v>
      </c>
      <c r="DP159" s="995"/>
      <c r="DQ159" s="995"/>
      <c r="DR159" s="996">
        <v>2</v>
      </c>
      <c r="DT159" s="994">
        <v>0</v>
      </c>
      <c r="DU159" s="995">
        <v>1</v>
      </c>
      <c r="DV159" s="995"/>
      <c r="DW159" s="995"/>
      <c r="DX159" s="996">
        <v>2</v>
      </c>
      <c r="DZ159" s="994">
        <v>0</v>
      </c>
      <c r="EA159" s="995">
        <f t="shared" si="954"/>
        <v>1</v>
      </c>
      <c r="EB159" s="995">
        <f t="shared" si="954"/>
        <v>0</v>
      </c>
      <c r="EC159" s="995">
        <f t="shared" si="954"/>
        <v>0</v>
      </c>
      <c r="ED159" s="996">
        <f t="shared" si="954"/>
        <v>2</v>
      </c>
      <c r="EE159" s="978"/>
      <c r="EF159" s="994">
        <f t="shared" si="955"/>
        <v>3</v>
      </c>
      <c r="EG159" s="995">
        <f t="shared" si="898"/>
        <v>3</v>
      </c>
      <c r="EH159" s="995">
        <f t="shared" si="898"/>
        <v>2</v>
      </c>
      <c r="EI159" s="995">
        <f t="shared" si="898"/>
        <v>3</v>
      </c>
      <c r="EJ159" s="995">
        <f t="shared" si="898"/>
        <v>4.5</v>
      </c>
      <c r="EK159" s="995">
        <f t="shared" si="898"/>
        <v>5.5</v>
      </c>
      <c r="EL159" s="995">
        <f t="shared" si="898"/>
        <v>3</v>
      </c>
      <c r="EM159" s="995">
        <f t="shared" si="898"/>
        <v>2</v>
      </c>
      <c r="EN159" s="995">
        <f t="shared" si="898"/>
        <v>1</v>
      </c>
      <c r="EO159" s="995">
        <f t="shared" si="898"/>
        <v>0</v>
      </c>
      <c r="EP159" s="995">
        <f t="shared" si="898"/>
        <v>0.5</v>
      </c>
      <c r="EQ159" s="996">
        <f t="shared" si="898"/>
        <v>1</v>
      </c>
      <c r="ES159" s="994">
        <f t="shared" si="956"/>
        <v>1</v>
      </c>
      <c r="ET159" s="995">
        <f t="shared" si="899"/>
        <v>1</v>
      </c>
      <c r="EU159" s="995">
        <f t="shared" si="900"/>
        <v>1</v>
      </c>
      <c r="EV159" s="995">
        <f t="shared" si="901"/>
        <v>1</v>
      </c>
      <c r="EW159" s="995">
        <f t="shared" si="902"/>
        <v>1</v>
      </c>
      <c r="EX159" s="995">
        <f t="shared" si="903"/>
        <v>1</v>
      </c>
      <c r="EY159" s="995">
        <f t="shared" si="904"/>
        <v>1</v>
      </c>
      <c r="EZ159" s="995">
        <f t="shared" si="905"/>
        <v>1</v>
      </c>
      <c r="FA159" s="995">
        <f t="shared" si="906"/>
        <v>0.5</v>
      </c>
      <c r="FB159" s="995">
        <f t="shared" si="907"/>
        <v>0</v>
      </c>
      <c r="FC159" s="995">
        <f t="shared" si="908"/>
        <v>0.5</v>
      </c>
      <c r="FD159" s="996">
        <f t="shared" si="909"/>
        <v>1</v>
      </c>
      <c r="FF159" s="994">
        <f t="shared" si="957"/>
        <v>1</v>
      </c>
      <c r="FG159" s="995">
        <f t="shared" si="910"/>
        <v>1</v>
      </c>
      <c r="FH159" s="995">
        <f t="shared" si="911"/>
        <v>1</v>
      </c>
      <c r="FI159" s="995">
        <f t="shared" si="912"/>
        <v>1</v>
      </c>
      <c r="FJ159" s="995">
        <f t="shared" si="913"/>
        <v>1</v>
      </c>
      <c r="FK159" s="995">
        <f t="shared" si="914"/>
        <v>1</v>
      </c>
      <c r="FL159" s="995">
        <f t="shared" si="915"/>
        <v>1</v>
      </c>
      <c r="FM159" s="995">
        <f t="shared" si="916"/>
        <v>1</v>
      </c>
      <c r="FN159" s="995">
        <f t="shared" si="917"/>
        <v>0.5</v>
      </c>
      <c r="FO159" s="995">
        <f t="shared" si="918"/>
        <v>0</v>
      </c>
      <c r="FP159" s="995">
        <f t="shared" si="919"/>
        <v>0.5</v>
      </c>
      <c r="FQ159" s="996">
        <f t="shared" si="920"/>
        <v>1</v>
      </c>
      <c r="FS159" s="994">
        <f t="shared" si="958"/>
        <v>1</v>
      </c>
      <c r="FT159" s="995">
        <f t="shared" si="921"/>
        <v>1</v>
      </c>
      <c r="FU159" s="995">
        <f t="shared" si="922"/>
        <v>1</v>
      </c>
      <c r="FV159" s="995">
        <f t="shared" si="923"/>
        <v>1</v>
      </c>
      <c r="FW159" s="995">
        <f t="shared" si="924"/>
        <v>1</v>
      </c>
      <c r="FX159" s="995">
        <f t="shared" si="925"/>
        <v>1</v>
      </c>
      <c r="FY159" s="995">
        <f t="shared" si="926"/>
        <v>1</v>
      </c>
      <c r="FZ159" s="995">
        <f t="shared" si="927"/>
        <v>1</v>
      </c>
      <c r="GA159" s="995">
        <f t="shared" si="928"/>
        <v>0.5</v>
      </c>
      <c r="GB159" s="995">
        <f t="shared" si="929"/>
        <v>0</v>
      </c>
      <c r="GC159" s="995">
        <f t="shared" si="930"/>
        <v>0</v>
      </c>
      <c r="GD159" s="996">
        <f t="shared" si="931"/>
        <v>0</v>
      </c>
      <c r="GF159" s="994">
        <f t="shared" si="959"/>
        <v>0</v>
      </c>
      <c r="GG159" s="995">
        <f t="shared" si="932"/>
        <v>0</v>
      </c>
      <c r="GH159" s="995">
        <f t="shared" si="933"/>
        <v>0</v>
      </c>
      <c r="GI159" s="995">
        <f t="shared" si="934"/>
        <v>0</v>
      </c>
      <c r="GJ159" s="995">
        <f t="shared" si="935"/>
        <v>0</v>
      </c>
      <c r="GK159" s="995">
        <f t="shared" si="936"/>
        <v>0</v>
      </c>
      <c r="GL159" s="995">
        <f t="shared" si="937"/>
        <v>0</v>
      </c>
      <c r="GM159" s="995">
        <f t="shared" si="938"/>
        <v>0</v>
      </c>
      <c r="GN159" s="995">
        <f t="shared" si="939"/>
        <v>0</v>
      </c>
      <c r="GO159" s="995">
        <f t="shared" si="940"/>
        <v>0</v>
      </c>
      <c r="GP159" s="995">
        <f t="shared" si="941"/>
        <v>0</v>
      </c>
      <c r="GQ159" s="996">
        <f t="shared" si="942"/>
        <v>0</v>
      </c>
      <c r="GS159" s="994">
        <f t="shared" si="960"/>
        <v>0</v>
      </c>
      <c r="GT159" s="995">
        <f t="shared" si="943"/>
        <v>0</v>
      </c>
      <c r="GU159" s="995">
        <f t="shared" si="944"/>
        <v>0</v>
      </c>
      <c r="GV159" s="995">
        <f t="shared" si="945"/>
        <v>0</v>
      </c>
      <c r="GW159" s="995">
        <f t="shared" si="946"/>
        <v>0</v>
      </c>
      <c r="GX159" s="995">
        <f t="shared" si="947"/>
        <v>0</v>
      </c>
      <c r="GY159" s="995">
        <f t="shared" si="948"/>
        <v>0</v>
      </c>
      <c r="GZ159" s="995">
        <f t="shared" si="949"/>
        <v>0</v>
      </c>
      <c r="HA159" s="995">
        <f t="shared" si="950"/>
        <v>0</v>
      </c>
      <c r="HB159" s="995">
        <f t="shared" si="951"/>
        <v>0</v>
      </c>
      <c r="HC159" s="995">
        <f t="shared" si="952"/>
        <v>0</v>
      </c>
      <c r="HD159" s="996">
        <f t="shared" si="953"/>
        <v>0</v>
      </c>
    </row>
    <row r="160" spans="2:212">
      <c r="B160" s="1095" t="s">
        <v>1098</v>
      </c>
      <c r="C160" s="988"/>
      <c r="D160" s="988"/>
      <c r="E160" s="1117"/>
      <c r="F160" s="1117"/>
      <c r="G160" s="1117"/>
      <c r="H160" s="1117"/>
      <c r="I160" s="1117"/>
      <c r="N160" s="1684"/>
      <c r="O160" s="957" t="s">
        <v>163</v>
      </c>
      <c r="Q160" s="606">
        <v>4</v>
      </c>
      <c r="R160" s="606">
        <v>2</v>
      </c>
      <c r="S160" s="606">
        <v>1</v>
      </c>
      <c r="T160" s="606">
        <v>2</v>
      </c>
      <c r="U160" s="606">
        <v>1</v>
      </c>
      <c r="V160" s="606">
        <v>2</v>
      </c>
      <c r="AA160" s="1684"/>
      <c r="AB160" s="957" t="s">
        <v>163</v>
      </c>
      <c r="DK160" s="1684"/>
      <c r="DL160" s="957" t="s">
        <v>163</v>
      </c>
      <c r="DN160" s="994">
        <v>2</v>
      </c>
      <c r="DO160" s="995"/>
      <c r="DP160" s="995">
        <v>1</v>
      </c>
      <c r="DQ160" s="995"/>
      <c r="DR160" s="996"/>
      <c r="DT160" s="994">
        <v>2</v>
      </c>
      <c r="DU160" s="995"/>
      <c r="DV160" s="995">
        <v>1</v>
      </c>
      <c r="DW160" s="995"/>
      <c r="DX160" s="996"/>
      <c r="DZ160" s="994">
        <v>2</v>
      </c>
      <c r="EA160" s="995">
        <f t="shared" si="954"/>
        <v>0</v>
      </c>
      <c r="EB160" s="995">
        <f t="shared" si="954"/>
        <v>1</v>
      </c>
      <c r="EC160" s="995">
        <f t="shared" si="954"/>
        <v>0</v>
      </c>
      <c r="ED160" s="996">
        <f t="shared" si="954"/>
        <v>0</v>
      </c>
      <c r="EE160" s="978"/>
      <c r="EF160" s="994">
        <f t="shared" si="955"/>
        <v>2</v>
      </c>
      <c r="EG160" s="995">
        <f t="shared" si="898"/>
        <v>3</v>
      </c>
      <c r="EH160" s="995">
        <f t="shared" si="898"/>
        <v>3</v>
      </c>
      <c r="EI160" s="995">
        <f t="shared" si="898"/>
        <v>2</v>
      </c>
      <c r="EJ160" s="995">
        <f t="shared" si="898"/>
        <v>3</v>
      </c>
      <c r="EK160" s="995">
        <f t="shared" si="898"/>
        <v>4.5</v>
      </c>
      <c r="EL160" s="995">
        <f t="shared" si="898"/>
        <v>5.5</v>
      </c>
      <c r="EM160" s="995">
        <f t="shared" si="898"/>
        <v>3</v>
      </c>
      <c r="EN160" s="995">
        <f t="shared" si="898"/>
        <v>2</v>
      </c>
      <c r="EO160" s="995">
        <f t="shared" si="898"/>
        <v>1</v>
      </c>
      <c r="EP160" s="995">
        <f t="shared" si="898"/>
        <v>0</v>
      </c>
      <c r="EQ160" s="996">
        <f t="shared" si="898"/>
        <v>0.5</v>
      </c>
      <c r="ES160" s="994">
        <f t="shared" si="956"/>
        <v>1</v>
      </c>
      <c r="ET160" s="995">
        <f t="shared" si="899"/>
        <v>1</v>
      </c>
      <c r="EU160" s="995">
        <f t="shared" si="900"/>
        <v>1</v>
      </c>
      <c r="EV160" s="995">
        <f t="shared" si="901"/>
        <v>1</v>
      </c>
      <c r="EW160" s="995">
        <f t="shared" si="902"/>
        <v>1</v>
      </c>
      <c r="EX160" s="995">
        <f t="shared" si="903"/>
        <v>1</v>
      </c>
      <c r="EY160" s="995">
        <f t="shared" si="904"/>
        <v>1</v>
      </c>
      <c r="EZ160" s="995">
        <f t="shared" si="905"/>
        <v>1</v>
      </c>
      <c r="FA160" s="995">
        <f t="shared" si="906"/>
        <v>1</v>
      </c>
      <c r="FB160" s="995">
        <f t="shared" si="907"/>
        <v>0.5</v>
      </c>
      <c r="FC160" s="995">
        <f t="shared" si="908"/>
        <v>0</v>
      </c>
      <c r="FD160" s="996">
        <f t="shared" si="909"/>
        <v>0.5</v>
      </c>
      <c r="FF160" s="994">
        <f t="shared" si="957"/>
        <v>1</v>
      </c>
      <c r="FG160" s="995">
        <f t="shared" si="910"/>
        <v>1</v>
      </c>
      <c r="FH160" s="995">
        <f t="shared" si="911"/>
        <v>1</v>
      </c>
      <c r="FI160" s="995">
        <f t="shared" si="912"/>
        <v>1</v>
      </c>
      <c r="FJ160" s="995">
        <f t="shared" si="913"/>
        <v>1</v>
      </c>
      <c r="FK160" s="995">
        <f t="shared" si="914"/>
        <v>1</v>
      </c>
      <c r="FL160" s="995">
        <f t="shared" si="915"/>
        <v>1</v>
      </c>
      <c r="FM160" s="995">
        <f t="shared" si="916"/>
        <v>1</v>
      </c>
      <c r="FN160" s="995">
        <f t="shared" si="917"/>
        <v>1</v>
      </c>
      <c r="FO160" s="995">
        <f t="shared" si="918"/>
        <v>0.5</v>
      </c>
      <c r="FP160" s="995">
        <f t="shared" si="919"/>
        <v>0</v>
      </c>
      <c r="FQ160" s="996">
        <f t="shared" si="920"/>
        <v>0.5</v>
      </c>
      <c r="FS160" s="994">
        <f t="shared" si="958"/>
        <v>1</v>
      </c>
      <c r="FT160" s="995">
        <f t="shared" si="921"/>
        <v>1</v>
      </c>
      <c r="FU160" s="995">
        <f t="shared" si="922"/>
        <v>1</v>
      </c>
      <c r="FV160" s="995">
        <f t="shared" si="923"/>
        <v>1</v>
      </c>
      <c r="FW160" s="995">
        <f t="shared" si="924"/>
        <v>1</v>
      </c>
      <c r="FX160" s="995">
        <f t="shared" si="925"/>
        <v>1</v>
      </c>
      <c r="FY160" s="995">
        <f t="shared" si="926"/>
        <v>1</v>
      </c>
      <c r="FZ160" s="995">
        <f t="shared" si="927"/>
        <v>1</v>
      </c>
      <c r="GA160" s="995">
        <f t="shared" si="928"/>
        <v>1</v>
      </c>
      <c r="GB160" s="995">
        <f t="shared" si="929"/>
        <v>0.5</v>
      </c>
      <c r="GC160" s="995">
        <f t="shared" si="930"/>
        <v>0</v>
      </c>
      <c r="GD160" s="996">
        <f t="shared" si="931"/>
        <v>0</v>
      </c>
      <c r="GF160" s="994">
        <f t="shared" si="959"/>
        <v>0</v>
      </c>
      <c r="GG160" s="995">
        <f t="shared" si="932"/>
        <v>0</v>
      </c>
      <c r="GH160" s="995">
        <f t="shared" si="933"/>
        <v>0</v>
      </c>
      <c r="GI160" s="995">
        <f t="shared" si="934"/>
        <v>0</v>
      </c>
      <c r="GJ160" s="995">
        <f t="shared" si="935"/>
        <v>0</v>
      </c>
      <c r="GK160" s="995">
        <f t="shared" si="936"/>
        <v>0</v>
      </c>
      <c r="GL160" s="995">
        <f t="shared" si="937"/>
        <v>0</v>
      </c>
      <c r="GM160" s="995">
        <f t="shared" si="938"/>
        <v>0</v>
      </c>
      <c r="GN160" s="995">
        <f t="shared" si="939"/>
        <v>0</v>
      </c>
      <c r="GO160" s="995">
        <f t="shared" si="940"/>
        <v>0</v>
      </c>
      <c r="GP160" s="995">
        <f t="shared" si="941"/>
        <v>0</v>
      </c>
      <c r="GQ160" s="996">
        <f t="shared" si="942"/>
        <v>0</v>
      </c>
      <c r="GS160" s="994">
        <f t="shared" si="960"/>
        <v>0</v>
      </c>
      <c r="GT160" s="995">
        <f t="shared" si="943"/>
        <v>0</v>
      </c>
      <c r="GU160" s="995">
        <f t="shared" si="944"/>
        <v>0</v>
      </c>
      <c r="GV160" s="995">
        <f t="shared" si="945"/>
        <v>0</v>
      </c>
      <c r="GW160" s="995">
        <f t="shared" si="946"/>
        <v>0</v>
      </c>
      <c r="GX160" s="995">
        <f t="shared" si="947"/>
        <v>0</v>
      </c>
      <c r="GY160" s="995">
        <f t="shared" si="948"/>
        <v>0</v>
      </c>
      <c r="GZ160" s="995">
        <f t="shared" si="949"/>
        <v>0</v>
      </c>
      <c r="HA160" s="995">
        <f t="shared" si="950"/>
        <v>0</v>
      </c>
      <c r="HB160" s="995">
        <f t="shared" si="951"/>
        <v>0</v>
      </c>
      <c r="HC160" s="995">
        <f t="shared" si="952"/>
        <v>0</v>
      </c>
      <c r="HD160" s="996">
        <f t="shared" si="953"/>
        <v>0</v>
      </c>
    </row>
    <row r="161" spans="2:212">
      <c r="B161" s="980"/>
      <c r="D161" s="948"/>
      <c r="E161" s="948"/>
      <c r="F161" s="948"/>
      <c r="G161" s="1006"/>
      <c r="H161" s="948"/>
      <c r="I161" s="607"/>
      <c r="N161" s="1684"/>
      <c r="O161" s="957" t="s">
        <v>164</v>
      </c>
      <c r="R161" s="606">
        <v>3</v>
      </c>
      <c r="S161" s="606">
        <v>2</v>
      </c>
      <c r="T161" s="606">
        <v>1</v>
      </c>
      <c r="U161" s="606">
        <v>2</v>
      </c>
      <c r="V161" s="606">
        <v>1</v>
      </c>
      <c r="AA161" s="1684"/>
      <c r="AB161" s="957" t="s">
        <v>164</v>
      </c>
      <c r="DK161" s="1684"/>
      <c r="DL161" s="957" t="s">
        <v>164</v>
      </c>
      <c r="DN161" s="994">
        <v>2</v>
      </c>
      <c r="DO161" s="995">
        <v>2</v>
      </c>
      <c r="DP161" s="995"/>
      <c r="DQ161" s="995">
        <v>1</v>
      </c>
      <c r="DR161" s="996"/>
      <c r="DT161" s="994">
        <v>2</v>
      </c>
      <c r="DU161" s="995">
        <v>2</v>
      </c>
      <c r="DV161" s="995"/>
      <c r="DW161" s="995">
        <v>1</v>
      </c>
      <c r="DX161" s="996"/>
      <c r="DZ161" s="994">
        <v>2</v>
      </c>
      <c r="EA161" s="995">
        <f t="shared" si="954"/>
        <v>2</v>
      </c>
      <c r="EB161" s="995">
        <f t="shared" si="954"/>
        <v>0</v>
      </c>
      <c r="EC161" s="995">
        <f t="shared" si="954"/>
        <v>1</v>
      </c>
      <c r="ED161" s="996">
        <f t="shared" si="954"/>
        <v>0</v>
      </c>
      <c r="EE161" s="978"/>
      <c r="EF161" s="994">
        <f t="shared" si="955"/>
        <v>0</v>
      </c>
      <c r="EG161" s="995">
        <f t="shared" si="898"/>
        <v>2</v>
      </c>
      <c r="EH161" s="995">
        <f t="shared" si="898"/>
        <v>3</v>
      </c>
      <c r="EI161" s="995">
        <f t="shared" si="898"/>
        <v>3</v>
      </c>
      <c r="EJ161" s="995">
        <f t="shared" si="898"/>
        <v>2</v>
      </c>
      <c r="EK161" s="995">
        <f t="shared" si="898"/>
        <v>3</v>
      </c>
      <c r="EL161" s="995">
        <f t="shared" si="898"/>
        <v>4.5</v>
      </c>
      <c r="EM161" s="995">
        <f t="shared" si="898"/>
        <v>5.5</v>
      </c>
      <c r="EN161" s="995">
        <f t="shared" si="898"/>
        <v>3</v>
      </c>
      <c r="EO161" s="995">
        <f t="shared" si="898"/>
        <v>2</v>
      </c>
      <c r="EP161" s="995">
        <f t="shared" si="898"/>
        <v>1</v>
      </c>
      <c r="EQ161" s="996">
        <f t="shared" si="898"/>
        <v>0</v>
      </c>
      <c r="ES161" s="994">
        <f t="shared" si="956"/>
        <v>0.5</v>
      </c>
      <c r="ET161" s="995">
        <f t="shared" si="899"/>
        <v>1</v>
      </c>
      <c r="EU161" s="995">
        <f t="shared" si="900"/>
        <v>1</v>
      </c>
      <c r="EV161" s="995">
        <f t="shared" si="901"/>
        <v>1</v>
      </c>
      <c r="EW161" s="995">
        <f t="shared" si="902"/>
        <v>1</v>
      </c>
      <c r="EX161" s="995">
        <f t="shared" si="903"/>
        <v>1</v>
      </c>
      <c r="EY161" s="995">
        <f t="shared" si="904"/>
        <v>1</v>
      </c>
      <c r="EZ161" s="995">
        <f t="shared" si="905"/>
        <v>1</v>
      </c>
      <c r="FA161" s="995">
        <f t="shared" si="906"/>
        <v>1</v>
      </c>
      <c r="FB161" s="995">
        <f t="shared" si="907"/>
        <v>1</v>
      </c>
      <c r="FC161" s="995">
        <f t="shared" si="908"/>
        <v>0.5</v>
      </c>
      <c r="FD161" s="996">
        <f t="shared" si="909"/>
        <v>0</v>
      </c>
      <c r="FF161" s="994">
        <f t="shared" si="957"/>
        <v>0.5</v>
      </c>
      <c r="FG161" s="995">
        <f t="shared" si="910"/>
        <v>1</v>
      </c>
      <c r="FH161" s="995">
        <f t="shared" si="911"/>
        <v>1</v>
      </c>
      <c r="FI161" s="995">
        <f t="shared" si="912"/>
        <v>1</v>
      </c>
      <c r="FJ161" s="995">
        <f t="shared" si="913"/>
        <v>1</v>
      </c>
      <c r="FK161" s="995">
        <f t="shared" si="914"/>
        <v>1</v>
      </c>
      <c r="FL161" s="995">
        <f t="shared" si="915"/>
        <v>1</v>
      </c>
      <c r="FM161" s="995">
        <f t="shared" si="916"/>
        <v>1</v>
      </c>
      <c r="FN161" s="995">
        <f t="shared" si="917"/>
        <v>1</v>
      </c>
      <c r="FO161" s="995">
        <f t="shared" si="918"/>
        <v>1</v>
      </c>
      <c r="FP161" s="995">
        <f t="shared" si="919"/>
        <v>0.5</v>
      </c>
      <c r="FQ161" s="996">
        <f t="shared" si="920"/>
        <v>0</v>
      </c>
      <c r="FS161" s="994">
        <f t="shared" si="958"/>
        <v>0.5</v>
      </c>
      <c r="FT161" s="995">
        <f t="shared" si="921"/>
        <v>1</v>
      </c>
      <c r="FU161" s="995">
        <f t="shared" si="922"/>
        <v>1</v>
      </c>
      <c r="FV161" s="995">
        <f t="shared" si="923"/>
        <v>1</v>
      </c>
      <c r="FW161" s="995">
        <f t="shared" si="924"/>
        <v>1</v>
      </c>
      <c r="FX161" s="995">
        <f t="shared" si="925"/>
        <v>1</v>
      </c>
      <c r="FY161" s="995">
        <f t="shared" si="926"/>
        <v>1</v>
      </c>
      <c r="FZ161" s="995">
        <f t="shared" si="927"/>
        <v>1</v>
      </c>
      <c r="GA161" s="995">
        <f t="shared" si="928"/>
        <v>1</v>
      </c>
      <c r="GB161" s="995">
        <f t="shared" si="929"/>
        <v>1</v>
      </c>
      <c r="GC161" s="995">
        <f t="shared" si="930"/>
        <v>0.5</v>
      </c>
      <c r="GD161" s="996">
        <f t="shared" si="931"/>
        <v>0</v>
      </c>
      <c r="GF161" s="994">
        <f t="shared" si="959"/>
        <v>0</v>
      </c>
      <c r="GG161" s="995">
        <f t="shared" si="932"/>
        <v>0</v>
      </c>
      <c r="GH161" s="995">
        <f t="shared" si="933"/>
        <v>0</v>
      </c>
      <c r="GI161" s="995">
        <f t="shared" si="934"/>
        <v>0</v>
      </c>
      <c r="GJ161" s="995">
        <f t="shared" si="935"/>
        <v>0</v>
      </c>
      <c r="GK161" s="995">
        <f t="shared" si="936"/>
        <v>0</v>
      </c>
      <c r="GL161" s="995">
        <f t="shared" si="937"/>
        <v>0</v>
      </c>
      <c r="GM161" s="995">
        <f t="shared" si="938"/>
        <v>0</v>
      </c>
      <c r="GN161" s="995">
        <f t="shared" si="939"/>
        <v>0</v>
      </c>
      <c r="GO161" s="995">
        <f t="shared" si="940"/>
        <v>0</v>
      </c>
      <c r="GP161" s="995">
        <f t="shared" si="941"/>
        <v>0</v>
      </c>
      <c r="GQ161" s="996">
        <f t="shared" si="942"/>
        <v>0</v>
      </c>
      <c r="GS161" s="994">
        <f t="shared" si="960"/>
        <v>0</v>
      </c>
      <c r="GT161" s="995">
        <f t="shared" si="943"/>
        <v>0</v>
      </c>
      <c r="GU161" s="995">
        <f t="shared" si="944"/>
        <v>0</v>
      </c>
      <c r="GV161" s="995">
        <f t="shared" si="945"/>
        <v>0</v>
      </c>
      <c r="GW161" s="995">
        <f t="shared" si="946"/>
        <v>0</v>
      </c>
      <c r="GX161" s="995">
        <f t="shared" si="947"/>
        <v>0</v>
      </c>
      <c r="GY161" s="995">
        <f t="shared" si="948"/>
        <v>0</v>
      </c>
      <c r="GZ161" s="995">
        <f t="shared" si="949"/>
        <v>0</v>
      </c>
      <c r="HA161" s="995">
        <f t="shared" si="950"/>
        <v>0</v>
      </c>
      <c r="HB161" s="995">
        <f t="shared" si="951"/>
        <v>0</v>
      </c>
      <c r="HC161" s="995">
        <f t="shared" si="952"/>
        <v>0</v>
      </c>
      <c r="HD161" s="996">
        <f t="shared" si="953"/>
        <v>0</v>
      </c>
    </row>
    <row r="162" spans="2:212">
      <c r="B162" s="977"/>
      <c r="C162" s="983" t="s">
        <v>1045</v>
      </c>
      <c r="D162" s="983"/>
      <c r="E162" s="983"/>
      <c r="F162" s="983"/>
      <c r="G162" s="983"/>
      <c r="H162" s="982"/>
      <c r="I162" s="982"/>
      <c r="N162" s="1684"/>
      <c r="O162" s="957" t="s">
        <v>166</v>
      </c>
      <c r="P162" s="606">
        <v>2</v>
      </c>
      <c r="S162" s="606">
        <v>3</v>
      </c>
      <c r="T162" s="606">
        <v>2</v>
      </c>
      <c r="U162" s="606">
        <v>1</v>
      </c>
      <c r="V162" s="606">
        <v>2</v>
      </c>
      <c r="AA162" s="1684"/>
      <c r="AB162" s="957" t="s">
        <v>166</v>
      </c>
      <c r="DK162" s="1684"/>
      <c r="DL162" s="957" t="s">
        <v>166</v>
      </c>
      <c r="DN162" s="994">
        <v>1</v>
      </c>
      <c r="DO162" s="995">
        <v>2</v>
      </c>
      <c r="DP162" s="995">
        <v>2</v>
      </c>
      <c r="DQ162" s="995"/>
      <c r="DR162" s="996">
        <v>1</v>
      </c>
      <c r="DT162" s="994">
        <v>1</v>
      </c>
      <c r="DU162" s="995">
        <v>2</v>
      </c>
      <c r="DV162" s="995">
        <v>2</v>
      </c>
      <c r="DW162" s="995"/>
      <c r="DX162" s="996">
        <v>1</v>
      </c>
      <c r="DZ162" s="994">
        <v>1</v>
      </c>
      <c r="EA162" s="995">
        <f t="shared" si="954"/>
        <v>2</v>
      </c>
      <c r="EB162" s="995">
        <f t="shared" si="954"/>
        <v>2</v>
      </c>
      <c r="EC162" s="995">
        <f t="shared" si="954"/>
        <v>0</v>
      </c>
      <c r="ED162" s="996">
        <f t="shared" si="954"/>
        <v>1</v>
      </c>
      <c r="EE162" s="978"/>
      <c r="EF162" s="994">
        <f t="shared" si="955"/>
        <v>0</v>
      </c>
      <c r="EG162" s="995">
        <f t="shared" si="898"/>
        <v>0</v>
      </c>
      <c r="EH162" s="995">
        <f t="shared" si="898"/>
        <v>2</v>
      </c>
      <c r="EI162" s="995">
        <f t="shared" si="898"/>
        <v>3</v>
      </c>
      <c r="EJ162" s="995">
        <f t="shared" si="898"/>
        <v>3</v>
      </c>
      <c r="EK162" s="995">
        <f t="shared" si="898"/>
        <v>2</v>
      </c>
      <c r="EL162" s="995">
        <f t="shared" si="898"/>
        <v>3</v>
      </c>
      <c r="EM162" s="995">
        <f t="shared" si="898"/>
        <v>4.5</v>
      </c>
      <c r="EN162" s="995">
        <f t="shared" si="898"/>
        <v>5.5</v>
      </c>
      <c r="EO162" s="995">
        <f t="shared" si="898"/>
        <v>3</v>
      </c>
      <c r="EP162" s="995">
        <f t="shared" si="898"/>
        <v>2</v>
      </c>
      <c r="EQ162" s="996">
        <f t="shared" si="898"/>
        <v>1</v>
      </c>
      <c r="ES162" s="994">
        <f t="shared" si="956"/>
        <v>0</v>
      </c>
      <c r="ET162" s="995">
        <f t="shared" si="899"/>
        <v>0.5</v>
      </c>
      <c r="EU162" s="995">
        <f t="shared" si="900"/>
        <v>1</v>
      </c>
      <c r="EV162" s="995">
        <f t="shared" si="901"/>
        <v>1</v>
      </c>
      <c r="EW162" s="995">
        <f t="shared" si="902"/>
        <v>1</v>
      </c>
      <c r="EX162" s="995">
        <f t="shared" si="903"/>
        <v>1</v>
      </c>
      <c r="EY162" s="995">
        <f t="shared" si="904"/>
        <v>1</v>
      </c>
      <c r="EZ162" s="995">
        <f t="shared" si="905"/>
        <v>1</v>
      </c>
      <c r="FA162" s="995">
        <f t="shared" si="906"/>
        <v>1</v>
      </c>
      <c r="FB162" s="995">
        <f t="shared" si="907"/>
        <v>1</v>
      </c>
      <c r="FC162" s="995">
        <f t="shared" si="908"/>
        <v>1</v>
      </c>
      <c r="FD162" s="996">
        <f t="shared" si="909"/>
        <v>0.5</v>
      </c>
      <c r="FF162" s="994">
        <f t="shared" si="957"/>
        <v>0</v>
      </c>
      <c r="FG162" s="995">
        <f t="shared" si="910"/>
        <v>0.5</v>
      </c>
      <c r="FH162" s="995">
        <f t="shared" si="911"/>
        <v>1</v>
      </c>
      <c r="FI162" s="995">
        <f t="shared" si="912"/>
        <v>1</v>
      </c>
      <c r="FJ162" s="995">
        <f t="shared" si="913"/>
        <v>1</v>
      </c>
      <c r="FK162" s="995">
        <f t="shared" si="914"/>
        <v>1</v>
      </c>
      <c r="FL162" s="995">
        <f t="shared" si="915"/>
        <v>1</v>
      </c>
      <c r="FM162" s="995">
        <f t="shared" si="916"/>
        <v>1</v>
      </c>
      <c r="FN162" s="995">
        <f t="shared" si="917"/>
        <v>1</v>
      </c>
      <c r="FO162" s="995">
        <f t="shared" si="918"/>
        <v>1</v>
      </c>
      <c r="FP162" s="995">
        <f t="shared" si="919"/>
        <v>1</v>
      </c>
      <c r="FQ162" s="996">
        <f t="shared" si="920"/>
        <v>0.5</v>
      </c>
      <c r="FS162" s="994">
        <f t="shared" si="958"/>
        <v>0</v>
      </c>
      <c r="FT162" s="995">
        <f t="shared" si="921"/>
        <v>0.5</v>
      </c>
      <c r="FU162" s="995">
        <f t="shared" si="922"/>
        <v>1</v>
      </c>
      <c r="FV162" s="995">
        <f t="shared" si="923"/>
        <v>1</v>
      </c>
      <c r="FW162" s="995">
        <f t="shared" si="924"/>
        <v>1</v>
      </c>
      <c r="FX162" s="995">
        <f t="shared" si="925"/>
        <v>1</v>
      </c>
      <c r="FY162" s="995">
        <f t="shared" si="926"/>
        <v>1</v>
      </c>
      <c r="FZ162" s="995">
        <f t="shared" si="927"/>
        <v>1</v>
      </c>
      <c r="GA162" s="995">
        <f t="shared" si="928"/>
        <v>1</v>
      </c>
      <c r="GB162" s="995">
        <f t="shared" si="929"/>
        <v>1</v>
      </c>
      <c r="GC162" s="995">
        <f t="shared" si="930"/>
        <v>1</v>
      </c>
      <c r="GD162" s="996">
        <f t="shared" si="931"/>
        <v>0.5</v>
      </c>
      <c r="GF162" s="994">
        <f t="shared" si="959"/>
        <v>0</v>
      </c>
      <c r="GG162" s="995">
        <f t="shared" si="932"/>
        <v>0</v>
      </c>
      <c r="GH162" s="995">
        <f t="shared" si="933"/>
        <v>0</v>
      </c>
      <c r="GI162" s="995">
        <f t="shared" si="934"/>
        <v>0</v>
      </c>
      <c r="GJ162" s="995">
        <f t="shared" si="935"/>
        <v>0</v>
      </c>
      <c r="GK162" s="995">
        <f t="shared" si="936"/>
        <v>0</v>
      </c>
      <c r="GL162" s="995">
        <f t="shared" si="937"/>
        <v>0</v>
      </c>
      <c r="GM162" s="995">
        <f t="shared" si="938"/>
        <v>0</v>
      </c>
      <c r="GN162" s="995">
        <f t="shared" si="939"/>
        <v>0</v>
      </c>
      <c r="GO162" s="995">
        <f t="shared" si="940"/>
        <v>0</v>
      </c>
      <c r="GP162" s="995">
        <f t="shared" si="941"/>
        <v>0</v>
      </c>
      <c r="GQ162" s="996">
        <f t="shared" si="942"/>
        <v>0</v>
      </c>
      <c r="GS162" s="994">
        <f t="shared" si="960"/>
        <v>0</v>
      </c>
      <c r="GT162" s="995">
        <f t="shared" si="943"/>
        <v>0</v>
      </c>
      <c r="GU162" s="995">
        <f t="shared" si="944"/>
        <v>0</v>
      </c>
      <c r="GV162" s="995">
        <f t="shared" si="945"/>
        <v>0</v>
      </c>
      <c r="GW162" s="995">
        <f t="shared" si="946"/>
        <v>0</v>
      </c>
      <c r="GX162" s="995">
        <f t="shared" si="947"/>
        <v>0</v>
      </c>
      <c r="GY162" s="995">
        <f t="shared" si="948"/>
        <v>0</v>
      </c>
      <c r="GZ162" s="995">
        <f t="shared" si="949"/>
        <v>0</v>
      </c>
      <c r="HA162" s="995">
        <f t="shared" si="950"/>
        <v>0</v>
      </c>
      <c r="HB162" s="995">
        <f t="shared" si="951"/>
        <v>0</v>
      </c>
      <c r="HC162" s="995">
        <f t="shared" si="952"/>
        <v>0</v>
      </c>
      <c r="HD162" s="996">
        <f t="shared" si="953"/>
        <v>0</v>
      </c>
    </row>
    <row r="163" spans="2:212">
      <c r="B163" s="977"/>
      <c r="C163" s="1007" t="s">
        <v>1046</v>
      </c>
      <c r="D163" s="977"/>
      <c r="E163" s="977"/>
      <c r="F163" s="977"/>
      <c r="G163" s="977"/>
      <c r="H163" s="981"/>
      <c r="I163" s="981"/>
      <c r="N163" s="1684"/>
      <c r="O163" s="957" t="s">
        <v>1062</v>
      </c>
      <c r="AA163" s="1684"/>
      <c r="AB163" s="957" t="s">
        <v>1062</v>
      </c>
      <c r="DK163" s="1684"/>
      <c r="DL163" s="957" t="s">
        <v>1062</v>
      </c>
      <c r="DN163" s="994"/>
      <c r="DO163" s="995"/>
      <c r="DP163" s="995"/>
      <c r="DQ163" s="995"/>
      <c r="DR163" s="996"/>
      <c r="DT163" s="994"/>
      <c r="DU163" s="995"/>
      <c r="DV163" s="995"/>
      <c r="DW163" s="995"/>
      <c r="DX163" s="996"/>
      <c r="DZ163" s="994"/>
      <c r="EA163" s="995"/>
      <c r="EB163" s="995"/>
      <c r="EC163" s="995"/>
      <c r="ED163" s="996"/>
      <c r="EF163" s="994"/>
      <c r="EG163" s="995"/>
      <c r="EH163" s="995"/>
      <c r="EI163" s="995"/>
      <c r="EJ163" s="995"/>
      <c r="EK163" s="995"/>
      <c r="EL163" s="995"/>
      <c r="EM163" s="995"/>
      <c r="EN163" s="995"/>
      <c r="EO163" s="995"/>
      <c r="EP163" s="995"/>
      <c r="EQ163" s="996"/>
      <c r="ES163" s="994"/>
      <c r="ET163" s="995"/>
      <c r="EU163" s="995"/>
      <c r="EV163" s="995"/>
      <c r="EW163" s="995"/>
      <c r="EX163" s="995"/>
      <c r="EY163" s="995"/>
      <c r="EZ163" s="995"/>
      <c r="FA163" s="995"/>
      <c r="FB163" s="995"/>
      <c r="FC163" s="995"/>
      <c r="FD163" s="996"/>
      <c r="FF163" s="994"/>
      <c r="FG163" s="995"/>
      <c r="FH163" s="995"/>
      <c r="FI163" s="995"/>
      <c r="FJ163" s="995"/>
      <c r="FK163" s="995"/>
      <c r="FL163" s="995"/>
      <c r="FM163" s="995"/>
      <c r="FN163" s="995"/>
      <c r="FO163" s="995"/>
      <c r="FP163" s="995"/>
      <c r="FQ163" s="996"/>
      <c r="FS163" s="994"/>
      <c r="FT163" s="995"/>
      <c r="FU163" s="995"/>
      <c r="FV163" s="995"/>
      <c r="FW163" s="995"/>
      <c r="FX163" s="995"/>
      <c r="FY163" s="995"/>
      <c r="FZ163" s="995"/>
      <c r="GA163" s="995"/>
      <c r="GB163" s="995"/>
      <c r="GC163" s="995"/>
      <c r="GD163" s="996"/>
      <c r="GF163" s="994"/>
      <c r="GG163" s="995"/>
      <c r="GH163" s="995"/>
      <c r="GI163" s="995"/>
      <c r="GJ163" s="995"/>
      <c r="GK163" s="995"/>
      <c r="GL163" s="995"/>
      <c r="GM163" s="995"/>
      <c r="GN163" s="995"/>
      <c r="GO163" s="995"/>
      <c r="GP163" s="995"/>
      <c r="GQ163" s="996"/>
      <c r="GS163" s="994"/>
      <c r="GT163" s="995"/>
      <c r="GU163" s="995"/>
      <c r="GV163" s="995"/>
      <c r="GW163" s="995"/>
      <c r="GX163" s="995"/>
      <c r="GY163" s="995"/>
      <c r="GZ163" s="995"/>
      <c r="HA163" s="995"/>
      <c r="HB163" s="995"/>
      <c r="HC163" s="995"/>
      <c r="HD163" s="996"/>
    </row>
    <row r="164" spans="2:212">
      <c r="B164" s="977"/>
      <c r="C164" s="977" t="s">
        <v>1047</v>
      </c>
      <c r="D164" s="977"/>
      <c r="E164" s="977"/>
      <c r="F164" s="977"/>
      <c r="G164" s="977"/>
      <c r="H164" s="981"/>
      <c r="I164" s="981"/>
      <c r="O164" s="957"/>
      <c r="AB164" s="957"/>
      <c r="AK164" s="956">
        <v>1</v>
      </c>
      <c r="AL164" s="956">
        <v>1.1000000000000001</v>
      </c>
      <c r="AM164" s="956">
        <v>1</v>
      </c>
      <c r="AN164" s="956">
        <v>1</v>
      </c>
      <c r="AO164" s="956">
        <v>1.1000000000000001</v>
      </c>
      <c r="AP164" s="956">
        <v>1</v>
      </c>
      <c r="AQ164" s="956">
        <v>0.9</v>
      </c>
      <c r="AR164" s="956">
        <v>1</v>
      </c>
      <c r="AS164" s="956">
        <v>1</v>
      </c>
      <c r="AT164" s="956">
        <v>1.1000000000000001</v>
      </c>
      <c r="AU164" s="956">
        <v>1.1000000000000001</v>
      </c>
      <c r="AV164" s="956">
        <v>1</v>
      </c>
      <c r="AW164" s="956">
        <v>1</v>
      </c>
      <c r="AX164" s="956">
        <v>1</v>
      </c>
      <c r="AY164" s="956">
        <v>1</v>
      </c>
      <c r="AZ164" s="956">
        <v>1</v>
      </c>
      <c r="BA164" s="956">
        <v>1</v>
      </c>
      <c r="BB164" s="956">
        <v>1</v>
      </c>
      <c r="BC164" s="956">
        <v>0.9</v>
      </c>
      <c r="BD164" s="956">
        <v>1</v>
      </c>
      <c r="BE164" s="956">
        <v>1</v>
      </c>
      <c r="BF164" s="956">
        <v>1.1000000000000001</v>
      </c>
      <c r="BG164" s="956">
        <v>1.1000000000000001</v>
      </c>
      <c r="BH164" s="956">
        <v>1</v>
      </c>
      <c r="BI164" s="956">
        <v>1</v>
      </c>
      <c r="BJ164" s="956">
        <v>1</v>
      </c>
      <c r="BK164" s="956">
        <v>1</v>
      </c>
      <c r="BL164" s="956">
        <v>1</v>
      </c>
      <c r="BM164" s="956">
        <v>1</v>
      </c>
      <c r="BN164" s="956">
        <v>1</v>
      </c>
      <c r="BO164" s="956">
        <v>0.9</v>
      </c>
      <c r="BP164" s="956">
        <v>1</v>
      </c>
      <c r="BQ164" s="956">
        <v>1</v>
      </c>
      <c r="BR164" s="956">
        <v>1.1000000000000001</v>
      </c>
      <c r="BS164" s="956">
        <v>1.1000000000000001</v>
      </c>
      <c r="BT164" s="956">
        <v>1</v>
      </c>
      <c r="BU164" s="956">
        <v>1</v>
      </c>
      <c r="BV164" s="956">
        <v>1</v>
      </c>
      <c r="BW164" s="956">
        <v>1</v>
      </c>
      <c r="BX164" s="956">
        <v>1</v>
      </c>
      <c r="BY164" s="956">
        <v>1</v>
      </c>
      <c r="BZ164" s="956">
        <v>1</v>
      </c>
      <c r="CA164" s="956">
        <v>0.9</v>
      </c>
      <c r="CB164" s="956">
        <v>1</v>
      </c>
      <c r="CC164" s="956">
        <v>1</v>
      </c>
      <c r="CD164" s="956">
        <v>1.1000000000000001</v>
      </c>
      <c r="CE164" s="956">
        <v>1.1000000000000001</v>
      </c>
      <c r="CF164" s="956">
        <v>1</v>
      </c>
      <c r="CG164" s="956">
        <v>1</v>
      </c>
      <c r="CH164" s="956">
        <v>1</v>
      </c>
      <c r="CI164" s="956">
        <v>1</v>
      </c>
      <c r="CJ164" s="956">
        <v>1</v>
      </c>
      <c r="CK164" s="956">
        <v>1</v>
      </c>
      <c r="CL164" s="956">
        <v>1</v>
      </c>
      <c r="CM164" s="956">
        <v>0.9</v>
      </c>
      <c r="CN164" s="956">
        <v>1</v>
      </c>
      <c r="CO164" s="956">
        <v>1</v>
      </c>
      <c r="CP164" s="956">
        <v>1.1000000000000001</v>
      </c>
      <c r="CQ164" s="956">
        <v>1.1000000000000001</v>
      </c>
      <c r="CR164" s="956">
        <v>1</v>
      </c>
      <c r="CS164" s="956">
        <v>1</v>
      </c>
      <c r="CT164" s="956">
        <v>1</v>
      </c>
      <c r="CU164" s="956">
        <v>1</v>
      </c>
      <c r="CV164" s="956">
        <v>1</v>
      </c>
      <c r="CW164" s="956">
        <v>1</v>
      </c>
      <c r="CX164" s="956">
        <v>1</v>
      </c>
      <c r="CY164" s="956">
        <v>0.9</v>
      </c>
      <c r="CZ164" s="956">
        <v>1</v>
      </c>
      <c r="DA164" s="956">
        <v>1</v>
      </c>
      <c r="DB164" s="956">
        <v>1.1000000000000001</v>
      </c>
      <c r="DC164" s="956">
        <v>1.1000000000000001</v>
      </c>
      <c r="DD164" s="956">
        <v>1</v>
      </c>
      <c r="DE164" s="956">
        <v>1</v>
      </c>
      <c r="DF164" s="956">
        <v>1</v>
      </c>
      <c r="DG164" s="956">
        <v>1</v>
      </c>
      <c r="DH164" s="956">
        <v>1</v>
      </c>
      <c r="DI164" s="956">
        <v>1</v>
      </c>
      <c r="DL164" s="957"/>
      <c r="DN164" s="994"/>
      <c r="DO164" s="995"/>
      <c r="DP164" s="995"/>
      <c r="DQ164" s="995"/>
      <c r="DR164" s="996"/>
      <c r="DT164" s="994"/>
      <c r="DU164" s="995"/>
      <c r="DV164" s="995"/>
      <c r="DW164" s="995"/>
      <c r="DX164" s="996"/>
      <c r="DZ164" s="994"/>
      <c r="EA164" s="995"/>
      <c r="EB164" s="995"/>
      <c r="EC164" s="995"/>
      <c r="ED164" s="996"/>
      <c r="EF164" s="994"/>
      <c r="EG164" s="995"/>
      <c r="EH164" s="995"/>
      <c r="EI164" s="995"/>
      <c r="EJ164" s="995"/>
      <c r="EK164" s="995"/>
      <c r="EL164" s="995"/>
      <c r="EM164" s="995"/>
      <c r="EN164" s="995"/>
      <c r="EO164" s="995"/>
      <c r="EP164" s="995"/>
      <c r="EQ164" s="996"/>
      <c r="ES164" s="994"/>
      <c r="ET164" s="995"/>
      <c r="EU164" s="995"/>
      <c r="EV164" s="995"/>
      <c r="EW164" s="995"/>
      <c r="EX164" s="995"/>
      <c r="EY164" s="995"/>
      <c r="EZ164" s="995"/>
      <c r="FA164" s="995"/>
      <c r="FB164" s="995"/>
      <c r="FC164" s="995"/>
      <c r="FD164" s="996"/>
      <c r="FF164" s="994"/>
      <c r="FG164" s="995"/>
      <c r="FH164" s="995"/>
      <c r="FI164" s="995"/>
      <c r="FJ164" s="995"/>
      <c r="FK164" s="995"/>
      <c r="FL164" s="995"/>
      <c r="FM164" s="995"/>
      <c r="FN164" s="995"/>
      <c r="FO164" s="995"/>
      <c r="FP164" s="995"/>
      <c r="FQ164" s="996"/>
      <c r="FS164" s="994"/>
      <c r="FT164" s="995"/>
      <c r="FU164" s="995"/>
      <c r="FV164" s="995"/>
      <c r="FW164" s="995"/>
      <c r="FX164" s="995"/>
      <c r="FY164" s="995"/>
      <c r="FZ164" s="995"/>
      <c r="GA164" s="995"/>
      <c r="GB164" s="995"/>
      <c r="GC164" s="995"/>
      <c r="GD164" s="996"/>
      <c r="GF164" s="994"/>
      <c r="GG164" s="995"/>
      <c r="GH164" s="995"/>
      <c r="GI164" s="995"/>
      <c r="GJ164" s="995"/>
      <c r="GK164" s="995"/>
      <c r="GL164" s="995"/>
      <c r="GM164" s="995"/>
      <c r="GN164" s="995"/>
      <c r="GO164" s="995"/>
      <c r="GP164" s="995"/>
      <c r="GQ164" s="996"/>
      <c r="GS164" s="994"/>
      <c r="GT164" s="995"/>
      <c r="GU164" s="995"/>
      <c r="GV164" s="995"/>
      <c r="GW164" s="995"/>
      <c r="GX164" s="995"/>
      <c r="GY164" s="995"/>
      <c r="GZ164" s="995"/>
      <c r="HA164" s="995"/>
      <c r="HB164" s="995"/>
      <c r="HC164" s="995"/>
      <c r="HD164" s="996"/>
    </row>
    <row r="165" spans="2:212" ht="15" customHeight="1">
      <c r="B165" s="974"/>
      <c r="C165" s="974"/>
      <c r="D165" s="974"/>
      <c r="E165" s="974"/>
      <c r="F165" s="974"/>
      <c r="G165" s="974"/>
      <c r="H165" s="974"/>
      <c r="I165" s="974"/>
      <c r="N165" s="1684" t="s">
        <v>1044</v>
      </c>
      <c r="O165" s="957" t="s">
        <v>119</v>
      </c>
      <c r="S165" s="606">
        <v>2</v>
      </c>
      <c r="T165" s="606">
        <v>3</v>
      </c>
      <c r="U165" s="606">
        <v>2</v>
      </c>
      <c r="V165" s="606">
        <v>2</v>
      </c>
      <c r="AA165" s="1684" t="s">
        <v>1044</v>
      </c>
      <c r="AB165" s="957" t="s">
        <v>119</v>
      </c>
      <c r="AC165" s="610">
        <f>P165/P151</f>
        <v>0</v>
      </c>
      <c r="AD165" s="610"/>
      <c r="AE165" s="610"/>
      <c r="AF165" s="610">
        <f>S165/S151</f>
        <v>1</v>
      </c>
      <c r="AG165" s="610">
        <f>T165/T151</f>
        <v>1</v>
      </c>
      <c r="AH165" s="610">
        <f>U165/U151</f>
        <v>0.66666666666666663</v>
      </c>
      <c r="AI165" s="610">
        <f>V165/V151</f>
        <v>1</v>
      </c>
      <c r="AJ165" s="952">
        <f t="shared" ref="AJ165:AJ176" si="961">AVERAGE(AC165:AI165)</f>
        <v>0.73333333333333328</v>
      </c>
      <c r="AK165" s="952">
        <f t="shared" ref="AK165:AK176" si="962">AJ165*$AK$164</f>
        <v>0.73333333333333328</v>
      </c>
      <c r="AL165" s="952">
        <f t="shared" ref="AL165:AL176" si="963">AK165*$AL$164</f>
        <v>0.80666666666666664</v>
      </c>
      <c r="AM165" s="952">
        <f t="shared" ref="AM165:AM176" si="964">AL165*$AM$164</f>
        <v>0.80666666666666664</v>
      </c>
      <c r="AN165" s="952">
        <f t="shared" ref="AN165:AN176" si="965">AM165*$AN$164</f>
        <v>0.80666666666666664</v>
      </c>
      <c r="AO165" s="952">
        <f t="shared" ref="AO165:AO176" si="966">AN165*$AO$164</f>
        <v>0.88733333333333342</v>
      </c>
      <c r="AP165" s="1053">
        <v>0.8</v>
      </c>
      <c r="AQ165" s="1053">
        <f>AP165*AQ$164</f>
        <v>0.72000000000000008</v>
      </c>
      <c r="AR165" s="1053">
        <f t="shared" ref="AR165:BA165" si="967">AQ165*AR$164</f>
        <v>0.72000000000000008</v>
      </c>
      <c r="AS165" s="1053">
        <f t="shared" si="967"/>
        <v>0.72000000000000008</v>
      </c>
      <c r="AT165" s="1053">
        <f t="shared" si="967"/>
        <v>0.79200000000000015</v>
      </c>
      <c r="AU165" s="1053">
        <f t="shared" si="967"/>
        <v>0.8712000000000002</v>
      </c>
      <c r="AV165" s="1053">
        <f t="shared" si="967"/>
        <v>0.8712000000000002</v>
      </c>
      <c r="AW165" s="1053">
        <f t="shared" si="967"/>
        <v>0.8712000000000002</v>
      </c>
      <c r="AX165" s="1053">
        <f t="shared" si="967"/>
        <v>0.8712000000000002</v>
      </c>
      <c r="AY165" s="1053">
        <f t="shared" si="967"/>
        <v>0.8712000000000002</v>
      </c>
      <c r="AZ165" s="1053">
        <f t="shared" si="967"/>
        <v>0.8712000000000002</v>
      </c>
      <c r="BA165" s="1053">
        <f t="shared" si="967"/>
        <v>0.8712000000000002</v>
      </c>
      <c r="BB165" s="1053">
        <v>0.8</v>
      </c>
      <c r="BC165" s="1053">
        <f>BB165*BC$164</f>
        <v>0.72000000000000008</v>
      </c>
      <c r="BD165" s="1053">
        <f t="shared" ref="BD165:BD176" si="968">BC165*BD$164</f>
        <v>0.72000000000000008</v>
      </c>
      <c r="BE165" s="1053">
        <f t="shared" ref="BE165:BE176" si="969">BD165*BE$164</f>
        <v>0.72000000000000008</v>
      </c>
      <c r="BF165" s="1053">
        <f t="shared" ref="BF165:BF176" si="970">BE165*BF$164</f>
        <v>0.79200000000000015</v>
      </c>
      <c r="BG165" s="1053">
        <f t="shared" ref="BG165:BG176" si="971">BF165*BG$164</f>
        <v>0.8712000000000002</v>
      </c>
      <c r="BH165" s="1053">
        <f t="shared" ref="BH165:BH176" si="972">BG165*BH$164</f>
        <v>0.8712000000000002</v>
      </c>
      <c r="BI165" s="1053">
        <f t="shared" ref="BI165:BI176" si="973">BH165*BI$164</f>
        <v>0.8712000000000002</v>
      </c>
      <c r="BJ165" s="1053">
        <f t="shared" ref="BJ165:BJ176" si="974">BI165*BJ$164</f>
        <v>0.8712000000000002</v>
      </c>
      <c r="BK165" s="1053">
        <f t="shared" ref="BK165:BK176" si="975">BJ165*BK$164</f>
        <v>0.8712000000000002</v>
      </c>
      <c r="BL165" s="1053">
        <f t="shared" ref="BL165:BL176" si="976">BK165*BL$164</f>
        <v>0.8712000000000002</v>
      </c>
      <c r="BM165" s="1053">
        <f t="shared" ref="BM165:BM176" si="977">BL165*BM$164</f>
        <v>0.8712000000000002</v>
      </c>
      <c r="BN165" s="1053">
        <v>0.8</v>
      </c>
      <c r="BO165" s="1053">
        <f>BN165*BO$164</f>
        <v>0.72000000000000008</v>
      </c>
      <c r="BP165" s="1053">
        <f t="shared" ref="BP165:BP176" si="978">BO165*BP$164</f>
        <v>0.72000000000000008</v>
      </c>
      <c r="BQ165" s="1053">
        <f t="shared" ref="BQ165:BQ176" si="979">BP165*BQ$164</f>
        <v>0.72000000000000008</v>
      </c>
      <c r="BR165" s="1053">
        <f t="shared" ref="BR165:BR176" si="980">BQ165*BR$164</f>
        <v>0.79200000000000015</v>
      </c>
      <c r="BS165" s="1053">
        <f t="shared" ref="BS165:BS176" si="981">BR165*BS$164</f>
        <v>0.8712000000000002</v>
      </c>
      <c r="BT165" s="1053">
        <f t="shared" ref="BT165:BT176" si="982">BS165*BT$164</f>
        <v>0.8712000000000002</v>
      </c>
      <c r="BU165" s="1053">
        <f t="shared" ref="BU165:BU176" si="983">BT165*BU$164</f>
        <v>0.8712000000000002</v>
      </c>
      <c r="BV165" s="1053">
        <f t="shared" ref="BV165:BV176" si="984">BU165*BV$164</f>
        <v>0.8712000000000002</v>
      </c>
      <c r="BW165" s="1053">
        <f t="shared" ref="BW165:BW176" si="985">BV165*BW$164</f>
        <v>0.8712000000000002</v>
      </c>
      <c r="BX165" s="1053">
        <f t="shared" ref="BX165:BX176" si="986">BW165*BX$164</f>
        <v>0.8712000000000002</v>
      </c>
      <c r="BY165" s="1053">
        <f t="shared" ref="BY165:BY176" si="987">BX165*BY$164</f>
        <v>0.8712000000000002</v>
      </c>
      <c r="BZ165" s="1053">
        <v>0.8</v>
      </c>
      <c r="CA165" s="1053">
        <f>BZ165*CA$164</f>
        <v>0.72000000000000008</v>
      </c>
      <c r="CB165" s="1053">
        <f t="shared" ref="CB165:CB176" si="988">CA165*CB$164</f>
        <v>0.72000000000000008</v>
      </c>
      <c r="CC165" s="1053">
        <f t="shared" ref="CC165:CC176" si="989">CB165*CC$164</f>
        <v>0.72000000000000008</v>
      </c>
      <c r="CD165" s="1053">
        <f t="shared" ref="CD165:CD176" si="990">CC165*CD$164</f>
        <v>0.79200000000000015</v>
      </c>
      <c r="CE165" s="1053">
        <f t="shared" ref="CE165:CE176" si="991">CD165*CE$164</f>
        <v>0.8712000000000002</v>
      </c>
      <c r="CF165" s="1053">
        <f t="shared" ref="CF165:CF176" si="992">CE165*CF$164</f>
        <v>0.8712000000000002</v>
      </c>
      <c r="CG165" s="1053">
        <f t="shared" ref="CG165:CG176" si="993">CF165*CG$164</f>
        <v>0.8712000000000002</v>
      </c>
      <c r="CH165" s="1053">
        <f t="shared" ref="CH165:CH176" si="994">CG165*CH$164</f>
        <v>0.8712000000000002</v>
      </c>
      <c r="CI165" s="1053">
        <f t="shared" ref="CI165:CI176" si="995">CH165*CI$164</f>
        <v>0.8712000000000002</v>
      </c>
      <c r="CJ165" s="1053">
        <f t="shared" ref="CJ165:CJ176" si="996">CI165*CJ$164</f>
        <v>0.8712000000000002</v>
      </c>
      <c r="CK165" s="1053">
        <f t="shared" ref="CK165:CK176" si="997">CJ165*CK$164</f>
        <v>0.8712000000000002</v>
      </c>
      <c r="CL165" s="1053">
        <v>0.8</v>
      </c>
      <c r="CM165" s="1053">
        <f>CL165*CM$164</f>
        <v>0.72000000000000008</v>
      </c>
      <c r="CN165" s="1053">
        <f t="shared" ref="CN165:CN176" si="998">CM165*CN$164</f>
        <v>0.72000000000000008</v>
      </c>
      <c r="CO165" s="1053">
        <f t="shared" ref="CO165:CO176" si="999">CN165*CO$164</f>
        <v>0.72000000000000008</v>
      </c>
      <c r="CP165" s="1053">
        <f t="shared" ref="CP165:CP176" si="1000">CO165*CP$164</f>
        <v>0.79200000000000015</v>
      </c>
      <c r="CQ165" s="1053">
        <f t="shared" ref="CQ165:CQ176" si="1001">CP165*CQ$164</f>
        <v>0.8712000000000002</v>
      </c>
      <c r="CR165" s="1053">
        <f t="shared" ref="CR165:CR176" si="1002">CQ165*CR$164</f>
        <v>0.8712000000000002</v>
      </c>
      <c r="CS165" s="1053">
        <f t="shared" ref="CS165:CS176" si="1003">CR165*CS$164</f>
        <v>0.8712000000000002</v>
      </c>
      <c r="CT165" s="1053">
        <f t="shared" ref="CT165:CT176" si="1004">CS165*CT$164</f>
        <v>0.8712000000000002</v>
      </c>
      <c r="CU165" s="1053">
        <f t="shared" ref="CU165:CU176" si="1005">CT165*CU$164</f>
        <v>0.8712000000000002</v>
      </c>
      <c r="CV165" s="1053">
        <f t="shared" ref="CV165:CV176" si="1006">CU165*CV$164</f>
        <v>0.8712000000000002</v>
      </c>
      <c r="CW165" s="1053">
        <f t="shared" ref="CW165:CW176" si="1007">CV165*CW$164</f>
        <v>0.8712000000000002</v>
      </c>
      <c r="CX165" s="1053">
        <v>0.8</v>
      </c>
      <c r="CY165" s="1053">
        <f>CX165*CY$164</f>
        <v>0.72000000000000008</v>
      </c>
      <c r="CZ165" s="1053">
        <f t="shared" ref="CZ165:CZ176" si="1008">CY165*CZ$164</f>
        <v>0.72000000000000008</v>
      </c>
      <c r="DA165" s="1053">
        <f t="shared" ref="DA165:DA176" si="1009">CZ165*DA$164</f>
        <v>0.72000000000000008</v>
      </c>
      <c r="DB165" s="1053">
        <f t="shared" ref="DB165:DB176" si="1010">DA165*DB$164</f>
        <v>0.79200000000000015</v>
      </c>
      <c r="DC165" s="1053">
        <f t="shared" ref="DC165:DC176" si="1011">DB165*DC$164</f>
        <v>0.8712000000000002</v>
      </c>
      <c r="DD165" s="1053">
        <f t="shared" ref="DD165:DD176" si="1012">DC165*DD$164</f>
        <v>0.8712000000000002</v>
      </c>
      <c r="DE165" s="1053">
        <f t="shared" ref="DE165:DE176" si="1013">DD165*DE$164</f>
        <v>0.8712000000000002</v>
      </c>
      <c r="DF165" s="1053">
        <f t="shared" ref="DF165:DF176" si="1014">DE165*DF$164</f>
        <v>0.8712000000000002</v>
      </c>
      <c r="DG165" s="1053">
        <f t="shared" ref="DG165:DG176" si="1015">DF165*DG$164</f>
        <v>0.8712000000000002</v>
      </c>
      <c r="DH165" s="1053">
        <f t="shared" ref="DH165:DH176" si="1016">DG165*DH$164</f>
        <v>0.8712000000000002</v>
      </c>
      <c r="DI165" s="1053">
        <f t="shared" ref="DI165:DI176" si="1017">DH165*DI$164</f>
        <v>0.8712000000000002</v>
      </c>
      <c r="DK165" s="1684" t="s">
        <v>1044</v>
      </c>
      <c r="DL165" s="957" t="s">
        <v>119</v>
      </c>
      <c r="DN165" s="994">
        <v>1</v>
      </c>
      <c r="DO165" s="995">
        <f>DO151*$AJ$165</f>
        <v>3.3</v>
      </c>
      <c r="DP165" s="995">
        <f>DP151*$AJ$165</f>
        <v>4.0333333333333332</v>
      </c>
      <c r="DQ165" s="995">
        <f>DQ151*$AJ$165</f>
        <v>2.1999999999999997</v>
      </c>
      <c r="DR165" s="996">
        <f>DR151*$AJ$165</f>
        <v>1.4666666666666666</v>
      </c>
      <c r="DT165" s="994">
        <v>1</v>
      </c>
      <c r="DU165" s="995">
        <f>DU151*$AH$165</f>
        <v>3</v>
      </c>
      <c r="DV165" s="995">
        <f>DV151*$AH$165</f>
        <v>3.6666666666666665</v>
      </c>
      <c r="DW165" s="995">
        <f>DW151*$AH$165</f>
        <v>2</v>
      </c>
      <c r="DX165" s="996">
        <f>DX151*$AH$165</f>
        <v>1.3333333333333333</v>
      </c>
      <c r="DZ165" s="994">
        <v>1</v>
      </c>
      <c r="EA165" s="995">
        <f>EA151*AL$165</f>
        <v>3.63</v>
      </c>
      <c r="EB165" s="995">
        <f>EB151*AM$165</f>
        <v>4.4366666666666665</v>
      </c>
      <c r="EC165" s="995">
        <f>EC151*AN$165</f>
        <v>2.42</v>
      </c>
      <c r="ED165" s="996">
        <f>ED151*AO$165</f>
        <v>1.7746666666666668</v>
      </c>
      <c r="EF165" s="994">
        <f t="shared" ref="EF165:EF176" si="1018">EF154*$AP165</f>
        <v>4.4000000000000004</v>
      </c>
      <c r="EG165" s="995">
        <f t="shared" ref="EG165:EG176" si="1019">EG154*AQ165</f>
        <v>2.16</v>
      </c>
      <c r="EH165" s="995">
        <f t="shared" ref="EH165:EH176" si="1020">EH154*AR165</f>
        <v>1.4400000000000002</v>
      </c>
      <c r="EI165" s="995">
        <f t="shared" ref="EI165:EI176" si="1021">EI154*AS165</f>
        <v>0.72000000000000008</v>
      </c>
      <c r="EJ165" s="995">
        <f t="shared" ref="EJ165:EJ176" si="1022">EJ154*AT165</f>
        <v>0</v>
      </c>
      <c r="EK165" s="995">
        <f t="shared" ref="EK165:EK176" si="1023">EK154*AU165</f>
        <v>0.4356000000000001</v>
      </c>
      <c r="EL165" s="995">
        <f t="shared" ref="EL165:EL176" si="1024">EL154*AV165</f>
        <v>0.8712000000000002</v>
      </c>
      <c r="EM165" s="995">
        <f t="shared" ref="EM165:EM176" si="1025">EM154*AW165</f>
        <v>0.8712000000000002</v>
      </c>
      <c r="EN165" s="995">
        <f t="shared" ref="EN165:EN176" si="1026">EN154*AX165</f>
        <v>0.8712000000000002</v>
      </c>
      <c r="EO165" s="995">
        <f t="shared" ref="EO165:EO176" si="1027">EO154*AY165</f>
        <v>0.8712000000000002</v>
      </c>
      <c r="EP165" s="995">
        <f t="shared" ref="EP165:EP176" si="1028">EP154*AZ165</f>
        <v>0.8712000000000002</v>
      </c>
      <c r="EQ165" s="996">
        <f t="shared" ref="EQ165:EQ176" si="1029">EQ154*BA165</f>
        <v>0.8712000000000002</v>
      </c>
      <c r="ES165" s="994">
        <f>ES154*BB165</f>
        <v>0.8</v>
      </c>
      <c r="ET165" s="995">
        <f t="shared" ref="ET165:FD176" si="1030">ET154*BC165</f>
        <v>0.72000000000000008</v>
      </c>
      <c r="EU165" s="995">
        <f t="shared" si="1030"/>
        <v>0.72000000000000008</v>
      </c>
      <c r="EV165" s="995">
        <f t="shared" si="1030"/>
        <v>0.36000000000000004</v>
      </c>
      <c r="EW165" s="995">
        <f t="shared" si="1030"/>
        <v>0</v>
      </c>
      <c r="EX165" s="995">
        <f t="shared" si="1030"/>
        <v>0.4356000000000001</v>
      </c>
      <c r="EY165" s="995">
        <f t="shared" si="1030"/>
        <v>0.8712000000000002</v>
      </c>
      <c r="EZ165" s="995">
        <f t="shared" si="1030"/>
        <v>0.8712000000000002</v>
      </c>
      <c r="FA165" s="995">
        <f t="shared" si="1030"/>
        <v>0.8712000000000002</v>
      </c>
      <c r="FB165" s="995">
        <f t="shared" si="1030"/>
        <v>0.8712000000000002</v>
      </c>
      <c r="FC165" s="995">
        <f t="shared" si="1030"/>
        <v>0.8712000000000002</v>
      </c>
      <c r="FD165" s="996">
        <f t="shared" si="1030"/>
        <v>0.8712000000000002</v>
      </c>
      <c r="FF165" s="994">
        <f>FF154*BN165</f>
        <v>0.8</v>
      </c>
      <c r="FG165" s="995">
        <f t="shared" ref="FG165:FQ176" si="1031">FG154*BO165</f>
        <v>0.72000000000000008</v>
      </c>
      <c r="FH165" s="995">
        <f t="shared" si="1031"/>
        <v>0.72000000000000008</v>
      </c>
      <c r="FI165" s="995">
        <f t="shared" si="1031"/>
        <v>0.36000000000000004</v>
      </c>
      <c r="FJ165" s="995">
        <f t="shared" si="1031"/>
        <v>0</v>
      </c>
      <c r="FK165" s="995">
        <f t="shared" si="1031"/>
        <v>0.4356000000000001</v>
      </c>
      <c r="FL165" s="995">
        <f t="shared" si="1031"/>
        <v>0.8712000000000002</v>
      </c>
      <c r="FM165" s="995">
        <f t="shared" si="1031"/>
        <v>0.8712000000000002</v>
      </c>
      <c r="FN165" s="995">
        <f t="shared" si="1031"/>
        <v>0.8712000000000002</v>
      </c>
      <c r="FO165" s="995">
        <f t="shared" si="1031"/>
        <v>0.8712000000000002</v>
      </c>
      <c r="FP165" s="995">
        <f t="shared" si="1031"/>
        <v>0.8712000000000002</v>
      </c>
      <c r="FQ165" s="996">
        <f t="shared" si="1031"/>
        <v>0.8712000000000002</v>
      </c>
      <c r="FS165" s="994">
        <f>FS154*BZ165</f>
        <v>0.8</v>
      </c>
      <c r="FT165" s="995">
        <f t="shared" ref="FT165:GD176" si="1032">FT154*CA165</f>
        <v>0.72000000000000008</v>
      </c>
      <c r="FU165" s="995">
        <f t="shared" si="1032"/>
        <v>0.72000000000000008</v>
      </c>
      <c r="FV165" s="995">
        <f t="shared" si="1032"/>
        <v>0.36000000000000004</v>
      </c>
      <c r="FW165" s="995">
        <f t="shared" si="1032"/>
        <v>0</v>
      </c>
      <c r="FX165" s="995">
        <f t="shared" si="1032"/>
        <v>0</v>
      </c>
      <c r="FY165" s="995">
        <f t="shared" si="1032"/>
        <v>0</v>
      </c>
      <c r="FZ165" s="995">
        <f t="shared" si="1032"/>
        <v>0</v>
      </c>
      <c r="GA165" s="995">
        <f t="shared" si="1032"/>
        <v>0</v>
      </c>
      <c r="GB165" s="995">
        <f t="shared" si="1032"/>
        <v>0</v>
      </c>
      <c r="GC165" s="995">
        <f t="shared" si="1032"/>
        <v>0</v>
      </c>
      <c r="GD165" s="996">
        <f t="shared" si="1032"/>
        <v>0</v>
      </c>
      <c r="GF165" s="994">
        <f>GF154*CL165</f>
        <v>0</v>
      </c>
      <c r="GG165" s="995">
        <f t="shared" ref="GG165:GQ176" si="1033">GG154*CM165</f>
        <v>0</v>
      </c>
      <c r="GH165" s="995">
        <f t="shared" si="1033"/>
        <v>0</v>
      </c>
      <c r="GI165" s="995">
        <f t="shared" si="1033"/>
        <v>0</v>
      </c>
      <c r="GJ165" s="995">
        <f t="shared" si="1033"/>
        <v>0</v>
      </c>
      <c r="GK165" s="995">
        <f t="shared" si="1033"/>
        <v>0</v>
      </c>
      <c r="GL165" s="995">
        <f t="shared" si="1033"/>
        <v>0</v>
      </c>
      <c r="GM165" s="995">
        <f t="shared" si="1033"/>
        <v>0</v>
      </c>
      <c r="GN165" s="995">
        <f t="shared" si="1033"/>
        <v>0</v>
      </c>
      <c r="GO165" s="995">
        <f t="shared" si="1033"/>
        <v>0</v>
      </c>
      <c r="GP165" s="995">
        <f t="shared" si="1033"/>
        <v>0</v>
      </c>
      <c r="GQ165" s="996">
        <f t="shared" si="1033"/>
        <v>0</v>
      </c>
      <c r="GS165" s="994">
        <f>GS154*CX165</f>
        <v>0</v>
      </c>
      <c r="GT165" s="995">
        <f t="shared" ref="GT165:HD176" si="1034">GT154*CY165</f>
        <v>0</v>
      </c>
      <c r="GU165" s="995">
        <f t="shared" si="1034"/>
        <v>0</v>
      </c>
      <c r="GV165" s="995">
        <f t="shared" si="1034"/>
        <v>0</v>
      </c>
      <c r="GW165" s="995">
        <f t="shared" si="1034"/>
        <v>0</v>
      </c>
      <c r="GX165" s="995">
        <f t="shared" si="1034"/>
        <v>0</v>
      </c>
      <c r="GY165" s="995">
        <f t="shared" si="1034"/>
        <v>0</v>
      </c>
      <c r="GZ165" s="995">
        <f t="shared" si="1034"/>
        <v>0</v>
      </c>
      <c r="HA165" s="995">
        <f t="shared" si="1034"/>
        <v>0</v>
      </c>
      <c r="HB165" s="995">
        <f t="shared" si="1034"/>
        <v>0</v>
      </c>
      <c r="HC165" s="995">
        <f t="shared" si="1034"/>
        <v>0</v>
      </c>
      <c r="HD165" s="996">
        <f t="shared" si="1034"/>
        <v>0</v>
      </c>
    </row>
    <row r="166" spans="2:212">
      <c r="B166" s="1054" t="s">
        <v>1063</v>
      </c>
      <c r="C166" s="1055"/>
      <c r="D166" s="1055"/>
      <c r="E166" s="1056"/>
      <c r="F166" s="1056"/>
      <c r="G166" s="1057"/>
      <c r="H166" s="1056"/>
      <c r="I166" s="1056"/>
      <c r="N166" s="1684"/>
      <c r="O166" s="957" t="s">
        <v>120</v>
      </c>
      <c r="T166" s="606">
        <v>2</v>
      </c>
      <c r="U166" s="606">
        <v>1</v>
      </c>
      <c r="V166" s="606">
        <v>1</v>
      </c>
      <c r="AA166" s="1684"/>
      <c r="AB166" s="957" t="s">
        <v>120</v>
      </c>
      <c r="AC166" s="610"/>
      <c r="AD166" s="610">
        <f>Q166/Q152</f>
        <v>0</v>
      </c>
      <c r="AE166" s="610"/>
      <c r="AF166" s="610"/>
      <c r="AG166" s="610">
        <f>T166/T152</f>
        <v>1</v>
      </c>
      <c r="AH166" s="610">
        <f>U166/U152</f>
        <v>0.33333333333333331</v>
      </c>
      <c r="AI166" s="610">
        <f>V166/V152</f>
        <v>0.33333333333333331</v>
      </c>
      <c r="AJ166" s="952">
        <f t="shared" si="961"/>
        <v>0.41666666666666663</v>
      </c>
      <c r="AK166" s="952">
        <f t="shared" si="962"/>
        <v>0.41666666666666663</v>
      </c>
      <c r="AL166" s="952">
        <f t="shared" si="963"/>
        <v>0.45833333333333331</v>
      </c>
      <c r="AM166" s="952">
        <f t="shared" si="964"/>
        <v>0.45833333333333331</v>
      </c>
      <c r="AN166" s="952">
        <f t="shared" si="965"/>
        <v>0.45833333333333331</v>
      </c>
      <c r="AO166" s="952">
        <f t="shared" si="966"/>
        <v>0.50416666666666665</v>
      </c>
      <c r="AP166" s="1053">
        <v>0.5</v>
      </c>
      <c r="AQ166" s="1053">
        <f t="shared" ref="AQ166:BA176" si="1035">AP166*AQ$164</f>
        <v>0.45</v>
      </c>
      <c r="AR166" s="1053">
        <f t="shared" si="1035"/>
        <v>0.45</v>
      </c>
      <c r="AS166" s="1053">
        <f t="shared" si="1035"/>
        <v>0.45</v>
      </c>
      <c r="AT166" s="1053">
        <f t="shared" si="1035"/>
        <v>0.49500000000000005</v>
      </c>
      <c r="AU166" s="1053">
        <f t="shared" si="1035"/>
        <v>0.5445000000000001</v>
      </c>
      <c r="AV166" s="1053">
        <f t="shared" si="1035"/>
        <v>0.5445000000000001</v>
      </c>
      <c r="AW166" s="1053">
        <f t="shared" si="1035"/>
        <v>0.5445000000000001</v>
      </c>
      <c r="AX166" s="1053">
        <f t="shared" si="1035"/>
        <v>0.5445000000000001</v>
      </c>
      <c r="AY166" s="1053">
        <f t="shared" si="1035"/>
        <v>0.5445000000000001</v>
      </c>
      <c r="AZ166" s="1053">
        <f t="shared" si="1035"/>
        <v>0.5445000000000001</v>
      </c>
      <c r="BA166" s="1053">
        <f t="shared" si="1035"/>
        <v>0.5445000000000001</v>
      </c>
      <c r="BB166" s="1053">
        <v>0.5</v>
      </c>
      <c r="BC166" s="1053">
        <f t="shared" ref="BC166:BC176" si="1036">BB166*BC$164</f>
        <v>0.45</v>
      </c>
      <c r="BD166" s="1053">
        <f t="shared" si="968"/>
        <v>0.45</v>
      </c>
      <c r="BE166" s="1053">
        <f t="shared" si="969"/>
        <v>0.45</v>
      </c>
      <c r="BF166" s="1053">
        <f t="shared" si="970"/>
        <v>0.49500000000000005</v>
      </c>
      <c r="BG166" s="1053">
        <f t="shared" si="971"/>
        <v>0.5445000000000001</v>
      </c>
      <c r="BH166" s="1053">
        <f t="shared" si="972"/>
        <v>0.5445000000000001</v>
      </c>
      <c r="BI166" s="1053">
        <f t="shared" si="973"/>
        <v>0.5445000000000001</v>
      </c>
      <c r="BJ166" s="1053">
        <f t="shared" si="974"/>
        <v>0.5445000000000001</v>
      </c>
      <c r="BK166" s="1053">
        <f t="shared" si="975"/>
        <v>0.5445000000000001</v>
      </c>
      <c r="BL166" s="1053">
        <f t="shared" si="976"/>
        <v>0.5445000000000001</v>
      </c>
      <c r="BM166" s="1053">
        <f t="shared" si="977"/>
        <v>0.5445000000000001</v>
      </c>
      <c r="BN166" s="1053">
        <v>0.5</v>
      </c>
      <c r="BO166" s="1053">
        <f t="shared" ref="BO166:BO176" si="1037">BN166*BO$164</f>
        <v>0.45</v>
      </c>
      <c r="BP166" s="1053">
        <f t="shared" si="978"/>
        <v>0.45</v>
      </c>
      <c r="BQ166" s="1053">
        <f t="shared" si="979"/>
        <v>0.45</v>
      </c>
      <c r="BR166" s="1053">
        <f t="shared" si="980"/>
        <v>0.49500000000000005</v>
      </c>
      <c r="BS166" s="1053">
        <f t="shared" si="981"/>
        <v>0.5445000000000001</v>
      </c>
      <c r="BT166" s="1053">
        <f t="shared" si="982"/>
        <v>0.5445000000000001</v>
      </c>
      <c r="BU166" s="1053">
        <f t="shared" si="983"/>
        <v>0.5445000000000001</v>
      </c>
      <c r="BV166" s="1053">
        <f t="shared" si="984"/>
        <v>0.5445000000000001</v>
      </c>
      <c r="BW166" s="1053">
        <f t="shared" si="985"/>
        <v>0.5445000000000001</v>
      </c>
      <c r="BX166" s="1053">
        <f t="shared" si="986"/>
        <v>0.5445000000000001</v>
      </c>
      <c r="BY166" s="1053">
        <f t="shared" si="987"/>
        <v>0.5445000000000001</v>
      </c>
      <c r="BZ166" s="1053">
        <v>0.5</v>
      </c>
      <c r="CA166" s="1053">
        <f t="shared" ref="CA166:CA176" si="1038">BZ166*CA$164</f>
        <v>0.45</v>
      </c>
      <c r="CB166" s="1053">
        <f t="shared" si="988"/>
        <v>0.45</v>
      </c>
      <c r="CC166" s="1053">
        <f t="shared" si="989"/>
        <v>0.45</v>
      </c>
      <c r="CD166" s="1053">
        <f t="shared" si="990"/>
        <v>0.49500000000000005</v>
      </c>
      <c r="CE166" s="1053">
        <f t="shared" si="991"/>
        <v>0.5445000000000001</v>
      </c>
      <c r="CF166" s="1053">
        <f t="shared" si="992"/>
        <v>0.5445000000000001</v>
      </c>
      <c r="CG166" s="1053">
        <f t="shared" si="993"/>
        <v>0.5445000000000001</v>
      </c>
      <c r="CH166" s="1053">
        <f t="shared" si="994"/>
        <v>0.5445000000000001</v>
      </c>
      <c r="CI166" s="1053">
        <f t="shared" si="995"/>
        <v>0.5445000000000001</v>
      </c>
      <c r="CJ166" s="1053">
        <f t="shared" si="996"/>
        <v>0.5445000000000001</v>
      </c>
      <c r="CK166" s="1053">
        <f t="shared" si="997"/>
        <v>0.5445000000000001</v>
      </c>
      <c r="CL166" s="1053">
        <v>0.5</v>
      </c>
      <c r="CM166" s="1053">
        <f t="shared" ref="CM166:CM176" si="1039">CL166*CM$164</f>
        <v>0.45</v>
      </c>
      <c r="CN166" s="1053">
        <f t="shared" si="998"/>
        <v>0.45</v>
      </c>
      <c r="CO166" s="1053">
        <f t="shared" si="999"/>
        <v>0.45</v>
      </c>
      <c r="CP166" s="1053">
        <f t="shared" si="1000"/>
        <v>0.49500000000000005</v>
      </c>
      <c r="CQ166" s="1053">
        <f t="shared" si="1001"/>
        <v>0.5445000000000001</v>
      </c>
      <c r="CR166" s="1053">
        <f t="shared" si="1002"/>
        <v>0.5445000000000001</v>
      </c>
      <c r="CS166" s="1053">
        <f t="shared" si="1003"/>
        <v>0.5445000000000001</v>
      </c>
      <c r="CT166" s="1053">
        <f t="shared" si="1004"/>
        <v>0.5445000000000001</v>
      </c>
      <c r="CU166" s="1053">
        <f t="shared" si="1005"/>
        <v>0.5445000000000001</v>
      </c>
      <c r="CV166" s="1053">
        <f t="shared" si="1006"/>
        <v>0.5445000000000001</v>
      </c>
      <c r="CW166" s="1053">
        <f t="shared" si="1007"/>
        <v>0.5445000000000001</v>
      </c>
      <c r="CX166" s="1053">
        <v>0.5</v>
      </c>
      <c r="CY166" s="1053">
        <f t="shared" ref="CY166:CY176" si="1040">CX166*CY$164</f>
        <v>0.45</v>
      </c>
      <c r="CZ166" s="1053">
        <f t="shared" si="1008"/>
        <v>0.45</v>
      </c>
      <c r="DA166" s="1053">
        <f t="shared" si="1009"/>
        <v>0.45</v>
      </c>
      <c r="DB166" s="1053">
        <f t="shared" si="1010"/>
        <v>0.49500000000000005</v>
      </c>
      <c r="DC166" s="1053">
        <f t="shared" si="1011"/>
        <v>0.5445000000000001</v>
      </c>
      <c r="DD166" s="1053">
        <f t="shared" si="1012"/>
        <v>0.5445000000000001</v>
      </c>
      <c r="DE166" s="1053">
        <f t="shared" si="1013"/>
        <v>0.5445000000000001</v>
      </c>
      <c r="DF166" s="1053">
        <f t="shared" si="1014"/>
        <v>0.5445000000000001</v>
      </c>
      <c r="DG166" s="1053">
        <f t="shared" si="1015"/>
        <v>0.5445000000000001</v>
      </c>
      <c r="DH166" s="1053">
        <f t="shared" si="1016"/>
        <v>0.5445000000000001</v>
      </c>
      <c r="DI166" s="1053">
        <f t="shared" si="1017"/>
        <v>0.5445000000000001</v>
      </c>
      <c r="DK166" s="1684"/>
      <c r="DL166" s="957" t="s">
        <v>120</v>
      </c>
      <c r="DN166" s="994">
        <v>1</v>
      </c>
      <c r="DO166" s="995">
        <f>DO152*$AJ$166</f>
        <v>1.25</v>
      </c>
      <c r="DP166" s="995">
        <f>DP152*$AJ$166</f>
        <v>1.8749999999999998</v>
      </c>
      <c r="DQ166" s="995">
        <f>DQ152*$AJ$166</f>
        <v>2.2916666666666665</v>
      </c>
      <c r="DR166" s="996">
        <f>DR152*$AJ$166</f>
        <v>1.25</v>
      </c>
      <c r="DT166" s="994">
        <v>1</v>
      </c>
      <c r="DU166" s="995">
        <f>DU152*$AH$166</f>
        <v>1</v>
      </c>
      <c r="DV166" s="995">
        <f>DV152*$AH$166</f>
        <v>1.5</v>
      </c>
      <c r="DW166" s="995">
        <f>DW152*$AH$166</f>
        <v>1.8333333333333333</v>
      </c>
      <c r="DX166" s="996">
        <f>DX152*$AH$166</f>
        <v>1</v>
      </c>
      <c r="DZ166" s="994">
        <v>1</v>
      </c>
      <c r="EA166" s="995">
        <f>EA152*AL$166</f>
        <v>1.375</v>
      </c>
      <c r="EB166" s="995">
        <f>EB152*AM$166</f>
        <v>2.0625</v>
      </c>
      <c r="EC166" s="995">
        <f>EC152*AN$166</f>
        <v>2.520833333333333</v>
      </c>
      <c r="ED166" s="996">
        <f>ED152*AO$166</f>
        <v>1.5125</v>
      </c>
      <c r="EF166" s="994">
        <f t="shared" si="1018"/>
        <v>2.25</v>
      </c>
      <c r="EG166" s="995">
        <f t="shared" si="1019"/>
        <v>2.4750000000000001</v>
      </c>
      <c r="EH166" s="995">
        <f t="shared" si="1020"/>
        <v>1.35</v>
      </c>
      <c r="EI166" s="995">
        <f t="shared" si="1021"/>
        <v>0.9</v>
      </c>
      <c r="EJ166" s="995">
        <f t="shared" si="1022"/>
        <v>0.49500000000000005</v>
      </c>
      <c r="EK166" s="995">
        <f t="shared" si="1023"/>
        <v>0</v>
      </c>
      <c r="EL166" s="995">
        <f t="shared" si="1024"/>
        <v>0.27225000000000005</v>
      </c>
      <c r="EM166" s="995">
        <f t="shared" si="1025"/>
        <v>0.5445000000000001</v>
      </c>
      <c r="EN166" s="995">
        <f t="shared" si="1026"/>
        <v>0.5445000000000001</v>
      </c>
      <c r="EO166" s="995">
        <f t="shared" si="1027"/>
        <v>0.5445000000000001</v>
      </c>
      <c r="EP166" s="995">
        <f t="shared" si="1028"/>
        <v>0.5445000000000001</v>
      </c>
      <c r="EQ166" s="996">
        <f t="shared" si="1029"/>
        <v>0.5445000000000001</v>
      </c>
      <c r="ES166" s="994">
        <f t="shared" ref="ES166:ES176" si="1041">ES155*BB166</f>
        <v>0.5</v>
      </c>
      <c r="ET166" s="995">
        <f t="shared" si="1030"/>
        <v>0.45</v>
      </c>
      <c r="EU166" s="995">
        <f t="shared" si="1030"/>
        <v>0.45</v>
      </c>
      <c r="EV166" s="995">
        <f t="shared" si="1030"/>
        <v>0.45</v>
      </c>
      <c r="EW166" s="995">
        <f t="shared" si="1030"/>
        <v>0.24750000000000003</v>
      </c>
      <c r="EX166" s="995">
        <f t="shared" si="1030"/>
        <v>0</v>
      </c>
      <c r="EY166" s="995">
        <f t="shared" si="1030"/>
        <v>0.27225000000000005</v>
      </c>
      <c r="EZ166" s="995">
        <f t="shared" si="1030"/>
        <v>0.5445000000000001</v>
      </c>
      <c r="FA166" s="995">
        <f t="shared" si="1030"/>
        <v>0.5445000000000001</v>
      </c>
      <c r="FB166" s="995">
        <f t="shared" si="1030"/>
        <v>0.5445000000000001</v>
      </c>
      <c r="FC166" s="995">
        <f t="shared" si="1030"/>
        <v>0.5445000000000001</v>
      </c>
      <c r="FD166" s="996">
        <f t="shared" si="1030"/>
        <v>0.5445000000000001</v>
      </c>
      <c r="FF166" s="994">
        <f t="shared" ref="FF166:FF176" si="1042">FF155*BN166</f>
        <v>0.5</v>
      </c>
      <c r="FG166" s="995">
        <f t="shared" si="1031"/>
        <v>0.45</v>
      </c>
      <c r="FH166" s="995">
        <f t="shared" si="1031"/>
        <v>0.45</v>
      </c>
      <c r="FI166" s="995">
        <f t="shared" si="1031"/>
        <v>0.45</v>
      </c>
      <c r="FJ166" s="995">
        <f t="shared" si="1031"/>
        <v>0.24750000000000003</v>
      </c>
      <c r="FK166" s="995">
        <f t="shared" si="1031"/>
        <v>0</v>
      </c>
      <c r="FL166" s="995">
        <f t="shared" si="1031"/>
        <v>0.27225000000000005</v>
      </c>
      <c r="FM166" s="995">
        <f t="shared" si="1031"/>
        <v>0.5445000000000001</v>
      </c>
      <c r="FN166" s="995">
        <f t="shared" si="1031"/>
        <v>0.5445000000000001</v>
      </c>
      <c r="FO166" s="995">
        <f t="shared" si="1031"/>
        <v>0.5445000000000001</v>
      </c>
      <c r="FP166" s="995">
        <f t="shared" si="1031"/>
        <v>0.5445000000000001</v>
      </c>
      <c r="FQ166" s="996">
        <f t="shared" si="1031"/>
        <v>0.5445000000000001</v>
      </c>
      <c r="FS166" s="994">
        <f t="shared" ref="FS166:FS176" si="1043">FS155*BZ166</f>
        <v>0.5</v>
      </c>
      <c r="FT166" s="995">
        <f t="shared" si="1032"/>
        <v>0.45</v>
      </c>
      <c r="FU166" s="995">
        <f t="shared" si="1032"/>
        <v>0.45</v>
      </c>
      <c r="FV166" s="995">
        <f t="shared" si="1032"/>
        <v>0.45</v>
      </c>
      <c r="FW166" s="995">
        <f t="shared" si="1032"/>
        <v>0.24750000000000003</v>
      </c>
      <c r="FX166" s="995">
        <f t="shared" si="1032"/>
        <v>0</v>
      </c>
      <c r="FY166" s="995">
        <f t="shared" si="1032"/>
        <v>0</v>
      </c>
      <c r="FZ166" s="995">
        <f t="shared" si="1032"/>
        <v>0</v>
      </c>
      <c r="GA166" s="995">
        <f t="shared" si="1032"/>
        <v>0</v>
      </c>
      <c r="GB166" s="995">
        <f t="shared" si="1032"/>
        <v>0</v>
      </c>
      <c r="GC166" s="995">
        <f t="shared" si="1032"/>
        <v>0</v>
      </c>
      <c r="GD166" s="996">
        <f t="shared" si="1032"/>
        <v>0</v>
      </c>
      <c r="GF166" s="994">
        <f t="shared" ref="GF166:GF176" si="1044">GF155*CL166</f>
        <v>0</v>
      </c>
      <c r="GG166" s="995">
        <f t="shared" si="1033"/>
        <v>0</v>
      </c>
      <c r="GH166" s="995">
        <f t="shared" si="1033"/>
        <v>0</v>
      </c>
      <c r="GI166" s="995">
        <f t="shared" si="1033"/>
        <v>0</v>
      </c>
      <c r="GJ166" s="995">
        <f t="shared" si="1033"/>
        <v>0</v>
      </c>
      <c r="GK166" s="995">
        <f t="shared" si="1033"/>
        <v>0</v>
      </c>
      <c r="GL166" s="995">
        <f t="shared" si="1033"/>
        <v>0</v>
      </c>
      <c r="GM166" s="995">
        <f t="shared" si="1033"/>
        <v>0</v>
      </c>
      <c r="GN166" s="995">
        <f t="shared" si="1033"/>
        <v>0</v>
      </c>
      <c r="GO166" s="995">
        <f t="shared" si="1033"/>
        <v>0</v>
      </c>
      <c r="GP166" s="995">
        <f t="shared" si="1033"/>
        <v>0</v>
      </c>
      <c r="GQ166" s="996">
        <f t="shared" si="1033"/>
        <v>0</v>
      </c>
      <c r="GS166" s="994">
        <f t="shared" ref="GS166:GS176" si="1045">GS155*CX166</f>
        <v>0</v>
      </c>
      <c r="GT166" s="995">
        <f t="shared" si="1034"/>
        <v>0</v>
      </c>
      <c r="GU166" s="995">
        <f t="shared" si="1034"/>
        <v>0</v>
      </c>
      <c r="GV166" s="995">
        <f t="shared" si="1034"/>
        <v>0</v>
      </c>
      <c r="GW166" s="995">
        <f t="shared" si="1034"/>
        <v>0</v>
      </c>
      <c r="GX166" s="995">
        <f t="shared" si="1034"/>
        <v>0</v>
      </c>
      <c r="GY166" s="995">
        <f t="shared" si="1034"/>
        <v>0</v>
      </c>
      <c r="GZ166" s="995">
        <f t="shared" si="1034"/>
        <v>0</v>
      </c>
      <c r="HA166" s="995">
        <f t="shared" si="1034"/>
        <v>0</v>
      </c>
      <c r="HB166" s="995">
        <f t="shared" si="1034"/>
        <v>0</v>
      </c>
      <c r="HC166" s="995">
        <f t="shared" si="1034"/>
        <v>0</v>
      </c>
      <c r="HD166" s="996">
        <f t="shared" si="1034"/>
        <v>0</v>
      </c>
    </row>
    <row r="167" spans="2:212" ht="15">
      <c r="B167" s="1058">
        <v>40</v>
      </c>
      <c r="C167" s="1059" t="s">
        <v>1114</v>
      </c>
      <c r="D167" s="1060"/>
      <c r="E167" s="1060"/>
      <c r="F167" s="1060"/>
      <c r="G167" s="1060"/>
      <c r="H167" s="1060"/>
      <c r="I167" s="1061"/>
      <c r="N167" s="1684"/>
      <c r="O167" s="957" t="s">
        <v>121</v>
      </c>
      <c r="P167" s="606">
        <v>2</v>
      </c>
      <c r="U167" s="606">
        <v>1</v>
      </c>
      <c r="V167" s="606">
        <v>2</v>
      </c>
      <c r="AA167" s="1684"/>
      <c r="AB167" s="957" t="s">
        <v>121</v>
      </c>
      <c r="AC167" s="610">
        <f t="shared" ref="AC167:AC173" si="1046">P167/P153</f>
        <v>1</v>
      </c>
      <c r="AD167" s="610"/>
      <c r="AE167" s="610">
        <f>R167/R153</f>
        <v>0</v>
      </c>
      <c r="AF167" s="610"/>
      <c r="AG167" s="610"/>
      <c r="AH167" s="610">
        <f>U167/U153</f>
        <v>0.5</v>
      </c>
      <c r="AI167" s="610">
        <f>V167/V153</f>
        <v>0.66666666666666663</v>
      </c>
      <c r="AJ167" s="952">
        <f t="shared" si="961"/>
        <v>0.54166666666666663</v>
      </c>
      <c r="AK167" s="952">
        <f t="shared" si="962"/>
        <v>0.54166666666666663</v>
      </c>
      <c r="AL167" s="952">
        <f t="shared" si="963"/>
        <v>0.59583333333333333</v>
      </c>
      <c r="AM167" s="952">
        <f t="shared" si="964"/>
        <v>0.59583333333333333</v>
      </c>
      <c r="AN167" s="952">
        <f t="shared" si="965"/>
        <v>0.59583333333333333</v>
      </c>
      <c r="AO167" s="952">
        <f t="shared" si="966"/>
        <v>0.65541666666666676</v>
      </c>
      <c r="AP167" s="1053">
        <v>0.5</v>
      </c>
      <c r="AQ167" s="1053">
        <f t="shared" si="1035"/>
        <v>0.45</v>
      </c>
      <c r="AR167" s="1053">
        <f t="shared" si="1035"/>
        <v>0.45</v>
      </c>
      <c r="AS167" s="1053">
        <f t="shared" si="1035"/>
        <v>0.45</v>
      </c>
      <c r="AT167" s="1053">
        <f t="shared" si="1035"/>
        <v>0.49500000000000005</v>
      </c>
      <c r="AU167" s="1053">
        <f t="shared" si="1035"/>
        <v>0.5445000000000001</v>
      </c>
      <c r="AV167" s="1053">
        <f t="shared" si="1035"/>
        <v>0.5445000000000001</v>
      </c>
      <c r="AW167" s="1053">
        <f t="shared" si="1035"/>
        <v>0.5445000000000001</v>
      </c>
      <c r="AX167" s="1053">
        <f t="shared" si="1035"/>
        <v>0.5445000000000001</v>
      </c>
      <c r="AY167" s="1053">
        <f t="shared" si="1035"/>
        <v>0.5445000000000001</v>
      </c>
      <c r="AZ167" s="1053">
        <f t="shared" si="1035"/>
        <v>0.5445000000000001</v>
      </c>
      <c r="BA167" s="1053">
        <f t="shared" si="1035"/>
        <v>0.5445000000000001</v>
      </c>
      <c r="BB167" s="1053">
        <v>0.5</v>
      </c>
      <c r="BC167" s="1053">
        <f t="shared" si="1036"/>
        <v>0.45</v>
      </c>
      <c r="BD167" s="1053">
        <f t="shared" si="968"/>
        <v>0.45</v>
      </c>
      <c r="BE167" s="1053">
        <f t="shared" si="969"/>
        <v>0.45</v>
      </c>
      <c r="BF167" s="1053">
        <f t="shared" si="970"/>
        <v>0.49500000000000005</v>
      </c>
      <c r="BG167" s="1053">
        <f t="shared" si="971"/>
        <v>0.5445000000000001</v>
      </c>
      <c r="BH167" s="1053">
        <f t="shared" si="972"/>
        <v>0.5445000000000001</v>
      </c>
      <c r="BI167" s="1053">
        <f t="shared" si="973"/>
        <v>0.5445000000000001</v>
      </c>
      <c r="BJ167" s="1053">
        <f t="shared" si="974"/>
        <v>0.5445000000000001</v>
      </c>
      <c r="BK167" s="1053">
        <f t="shared" si="975"/>
        <v>0.5445000000000001</v>
      </c>
      <c r="BL167" s="1053">
        <f t="shared" si="976"/>
        <v>0.5445000000000001</v>
      </c>
      <c r="BM167" s="1053">
        <f t="shared" si="977"/>
        <v>0.5445000000000001</v>
      </c>
      <c r="BN167" s="1053">
        <v>0.5</v>
      </c>
      <c r="BO167" s="1053">
        <f t="shared" si="1037"/>
        <v>0.45</v>
      </c>
      <c r="BP167" s="1053">
        <f t="shared" si="978"/>
        <v>0.45</v>
      </c>
      <c r="BQ167" s="1053">
        <f t="shared" si="979"/>
        <v>0.45</v>
      </c>
      <c r="BR167" s="1053">
        <f t="shared" si="980"/>
        <v>0.49500000000000005</v>
      </c>
      <c r="BS167" s="1053">
        <f t="shared" si="981"/>
        <v>0.5445000000000001</v>
      </c>
      <c r="BT167" s="1053">
        <f t="shared" si="982"/>
        <v>0.5445000000000001</v>
      </c>
      <c r="BU167" s="1053">
        <f t="shared" si="983"/>
        <v>0.5445000000000001</v>
      </c>
      <c r="BV167" s="1053">
        <f t="shared" si="984"/>
        <v>0.5445000000000001</v>
      </c>
      <c r="BW167" s="1053">
        <f t="shared" si="985"/>
        <v>0.5445000000000001</v>
      </c>
      <c r="BX167" s="1053">
        <f t="shared" si="986"/>
        <v>0.5445000000000001</v>
      </c>
      <c r="BY167" s="1053">
        <f t="shared" si="987"/>
        <v>0.5445000000000001</v>
      </c>
      <c r="BZ167" s="1053">
        <v>0.5</v>
      </c>
      <c r="CA167" s="1053">
        <f t="shared" si="1038"/>
        <v>0.45</v>
      </c>
      <c r="CB167" s="1053">
        <f t="shared" si="988"/>
        <v>0.45</v>
      </c>
      <c r="CC167" s="1053">
        <f t="shared" si="989"/>
        <v>0.45</v>
      </c>
      <c r="CD167" s="1053">
        <f t="shared" si="990"/>
        <v>0.49500000000000005</v>
      </c>
      <c r="CE167" s="1053">
        <f t="shared" si="991"/>
        <v>0.5445000000000001</v>
      </c>
      <c r="CF167" s="1053">
        <f t="shared" si="992"/>
        <v>0.5445000000000001</v>
      </c>
      <c r="CG167" s="1053">
        <f t="shared" si="993"/>
        <v>0.5445000000000001</v>
      </c>
      <c r="CH167" s="1053">
        <f t="shared" si="994"/>
        <v>0.5445000000000001</v>
      </c>
      <c r="CI167" s="1053">
        <f t="shared" si="995"/>
        <v>0.5445000000000001</v>
      </c>
      <c r="CJ167" s="1053">
        <f t="shared" si="996"/>
        <v>0.5445000000000001</v>
      </c>
      <c r="CK167" s="1053">
        <f t="shared" si="997"/>
        <v>0.5445000000000001</v>
      </c>
      <c r="CL167" s="1053">
        <v>0.5</v>
      </c>
      <c r="CM167" s="1053">
        <f t="shared" si="1039"/>
        <v>0.45</v>
      </c>
      <c r="CN167" s="1053">
        <f t="shared" si="998"/>
        <v>0.45</v>
      </c>
      <c r="CO167" s="1053">
        <f t="shared" si="999"/>
        <v>0.45</v>
      </c>
      <c r="CP167" s="1053">
        <f t="shared" si="1000"/>
        <v>0.49500000000000005</v>
      </c>
      <c r="CQ167" s="1053">
        <f t="shared" si="1001"/>
        <v>0.5445000000000001</v>
      </c>
      <c r="CR167" s="1053">
        <f t="shared" si="1002"/>
        <v>0.5445000000000001</v>
      </c>
      <c r="CS167" s="1053">
        <f t="shared" si="1003"/>
        <v>0.5445000000000001</v>
      </c>
      <c r="CT167" s="1053">
        <f t="shared" si="1004"/>
        <v>0.5445000000000001</v>
      </c>
      <c r="CU167" s="1053">
        <f t="shared" si="1005"/>
        <v>0.5445000000000001</v>
      </c>
      <c r="CV167" s="1053">
        <f t="shared" si="1006"/>
        <v>0.5445000000000001</v>
      </c>
      <c r="CW167" s="1053">
        <f t="shared" si="1007"/>
        <v>0.5445000000000001</v>
      </c>
      <c r="CX167" s="1053">
        <v>0.5</v>
      </c>
      <c r="CY167" s="1053">
        <f t="shared" si="1040"/>
        <v>0.45</v>
      </c>
      <c r="CZ167" s="1053">
        <f t="shared" si="1008"/>
        <v>0.45</v>
      </c>
      <c r="DA167" s="1053">
        <f t="shared" si="1009"/>
        <v>0.45</v>
      </c>
      <c r="DB167" s="1053">
        <f t="shared" si="1010"/>
        <v>0.49500000000000005</v>
      </c>
      <c r="DC167" s="1053">
        <f t="shared" si="1011"/>
        <v>0.5445000000000001</v>
      </c>
      <c r="DD167" s="1053">
        <f t="shared" si="1012"/>
        <v>0.5445000000000001</v>
      </c>
      <c r="DE167" s="1053">
        <f t="shared" si="1013"/>
        <v>0.5445000000000001</v>
      </c>
      <c r="DF167" s="1053">
        <f t="shared" si="1014"/>
        <v>0.5445000000000001</v>
      </c>
      <c r="DG167" s="1053">
        <f t="shared" si="1015"/>
        <v>0.5445000000000001</v>
      </c>
      <c r="DH167" s="1053">
        <f t="shared" si="1016"/>
        <v>0.5445000000000001</v>
      </c>
      <c r="DI167" s="1053">
        <f t="shared" si="1017"/>
        <v>0.5445000000000001</v>
      </c>
      <c r="DK167" s="1684"/>
      <c r="DL167" s="957" t="s">
        <v>121</v>
      </c>
      <c r="DN167" s="994">
        <v>1</v>
      </c>
      <c r="DO167" s="995">
        <f>DO153*$AJ$167</f>
        <v>1.0833333333333333</v>
      </c>
      <c r="DP167" s="995">
        <f>DP153*$AJ$167</f>
        <v>1.625</v>
      </c>
      <c r="DQ167" s="995">
        <f>DQ153*$AJ$167</f>
        <v>2.4375</v>
      </c>
      <c r="DR167" s="996">
        <f>DR153*$AJ$167</f>
        <v>2.9791666666666665</v>
      </c>
      <c r="DT167" s="994">
        <v>1</v>
      </c>
      <c r="DU167" s="995">
        <f>DU153*$AH$167</f>
        <v>1</v>
      </c>
      <c r="DV167" s="995">
        <f>DV153*$AH$167</f>
        <v>1.5</v>
      </c>
      <c r="DW167" s="995">
        <f>DW153*$AH$167</f>
        <v>2.25</v>
      </c>
      <c r="DX167" s="996">
        <f>DX153*$AH$167</f>
        <v>2.75</v>
      </c>
      <c r="DZ167" s="994">
        <v>1</v>
      </c>
      <c r="EA167" s="995">
        <f>EA153*AL$167</f>
        <v>1.1916666666666667</v>
      </c>
      <c r="EB167" s="995">
        <f>EB153*AM$167</f>
        <v>1.7875000000000001</v>
      </c>
      <c r="EC167" s="995">
        <f>EC153*AN$167</f>
        <v>2.6812499999999999</v>
      </c>
      <c r="ED167" s="996">
        <f>ED153*AO$167</f>
        <v>3.6047916666666673</v>
      </c>
      <c r="EF167" s="994">
        <f t="shared" si="1018"/>
        <v>1.5</v>
      </c>
      <c r="EG167" s="995">
        <f t="shared" si="1019"/>
        <v>2.0249999999999999</v>
      </c>
      <c r="EH167" s="995">
        <f t="shared" si="1020"/>
        <v>2.4750000000000001</v>
      </c>
      <c r="EI167" s="995">
        <f t="shared" si="1021"/>
        <v>1.35</v>
      </c>
      <c r="EJ167" s="995">
        <f t="shared" si="1022"/>
        <v>0.9900000000000001</v>
      </c>
      <c r="EK167" s="995">
        <f t="shared" si="1023"/>
        <v>0.5445000000000001</v>
      </c>
      <c r="EL167" s="995">
        <f t="shared" si="1024"/>
        <v>0</v>
      </c>
      <c r="EM167" s="995">
        <f t="shared" si="1025"/>
        <v>0.27225000000000005</v>
      </c>
      <c r="EN167" s="995">
        <f t="shared" si="1026"/>
        <v>0.5445000000000001</v>
      </c>
      <c r="EO167" s="995">
        <f t="shared" si="1027"/>
        <v>0.5445000000000001</v>
      </c>
      <c r="EP167" s="995">
        <f t="shared" si="1028"/>
        <v>0.5445000000000001</v>
      </c>
      <c r="EQ167" s="996">
        <f t="shared" si="1029"/>
        <v>0.5445000000000001</v>
      </c>
      <c r="ES167" s="994">
        <f t="shared" si="1041"/>
        <v>0.5</v>
      </c>
      <c r="ET167" s="995">
        <f t="shared" si="1030"/>
        <v>0.45</v>
      </c>
      <c r="EU167" s="995">
        <f t="shared" si="1030"/>
        <v>0.45</v>
      </c>
      <c r="EV167" s="995">
        <f t="shared" si="1030"/>
        <v>0.45</v>
      </c>
      <c r="EW167" s="995">
        <f t="shared" si="1030"/>
        <v>0.49500000000000005</v>
      </c>
      <c r="EX167" s="995">
        <f t="shared" si="1030"/>
        <v>0.27225000000000005</v>
      </c>
      <c r="EY167" s="995">
        <f t="shared" si="1030"/>
        <v>0</v>
      </c>
      <c r="EZ167" s="995">
        <f t="shared" si="1030"/>
        <v>0.27225000000000005</v>
      </c>
      <c r="FA167" s="995">
        <f t="shared" si="1030"/>
        <v>0.5445000000000001</v>
      </c>
      <c r="FB167" s="995">
        <f t="shared" si="1030"/>
        <v>0.5445000000000001</v>
      </c>
      <c r="FC167" s="995">
        <f t="shared" si="1030"/>
        <v>0.5445000000000001</v>
      </c>
      <c r="FD167" s="996">
        <f t="shared" si="1030"/>
        <v>0.5445000000000001</v>
      </c>
      <c r="FF167" s="994">
        <f t="shared" si="1042"/>
        <v>0.5</v>
      </c>
      <c r="FG167" s="995">
        <f t="shared" si="1031"/>
        <v>0.45</v>
      </c>
      <c r="FH167" s="995">
        <f t="shared" si="1031"/>
        <v>0.45</v>
      </c>
      <c r="FI167" s="995">
        <f t="shared" si="1031"/>
        <v>0.45</v>
      </c>
      <c r="FJ167" s="995">
        <f t="shared" si="1031"/>
        <v>0.49500000000000005</v>
      </c>
      <c r="FK167" s="995">
        <f t="shared" si="1031"/>
        <v>0.27225000000000005</v>
      </c>
      <c r="FL167" s="995">
        <f t="shared" si="1031"/>
        <v>0</v>
      </c>
      <c r="FM167" s="995">
        <f t="shared" si="1031"/>
        <v>0.27225000000000005</v>
      </c>
      <c r="FN167" s="995">
        <f t="shared" si="1031"/>
        <v>0.5445000000000001</v>
      </c>
      <c r="FO167" s="995">
        <f t="shared" si="1031"/>
        <v>0.5445000000000001</v>
      </c>
      <c r="FP167" s="995">
        <f t="shared" si="1031"/>
        <v>0.5445000000000001</v>
      </c>
      <c r="FQ167" s="996">
        <f t="shared" si="1031"/>
        <v>0.5445000000000001</v>
      </c>
      <c r="FS167" s="994">
        <f t="shared" si="1043"/>
        <v>0.5</v>
      </c>
      <c r="FT167" s="995">
        <f t="shared" si="1032"/>
        <v>0.45</v>
      </c>
      <c r="FU167" s="995">
        <f t="shared" si="1032"/>
        <v>0.45</v>
      </c>
      <c r="FV167" s="995">
        <f t="shared" si="1032"/>
        <v>0.45</v>
      </c>
      <c r="FW167" s="995">
        <f t="shared" si="1032"/>
        <v>0.49500000000000005</v>
      </c>
      <c r="FX167" s="995">
        <f t="shared" si="1032"/>
        <v>0.27225000000000005</v>
      </c>
      <c r="FY167" s="995">
        <f t="shared" si="1032"/>
        <v>0</v>
      </c>
      <c r="FZ167" s="995">
        <f t="shared" si="1032"/>
        <v>0</v>
      </c>
      <c r="GA167" s="995">
        <f t="shared" si="1032"/>
        <v>0</v>
      </c>
      <c r="GB167" s="995">
        <f t="shared" si="1032"/>
        <v>0</v>
      </c>
      <c r="GC167" s="995">
        <f t="shared" si="1032"/>
        <v>0</v>
      </c>
      <c r="GD167" s="996">
        <f t="shared" si="1032"/>
        <v>0</v>
      </c>
      <c r="GF167" s="994">
        <f t="shared" si="1044"/>
        <v>0</v>
      </c>
      <c r="GG167" s="995">
        <f t="shared" si="1033"/>
        <v>0</v>
      </c>
      <c r="GH167" s="995">
        <f t="shared" si="1033"/>
        <v>0</v>
      </c>
      <c r="GI167" s="995">
        <f t="shared" si="1033"/>
        <v>0</v>
      </c>
      <c r="GJ167" s="995">
        <f t="shared" si="1033"/>
        <v>0</v>
      </c>
      <c r="GK167" s="995">
        <f t="shared" si="1033"/>
        <v>0</v>
      </c>
      <c r="GL167" s="995">
        <f t="shared" si="1033"/>
        <v>0</v>
      </c>
      <c r="GM167" s="995">
        <f t="shared" si="1033"/>
        <v>0</v>
      </c>
      <c r="GN167" s="995">
        <f t="shared" si="1033"/>
        <v>0</v>
      </c>
      <c r="GO167" s="995">
        <f t="shared" si="1033"/>
        <v>0</v>
      </c>
      <c r="GP167" s="995">
        <f t="shared" si="1033"/>
        <v>0</v>
      </c>
      <c r="GQ167" s="996">
        <f t="shared" si="1033"/>
        <v>0</v>
      </c>
      <c r="GS167" s="994">
        <f t="shared" si="1045"/>
        <v>0</v>
      </c>
      <c r="GT167" s="995">
        <f t="shared" si="1034"/>
        <v>0</v>
      </c>
      <c r="GU167" s="995">
        <f t="shared" si="1034"/>
        <v>0</v>
      </c>
      <c r="GV167" s="995">
        <f t="shared" si="1034"/>
        <v>0</v>
      </c>
      <c r="GW167" s="995">
        <f t="shared" si="1034"/>
        <v>0</v>
      </c>
      <c r="GX167" s="995">
        <f t="shared" si="1034"/>
        <v>0</v>
      </c>
      <c r="GY167" s="995">
        <f t="shared" si="1034"/>
        <v>0</v>
      </c>
      <c r="GZ167" s="995">
        <f t="shared" si="1034"/>
        <v>0</v>
      </c>
      <c r="HA167" s="995">
        <f t="shared" si="1034"/>
        <v>0</v>
      </c>
      <c r="HB167" s="995">
        <f t="shared" si="1034"/>
        <v>0</v>
      </c>
      <c r="HC167" s="995">
        <f t="shared" si="1034"/>
        <v>0</v>
      </c>
      <c r="HD167" s="996">
        <f t="shared" si="1034"/>
        <v>0</v>
      </c>
    </row>
    <row r="168" spans="2:212" ht="15">
      <c r="B168" s="980"/>
      <c r="C168" s="1121" t="s">
        <v>1115</v>
      </c>
      <c r="D168" s="991"/>
      <c r="E168" s="607"/>
      <c r="F168" s="1004"/>
      <c r="G168" s="1005"/>
      <c r="I168" s="991"/>
      <c r="N168" s="1684"/>
      <c r="O168" s="957" t="s">
        <v>122</v>
      </c>
      <c r="P168" s="606">
        <v>2</v>
      </c>
      <c r="Q168" s="606">
        <v>1</v>
      </c>
      <c r="V168" s="606">
        <v>1</v>
      </c>
      <c r="AA168" s="1684"/>
      <c r="AB168" s="957" t="s">
        <v>122</v>
      </c>
      <c r="AC168" s="610">
        <f t="shared" si="1046"/>
        <v>1</v>
      </c>
      <c r="AD168" s="610">
        <f>Q168/Q154</f>
        <v>0.5</v>
      </c>
      <c r="AE168" s="610"/>
      <c r="AF168" s="610">
        <f>S168/S154</f>
        <v>0</v>
      </c>
      <c r="AG168" s="610"/>
      <c r="AH168" s="610"/>
      <c r="AI168" s="610">
        <f>V168/V154</f>
        <v>0.5</v>
      </c>
      <c r="AJ168" s="952">
        <f t="shared" si="961"/>
        <v>0.5</v>
      </c>
      <c r="AK168" s="952">
        <f t="shared" si="962"/>
        <v>0.5</v>
      </c>
      <c r="AL168" s="952">
        <f t="shared" si="963"/>
        <v>0.55000000000000004</v>
      </c>
      <c r="AM168" s="952">
        <f t="shared" si="964"/>
        <v>0.55000000000000004</v>
      </c>
      <c r="AN168" s="952">
        <f t="shared" si="965"/>
        <v>0.55000000000000004</v>
      </c>
      <c r="AO168" s="952">
        <f t="shared" si="966"/>
        <v>0.60500000000000009</v>
      </c>
      <c r="AP168" s="1053">
        <v>0.5</v>
      </c>
      <c r="AQ168" s="1053">
        <f t="shared" si="1035"/>
        <v>0.45</v>
      </c>
      <c r="AR168" s="1053">
        <f t="shared" si="1035"/>
        <v>0.45</v>
      </c>
      <c r="AS168" s="1053">
        <f t="shared" si="1035"/>
        <v>0.45</v>
      </c>
      <c r="AT168" s="1053">
        <f t="shared" si="1035"/>
        <v>0.49500000000000005</v>
      </c>
      <c r="AU168" s="1053">
        <f t="shared" si="1035"/>
        <v>0.5445000000000001</v>
      </c>
      <c r="AV168" s="1053">
        <f t="shared" si="1035"/>
        <v>0.5445000000000001</v>
      </c>
      <c r="AW168" s="1053">
        <f t="shared" si="1035"/>
        <v>0.5445000000000001</v>
      </c>
      <c r="AX168" s="1053">
        <f t="shared" si="1035"/>
        <v>0.5445000000000001</v>
      </c>
      <c r="AY168" s="1053">
        <f t="shared" si="1035"/>
        <v>0.5445000000000001</v>
      </c>
      <c r="AZ168" s="1053">
        <f t="shared" si="1035"/>
        <v>0.5445000000000001</v>
      </c>
      <c r="BA168" s="1053">
        <f t="shared" si="1035"/>
        <v>0.5445000000000001</v>
      </c>
      <c r="BB168" s="1053">
        <v>0.5</v>
      </c>
      <c r="BC168" s="1053">
        <f t="shared" si="1036"/>
        <v>0.45</v>
      </c>
      <c r="BD168" s="1053">
        <f t="shared" si="968"/>
        <v>0.45</v>
      </c>
      <c r="BE168" s="1053">
        <f t="shared" si="969"/>
        <v>0.45</v>
      </c>
      <c r="BF168" s="1053">
        <f t="shared" si="970"/>
        <v>0.49500000000000005</v>
      </c>
      <c r="BG168" s="1053">
        <f t="shared" si="971"/>
        <v>0.5445000000000001</v>
      </c>
      <c r="BH168" s="1053">
        <f t="shared" si="972"/>
        <v>0.5445000000000001</v>
      </c>
      <c r="BI168" s="1053">
        <f t="shared" si="973"/>
        <v>0.5445000000000001</v>
      </c>
      <c r="BJ168" s="1053">
        <f t="shared" si="974"/>
        <v>0.5445000000000001</v>
      </c>
      <c r="BK168" s="1053">
        <f t="shared" si="975"/>
        <v>0.5445000000000001</v>
      </c>
      <c r="BL168" s="1053">
        <f t="shared" si="976"/>
        <v>0.5445000000000001</v>
      </c>
      <c r="BM168" s="1053">
        <f t="shared" si="977"/>
        <v>0.5445000000000001</v>
      </c>
      <c r="BN168" s="1053">
        <v>0.5</v>
      </c>
      <c r="BO168" s="1053">
        <f t="shared" si="1037"/>
        <v>0.45</v>
      </c>
      <c r="BP168" s="1053">
        <f t="shared" si="978"/>
        <v>0.45</v>
      </c>
      <c r="BQ168" s="1053">
        <f t="shared" si="979"/>
        <v>0.45</v>
      </c>
      <c r="BR168" s="1053">
        <f t="shared" si="980"/>
        <v>0.49500000000000005</v>
      </c>
      <c r="BS168" s="1053">
        <f t="shared" si="981"/>
        <v>0.5445000000000001</v>
      </c>
      <c r="BT168" s="1053">
        <f t="shared" si="982"/>
        <v>0.5445000000000001</v>
      </c>
      <c r="BU168" s="1053">
        <f t="shared" si="983"/>
        <v>0.5445000000000001</v>
      </c>
      <c r="BV168" s="1053">
        <f t="shared" si="984"/>
        <v>0.5445000000000001</v>
      </c>
      <c r="BW168" s="1053">
        <f t="shared" si="985"/>
        <v>0.5445000000000001</v>
      </c>
      <c r="BX168" s="1053">
        <f t="shared" si="986"/>
        <v>0.5445000000000001</v>
      </c>
      <c r="BY168" s="1053">
        <f t="shared" si="987"/>
        <v>0.5445000000000001</v>
      </c>
      <c r="BZ168" s="1053">
        <v>0.5</v>
      </c>
      <c r="CA168" s="1053">
        <f t="shared" si="1038"/>
        <v>0.45</v>
      </c>
      <c r="CB168" s="1053">
        <f t="shared" si="988"/>
        <v>0.45</v>
      </c>
      <c r="CC168" s="1053">
        <f t="shared" si="989"/>
        <v>0.45</v>
      </c>
      <c r="CD168" s="1053">
        <f t="shared" si="990"/>
        <v>0.49500000000000005</v>
      </c>
      <c r="CE168" s="1053">
        <f t="shared" si="991"/>
        <v>0.5445000000000001</v>
      </c>
      <c r="CF168" s="1053">
        <f t="shared" si="992"/>
        <v>0.5445000000000001</v>
      </c>
      <c r="CG168" s="1053">
        <f t="shared" si="993"/>
        <v>0.5445000000000001</v>
      </c>
      <c r="CH168" s="1053">
        <f t="shared" si="994"/>
        <v>0.5445000000000001</v>
      </c>
      <c r="CI168" s="1053">
        <f t="shared" si="995"/>
        <v>0.5445000000000001</v>
      </c>
      <c r="CJ168" s="1053">
        <f t="shared" si="996"/>
        <v>0.5445000000000001</v>
      </c>
      <c r="CK168" s="1053">
        <f t="shared" si="997"/>
        <v>0.5445000000000001</v>
      </c>
      <c r="CL168" s="1053">
        <v>0.5</v>
      </c>
      <c r="CM168" s="1053">
        <f t="shared" si="1039"/>
        <v>0.45</v>
      </c>
      <c r="CN168" s="1053">
        <f t="shared" si="998"/>
        <v>0.45</v>
      </c>
      <c r="CO168" s="1053">
        <f t="shared" si="999"/>
        <v>0.45</v>
      </c>
      <c r="CP168" s="1053">
        <f t="shared" si="1000"/>
        <v>0.49500000000000005</v>
      </c>
      <c r="CQ168" s="1053">
        <f t="shared" si="1001"/>
        <v>0.5445000000000001</v>
      </c>
      <c r="CR168" s="1053">
        <f t="shared" si="1002"/>
        <v>0.5445000000000001</v>
      </c>
      <c r="CS168" s="1053">
        <f t="shared" si="1003"/>
        <v>0.5445000000000001</v>
      </c>
      <c r="CT168" s="1053">
        <f t="shared" si="1004"/>
        <v>0.5445000000000001</v>
      </c>
      <c r="CU168" s="1053">
        <f t="shared" si="1005"/>
        <v>0.5445000000000001</v>
      </c>
      <c r="CV168" s="1053">
        <f t="shared" si="1006"/>
        <v>0.5445000000000001</v>
      </c>
      <c r="CW168" s="1053">
        <f t="shared" si="1007"/>
        <v>0.5445000000000001</v>
      </c>
      <c r="CX168" s="1053">
        <v>0.5</v>
      </c>
      <c r="CY168" s="1053">
        <f t="shared" si="1040"/>
        <v>0.45</v>
      </c>
      <c r="CZ168" s="1053">
        <f t="shared" si="1008"/>
        <v>0.45</v>
      </c>
      <c r="DA168" s="1053">
        <f t="shared" si="1009"/>
        <v>0.45</v>
      </c>
      <c r="DB168" s="1053">
        <f t="shared" si="1010"/>
        <v>0.49500000000000005</v>
      </c>
      <c r="DC168" s="1053">
        <f t="shared" si="1011"/>
        <v>0.5445000000000001</v>
      </c>
      <c r="DD168" s="1053">
        <f t="shared" si="1012"/>
        <v>0.5445000000000001</v>
      </c>
      <c r="DE168" s="1053">
        <f t="shared" si="1013"/>
        <v>0.5445000000000001</v>
      </c>
      <c r="DF168" s="1053">
        <f t="shared" si="1014"/>
        <v>0.5445000000000001</v>
      </c>
      <c r="DG168" s="1053">
        <f t="shared" si="1015"/>
        <v>0.5445000000000001</v>
      </c>
      <c r="DH168" s="1053">
        <f t="shared" si="1016"/>
        <v>0.5445000000000001</v>
      </c>
      <c r="DI168" s="1053">
        <f t="shared" si="1017"/>
        <v>0.5445000000000001</v>
      </c>
      <c r="DK168" s="1684"/>
      <c r="DL168" s="957" t="s">
        <v>122</v>
      </c>
      <c r="DN168" s="994">
        <v>1</v>
      </c>
      <c r="DO168" s="995">
        <f>DO154*$AJ$168</f>
        <v>1.5</v>
      </c>
      <c r="DP168" s="995">
        <f>DP154*$AJ$168</f>
        <v>1</v>
      </c>
      <c r="DQ168" s="995">
        <f>DQ154*$AJ$168</f>
        <v>1.5</v>
      </c>
      <c r="DR168" s="996">
        <f>DR154*$AJ$168</f>
        <v>2.25</v>
      </c>
      <c r="DT168" s="994">
        <v>1</v>
      </c>
      <c r="DU168" s="995">
        <f>DU154*$AH$168</f>
        <v>0</v>
      </c>
      <c r="DV168" s="995">
        <f>DV154*$AH$168</f>
        <v>0</v>
      </c>
      <c r="DW168" s="995">
        <f>DW154*$AH$168</f>
        <v>0</v>
      </c>
      <c r="DX168" s="996">
        <f>DX154*$AH$168</f>
        <v>0</v>
      </c>
      <c r="DZ168" s="994">
        <v>1</v>
      </c>
      <c r="EA168" s="995">
        <f>EA154*AL$168</f>
        <v>1.6500000000000001</v>
      </c>
      <c r="EB168" s="995">
        <f>EB154*AM$168</f>
        <v>1.1000000000000001</v>
      </c>
      <c r="EC168" s="995">
        <f>EC154*AN$168</f>
        <v>1.6500000000000001</v>
      </c>
      <c r="ED168" s="996">
        <f>ED154*AO$168</f>
        <v>2.7225000000000006</v>
      </c>
      <c r="EF168" s="994">
        <f t="shared" si="1018"/>
        <v>1</v>
      </c>
      <c r="EG168" s="995">
        <f t="shared" si="1019"/>
        <v>1.35</v>
      </c>
      <c r="EH168" s="995">
        <f t="shared" si="1020"/>
        <v>2.0249999999999999</v>
      </c>
      <c r="EI168" s="995">
        <f t="shared" si="1021"/>
        <v>2.4750000000000001</v>
      </c>
      <c r="EJ168" s="995">
        <f t="shared" si="1022"/>
        <v>1.4850000000000001</v>
      </c>
      <c r="EK168" s="995">
        <f t="shared" si="1023"/>
        <v>1.0890000000000002</v>
      </c>
      <c r="EL168" s="995">
        <f t="shared" si="1024"/>
        <v>0.5445000000000001</v>
      </c>
      <c r="EM168" s="995">
        <f t="shared" si="1025"/>
        <v>0</v>
      </c>
      <c r="EN168" s="995">
        <f t="shared" si="1026"/>
        <v>0.27225000000000005</v>
      </c>
      <c r="EO168" s="995">
        <f t="shared" si="1027"/>
        <v>0.5445000000000001</v>
      </c>
      <c r="EP168" s="995">
        <f t="shared" si="1028"/>
        <v>0.5445000000000001</v>
      </c>
      <c r="EQ168" s="996">
        <f t="shared" si="1029"/>
        <v>0.5445000000000001</v>
      </c>
      <c r="ES168" s="994">
        <f t="shared" si="1041"/>
        <v>0.5</v>
      </c>
      <c r="ET168" s="995">
        <f t="shared" si="1030"/>
        <v>0.45</v>
      </c>
      <c r="EU168" s="995">
        <f t="shared" si="1030"/>
        <v>0.45</v>
      </c>
      <c r="EV168" s="995">
        <f t="shared" si="1030"/>
        <v>0.45</v>
      </c>
      <c r="EW168" s="995">
        <f t="shared" si="1030"/>
        <v>0.49500000000000005</v>
      </c>
      <c r="EX168" s="995">
        <f t="shared" si="1030"/>
        <v>0.5445000000000001</v>
      </c>
      <c r="EY168" s="995">
        <f t="shared" si="1030"/>
        <v>0.27225000000000005</v>
      </c>
      <c r="EZ168" s="995">
        <f t="shared" si="1030"/>
        <v>0</v>
      </c>
      <c r="FA168" s="995">
        <f t="shared" si="1030"/>
        <v>0.27225000000000005</v>
      </c>
      <c r="FB168" s="995">
        <f t="shared" si="1030"/>
        <v>0.5445000000000001</v>
      </c>
      <c r="FC168" s="995">
        <f t="shared" si="1030"/>
        <v>0.5445000000000001</v>
      </c>
      <c r="FD168" s="996">
        <f t="shared" si="1030"/>
        <v>0.5445000000000001</v>
      </c>
      <c r="FF168" s="994">
        <f t="shared" si="1042"/>
        <v>0.5</v>
      </c>
      <c r="FG168" s="995">
        <f t="shared" si="1031"/>
        <v>0.45</v>
      </c>
      <c r="FH168" s="995">
        <f t="shared" si="1031"/>
        <v>0.45</v>
      </c>
      <c r="FI168" s="995">
        <f t="shared" si="1031"/>
        <v>0.45</v>
      </c>
      <c r="FJ168" s="995">
        <f t="shared" si="1031"/>
        <v>0.49500000000000005</v>
      </c>
      <c r="FK168" s="995">
        <f t="shared" si="1031"/>
        <v>0.5445000000000001</v>
      </c>
      <c r="FL168" s="995">
        <f t="shared" si="1031"/>
        <v>0.27225000000000005</v>
      </c>
      <c r="FM168" s="995">
        <f t="shared" si="1031"/>
        <v>0</v>
      </c>
      <c r="FN168" s="995">
        <f t="shared" si="1031"/>
        <v>0.27225000000000005</v>
      </c>
      <c r="FO168" s="995">
        <f t="shared" si="1031"/>
        <v>0.5445000000000001</v>
      </c>
      <c r="FP168" s="995">
        <f t="shared" si="1031"/>
        <v>0.5445000000000001</v>
      </c>
      <c r="FQ168" s="996">
        <f t="shared" si="1031"/>
        <v>0.5445000000000001</v>
      </c>
      <c r="FS168" s="994">
        <f t="shared" si="1043"/>
        <v>0.5</v>
      </c>
      <c r="FT168" s="995">
        <f t="shared" si="1032"/>
        <v>0.45</v>
      </c>
      <c r="FU168" s="995">
        <f t="shared" si="1032"/>
        <v>0.45</v>
      </c>
      <c r="FV168" s="995">
        <f t="shared" si="1032"/>
        <v>0.45</v>
      </c>
      <c r="FW168" s="995">
        <f t="shared" si="1032"/>
        <v>0.49500000000000005</v>
      </c>
      <c r="FX168" s="995">
        <f t="shared" si="1032"/>
        <v>0.5445000000000001</v>
      </c>
      <c r="FY168" s="995">
        <f t="shared" si="1032"/>
        <v>0.27225000000000005</v>
      </c>
      <c r="FZ168" s="995">
        <f t="shared" si="1032"/>
        <v>0</v>
      </c>
      <c r="GA168" s="995">
        <f t="shared" si="1032"/>
        <v>0</v>
      </c>
      <c r="GB168" s="995">
        <f t="shared" si="1032"/>
        <v>0</v>
      </c>
      <c r="GC168" s="995">
        <f t="shared" si="1032"/>
        <v>0</v>
      </c>
      <c r="GD168" s="996">
        <f t="shared" si="1032"/>
        <v>0</v>
      </c>
      <c r="GF168" s="994">
        <f t="shared" si="1044"/>
        <v>0</v>
      </c>
      <c r="GG168" s="995">
        <f t="shared" si="1033"/>
        <v>0</v>
      </c>
      <c r="GH168" s="995">
        <f t="shared" si="1033"/>
        <v>0</v>
      </c>
      <c r="GI168" s="995">
        <f t="shared" si="1033"/>
        <v>0</v>
      </c>
      <c r="GJ168" s="995">
        <f t="shared" si="1033"/>
        <v>0</v>
      </c>
      <c r="GK168" s="995">
        <f t="shared" si="1033"/>
        <v>0</v>
      </c>
      <c r="GL168" s="995">
        <f t="shared" si="1033"/>
        <v>0</v>
      </c>
      <c r="GM168" s="995">
        <f t="shared" si="1033"/>
        <v>0</v>
      </c>
      <c r="GN168" s="995">
        <f t="shared" si="1033"/>
        <v>0</v>
      </c>
      <c r="GO168" s="995">
        <f t="shared" si="1033"/>
        <v>0</v>
      </c>
      <c r="GP168" s="995">
        <f t="shared" si="1033"/>
        <v>0</v>
      </c>
      <c r="GQ168" s="996">
        <f t="shared" si="1033"/>
        <v>0</v>
      </c>
      <c r="GS168" s="994">
        <f t="shared" si="1045"/>
        <v>0</v>
      </c>
      <c r="GT168" s="995">
        <f t="shared" si="1034"/>
        <v>0</v>
      </c>
      <c r="GU168" s="995">
        <f t="shared" si="1034"/>
        <v>0</v>
      </c>
      <c r="GV168" s="995">
        <f t="shared" si="1034"/>
        <v>0</v>
      </c>
      <c r="GW168" s="995">
        <f t="shared" si="1034"/>
        <v>0</v>
      </c>
      <c r="GX168" s="995">
        <f t="shared" si="1034"/>
        <v>0</v>
      </c>
      <c r="GY168" s="995">
        <f t="shared" si="1034"/>
        <v>0</v>
      </c>
      <c r="GZ168" s="995">
        <f t="shared" si="1034"/>
        <v>0</v>
      </c>
      <c r="HA168" s="995">
        <f t="shared" si="1034"/>
        <v>0</v>
      </c>
      <c r="HB168" s="995">
        <f t="shared" si="1034"/>
        <v>0</v>
      </c>
      <c r="HC168" s="995">
        <f t="shared" si="1034"/>
        <v>0</v>
      </c>
      <c r="HD168" s="996">
        <f t="shared" si="1034"/>
        <v>0</v>
      </c>
    </row>
    <row r="169" spans="2:212" ht="15">
      <c r="B169" s="974"/>
      <c r="C169" s="946" t="s">
        <v>1116</v>
      </c>
      <c r="D169" s="974"/>
      <c r="E169" s="974"/>
      <c r="F169" s="974"/>
      <c r="G169" s="974"/>
      <c r="H169" s="974"/>
      <c r="I169" s="974"/>
      <c r="N169" s="1684"/>
      <c r="O169" s="957" t="s">
        <v>123</v>
      </c>
      <c r="P169" s="606">
        <v>1</v>
      </c>
      <c r="Q169" s="606">
        <v>2</v>
      </c>
      <c r="R169" s="606">
        <v>2</v>
      </c>
      <c r="AA169" s="1684"/>
      <c r="AB169" s="957" t="s">
        <v>123</v>
      </c>
      <c r="AC169" s="610">
        <f t="shared" si="1046"/>
        <v>1</v>
      </c>
      <c r="AD169" s="610">
        <f>Q169/Q155</f>
        <v>1</v>
      </c>
      <c r="AE169" s="610">
        <f>R169/R155</f>
        <v>1</v>
      </c>
      <c r="AF169" s="610"/>
      <c r="AG169" s="610">
        <f>T169/T155</f>
        <v>0</v>
      </c>
      <c r="AH169" s="610"/>
      <c r="AI169" s="610"/>
      <c r="AJ169" s="952">
        <f t="shared" si="961"/>
        <v>0.75</v>
      </c>
      <c r="AK169" s="952">
        <f t="shared" si="962"/>
        <v>0.75</v>
      </c>
      <c r="AL169" s="952">
        <f t="shared" si="963"/>
        <v>0.82500000000000007</v>
      </c>
      <c r="AM169" s="952">
        <f t="shared" si="964"/>
        <v>0.82500000000000007</v>
      </c>
      <c r="AN169" s="952">
        <f t="shared" si="965"/>
        <v>0.82500000000000007</v>
      </c>
      <c r="AO169" s="952">
        <f t="shared" si="966"/>
        <v>0.9075000000000002</v>
      </c>
      <c r="AP169" s="1053">
        <v>0.5</v>
      </c>
      <c r="AQ169" s="1053">
        <f t="shared" si="1035"/>
        <v>0.45</v>
      </c>
      <c r="AR169" s="1053">
        <f t="shared" si="1035"/>
        <v>0.45</v>
      </c>
      <c r="AS169" s="1053">
        <f t="shared" si="1035"/>
        <v>0.45</v>
      </c>
      <c r="AT169" s="1053">
        <f t="shared" si="1035"/>
        <v>0.49500000000000005</v>
      </c>
      <c r="AU169" s="1053">
        <f t="shared" si="1035"/>
        <v>0.5445000000000001</v>
      </c>
      <c r="AV169" s="1053">
        <f t="shared" si="1035"/>
        <v>0.5445000000000001</v>
      </c>
      <c r="AW169" s="1053">
        <f t="shared" si="1035"/>
        <v>0.5445000000000001</v>
      </c>
      <c r="AX169" s="1053">
        <f t="shared" si="1035"/>
        <v>0.5445000000000001</v>
      </c>
      <c r="AY169" s="1053">
        <f t="shared" si="1035"/>
        <v>0.5445000000000001</v>
      </c>
      <c r="AZ169" s="1053">
        <f t="shared" si="1035"/>
        <v>0.5445000000000001</v>
      </c>
      <c r="BA169" s="1053">
        <f t="shared" si="1035"/>
        <v>0.5445000000000001</v>
      </c>
      <c r="BB169" s="1053">
        <v>0.5</v>
      </c>
      <c r="BC169" s="1053">
        <f t="shared" si="1036"/>
        <v>0.45</v>
      </c>
      <c r="BD169" s="1053">
        <f t="shared" si="968"/>
        <v>0.45</v>
      </c>
      <c r="BE169" s="1053">
        <f t="shared" si="969"/>
        <v>0.45</v>
      </c>
      <c r="BF169" s="1053">
        <f t="shared" si="970"/>
        <v>0.49500000000000005</v>
      </c>
      <c r="BG169" s="1053">
        <f t="shared" si="971"/>
        <v>0.5445000000000001</v>
      </c>
      <c r="BH169" s="1053">
        <f t="shared" si="972"/>
        <v>0.5445000000000001</v>
      </c>
      <c r="BI169" s="1053">
        <f t="shared" si="973"/>
        <v>0.5445000000000001</v>
      </c>
      <c r="BJ169" s="1053">
        <f t="shared" si="974"/>
        <v>0.5445000000000001</v>
      </c>
      <c r="BK169" s="1053">
        <f t="shared" si="975"/>
        <v>0.5445000000000001</v>
      </c>
      <c r="BL169" s="1053">
        <f t="shared" si="976"/>
        <v>0.5445000000000001</v>
      </c>
      <c r="BM169" s="1053">
        <f t="shared" si="977"/>
        <v>0.5445000000000001</v>
      </c>
      <c r="BN169" s="1053">
        <v>0.5</v>
      </c>
      <c r="BO169" s="1053">
        <f t="shared" si="1037"/>
        <v>0.45</v>
      </c>
      <c r="BP169" s="1053">
        <f t="shared" si="978"/>
        <v>0.45</v>
      </c>
      <c r="BQ169" s="1053">
        <f t="shared" si="979"/>
        <v>0.45</v>
      </c>
      <c r="BR169" s="1053">
        <f t="shared" si="980"/>
        <v>0.49500000000000005</v>
      </c>
      <c r="BS169" s="1053">
        <f t="shared" si="981"/>
        <v>0.5445000000000001</v>
      </c>
      <c r="BT169" s="1053">
        <f t="shared" si="982"/>
        <v>0.5445000000000001</v>
      </c>
      <c r="BU169" s="1053">
        <f t="shared" si="983"/>
        <v>0.5445000000000001</v>
      </c>
      <c r="BV169" s="1053">
        <f t="shared" si="984"/>
        <v>0.5445000000000001</v>
      </c>
      <c r="BW169" s="1053">
        <f t="shared" si="985"/>
        <v>0.5445000000000001</v>
      </c>
      <c r="BX169" s="1053">
        <f t="shared" si="986"/>
        <v>0.5445000000000001</v>
      </c>
      <c r="BY169" s="1053">
        <f t="shared" si="987"/>
        <v>0.5445000000000001</v>
      </c>
      <c r="BZ169" s="1053">
        <v>0.5</v>
      </c>
      <c r="CA169" s="1053">
        <f t="shared" si="1038"/>
        <v>0.45</v>
      </c>
      <c r="CB169" s="1053">
        <f t="shared" si="988"/>
        <v>0.45</v>
      </c>
      <c r="CC169" s="1053">
        <f t="shared" si="989"/>
        <v>0.45</v>
      </c>
      <c r="CD169" s="1053">
        <f t="shared" si="990"/>
        <v>0.49500000000000005</v>
      </c>
      <c r="CE169" s="1053">
        <f t="shared" si="991"/>
        <v>0.5445000000000001</v>
      </c>
      <c r="CF169" s="1053">
        <f t="shared" si="992"/>
        <v>0.5445000000000001</v>
      </c>
      <c r="CG169" s="1053">
        <f t="shared" si="993"/>
        <v>0.5445000000000001</v>
      </c>
      <c r="CH169" s="1053">
        <f t="shared" si="994"/>
        <v>0.5445000000000001</v>
      </c>
      <c r="CI169" s="1053">
        <f t="shared" si="995"/>
        <v>0.5445000000000001</v>
      </c>
      <c r="CJ169" s="1053">
        <f t="shared" si="996"/>
        <v>0.5445000000000001</v>
      </c>
      <c r="CK169" s="1053">
        <f t="shared" si="997"/>
        <v>0.5445000000000001</v>
      </c>
      <c r="CL169" s="1053">
        <v>0.5</v>
      </c>
      <c r="CM169" s="1053">
        <f t="shared" si="1039"/>
        <v>0.45</v>
      </c>
      <c r="CN169" s="1053">
        <f t="shared" si="998"/>
        <v>0.45</v>
      </c>
      <c r="CO169" s="1053">
        <f t="shared" si="999"/>
        <v>0.45</v>
      </c>
      <c r="CP169" s="1053">
        <f t="shared" si="1000"/>
        <v>0.49500000000000005</v>
      </c>
      <c r="CQ169" s="1053">
        <f t="shared" si="1001"/>
        <v>0.5445000000000001</v>
      </c>
      <c r="CR169" s="1053">
        <f t="shared" si="1002"/>
        <v>0.5445000000000001</v>
      </c>
      <c r="CS169" s="1053">
        <f t="shared" si="1003"/>
        <v>0.5445000000000001</v>
      </c>
      <c r="CT169" s="1053">
        <f t="shared" si="1004"/>
        <v>0.5445000000000001</v>
      </c>
      <c r="CU169" s="1053">
        <f t="shared" si="1005"/>
        <v>0.5445000000000001</v>
      </c>
      <c r="CV169" s="1053">
        <f t="shared" si="1006"/>
        <v>0.5445000000000001</v>
      </c>
      <c r="CW169" s="1053">
        <f t="shared" si="1007"/>
        <v>0.5445000000000001</v>
      </c>
      <c r="CX169" s="1053">
        <v>0.5</v>
      </c>
      <c r="CY169" s="1053">
        <f t="shared" si="1040"/>
        <v>0.45</v>
      </c>
      <c r="CZ169" s="1053">
        <f t="shared" si="1008"/>
        <v>0.45</v>
      </c>
      <c r="DA169" s="1053">
        <f t="shared" si="1009"/>
        <v>0.45</v>
      </c>
      <c r="DB169" s="1053">
        <f t="shared" si="1010"/>
        <v>0.49500000000000005</v>
      </c>
      <c r="DC169" s="1053">
        <f t="shared" si="1011"/>
        <v>0.5445000000000001</v>
      </c>
      <c r="DD169" s="1053">
        <f t="shared" si="1012"/>
        <v>0.5445000000000001</v>
      </c>
      <c r="DE169" s="1053">
        <f t="shared" si="1013"/>
        <v>0.5445000000000001</v>
      </c>
      <c r="DF169" s="1053">
        <f t="shared" si="1014"/>
        <v>0.5445000000000001</v>
      </c>
      <c r="DG169" s="1053">
        <f t="shared" si="1015"/>
        <v>0.5445000000000001</v>
      </c>
      <c r="DH169" s="1053">
        <f t="shared" si="1016"/>
        <v>0.5445000000000001</v>
      </c>
      <c r="DI169" s="1053">
        <f t="shared" si="1017"/>
        <v>0.5445000000000001</v>
      </c>
      <c r="DK169" s="1684"/>
      <c r="DL169" s="957" t="s">
        <v>123</v>
      </c>
      <c r="DN169" s="994">
        <v>1</v>
      </c>
      <c r="DO169" s="995">
        <f>DO155*$AJ$169</f>
        <v>2.25</v>
      </c>
      <c r="DP169" s="995">
        <f>DP155*$AJ$169</f>
        <v>2.25</v>
      </c>
      <c r="DQ169" s="995">
        <f>DQ155*$AJ$169</f>
        <v>1.5</v>
      </c>
      <c r="DR169" s="996">
        <f>DR155*$AJ$169</f>
        <v>2.25</v>
      </c>
      <c r="DT169" s="994">
        <v>1</v>
      </c>
      <c r="DU169" s="995">
        <f>DU155*$AH$169</f>
        <v>0</v>
      </c>
      <c r="DV169" s="995">
        <f>DV155*$AH$169</f>
        <v>0</v>
      </c>
      <c r="DW169" s="995">
        <f>DW155*$AH$169</f>
        <v>0</v>
      </c>
      <c r="DX169" s="996">
        <f>DX155*$AH$169</f>
        <v>0</v>
      </c>
      <c r="DZ169" s="994">
        <v>1</v>
      </c>
      <c r="EA169" s="995">
        <f>EA155*AL$169</f>
        <v>2.4750000000000001</v>
      </c>
      <c r="EB169" s="995">
        <f>EB155*AM$169</f>
        <v>2.4750000000000001</v>
      </c>
      <c r="EC169" s="995">
        <f>EC155*AN$169</f>
        <v>1.6500000000000001</v>
      </c>
      <c r="ED169" s="996">
        <f>ED155*AO$169</f>
        <v>2.7225000000000006</v>
      </c>
      <c r="EF169" s="994">
        <f t="shared" si="1018"/>
        <v>1.5</v>
      </c>
      <c r="EG169" s="995">
        <f t="shared" si="1019"/>
        <v>0.9</v>
      </c>
      <c r="EH169" s="995">
        <f t="shared" si="1020"/>
        <v>1.35</v>
      </c>
      <c r="EI169" s="995">
        <f t="shared" si="1021"/>
        <v>2.0249999999999999</v>
      </c>
      <c r="EJ169" s="995">
        <f t="shared" si="1022"/>
        <v>2.7225000000000001</v>
      </c>
      <c r="EK169" s="995">
        <f t="shared" si="1023"/>
        <v>1.6335000000000002</v>
      </c>
      <c r="EL169" s="995">
        <f t="shared" si="1024"/>
        <v>1.0890000000000002</v>
      </c>
      <c r="EM169" s="995">
        <f t="shared" si="1025"/>
        <v>0.5445000000000001</v>
      </c>
      <c r="EN169" s="995">
        <f t="shared" si="1026"/>
        <v>0</v>
      </c>
      <c r="EO169" s="995">
        <f t="shared" si="1027"/>
        <v>0.27225000000000005</v>
      </c>
      <c r="EP169" s="995">
        <f t="shared" si="1028"/>
        <v>0.5445000000000001</v>
      </c>
      <c r="EQ169" s="996">
        <f t="shared" si="1029"/>
        <v>0.5445000000000001</v>
      </c>
      <c r="ES169" s="994">
        <f t="shared" si="1041"/>
        <v>0.5</v>
      </c>
      <c r="ET169" s="995">
        <f t="shared" si="1030"/>
        <v>0.45</v>
      </c>
      <c r="EU169" s="995">
        <f t="shared" si="1030"/>
        <v>0.45</v>
      </c>
      <c r="EV169" s="995">
        <f t="shared" si="1030"/>
        <v>0.45</v>
      </c>
      <c r="EW169" s="995">
        <f t="shared" si="1030"/>
        <v>0.49500000000000005</v>
      </c>
      <c r="EX169" s="995">
        <f t="shared" si="1030"/>
        <v>0.5445000000000001</v>
      </c>
      <c r="EY169" s="995">
        <f t="shared" si="1030"/>
        <v>0.5445000000000001</v>
      </c>
      <c r="EZ169" s="995">
        <f t="shared" si="1030"/>
        <v>0.27225000000000005</v>
      </c>
      <c r="FA169" s="995">
        <f t="shared" si="1030"/>
        <v>0</v>
      </c>
      <c r="FB169" s="995">
        <f t="shared" si="1030"/>
        <v>0.27225000000000005</v>
      </c>
      <c r="FC169" s="995">
        <f t="shared" si="1030"/>
        <v>0.5445000000000001</v>
      </c>
      <c r="FD169" s="996">
        <f t="shared" si="1030"/>
        <v>0.5445000000000001</v>
      </c>
      <c r="FF169" s="994">
        <f t="shared" si="1042"/>
        <v>0.5</v>
      </c>
      <c r="FG169" s="995">
        <f t="shared" si="1031"/>
        <v>0.45</v>
      </c>
      <c r="FH169" s="995">
        <f t="shared" si="1031"/>
        <v>0.45</v>
      </c>
      <c r="FI169" s="995">
        <f t="shared" si="1031"/>
        <v>0.45</v>
      </c>
      <c r="FJ169" s="995">
        <f t="shared" si="1031"/>
        <v>0.49500000000000005</v>
      </c>
      <c r="FK169" s="995">
        <f t="shared" si="1031"/>
        <v>0.5445000000000001</v>
      </c>
      <c r="FL169" s="995">
        <f t="shared" si="1031"/>
        <v>0.5445000000000001</v>
      </c>
      <c r="FM169" s="995">
        <f t="shared" si="1031"/>
        <v>0.27225000000000005</v>
      </c>
      <c r="FN169" s="995">
        <f t="shared" si="1031"/>
        <v>0</v>
      </c>
      <c r="FO169" s="995">
        <f t="shared" si="1031"/>
        <v>0.27225000000000005</v>
      </c>
      <c r="FP169" s="995">
        <f t="shared" si="1031"/>
        <v>0.5445000000000001</v>
      </c>
      <c r="FQ169" s="996">
        <f t="shared" si="1031"/>
        <v>0.5445000000000001</v>
      </c>
      <c r="FS169" s="994">
        <f t="shared" si="1043"/>
        <v>0.5</v>
      </c>
      <c r="FT169" s="995">
        <f t="shared" si="1032"/>
        <v>0.45</v>
      </c>
      <c r="FU169" s="995">
        <f t="shared" si="1032"/>
        <v>0.45</v>
      </c>
      <c r="FV169" s="995">
        <f t="shared" si="1032"/>
        <v>0.45</v>
      </c>
      <c r="FW169" s="995">
        <f t="shared" si="1032"/>
        <v>0.49500000000000005</v>
      </c>
      <c r="FX169" s="995">
        <f t="shared" si="1032"/>
        <v>0.5445000000000001</v>
      </c>
      <c r="FY169" s="995">
        <f t="shared" si="1032"/>
        <v>0.5445000000000001</v>
      </c>
      <c r="FZ169" s="995">
        <f t="shared" si="1032"/>
        <v>0.27225000000000005</v>
      </c>
      <c r="GA169" s="995">
        <f t="shared" si="1032"/>
        <v>0</v>
      </c>
      <c r="GB169" s="995">
        <f t="shared" si="1032"/>
        <v>0</v>
      </c>
      <c r="GC169" s="995">
        <f t="shared" si="1032"/>
        <v>0</v>
      </c>
      <c r="GD169" s="996">
        <f t="shared" si="1032"/>
        <v>0</v>
      </c>
      <c r="GF169" s="994">
        <f t="shared" si="1044"/>
        <v>0</v>
      </c>
      <c r="GG169" s="995">
        <f t="shared" si="1033"/>
        <v>0</v>
      </c>
      <c r="GH169" s="995">
        <f t="shared" si="1033"/>
        <v>0</v>
      </c>
      <c r="GI169" s="995">
        <f t="shared" si="1033"/>
        <v>0</v>
      </c>
      <c r="GJ169" s="995">
        <f t="shared" si="1033"/>
        <v>0</v>
      </c>
      <c r="GK169" s="995">
        <f t="shared" si="1033"/>
        <v>0</v>
      </c>
      <c r="GL169" s="995">
        <f t="shared" si="1033"/>
        <v>0</v>
      </c>
      <c r="GM169" s="995">
        <f t="shared" si="1033"/>
        <v>0</v>
      </c>
      <c r="GN169" s="995">
        <f t="shared" si="1033"/>
        <v>0</v>
      </c>
      <c r="GO169" s="995">
        <f t="shared" si="1033"/>
        <v>0</v>
      </c>
      <c r="GP169" s="995">
        <f t="shared" si="1033"/>
        <v>0</v>
      </c>
      <c r="GQ169" s="996">
        <f t="shared" si="1033"/>
        <v>0</v>
      </c>
      <c r="GS169" s="994">
        <f t="shared" si="1045"/>
        <v>0</v>
      </c>
      <c r="GT169" s="995">
        <f t="shared" si="1034"/>
        <v>0</v>
      </c>
      <c r="GU169" s="995">
        <f t="shared" si="1034"/>
        <v>0</v>
      </c>
      <c r="GV169" s="995">
        <f t="shared" si="1034"/>
        <v>0</v>
      </c>
      <c r="GW169" s="995">
        <f t="shared" si="1034"/>
        <v>0</v>
      </c>
      <c r="GX169" s="995">
        <f t="shared" si="1034"/>
        <v>0</v>
      </c>
      <c r="GY169" s="995">
        <f t="shared" si="1034"/>
        <v>0</v>
      </c>
      <c r="GZ169" s="995">
        <f t="shared" si="1034"/>
        <v>0</v>
      </c>
      <c r="HA169" s="995">
        <f t="shared" si="1034"/>
        <v>0</v>
      </c>
      <c r="HB169" s="995">
        <f t="shared" si="1034"/>
        <v>0</v>
      </c>
      <c r="HC169" s="995">
        <f t="shared" si="1034"/>
        <v>0</v>
      </c>
      <c r="HD169" s="996">
        <f t="shared" si="1034"/>
        <v>0</v>
      </c>
    </row>
    <row r="170" spans="2:212">
      <c r="B170" s="977"/>
      <c r="C170" s="977"/>
      <c r="D170" s="977"/>
      <c r="E170" s="977"/>
      <c r="F170" s="977"/>
      <c r="G170" s="977"/>
      <c r="H170" s="981"/>
      <c r="I170" s="981"/>
      <c r="N170" s="1684"/>
      <c r="O170" s="957" t="s">
        <v>124</v>
      </c>
      <c r="P170" s="606">
        <v>1</v>
      </c>
      <c r="R170" s="606">
        <v>2</v>
      </c>
      <c r="S170" s="606">
        <v>2</v>
      </c>
      <c r="AA170" s="1684"/>
      <c r="AB170" s="957" t="s">
        <v>124</v>
      </c>
      <c r="AC170" s="610">
        <f t="shared" si="1046"/>
        <v>0.5</v>
      </c>
      <c r="AD170" s="610">
        <f>Q170/Q156</f>
        <v>0</v>
      </c>
      <c r="AE170" s="610">
        <f>R170/R156</f>
        <v>1</v>
      </c>
      <c r="AF170" s="610">
        <f>S170/S156</f>
        <v>1</v>
      </c>
      <c r="AG170" s="610"/>
      <c r="AH170" s="610">
        <f>U170/U156</f>
        <v>0</v>
      </c>
      <c r="AI170" s="610"/>
      <c r="AJ170" s="952">
        <f t="shared" si="961"/>
        <v>0.5</v>
      </c>
      <c r="AK170" s="952">
        <f t="shared" si="962"/>
        <v>0.5</v>
      </c>
      <c r="AL170" s="952">
        <f t="shared" si="963"/>
        <v>0.55000000000000004</v>
      </c>
      <c r="AM170" s="952">
        <f t="shared" si="964"/>
        <v>0.55000000000000004</v>
      </c>
      <c r="AN170" s="952">
        <f t="shared" si="965"/>
        <v>0.55000000000000004</v>
      </c>
      <c r="AO170" s="952">
        <f t="shared" si="966"/>
        <v>0.60500000000000009</v>
      </c>
      <c r="AP170" s="1053">
        <v>0.5</v>
      </c>
      <c r="AQ170" s="1053">
        <f t="shared" si="1035"/>
        <v>0.45</v>
      </c>
      <c r="AR170" s="1053">
        <f t="shared" si="1035"/>
        <v>0.45</v>
      </c>
      <c r="AS170" s="1053">
        <f t="shared" si="1035"/>
        <v>0.45</v>
      </c>
      <c r="AT170" s="1053">
        <f t="shared" si="1035"/>
        <v>0.49500000000000005</v>
      </c>
      <c r="AU170" s="1053">
        <f t="shared" si="1035"/>
        <v>0.5445000000000001</v>
      </c>
      <c r="AV170" s="1053">
        <f t="shared" si="1035"/>
        <v>0.5445000000000001</v>
      </c>
      <c r="AW170" s="1053">
        <f t="shared" si="1035"/>
        <v>0.5445000000000001</v>
      </c>
      <c r="AX170" s="1053">
        <f t="shared" si="1035"/>
        <v>0.5445000000000001</v>
      </c>
      <c r="AY170" s="1053">
        <f t="shared" si="1035"/>
        <v>0.5445000000000001</v>
      </c>
      <c r="AZ170" s="1053">
        <f t="shared" si="1035"/>
        <v>0.5445000000000001</v>
      </c>
      <c r="BA170" s="1053">
        <f t="shared" si="1035"/>
        <v>0.5445000000000001</v>
      </c>
      <c r="BB170" s="1053">
        <v>0.5</v>
      </c>
      <c r="BC170" s="1053">
        <f t="shared" si="1036"/>
        <v>0.45</v>
      </c>
      <c r="BD170" s="1053">
        <f t="shared" si="968"/>
        <v>0.45</v>
      </c>
      <c r="BE170" s="1053">
        <f t="shared" si="969"/>
        <v>0.45</v>
      </c>
      <c r="BF170" s="1053">
        <f t="shared" si="970"/>
        <v>0.49500000000000005</v>
      </c>
      <c r="BG170" s="1053">
        <f t="shared" si="971"/>
        <v>0.5445000000000001</v>
      </c>
      <c r="BH170" s="1053">
        <f t="shared" si="972"/>
        <v>0.5445000000000001</v>
      </c>
      <c r="BI170" s="1053">
        <f t="shared" si="973"/>
        <v>0.5445000000000001</v>
      </c>
      <c r="BJ170" s="1053">
        <f t="shared" si="974"/>
        <v>0.5445000000000001</v>
      </c>
      <c r="BK170" s="1053">
        <f t="shared" si="975"/>
        <v>0.5445000000000001</v>
      </c>
      <c r="BL170" s="1053">
        <f t="shared" si="976"/>
        <v>0.5445000000000001</v>
      </c>
      <c r="BM170" s="1053">
        <f t="shared" si="977"/>
        <v>0.5445000000000001</v>
      </c>
      <c r="BN170" s="1053">
        <v>0.5</v>
      </c>
      <c r="BO170" s="1053">
        <f t="shared" si="1037"/>
        <v>0.45</v>
      </c>
      <c r="BP170" s="1053">
        <f t="shared" si="978"/>
        <v>0.45</v>
      </c>
      <c r="BQ170" s="1053">
        <f t="shared" si="979"/>
        <v>0.45</v>
      </c>
      <c r="BR170" s="1053">
        <f t="shared" si="980"/>
        <v>0.49500000000000005</v>
      </c>
      <c r="BS170" s="1053">
        <f t="shared" si="981"/>
        <v>0.5445000000000001</v>
      </c>
      <c r="BT170" s="1053">
        <f t="shared" si="982"/>
        <v>0.5445000000000001</v>
      </c>
      <c r="BU170" s="1053">
        <f t="shared" si="983"/>
        <v>0.5445000000000001</v>
      </c>
      <c r="BV170" s="1053">
        <f t="shared" si="984"/>
        <v>0.5445000000000001</v>
      </c>
      <c r="BW170" s="1053">
        <f t="shared" si="985"/>
        <v>0.5445000000000001</v>
      </c>
      <c r="BX170" s="1053">
        <f t="shared" si="986"/>
        <v>0.5445000000000001</v>
      </c>
      <c r="BY170" s="1053">
        <f t="shared" si="987"/>
        <v>0.5445000000000001</v>
      </c>
      <c r="BZ170" s="1053">
        <v>0.5</v>
      </c>
      <c r="CA170" s="1053">
        <f t="shared" si="1038"/>
        <v>0.45</v>
      </c>
      <c r="CB170" s="1053">
        <f t="shared" si="988"/>
        <v>0.45</v>
      </c>
      <c r="CC170" s="1053">
        <f t="shared" si="989"/>
        <v>0.45</v>
      </c>
      <c r="CD170" s="1053">
        <f t="shared" si="990"/>
        <v>0.49500000000000005</v>
      </c>
      <c r="CE170" s="1053">
        <f t="shared" si="991"/>
        <v>0.5445000000000001</v>
      </c>
      <c r="CF170" s="1053">
        <f t="shared" si="992"/>
        <v>0.5445000000000001</v>
      </c>
      <c r="CG170" s="1053">
        <f t="shared" si="993"/>
        <v>0.5445000000000001</v>
      </c>
      <c r="CH170" s="1053">
        <f t="shared" si="994"/>
        <v>0.5445000000000001</v>
      </c>
      <c r="CI170" s="1053">
        <f t="shared" si="995"/>
        <v>0.5445000000000001</v>
      </c>
      <c r="CJ170" s="1053">
        <f t="shared" si="996"/>
        <v>0.5445000000000001</v>
      </c>
      <c r="CK170" s="1053">
        <f t="shared" si="997"/>
        <v>0.5445000000000001</v>
      </c>
      <c r="CL170" s="1053">
        <v>0.5</v>
      </c>
      <c r="CM170" s="1053">
        <f t="shared" si="1039"/>
        <v>0.45</v>
      </c>
      <c r="CN170" s="1053">
        <f t="shared" si="998"/>
        <v>0.45</v>
      </c>
      <c r="CO170" s="1053">
        <f t="shared" si="999"/>
        <v>0.45</v>
      </c>
      <c r="CP170" s="1053">
        <f t="shared" si="1000"/>
        <v>0.49500000000000005</v>
      </c>
      <c r="CQ170" s="1053">
        <f t="shared" si="1001"/>
        <v>0.5445000000000001</v>
      </c>
      <c r="CR170" s="1053">
        <f t="shared" si="1002"/>
        <v>0.5445000000000001</v>
      </c>
      <c r="CS170" s="1053">
        <f t="shared" si="1003"/>
        <v>0.5445000000000001</v>
      </c>
      <c r="CT170" s="1053">
        <f t="shared" si="1004"/>
        <v>0.5445000000000001</v>
      </c>
      <c r="CU170" s="1053">
        <f t="shared" si="1005"/>
        <v>0.5445000000000001</v>
      </c>
      <c r="CV170" s="1053">
        <f t="shared" si="1006"/>
        <v>0.5445000000000001</v>
      </c>
      <c r="CW170" s="1053">
        <f t="shared" si="1007"/>
        <v>0.5445000000000001</v>
      </c>
      <c r="CX170" s="1053">
        <v>0.5</v>
      </c>
      <c r="CY170" s="1053">
        <f t="shared" si="1040"/>
        <v>0.45</v>
      </c>
      <c r="CZ170" s="1053">
        <f t="shared" si="1008"/>
        <v>0.45</v>
      </c>
      <c r="DA170" s="1053">
        <f t="shared" si="1009"/>
        <v>0.45</v>
      </c>
      <c r="DB170" s="1053">
        <f t="shared" si="1010"/>
        <v>0.49500000000000005</v>
      </c>
      <c r="DC170" s="1053">
        <f t="shared" si="1011"/>
        <v>0.5445000000000001</v>
      </c>
      <c r="DD170" s="1053">
        <f t="shared" si="1012"/>
        <v>0.5445000000000001</v>
      </c>
      <c r="DE170" s="1053">
        <f t="shared" si="1013"/>
        <v>0.5445000000000001</v>
      </c>
      <c r="DF170" s="1053">
        <f t="shared" si="1014"/>
        <v>0.5445000000000001</v>
      </c>
      <c r="DG170" s="1053">
        <f t="shared" si="1015"/>
        <v>0.5445000000000001</v>
      </c>
      <c r="DH170" s="1053">
        <f t="shared" si="1016"/>
        <v>0.5445000000000001</v>
      </c>
      <c r="DI170" s="1053">
        <f t="shared" si="1017"/>
        <v>0.5445000000000001</v>
      </c>
      <c r="DK170" s="1684"/>
      <c r="DL170" s="957" t="s">
        <v>124</v>
      </c>
      <c r="DN170" s="994">
        <v>0</v>
      </c>
      <c r="DO170" s="995">
        <f>DO156*$AJ$170</f>
        <v>1</v>
      </c>
      <c r="DP170" s="995">
        <f>DP156*$AJ$170</f>
        <v>1.5</v>
      </c>
      <c r="DQ170" s="995">
        <f>DQ156*$AJ$170</f>
        <v>1.5</v>
      </c>
      <c r="DR170" s="996">
        <f>DR156*$AJ$170</f>
        <v>1</v>
      </c>
      <c r="DT170" s="994">
        <v>0</v>
      </c>
      <c r="DU170" s="995">
        <f>DU156*$AH$170</f>
        <v>0</v>
      </c>
      <c r="DV170" s="995">
        <f>DV156*$AH$170</f>
        <v>0</v>
      </c>
      <c r="DW170" s="995">
        <f>DW156*$AH$170</f>
        <v>0</v>
      </c>
      <c r="DX170" s="996">
        <f>DX156*$AH$170</f>
        <v>0</v>
      </c>
      <c r="DZ170" s="994">
        <v>0</v>
      </c>
      <c r="EA170" s="995">
        <f>EA156*AL$170</f>
        <v>1.1000000000000001</v>
      </c>
      <c r="EB170" s="995">
        <f>EB156*AM$170</f>
        <v>1.6500000000000001</v>
      </c>
      <c r="EC170" s="995">
        <f>EC156*AN$170</f>
        <v>1.6500000000000001</v>
      </c>
      <c r="ED170" s="996">
        <f>ED156*AO$170</f>
        <v>1.2100000000000002</v>
      </c>
      <c r="EF170" s="994">
        <f t="shared" si="1018"/>
        <v>1.5</v>
      </c>
      <c r="EG170" s="995">
        <f t="shared" si="1019"/>
        <v>1.35</v>
      </c>
      <c r="EH170" s="995">
        <f t="shared" si="1020"/>
        <v>0.9</v>
      </c>
      <c r="EI170" s="995">
        <f t="shared" si="1021"/>
        <v>1.35</v>
      </c>
      <c r="EJ170" s="995">
        <f t="shared" si="1022"/>
        <v>2.2275</v>
      </c>
      <c r="EK170" s="995">
        <f t="shared" si="1023"/>
        <v>2.9947500000000007</v>
      </c>
      <c r="EL170" s="995">
        <f t="shared" si="1024"/>
        <v>1.6335000000000002</v>
      </c>
      <c r="EM170" s="995">
        <f t="shared" si="1025"/>
        <v>1.0890000000000002</v>
      </c>
      <c r="EN170" s="995">
        <f t="shared" si="1026"/>
        <v>0.5445000000000001</v>
      </c>
      <c r="EO170" s="995">
        <f t="shared" si="1027"/>
        <v>0</v>
      </c>
      <c r="EP170" s="995">
        <f t="shared" si="1028"/>
        <v>0.27225000000000005</v>
      </c>
      <c r="EQ170" s="996">
        <f t="shared" si="1029"/>
        <v>0.5445000000000001</v>
      </c>
      <c r="ES170" s="994">
        <f t="shared" si="1041"/>
        <v>0.5</v>
      </c>
      <c r="ET170" s="995">
        <f t="shared" si="1030"/>
        <v>0.45</v>
      </c>
      <c r="EU170" s="995">
        <f t="shared" si="1030"/>
        <v>0.45</v>
      </c>
      <c r="EV170" s="995">
        <f t="shared" si="1030"/>
        <v>0.45</v>
      </c>
      <c r="EW170" s="995">
        <f t="shared" si="1030"/>
        <v>0.49500000000000005</v>
      </c>
      <c r="EX170" s="995">
        <f t="shared" si="1030"/>
        <v>0.5445000000000001</v>
      </c>
      <c r="EY170" s="995">
        <f t="shared" si="1030"/>
        <v>0.5445000000000001</v>
      </c>
      <c r="EZ170" s="995">
        <f t="shared" si="1030"/>
        <v>0.5445000000000001</v>
      </c>
      <c r="FA170" s="995">
        <f t="shared" si="1030"/>
        <v>0.27225000000000005</v>
      </c>
      <c r="FB170" s="995">
        <f t="shared" si="1030"/>
        <v>0</v>
      </c>
      <c r="FC170" s="995">
        <f t="shared" si="1030"/>
        <v>0.27225000000000005</v>
      </c>
      <c r="FD170" s="996">
        <f t="shared" si="1030"/>
        <v>0.5445000000000001</v>
      </c>
      <c r="FF170" s="994">
        <f t="shared" si="1042"/>
        <v>0.5</v>
      </c>
      <c r="FG170" s="995">
        <f t="shared" si="1031"/>
        <v>0.45</v>
      </c>
      <c r="FH170" s="995">
        <f t="shared" si="1031"/>
        <v>0.45</v>
      </c>
      <c r="FI170" s="995">
        <f t="shared" si="1031"/>
        <v>0.45</v>
      </c>
      <c r="FJ170" s="995">
        <f t="shared" si="1031"/>
        <v>0.49500000000000005</v>
      </c>
      <c r="FK170" s="995">
        <f t="shared" si="1031"/>
        <v>0.5445000000000001</v>
      </c>
      <c r="FL170" s="995">
        <f t="shared" si="1031"/>
        <v>0.5445000000000001</v>
      </c>
      <c r="FM170" s="995">
        <f t="shared" si="1031"/>
        <v>0.5445000000000001</v>
      </c>
      <c r="FN170" s="995">
        <f t="shared" si="1031"/>
        <v>0.27225000000000005</v>
      </c>
      <c r="FO170" s="995">
        <f t="shared" si="1031"/>
        <v>0</v>
      </c>
      <c r="FP170" s="995">
        <f t="shared" si="1031"/>
        <v>0.27225000000000005</v>
      </c>
      <c r="FQ170" s="996">
        <f t="shared" si="1031"/>
        <v>0.5445000000000001</v>
      </c>
      <c r="FS170" s="994">
        <f t="shared" si="1043"/>
        <v>0.5</v>
      </c>
      <c r="FT170" s="995">
        <f t="shared" si="1032"/>
        <v>0.45</v>
      </c>
      <c r="FU170" s="995">
        <f t="shared" si="1032"/>
        <v>0.45</v>
      </c>
      <c r="FV170" s="995">
        <f t="shared" si="1032"/>
        <v>0.45</v>
      </c>
      <c r="FW170" s="995">
        <f t="shared" si="1032"/>
        <v>0.49500000000000005</v>
      </c>
      <c r="FX170" s="995">
        <f t="shared" si="1032"/>
        <v>0.5445000000000001</v>
      </c>
      <c r="FY170" s="995">
        <f t="shared" si="1032"/>
        <v>0.5445000000000001</v>
      </c>
      <c r="FZ170" s="995">
        <f t="shared" si="1032"/>
        <v>0.5445000000000001</v>
      </c>
      <c r="GA170" s="995">
        <f t="shared" si="1032"/>
        <v>0.27225000000000005</v>
      </c>
      <c r="GB170" s="995">
        <f t="shared" si="1032"/>
        <v>0</v>
      </c>
      <c r="GC170" s="995">
        <f t="shared" si="1032"/>
        <v>0</v>
      </c>
      <c r="GD170" s="996">
        <f t="shared" si="1032"/>
        <v>0</v>
      </c>
      <c r="GF170" s="994">
        <f t="shared" si="1044"/>
        <v>0</v>
      </c>
      <c r="GG170" s="995">
        <f t="shared" si="1033"/>
        <v>0</v>
      </c>
      <c r="GH170" s="995">
        <f t="shared" si="1033"/>
        <v>0</v>
      </c>
      <c r="GI170" s="995">
        <f t="shared" si="1033"/>
        <v>0</v>
      </c>
      <c r="GJ170" s="995">
        <f t="shared" si="1033"/>
        <v>0</v>
      </c>
      <c r="GK170" s="995">
        <f t="shared" si="1033"/>
        <v>0</v>
      </c>
      <c r="GL170" s="995">
        <f t="shared" si="1033"/>
        <v>0</v>
      </c>
      <c r="GM170" s="995">
        <f t="shared" si="1033"/>
        <v>0</v>
      </c>
      <c r="GN170" s="995">
        <f t="shared" si="1033"/>
        <v>0</v>
      </c>
      <c r="GO170" s="995">
        <f t="shared" si="1033"/>
        <v>0</v>
      </c>
      <c r="GP170" s="995">
        <f t="shared" si="1033"/>
        <v>0</v>
      </c>
      <c r="GQ170" s="996">
        <f t="shared" si="1033"/>
        <v>0</v>
      </c>
      <c r="GS170" s="994">
        <f t="shared" si="1045"/>
        <v>0</v>
      </c>
      <c r="GT170" s="995">
        <f t="shared" si="1034"/>
        <v>0</v>
      </c>
      <c r="GU170" s="995">
        <f t="shared" si="1034"/>
        <v>0</v>
      </c>
      <c r="GV170" s="995">
        <f t="shared" si="1034"/>
        <v>0</v>
      </c>
      <c r="GW170" s="995">
        <f t="shared" si="1034"/>
        <v>0</v>
      </c>
      <c r="GX170" s="995">
        <f t="shared" si="1034"/>
        <v>0</v>
      </c>
      <c r="GY170" s="995">
        <f t="shared" si="1034"/>
        <v>0</v>
      </c>
      <c r="GZ170" s="995">
        <f t="shared" si="1034"/>
        <v>0</v>
      </c>
      <c r="HA170" s="995">
        <f t="shared" si="1034"/>
        <v>0</v>
      </c>
      <c r="HB170" s="995">
        <f t="shared" si="1034"/>
        <v>0</v>
      </c>
      <c r="HC170" s="995">
        <f t="shared" si="1034"/>
        <v>0</v>
      </c>
      <c r="HD170" s="996">
        <f t="shared" si="1034"/>
        <v>0</v>
      </c>
    </row>
    <row r="171" spans="2:212">
      <c r="B171" s="1095"/>
      <c r="C171" s="988"/>
      <c r="D171" s="988"/>
      <c r="E171" s="1117"/>
      <c r="F171" s="1117"/>
      <c r="G171" s="1117"/>
      <c r="H171" s="1117"/>
      <c r="I171" s="1117"/>
      <c r="N171" s="1684"/>
      <c r="O171" s="957" t="s">
        <v>125</v>
      </c>
      <c r="R171" s="606">
        <v>1</v>
      </c>
      <c r="S171" s="606">
        <v>1</v>
      </c>
      <c r="T171" s="606">
        <v>2</v>
      </c>
      <c r="AA171" s="1684"/>
      <c r="AB171" s="957" t="s">
        <v>125</v>
      </c>
      <c r="AC171" s="610">
        <f t="shared" si="1046"/>
        <v>0</v>
      </c>
      <c r="AD171" s="610"/>
      <c r="AE171" s="610">
        <f>R171/R157</f>
        <v>1</v>
      </c>
      <c r="AF171" s="610">
        <f>S171/S157</f>
        <v>0.5</v>
      </c>
      <c r="AG171" s="610">
        <f>T171/T157</f>
        <v>1</v>
      </c>
      <c r="AH171" s="610"/>
      <c r="AI171" s="610">
        <f>V171/V157</f>
        <v>0</v>
      </c>
      <c r="AJ171" s="952">
        <f t="shared" si="961"/>
        <v>0.5</v>
      </c>
      <c r="AK171" s="952">
        <f t="shared" si="962"/>
        <v>0.5</v>
      </c>
      <c r="AL171" s="952">
        <f t="shared" si="963"/>
        <v>0.55000000000000004</v>
      </c>
      <c r="AM171" s="952">
        <f t="shared" si="964"/>
        <v>0.55000000000000004</v>
      </c>
      <c r="AN171" s="952">
        <f t="shared" si="965"/>
        <v>0.55000000000000004</v>
      </c>
      <c r="AO171" s="952">
        <f t="shared" si="966"/>
        <v>0.60500000000000009</v>
      </c>
      <c r="AP171" s="1053">
        <v>0.5</v>
      </c>
      <c r="AQ171" s="1053">
        <f t="shared" si="1035"/>
        <v>0.45</v>
      </c>
      <c r="AR171" s="1053">
        <f t="shared" si="1035"/>
        <v>0.45</v>
      </c>
      <c r="AS171" s="1053">
        <f t="shared" si="1035"/>
        <v>0.45</v>
      </c>
      <c r="AT171" s="1053">
        <f t="shared" si="1035"/>
        <v>0.49500000000000005</v>
      </c>
      <c r="AU171" s="1053">
        <f t="shared" si="1035"/>
        <v>0.5445000000000001</v>
      </c>
      <c r="AV171" s="1053">
        <f t="shared" si="1035"/>
        <v>0.5445000000000001</v>
      </c>
      <c r="AW171" s="1053">
        <f t="shared" si="1035"/>
        <v>0.5445000000000001</v>
      </c>
      <c r="AX171" s="1053">
        <f t="shared" si="1035"/>
        <v>0.5445000000000001</v>
      </c>
      <c r="AY171" s="1053">
        <f t="shared" si="1035"/>
        <v>0.5445000000000001</v>
      </c>
      <c r="AZ171" s="1053">
        <f t="shared" si="1035"/>
        <v>0.5445000000000001</v>
      </c>
      <c r="BA171" s="1053">
        <f t="shared" si="1035"/>
        <v>0.5445000000000001</v>
      </c>
      <c r="BB171" s="1053">
        <v>0.5</v>
      </c>
      <c r="BC171" s="1053">
        <f t="shared" si="1036"/>
        <v>0.45</v>
      </c>
      <c r="BD171" s="1053">
        <f t="shared" si="968"/>
        <v>0.45</v>
      </c>
      <c r="BE171" s="1053">
        <f t="shared" si="969"/>
        <v>0.45</v>
      </c>
      <c r="BF171" s="1053">
        <f t="shared" si="970"/>
        <v>0.49500000000000005</v>
      </c>
      <c r="BG171" s="1053">
        <f t="shared" si="971"/>
        <v>0.5445000000000001</v>
      </c>
      <c r="BH171" s="1053">
        <f t="shared" si="972"/>
        <v>0.5445000000000001</v>
      </c>
      <c r="BI171" s="1053">
        <f t="shared" si="973"/>
        <v>0.5445000000000001</v>
      </c>
      <c r="BJ171" s="1053">
        <f t="shared" si="974"/>
        <v>0.5445000000000001</v>
      </c>
      <c r="BK171" s="1053">
        <f t="shared" si="975"/>
        <v>0.5445000000000001</v>
      </c>
      <c r="BL171" s="1053">
        <f t="shared" si="976"/>
        <v>0.5445000000000001</v>
      </c>
      <c r="BM171" s="1053">
        <f t="shared" si="977"/>
        <v>0.5445000000000001</v>
      </c>
      <c r="BN171" s="1053">
        <v>0.5</v>
      </c>
      <c r="BO171" s="1053">
        <f t="shared" si="1037"/>
        <v>0.45</v>
      </c>
      <c r="BP171" s="1053">
        <f t="shared" si="978"/>
        <v>0.45</v>
      </c>
      <c r="BQ171" s="1053">
        <f t="shared" si="979"/>
        <v>0.45</v>
      </c>
      <c r="BR171" s="1053">
        <f t="shared" si="980"/>
        <v>0.49500000000000005</v>
      </c>
      <c r="BS171" s="1053">
        <f t="shared" si="981"/>
        <v>0.5445000000000001</v>
      </c>
      <c r="BT171" s="1053">
        <f t="shared" si="982"/>
        <v>0.5445000000000001</v>
      </c>
      <c r="BU171" s="1053">
        <f t="shared" si="983"/>
        <v>0.5445000000000001</v>
      </c>
      <c r="BV171" s="1053">
        <f t="shared" si="984"/>
        <v>0.5445000000000001</v>
      </c>
      <c r="BW171" s="1053">
        <f t="shared" si="985"/>
        <v>0.5445000000000001</v>
      </c>
      <c r="BX171" s="1053">
        <f t="shared" si="986"/>
        <v>0.5445000000000001</v>
      </c>
      <c r="BY171" s="1053">
        <f t="shared" si="987"/>
        <v>0.5445000000000001</v>
      </c>
      <c r="BZ171" s="1053">
        <v>0.5</v>
      </c>
      <c r="CA171" s="1053">
        <f t="shared" si="1038"/>
        <v>0.45</v>
      </c>
      <c r="CB171" s="1053">
        <f t="shared" si="988"/>
        <v>0.45</v>
      </c>
      <c r="CC171" s="1053">
        <f t="shared" si="989"/>
        <v>0.45</v>
      </c>
      <c r="CD171" s="1053">
        <f t="shared" si="990"/>
        <v>0.49500000000000005</v>
      </c>
      <c r="CE171" s="1053">
        <f t="shared" si="991"/>
        <v>0.5445000000000001</v>
      </c>
      <c r="CF171" s="1053">
        <f t="shared" si="992"/>
        <v>0.5445000000000001</v>
      </c>
      <c r="CG171" s="1053">
        <f t="shared" si="993"/>
        <v>0.5445000000000001</v>
      </c>
      <c r="CH171" s="1053">
        <f t="shared" si="994"/>
        <v>0.5445000000000001</v>
      </c>
      <c r="CI171" s="1053">
        <f t="shared" si="995"/>
        <v>0.5445000000000001</v>
      </c>
      <c r="CJ171" s="1053">
        <f t="shared" si="996"/>
        <v>0.5445000000000001</v>
      </c>
      <c r="CK171" s="1053">
        <f t="shared" si="997"/>
        <v>0.5445000000000001</v>
      </c>
      <c r="CL171" s="1053">
        <v>0.5</v>
      </c>
      <c r="CM171" s="1053">
        <f t="shared" si="1039"/>
        <v>0.45</v>
      </c>
      <c r="CN171" s="1053">
        <f t="shared" si="998"/>
        <v>0.45</v>
      </c>
      <c r="CO171" s="1053">
        <f t="shared" si="999"/>
        <v>0.45</v>
      </c>
      <c r="CP171" s="1053">
        <f t="shared" si="1000"/>
        <v>0.49500000000000005</v>
      </c>
      <c r="CQ171" s="1053">
        <f t="shared" si="1001"/>
        <v>0.5445000000000001</v>
      </c>
      <c r="CR171" s="1053">
        <f t="shared" si="1002"/>
        <v>0.5445000000000001</v>
      </c>
      <c r="CS171" s="1053">
        <f t="shared" si="1003"/>
        <v>0.5445000000000001</v>
      </c>
      <c r="CT171" s="1053">
        <f t="shared" si="1004"/>
        <v>0.5445000000000001</v>
      </c>
      <c r="CU171" s="1053">
        <f t="shared" si="1005"/>
        <v>0.5445000000000001</v>
      </c>
      <c r="CV171" s="1053">
        <f t="shared" si="1006"/>
        <v>0.5445000000000001</v>
      </c>
      <c r="CW171" s="1053">
        <f t="shared" si="1007"/>
        <v>0.5445000000000001</v>
      </c>
      <c r="CX171" s="1053">
        <v>0.5</v>
      </c>
      <c r="CY171" s="1053">
        <f t="shared" si="1040"/>
        <v>0.45</v>
      </c>
      <c r="CZ171" s="1053">
        <f t="shared" si="1008"/>
        <v>0.45</v>
      </c>
      <c r="DA171" s="1053">
        <f t="shared" si="1009"/>
        <v>0.45</v>
      </c>
      <c r="DB171" s="1053">
        <f t="shared" si="1010"/>
        <v>0.49500000000000005</v>
      </c>
      <c r="DC171" s="1053">
        <f t="shared" si="1011"/>
        <v>0.5445000000000001</v>
      </c>
      <c r="DD171" s="1053">
        <f t="shared" si="1012"/>
        <v>0.5445000000000001</v>
      </c>
      <c r="DE171" s="1053">
        <f t="shared" si="1013"/>
        <v>0.5445000000000001</v>
      </c>
      <c r="DF171" s="1053">
        <f t="shared" si="1014"/>
        <v>0.5445000000000001</v>
      </c>
      <c r="DG171" s="1053">
        <f t="shared" si="1015"/>
        <v>0.5445000000000001</v>
      </c>
      <c r="DH171" s="1053">
        <f t="shared" si="1016"/>
        <v>0.5445000000000001</v>
      </c>
      <c r="DI171" s="1053">
        <f t="shared" si="1017"/>
        <v>0.5445000000000001</v>
      </c>
      <c r="DK171" s="1684"/>
      <c r="DL171" s="957" t="s">
        <v>125</v>
      </c>
      <c r="DN171" s="994">
        <v>0</v>
      </c>
      <c r="DO171" s="995">
        <f>DO157*$AJ$171</f>
        <v>0</v>
      </c>
      <c r="DP171" s="995">
        <f>DP157*$AJ$171</f>
        <v>1</v>
      </c>
      <c r="DQ171" s="995">
        <f>DQ157*$AJ$171</f>
        <v>1.5</v>
      </c>
      <c r="DR171" s="996">
        <f>DR157*$AJ$171</f>
        <v>1.5</v>
      </c>
      <c r="DT171" s="994">
        <v>0</v>
      </c>
      <c r="DU171" s="995">
        <f>DU157*$AH$171</f>
        <v>0</v>
      </c>
      <c r="DV171" s="995">
        <f>DV157*$AH$171</f>
        <v>0</v>
      </c>
      <c r="DW171" s="995">
        <f>DW157*$AH$171</f>
        <v>0</v>
      </c>
      <c r="DX171" s="996">
        <f>DX157*$AH$171</f>
        <v>0</v>
      </c>
      <c r="DZ171" s="994">
        <v>0</v>
      </c>
      <c r="EA171" s="995">
        <f>EA157*AL$171</f>
        <v>0</v>
      </c>
      <c r="EB171" s="995">
        <f>EB157*AM$171</f>
        <v>1.1000000000000001</v>
      </c>
      <c r="EC171" s="995">
        <f>EC157*AN$171</f>
        <v>1.6500000000000001</v>
      </c>
      <c r="ED171" s="996">
        <f>ED157*AO$171</f>
        <v>1.8150000000000004</v>
      </c>
      <c r="EF171" s="994">
        <f t="shared" si="1018"/>
        <v>1</v>
      </c>
      <c r="EG171" s="995">
        <f t="shared" si="1019"/>
        <v>1.35</v>
      </c>
      <c r="EH171" s="995">
        <f t="shared" si="1020"/>
        <v>1.35</v>
      </c>
      <c r="EI171" s="995">
        <f t="shared" si="1021"/>
        <v>0.9</v>
      </c>
      <c r="EJ171" s="995">
        <f t="shared" si="1022"/>
        <v>1.4850000000000001</v>
      </c>
      <c r="EK171" s="995">
        <f t="shared" si="1023"/>
        <v>2.4502500000000005</v>
      </c>
      <c r="EL171" s="995">
        <f t="shared" si="1024"/>
        <v>2.9947500000000007</v>
      </c>
      <c r="EM171" s="995">
        <f t="shared" si="1025"/>
        <v>1.6335000000000002</v>
      </c>
      <c r="EN171" s="995">
        <f t="shared" si="1026"/>
        <v>1.0890000000000002</v>
      </c>
      <c r="EO171" s="995">
        <f t="shared" si="1027"/>
        <v>0.5445000000000001</v>
      </c>
      <c r="EP171" s="995">
        <f t="shared" si="1028"/>
        <v>0</v>
      </c>
      <c r="EQ171" s="996">
        <f t="shared" si="1029"/>
        <v>0.27225000000000005</v>
      </c>
      <c r="ES171" s="994">
        <f t="shared" si="1041"/>
        <v>0.5</v>
      </c>
      <c r="ET171" s="995">
        <f t="shared" si="1030"/>
        <v>0.45</v>
      </c>
      <c r="EU171" s="995">
        <f t="shared" si="1030"/>
        <v>0.45</v>
      </c>
      <c r="EV171" s="995">
        <f t="shared" si="1030"/>
        <v>0.45</v>
      </c>
      <c r="EW171" s="995">
        <f t="shared" si="1030"/>
        <v>0.49500000000000005</v>
      </c>
      <c r="EX171" s="995">
        <f t="shared" si="1030"/>
        <v>0.5445000000000001</v>
      </c>
      <c r="EY171" s="995">
        <f t="shared" si="1030"/>
        <v>0.5445000000000001</v>
      </c>
      <c r="EZ171" s="995">
        <f t="shared" si="1030"/>
        <v>0.5445000000000001</v>
      </c>
      <c r="FA171" s="995">
        <f t="shared" si="1030"/>
        <v>0.5445000000000001</v>
      </c>
      <c r="FB171" s="995">
        <f t="shared" si="1030"/>
        <v>0.27225000000000005</v>
      </c>
      <c r="FC171" s="995">
        <f t="shared" si="1030"/>
        <v>0</v>
      </c>
      <c r="FD171" s="996">
        <f t="shared" si="1030"/>
        <v>0.27225000000000005</v>
      </c>
      <c r="FF171" s="994">
        <f t="shared" si="1042"/>
        <v>0.5</v>
      </c>
      <c r="FG171" s="995">
        <f t="shared" si="1031"/>
        <v>0.45</v>
      </c>
      <c r="FH171" s="995">
        <f t="shared" si="1031"/>
        <v>0.45</v>
      </c>
      <c r="FI171" s="995">
        <f t="shared" si="1031"/>
        <v>0.45</v>
      </c>
      <c r="FJ171" s="995">
        <f t="shared" si="1031"/>
        <v>0.49500000000000005</v>
      </c>
      <c r="FK171" s="995">
        <f t="shared" si="1031"/>
        <v>0.5445000000000001</v>
      </c>
      <c r="FL171" s="995">
        <f t="shared" si="1031"/>
        <v>0.5445000000000001</v>
      </c>
      <c r="FM171" s="995">
        <f t="shared" si="1031"/>
        <v>0.5445000000000001</v>
      </c>
      <c r="FN171" s="995">
        <f t="shared" si="1031"/>
        <v>0.5445000000000001</v>
      </c>
      <c r="FO171" s="995">
        <f t="shared" si="1031"/>
        <v>0.27225000000000005</v>
      </c>
      <c r="FP171" s="995">
        <f t="shared" si="1031"/>
        <v>0</v>
      </c>
      <c r="FQ171" s="996">
        <f t="shared" si="1031"/>
        <v>0.27225000000000005</v>
      </c>
      <c r="FS171" s="994">
        <f t="shared" si="1043"/>
        <v>0.5</v>
      </c>
      <c r="FT171" s="995">
        <f t="shared" si="1032"/>
        <v>0.45</v>
      </c>
      <c r="FU171" s="995">
        <f t="shared" si="1032"/>
        <v>0.45</v>
      </c>
      <c r="FV171" s="995">
        <f t="shared" si="1032"/>
        <v>0.45</v>
      </c>
      <c r="FW171" s="995">
        <f t="shared" si="1032"/>
        <v>0.49500000000000005</v>
      </c>
      <c r="FX171" s="995">
        <f t="shared" si="1032"/>
        <v>0.5445000000000001</v>
      </c>
      <c r="FY171" s="995">
        <f t="shared" si="1032"/>
        <v>0.5445000000000001</v>
      </c>
      <c r="FZ171" s="995">
        <f t="shared" si="1032"/>
        <v>0.5445000000000001</v>
      </c>
      <c r="GA171" s="995">
        <f t="shared" si="1032"/>
        <v>0.5445000000000001</v>
      </c>
      <c r="GB171" s="995">
        <f t="shared" si="1032"/>
        <v>0.27225000000000005</v>
      </c>
      <c r="GC171" s="995">
        <f t="shared" si="1032"/>
        <v>0</v>
      </c>
      <c r="GD171" s="996">
        <f t="shared" si="1032"/>
        <v>0</v>
      </c>
      <c r="GF171" s="994">
        <f t="shared" si="1044"/>
        <v>0</v>
      </c>
      <c r="GG171" s="995">
        <f t="shared" si="1033"/>
        <v>0</v>
      </c>
      <c r="GH171" s="995">
        <f t="shared" si="1033"/>
        <v>0</v>
      </c>
      <c r="GI171" s="995">
        <f t="shared" si="1033"/>
        <v>0</v>
      </c>
      <c r="GJ171" s="995">
        <f t="shared" si="1033"/>
        <v>0</v>
      </c>
      <c r="GK171" s="995">
        <f t="shared" si="1033"/>
        <v>0</v>
      </c>
      <c r="GL171" s="995">
        <f t="shared" si="1033"/>
        <v>0</v>
      </c>
      <c r="GM171" s="995">
        <f t="shared" si="1033"/>
        <v>0</v>
      </c>
      <c r="GN171" s="995">
        <f t="shared" si="1033"/>
        <v>0</v>
      </c>
      <c r="GO171" s="995">
        <f t="shared" si="1033"/>
        <v>0</v>
      </c>
      <c r="GP171" s="995">
        <f t="shared" si="1033"/>
        <v>0</v>
      </c>
      <c r="GQ171" s="996">
        <f t="shared" si="1033"/>
        <v>0</v>
      </c>
      <c r="GS171" s="994">
        <f t="shared" si="1045"/>
        <v>0</v>
      </c>
      <c r="GT171" s="995">
        <f t="shared" si="1034"/>
        <v>0</v>
      </c>
      <c r="GU171" s="995">
        <f t="shared" si="1034"/>
        <v>0</v>
      </c>
      <c r="GV171" s="995">
        <f t="shared" si="1034"/>
        <v>0</v>
      </c>
      <c r="GW171" s="995">
        <f t="shared" si="1034"/>
        <v>0</v>
      </c>
      <c r="GX171" s="995">
        <f t="shared" si="1034"/>
        <v>0</v>
      </c>
      <c r="GY171" s="995">
        <f t="shared" si="1034"/>
        <v>0</v>
      </c>
      <c r="GZ171" s="995">
        <f t="shared" si="1034"/>
        <v>0</v>
      </c>
      <c r="HA171" s="995">
        <f t="shared" si="1034"/>
        <v>0</v>
      </c>
      <c r="HB171" s="995">
        <f t="shared" si="1034"/>
        <v>0</v>
      </c>
      <c r="HC171" s="995">
        <f t="shared" si="1034"/>
        <v>0</v>
      </c>
      <c r="HD171" s="996">
        <f t="shared" si="1034"/>
        <v>0</v>
      </c>
    </row>
    <row r="172" spans="2:212" ht="14.25">
      <c r="B172" s="1065" t="s">
        <v>1037</v>
      </c>
      <c r="C172" s="1009"/>
      <c r="D172" s="31"/>
      <c r="E172" s="31"/>
      <c r="F172" s="31"/>
      <c r="G172" s="31"/>
      <c r="H172" s="31"/>
      <c r="I172" s="31"/>
      <c r="N172" s="1684"/>
      <c r="O172" s="957" t="s">
        <v>126</v>
      </c>
      <c r="R172" s="606">
        <v>1</v>
      </c>
      <c r="S172" s="606">
        <v>1</v>
      </c>
      <c r="T172" s="606">
        <v>1</v>
      </c>
      <c r="U172" s="606">
        <v>1</v>
      </c>
      <c r="AA172" s="1684"/>
      <c r="AB172" s="957" t="s">
        <v>126</v>
      </c>
      <c r="AC172" s="610">
        <f t="shared" si="1046"/>
        <v>0</v>
      </c>
      <c r="AD172" s="610">
        <f>Q172/Q158</f>
        <v>0</v>
      </c>
      <c r="AE172" s="610"/>
      <c r="AF172" s="610">
        <f>S172/S158</f>
        <v>1</v>
      </c>
      <c r="AG172" s="610">
        <f>T172/T158</f>
        <v>0.5</v>
      </c>
      <c r="AH172" s="610">
        <f>U172/U158</f>
        <v>0.5</v>
      </c>
      <c r="AI172" s="610"/>
      <c r="AJ172" s="952">
        <f t="shared" si="961"/>
        <v>0.4</v>
      </c>
      <c r="AK172" s="952">
        <f t="shared" si="962"/>
        <v>0.4</v>
      </c>
      <c r="AL172" s="952">
        <f t="shared" si="963"/>
        <v>0.44000000000000006</v>
      </c>
      <c r="AM172" s="952">
        <f t="shared" si="964"/>
        <v>0.44000000000000006</v>
      </c>
      <c r="AN172" s="952">
        <f t="shared" si="965"/>
        <v>0.44000000000000006</v>
      </c>
      <c r="AO172" s="952">
        <f t="shared" si="966"/>
        <v>0.4840000000000001</v>
      </c>
      <c r="AP172" s="1053">
        <v>0.4</v>
      </c>
      <c r="AQ172" s="1053">
        <f t="shared" si="1035"/>
        <v>0.36000000000000004</v>
      </c>
      <c r="AR172" s="1053">
        <f t="shared" si="1035"/>
        <v>0.36000000000000004</v>
      </c>
      <c r="AS172" s="1053">
        <f t="shared" si="1035"/>
        <v>0.36000000000000004</v>
      </c>
      <c r="AT172" s="1053">
        <f t="shared" si="1035"/>
        <v>0.39600000000000007</v>
      </c>
      <c r="AU172" s="1053">
        <f t="shared" si="1035"/>
        <v>0.4356000000000001</v>
      </c>
      <c r="AV172" s="1053">
        <f t="shared" si="1035"/>
        <v>0.4356000000000001</v>
      </c>
      <c r="AW172" s="1053">
        <f t="shared" si="1035"/>
        <v>0.4356000000000001</v>
      </c>
      <c r="AX172" s="1053">
        <f t="shared" si="1035"/>
        <v>0.4356000000000001</v>
      </c>
      <c r="AY172" s="1053">
        <f t="shared" si="1035"/>
        <v>0.4356000000000001</v>
      </c>
      <c r="AZ172" s="1053">
        <f t="shared" si="1035"/>
        <v>0.4356000000000001</v>
      </c>
      <c r="BA172" s="1053">
        <f t="shared" si="1035"/>
        <v>0.4356000000000001</v>
      </c>
      <c r="BB172" s="1053">
        <v>0.4</v>
      </c>
      <c r="BC172" s="1053">
        <f t="shared" si="1036"/>
        <v>0.36000000000000004</v>
      </c>
      <c r="BD172" s="1053">
        <f t="shared" si="968"/>
        <v>0.36000000000000004</v>
      </c>
      <c r="BE172" s="1053">
        <f t="shared" si="969"/>
        <v>0.36000000000000004</v>
      </c>
      <c r="BF172" s="1053">
        <f t="shared" si="970"/>
        <v>0.39600000000000007</v>
      </c>
      <c r="BG172" s="1053">
        <f t="shared" si="971"/>
        <v>0.4356000000000001</v>
      </c>
      <c r="BH172" s="1053">
        <f t="shared" si="972"/>
        <v>0.4356000000000001</v>
      </c>
      <c r="BI172" s="1053">
        <f t="shared" si="973"/>
        <v>0.4356000000000001</v>
      </c>
      <c r="BJ172" s="1053">
        <f t="shared" si="974"/>
        <v>0.4356000000000001</v>
      </c>
      <c r="BK172" s="1053">
        <f t="shared" si="975"/>
        <v>0.4356000000000001</v>
      </c>
      <c r="BL172" s="1053">
        <f t="shared" si="976"/>
        <v>0.4356000000000001</v>
      </c>
      <c r="BM172" s="1053">
        <f t="shared" si="977"/>
        <v>0.4356000000000001</v>
      </c>
      <c r="BN172" s="1053">
        <v>0.4</v>
      </c>
      <c r="BO172" s="1053">
        <f t="shared" si="1037"/>
        <v>0.36000000000000004</v>
      </c>
      <c r="BP172" s="1053">
        <f t="shared" si="978"/>
        <v>0.36000000000000004</v>
      </c>
      <c r="BQ172" s="1053">
        <f t="shared" si="979"/>
        <v>0.36000000000000004</v>
      </c>
      <c r="BR172" s="1053">
        <f t="shared" si="980"/>
        <v>0.39600000000000007</v>
      </c>
      <c r="BS172" s="1053">
        <f t="shared" si="981"/>
        <v>0.4356000000000001</v>
      </c>
      <c r="BT172" s="1053">
        <f t="shared" si="982"/>
        <v>0.4356000000000001</v>
      </c>
      <c r="BU172" s="1053">
        <f t="shared" si="983"/>
        <v>0.4356000000000001</v>
      </c>
      <c r="BV172" s="1053">
        <f t="shared" si="984"/>
        <v>0.4356000000000001</v>
      </c>
      <c r="BW172" s="1053">
        <f t="shared" si="985"/>
        <v>0.4356000000000001</v>
      </c>
      <c r="BX172" s="1053">
        <f t="shared" si="986"/>
        <v>0.4356000000000001</v>
      </c>
      <c r="BY172" s="1053">
        <f t="shared" si="987"/>
        <v>0.4356000000000001</v>
      </c>
      <c r="BZ172" s="1053">
        <v>0.4</v>
      </c>
      <c r="CA172" s="1053">
        <f t="shared" si="1038"/>
        <v>0.36000000000000004</v>
      </c>
      <c r="CB172" s="1053">
        <f t="shared" si="988"/>
        <v>0.36000000000000004</v>
      </c>
      <c r="CC172" s="1053">
        <f t="shared" si="989"/>
        <v>0.36000000000000004</v>
      </c>
      <c r="CD172" s="1053">
        <f t="shared" si="990"/>
        <v>0.39600000000000007</v>
      </c>
      <c r="CE172" s="1053">
        <f t="shared" si="991"/>
        <v>0.4356000000000001</v>
      </c>
      <c r="CF172" s="1053">
        <f t="shared" si="992"/>
        <v>0.4356000000000001</v>
      </c>
      <c r="CG172" s="1053">
        <f t="shared" si="993"/>
        <v>0.4356000000000001</v>
      </c>
      <c r="CH172" s="1053">
        <f t="shared" si="994"/>
        <v>0.4356000000000001</v>
      </c>
      <c r="CI172" s="1053">
        <f t="shared" si="995"/>
        <v>0.4356000000000001</v>
      </c>
      <c r="CJ172" s="1053">
        <f t="shared" si="996"/>
        <v>0.4356000000000001</v>
      </c>
      <c r="CK172" s="1053">
        <f t="shared" si="997"/>
        <v>0.4356000000000001</v>
      </c>
      <c r="CL172" s="1053">
        <v>0.4</v>
      </c>
      <c r="CM172" s="1053">
        <f t="shared" si="1039"/>
        <v>0.36000000000000004</v>
      </c>
      <c r="CN172" s="1053">
        <f t="shared" si="998"/>
        <v>0.36000000000000004</v>
      </c>
      <c r="CO172" s="1053">
        <f t="shared" si="999"/>
        <v>0.36000000000000004</v>
      </c>
      <c r="CP172" s="1053">
        <f t="shared" si="1000"/>
        <v>0.39600000000000007</v>
      </c>
      <c r="CQ172" s="1053">
        <f t="shared" si="1001"/>
        <v>0.4356000000000001</v>
      </c>
      <c r="CR172" s="1053">
        <f t="shared" si="1002"/>
        <v>0.4356000000000001</v>
      </c>
      <c r="CS172" s="1053">
        <f t="shared" si="1003"/>
        <v>0.4356000000000001</v>
      </c>
      <c r="CT172" s="1053">
        <f t="shared" si="1004"/>
        <v>0.4356000000000001</v>
      </c>
      <c r="CU172" s="1053">
        <f t="shared" si="1005"/>
        <v>0.4356000000000001</v>
      </c>
      <c r="CV172" s="1053">
        <f t="shared" si="1006"/>
        <v>0.4356000000000001</v>
      </c>
      <c r="CW172" s="1053">
        <f t="shared" si="1007"/>
        <v>0.4356000000000001</v>
      </c>
      <c r="CX172" s="1053">
        <v>0.4</v>
      </c>
      <c r="CY172" s="1053">
        <f t="shared" si="1040"/>
        <v>0.36000000000000004</v>
      </c>
      <c r="CZ172" s="1053">
        <f t="shared" si="1008"/>
        <v>0.36000000000000004</v>
      </c>
      <c r="DA172" s="1053">
        <f t="shared" si="1009"/>
        <v>0.36000000000000004</v>
      </c>
      <c r="DB172" s="1053">
        <f t="shared" si="1010"/>
        <v>0.39600000000000007</v>
      </c>
      <c r="DC172" s="1053">
        <f t="shared" si="1011"/>
        <v>0.4356000000000001</v>
      </c>
      <c r="DD172" s="1053">
        <f t="shared" si="1012"/>
        <v>0.4356000000000001</v>
      </c>
      <c r="DE172" s="1053">
        <f t="shared" si="1013"/>
        <v>0.4356000000000001</v>
      </c>
      <c r="DF172" s="1053">
        <f t="shared" si="1014"/>
        <v>0.4356000000000001</v>
      </c>
      <c r="DG172" s="1053">
        <f t="shared" si="1015"/>
        <v>0.4356000000000001</v>
      </c>
      <c r="DH172" s="1053">
        <f t="shared" si="1016"/>
        <v>0.4356000000000001</v>
      </c>
      <c r="DI172" s="1053">
        <f t="shared" si="1017"/>
        <v>0.4356000000000001</v>
      </c>
      <c r="DK172" s="1684"/>
      <c r="DL172" s="957" t="s">
        <v>126</v>
      </c>
      <c r="DN172" s="994">
        <v>0</v>
      </c>
      <c r="DO172" s="995">
        <f>DO158*$AJ$172</f>
        <v>0</v>
      </c>
      <c r="DP172" s="995">
        <f>DP158*$AJ$172</f>
        <v>0</v>
      </c>
      <c r="DQ172" s="995">
        <f>DQ158*$AJ$172</f>
        <v>0.8</v>
      </c>
      <c r="DR172" s="996">
        <f>DR158*$AJ$172</f>
        <v>1.2000000000000002</v>
      </c>
      <c r="DT172" s="994">
        <v>0</v>
      </c>
      <c r="DU172" s="995">
        <f>DU158*$AH$172</f>
        <v>0</v>
      </c>
      <c r="DV172" s="995">
        <f>DV158*$AH$172</f>
        <v>0</v>
      </c>
      <c r="DW172" s="995">
        <f>DW158*$AH$172</f>
        <v>1</v>
      </c>
      <c r="DX172" s="996">
        <f>DX158*$AH$172</f>
        <v>1.5</v>
      </c>
      <c r="DZ172" s="994">
        <v>0</v>
      </c>
      <c r="EA172" s="995">
        <f>EA158*AL$172</f>
        <v>0</v>
      </c>
      <c r="EB172" s="995">
        <f>EB158*AM$172</f>
        <v>0</v>
      </c>
      <c r="EC172" s="995">
        <f>EC158*AN$172</f>
        <v>0.88000000000000012</v>
      </c>
      <c r="ED172" s="996">
        <f>ED158*AO$172</f>
        <v>1.4520000000000004</v>
      </c>
      <c r="EF172" s="994">
        <f t="shared" si="1018"/>
        <v>0</v>
      </c>
      <c r="EG172" s="995">
        <f t="shared" si="1019"/>
        <v>0.72000000000000008</v>
      </c>
      <c r="EH172" s="995">
        <f t="shared" si="1020"/>
        <v>1.08</v>
      </c>
      <c r="EI172" s="995">
        <f t="shared" si="1021"/>
        <v>1.08</v>
      </c>
      <c r="EJ172" s="995">
        <f t="shared" si="1022"/>
        <v>0.79200000000000015</v>
      </c>
      <c r="EK172" s="995">
        <f t="shared" si="1023"/>
        <v>1.3068000000000004</v>
      </c>
      <c r="EL172" s="995">
        <f t="shared" si="1024"/>
        <v>1.9602000000000004</v>
      </c>
      <c r="EM172" s="995">
        <f t="shared" si="1025"/>
        <v>2.3958000000000004</v>
      </c>
      <c r="EN172" s="995">
        <f t="shared" si="1026"/>
        <v>1.3068000000000004</v>
      </c>
      <c r="EO172" s="995">
        <f t="shared" si="1027"/>
        <v>0.8712000000000002</v>
      </c>
      <c r="EP172" s="995">
        <f t="shared" si="1028"/>
        <v>0.4356000000000001</v>
      </c>
      <c r="EQ172" s="996">
        <f t="shared" si="1029"/>
        <v>0</v>
      </c>
      <c r="ES172" s="994">
        <f t="shared" si="1041"/>
        <v>0.2</v>
      </c>
      <c r="ET172" s="995">
        <f t="shared" si="1030"/>
        <v>0.36000000000000004</v>
      </c>
      <c r="EU172" s="995">
        <f t="shared" si="1030"/>
        <v>0.36000000000000004</v>
      </c>
      <c r="EV172" s="995">
        <f t="shared" si="1030"/>
        <v>0.36000000000000004</v>
      </c>
      <c r="EW172" s="995">
        <f t="shared" si="1030"/>
        <v>0.39600000000000007</v>
      </c>
      <c r="EX172" s="995">
        <f t="shared" si="1030"/>
        <v>0.4356000000000001</v>
      </c>
      <c r="EY172" s="995">
        <f t="shared" si="1030"/>
        <v>0.4356000000000001</v>
      </c>
      <c r="EZ172" s="995">
        <f t="shared" si="1030"/>
        <v>0.4356000000000001</v>
      </c>
      <c r="FA172" s="995">
        <f t="shared" si="1030"/>
        <v>0.4356000000000001</v>
      </c>
      <c r="FB172" s="995">
        <f t="shared" si="1030"/>
        <v>0.4356000000000001</v>
      </c>
      <c r="FC172" s="995">
        <f t="shared" si="1030"/>
        <v>0.21780000000000005</v>
      </c>
      <c r="FD172" s="996">
        <f t="shared" si="1030"/>
        <v>0</v>
      </c>
      <c r="FF172" s="994">
        <f t="shared" si="1042"/>
        <v>0.2</v>
      </c>
      <c r="FG172" s="995">
        <f t="shared" si="1031"/>
        <v>0.36000000000000004</v>
      </c>
      <c r="FH172" s="995">
        <f t="shared" si="1031"/>
        <v>0.36000000000000004</v>
      </c>
      <c r="FI172" s="995">
        <f t="shared" si="1031"/>
        <v>0.36000000000000004</v>
      </c>
      <c r="FJ172" s="995">
        <f t="shared" si="1031"/>
        <v>0.39600000000000007</v>
      </c>
      <c r="FK172" s="995">
        <f t="shared" si="1031"/>
        <v>0.4356000000000001</v>
      </c>
      <c r="FL172" s="995">
        <f t="shared" si="1031"/>
        <v>0.4356000000000001</v>
      </c>
      <c r="FM172" s="995">
        <f t="shared" si="1031"/>
        <v>0.4356000000000001</v>
      </c>
      <c r="FN172" s="995">
        <f t="shared" si="1031"/>
        <v>0.4356000000000001</v>
      </c>
      <c r="FO172" s="995">
        <f t="shared" si="1031"/>
        <v>0.4356000000000001</v>
      </c>
      <c r="FP172" s="995">
        <f t="shared" si="1031"/>
        <v>0.21780000000000005</v>
      </c>
      <c r="FQ172" s="996">
        <f t="shared" si="1031"/>
        <v>0</v>
      </c>
      <c r="FS172" s="994">
        <f t="shared" si="1043"/>
        <v>0.2</v>
      </c>
      <c r="FT172" s="995">
        <f t="shared" si="1032"/>
        <v>0.36000000000000004</v>
      </c>
      <c r="FU172" s="995">
        <f t="shared" si="1032"/>
        <v>0.36000000000000004</v>
      </c>
      <c r="FV172" s="995">
        <f t="shared" si="1032"/>
        <v>0.36000000000000004</v>
      </c>
      <c r="FW172" s="995">
        <f t="shared" si="1032"/>
        <v>0.39600000000000007</v>
      </c>
      <c r="FX172" s="995">
        <f t="shared" si="1032"/>
        <v>0.4356000000000001</v>
      </c>
      <c r="FY172" s="995">
        <f t="shared" si="1032"/>
        <v>0.4356000000000001</v>
      </c>
      <c r="FZ172" s="995">
        <f t="shared" si="1032"/>
        <v>0.4356000000000001</v>
      </c>
      <c r="GA172" s="995">
        <f t="shared" si="1032"/>
        <v>0.4356000000000001</v>
      </c>
      <c r="GB172" s="995">
        <f t="shared" si="1032"/>
        <v>0.4356000000000001</v>
      </c>
      <c r="GC172" s="995">
        <f t="shared" si="1032"/>
        <v>0.21780000000000005</v>
      </c>
      <c r="GD172" s="996">
        <f t="shared" si="1032"/>
        <v>0</v>
      </c>
      <c r="GF172" s="994">
        <f t="shared" si="1044"/>
        <v>0</v>
      </c>
      <c r="GG172" s="995">
        <f t="shared" si="1033"/>
        <v>0</v>
      </c>
      <c r="GH172" s="995">
        <f t="shared" si="1033"/>
        <v>0</v>
      </c>
      <c r="GI172" s="995">
        <f t="shared" si="1033"/>
        <v>0</v>
      </c>
      <c r="GJ172" s="995">
        <f t="shared" si="1033"/>
        <v>0</v>
      </c>
      <c r="GK172" s="995">
        <f t="shared" si="1033"/>
        <v>0</v>
      </c>
      <c r="GL172" s="995">
        <f t="shared" si="1033"/>
        <v>0</v>
      </c>
      <c r="GM172" s="995">
        <f t="shared" si="1033"/>
        <v>0</v>
      </c>
      <c r="GN172" s="995">
        <f t="shared" si="1033"/>
        <v>0</v>
      </c>
      <c r="GO172" s="995">
        <f t="shared" si="1033"/>
        <v>0</v>
      </c>
      <c r="GP172" s="995">
        <f t="shared" si="1033"/>
        <v>0</v>
      </c>
      <c r="GQ172" s="996">
        <f t="shared" si="1033"/>
        <v>0</v>
      </c>
      <c r="GS172" s="994">
        <f t="shared" si="1045"/>
        <v>0</v>
      </c>
      <c r="GT172" s="995">
        <f t="shared" si="1034"/>
        <v>0</v>
      </c>
      <c r="GU172" s="995">
        <f t="shared" si="1034"/>
        <v>0</v>
      </c>
      <c r="GV172" s="995">
        <f t="shared" si="1034"/>
        <v>0</v>
      </c>
      <c r="GW172" s="995">
        <f t="shared" si="1034"/>
        <v>0</v>
      </c>
      <c r="GX172" s="995">
        <f t="shared" si="1034"/>
        <v>0</v>
      </c>
      <c r="GY172" s="995">
        <f t="shared" si="1034"/>
        <v>0</v>
      </c>
      <c r="GZ172" s="995">
        <f t="shared" si="1034"/>
        <v>0</v>
      </c>
      <c r="HA172" s="995">
        <f t="shared" si="1034"/>
        <v>0</v>
      </c>
      <c r="HB172" s="995">
        <f t="shared" si="1034"/>
        <v>0</v>
      </c>
      <c r="HC172" s="995">
        <f t="shared" si="1034"/>
        <v>0</v>
      </c>
      <c r="HD172" s="996">
        <f t="shared" si="1034"/>
        <v>0</v>
      </c>
    </row>
    <row r="173" spans="2:212" ht="14.25">
      <c r="B173" s="1101" t="s">
        <v>1084</v>
      </c>
      <c r="C173" s="1009"/>
      <c r="D173" s="31"/>
      <c r="E173" s="31"/>
      <c r="F173" s="31"/>
      <c r="G173" s="31"/>
      <c r="H173" s="31"/>
      <c r="I173" s="31"/>
      <c r="N173" s="1684"/>
      <c r="O173" s="957" t="s">
        <v>127</v>
      </c>
      <c r="S173" s="606">
        <v>1</v>
      </c>
      <c r="T173" s="606">
        <v>1</v>
      </c>
      <c r="U173" s="606">
        <v>2</v>
      </c>
      <c r="AA173" s="1684"/>
      <c r="AB173" s="957" t="s">
        <v>127</v>
      </c>
      <c r="AC173" s="610">
        <f t="shared" si="1046"/>
        <v>0</v>
      </c>
      <c r="AD173" s="610">
        <f>Q173/Q159</f>
        <v>0</v>
      </c>
      <c r="AE173" s="610">
        <f>R173/R159</f>
        <v>0</v>
      </c>
      <c r="AF173" s="610"/>
      <c r="AG173" s="610">
        <f>T173/T159</f>
        <v>1</v>
      </c>
      <c r="AH173" s="610">
        <f>U173/U159</f>
        <v>1</v>
      </c>
      <c r="AI173" s="610">
        <f>V173/V159</f>
        <v>0</v>
      </c>
      <c r="AJ173" s="952">
        <f t="shared" si="961"/>
        <v>0.33333333333333331</v>
      </c>
      <c r="AK173" s="952">
        <f t="shared" si="962"/>
        <v>0.33333333333333331</v>
      </c>
      <c r="AL173" s="952">
        <f t="shared" si="963"/>
        <v>0.3666666666666667</v>
      </c>
      <c r="AM173" s="952">
        <f t="shared" si="964"/>
        <v>0.3666666666666667</v>
      </c>
      <c r="AN173" s="952">
        <f t="shared" si="965"/>
        <v>0.3666666666666667</v>
      </c>
      <c r="AO173" s="952">
        <f t="shared" si="966"/>
        <v>0.40333333333333338</v>
      </c>
      <c r="AP173" s="1053">
        <v>0.3</v>
      </c>
      <c r="AQ173" s="1053">
        <f t="shared" si="1035"/>
        <v>0.27</v>
      </c>
      <c r="AR173" s="1053">
        <f t="shared" si="1035"/>
        <v>0.27</v>
      </c>
      <c r="AS173" s="1053">
        <f t="shared" si="1035"/>
        <v>0.27</v>
      </c>
      <c r="AT173" s="1053">
        <f t="shared" si="1035"/>
        <v>0.29700000000000004</v>
      </c>
      <c r="AU173" s="1053">
        <f t="shared" si="1035"/>
        <v>0.32670000000000005</v>
      </c>
      <c r="AV173" s="1053">
        <f t="shared" si="1035"/>
        <v>0.32670000000000005</v>
      </c>
      <c r="AW173" s="1053">
        <f t="shared" si="1035"/>
        <v>0.32670000000000005</v>
      </c>
      <c r="AX173" s="1053">
        <f t="shared" si="1035"/>
        <v>0.32670000000000005</v>
      </c>
      <c r="AY173" s="1053">
        <f t="shared" si="1035"/>
        <v>0.32670000000000005</v>
      </c>
      <c r="AZ173" s="1053">
        <f t="shared" si="1035"/>
        <v>0.32670000000000005</v>
      </c>
      <c r="BA173" s="1053">
        <f t="shared" si="1035"/>
        <v>0.32670000000000005</v>
      </c>
      <c r="BB173" s="1053">
        <v>0.3</v>
      </c>
      <c r="BC173" s="1053">
        <f t="shared" si="1036"/>
        <v>0.27</v>
      </c>
      <c r="BD173" s="1053">
        <f t="shared" si="968"/>
        <v>0.27</v>
      </c>
      <c r="BE173" s="1053">
        <f t="shared" si="969"/>
        <v>0.27</v>
      </c>
      <c r="BF173" s="1053">
        <f t="shared" si="970"/>
        <v>0.29700000000000004</v>
      </c>
      <c r="BG173" s="1053">
        <f t="shared" si="971"/>
        <v>0.32670000000000005</v>
      </c>
      <c r="BH173" s="1053">
        <f t="shared" si="972"/>
        <v>0.32670000000000005</v>
      </c>
      <c r="BI173" s="1053">
        <f t="shared" si="973"/>
        <v>0.32670000000000005</v>
      </c>
      <c r="BJ173" s="1053">
        <f t="shared" si="974"/>
        <v>0.32670000000000005</v>
      </c>
      <c r="BK173" s="1053">
        <f t="shared" si="975"/>
        <v>0.32670000000000005</v>
      </c>
      <c r="BL173" s="1053">
        <f t="shared" si="976"/>
        <v>0.32670000000000005</v>
      </c>
      <c r="BM173" s="1053">
        <f t="shared" si="977"/>
        <v>0.32670000000000005</v>
      </c>
      <c r="BN173" s="1053">
        <v>0.3</v>
      </c>
      <c r="BO173" s="1053">
        <f t="shared" si="1037"/>
        <v>0.27</v>
      </c>
      <c r="BP173" s="1053">
        <f t="shared" si="978"/>
        <v>0.27</v>
      </c>
      <c r="BQ173" s="1053">
        <f t="shared" si="979"/>
        <v>0.27</v>
      </c>
      <c r="BR173" s="1053">
        <f t="shared" si="980"/>
        <v>0.29700000000000004</v>
      </c>
      <c r="BS173" s="1053">
        <f t="shared" si="981"/>
        <v>0.32670000000000005</v>
      </c>
      <c r="BT173" s="1053">
        <f t="shared" si="982"/>
        <v>0.32670000000000005</v>
      </c>
      <c r="BU173" s="1053">
        <f t="shared" si="983"/>
        <v>0.32670000000000005</v>
      </c>
      <c r="BV173" s="1053">
        <f t="shared" si="984"/>
        <v>0.32670000000000005</v>
      </c>
      <c r="BW173" s="1053">
        <f t="shared" si="985"/>
        <v>0.32670000000000005</v>
      </c>
      <c r="BX173" s="1053">
        <f t="shared" si="986"/>
        <v>0.32670000000000005</v>
      </c>
      <c r="BY173" s="1053">
        <f t="shared" si="987"/>
        <v>0.32670000000000005</v>
      </c>
      <c r="BZ173" s="1053">
        <v>0.3</v>
      </c>
      <c r="CA173" s="1053">
        <f t="shared" si="1038"/>
        <v>0.27</v>
      </c>
      <c r="CB173" s="1053">
        <f t="shared" si="988"/>
        <v>0.27</v>
      </c>
      <c r="CC173" s="1053">
        <f t="shared" si="989"/>
        <v>0.27</v>
      </c>
      <c r="CD173" s="1053">
        <f t="shared" si="990"/>
        <v>0.29700000000000004</v>
      </c>
      <c r="CE173" s="1053">
        <f t="shared" si="991"/>
        <v>0.32670000000000005</v>
      </c>
      <c r="CF173" s="1053">
        <f t="shared" si="992"/>
        <v>0.32670000000000005</v>
      </c>
      <c r="CG173" s="1053">
        <f t="shared" si="993"/>
        <v>0.32670000000000005</v>
      </c>
      <c r="CH173" s="1053">
        <f t="shared" si="994"/>
        <v>0.32670000000000005</v>
      </c>
      <c r="CI173" s="1053">
        <f t="shared" si="995"/>
        <v>0.32670000000000005</v>
      </c>
      <c r="CJ173" s="1053">
        <f t="shared" si="996"/>
        <v>0.32670000000000005</v>
      </c>
      <c r="CK173" s="1053">
        <f t="shared" si="997"/>
        <v>0.32670000000000005</v>
      </c>
      <c r="CL173" s="1053">
        <v>0.3</v>
      </c>
      <c r="CM173" s="1053">
        <f t="shared" si="1039"/>
        <v>0.27</v>
      </c>
      <c r="CN173" s="1053">
        <f t="shared" si="998"/>
        <v>0.27</v>
      </c>
      <c r="CO173" s="1053">
        <f t="shared" si="999"/>
        <v>0.27</v>
      </c>
      <c r="CP173" s="1053">
        <f t="shared" si="1000"/>
        <v>0.29700000000000004</v>
      </c>
      <c r="CQ173" s="1053">
        <f t="shared" si="1001"/>
        <v>0.32670000000000005</v>
      </c>
      <c r="CR173" s="1053">
        <f t="shared" si="1002"/>
        <v>0.32670000000000005</v>
      </c>
      <c r="CS173" s="1053">
        <f t="shared" si="1003"/>
        <v>0.32670000000000005</v>
      </c>
      <c r="CT173" s="1053">
        <f t="shared" si="1004"/>
        <v>0.32670000000000005</v>
      </c>
      <c r="CU173" s="1053">
        <f t="shared" si="1005"/>
        <v>0.32670000000000005</v>
      </c>
      <c r="CV173" s="1053">
        <f t="shared" si="1006"/>
        <v>0.32670000000000005</v>
      </c>
      <c r="CW173" s="1053">
        <f t="shared" si="1007"/>
        <v>0.32670000000000005</v>
      </c>
      <c r="CX173" s="1053">
        <v>0.3</v>
      </c>
      <c r="CY173" s="1053">
        <f t="shared" si="1040"/>
        <v>0.27</v>
      </c>
      <c r="CZ173" s="1053">
        <f t="shared" si="1008"/>
        <v>0.27</v>
      </c>
      <c r="DA173" s="1053">
        <f t="shared" si="1009"/>
        <v>0.27</v>
      </c>
      <c r="DB173" s="1053">
        <f t="shared" si="1010"/>
        <v>0.29700000000000004</v>
      </c>
      <c r="DC173" s="1053">
        <f t="shared" si="1011"/>
        <v>0.32670000000000005</v>
      </c>
      <c r="DD173" s="1053">
        <f t="shared" si="1012"/>
        <v>0.32670000000000005</v>
      </c>
      <c r="DE173" s="1053">
        <f t="shared" si="1013"/>
        <v>0.32670000000000005</v>
      </c>
      <c r="DF173" s="1053">
        <f t="shared" si="1014"/>
        <v>0.32670000000000005</v>
      </c>
      <c r="DG173" s="1053">
        <f t="shared" si="1015"/>
        <v>0.32670000000000005</v>
      </c>
      <c r="DH173" s="1053">
        <f t="shared" si="1016"/>
        <v>0.32670000000000005</v>
      </c>
      <c r="DI173" s="1053">
        <f t="shared" si="1017"/>
        <v>0.32670000000000005</v>
      </c>
      <c r="DK173" s="1684"/>
      <c r="DL173" s="957" t="s">
        <v>127</v>
      </c>
      <c r="DN173" s="994">
        <v>0</v>
      </c>
      <c r="DO173" s="995">
        <f>DO159*$AJ$173</f>
        <v>0.33333333333333331</v>
      </c>
      <c r="DP173" s="995">
        <f>DP159*$AJ$173</f>
        <v>0</v>
      </c>
      <c r="DQ173" s="995">
        <f>DQ159*$AJ$173</f>
        <v>0</v>
      </c>
      <c r="DR173" s="996">
        <f>DR159*$AJ$173</f>
        <v>0.66666666666666663</v>
      </c>
      <c r="DT173" s="994">
        <v>0</v>
      </c>
      <c r="DU173" s="995">
        <f>DU159*$AH$173</f>
        <v>1</v>
      </c>
      <c r="DV173" s="995">
        <f>DV159*$AH$173</f>
        <v>0</v>
      </c>
      <c r="DW173" s="995">
        <f>DW159*$AH$173</f>
        <v>0</v>
      </c>
      <c r="DX173" s="996">
        <f>DX159*$AH$173</f>
        <v>2</v>
      </c>
      <c r="DZ173" s="994">
        <v>0</v>
      </c>
      <c r="EA173" s="995">
        <f>EA159*AL$173</f>
        <v>0.3666666666666667</v>
      </c>
      <c r="EB173" s="995">
        <f>EB159*AM$173</f>
        <v>0</v>
      </c>
      <c r="EC173" s="995">
        <f>EC159*AN$173</f>
        <v>0</v>
      </c>
      <c r="ED173" s="996">
        <f>ED159*AO$173</f>
        <v>0.80666666666666675</v>
      </c>
      <c r="EF173" s="994">
        <f t="shared" si="1018"/>
        <v>0</v>
      </c>
      <c r="EG173" s="995">
        <f t="shared" si="1019"/>
        <v>0</v>
      </c>
      <c r="EH173" s="995">
        <f t="shared" si="1020"/>
        <v>0.54</v>
      </c>
      <c r="EI173" s="995">
        <f t="shared" si="1021"/>
        <v>0.81</v>
      </c>
      <c r="EJ173" s="995">
        <f t="shared" si="1022"/>
        <v>0.89100000000000013</v>
      </c>
      <c r="EK173" s="995">
        <f t="shared" si="1023"/>
        <v>0.65340000000000009</v>
      </c>
      <c r="EL173" s="995">
        <f t="shared" si="1024"/>
        <v>0.98010000000000019</v>
      </c>
      <c r="EM173" s="995">
        <f t="shared" si="1025"/>
        <v>1.4701500000000003</v>
      </c>
      <c r="EN173" s="995">
        <f t="shared" si="1026"/>
        <v>1.7968500000000003</v>
      </c>
      <c r="EO173" s="995">
        <f t="shared" si="1027"/>
        <v>0.98010000000000019</v>
      </c>
      <c r="EP173" s="995">
        <f t="shared" si="1028"/>
        <v>0.65340000000000009</v>
      </c>
      <c r="EQ173" s="996">
        <f t="shared" si="1029"/>
        <v>0.32670000000000005</v>
      </c>
      <c r="ES173" s="994">
        <f t="shared" si="1041"/>
        <v>0</v>
      </c>
      <c r="ET173" s="995">
        <f t="shared" si="1030"/>
        <v>0.13500000000000001</v>
      </c>
      <c r="EU173" s="995">
        <f t="shared" si="1030"/>
        <v>0.27</v>
      </c>
      <c r="EV173" s="995">
        <f t="shared" si="1030"/>
        <v>0.27</v>
      </c>
      <c r="EW173" s="995">
        <f t="shared" si="1030"/>
        <v>0.29700000000000004</v>
      </c>
      <c r="EX173" s="995">
        <f t="shared" si="1030"/>
        <v>0.32670000000000005</v>
      </c>
      <c r="EY173" s="995">
        <f t="shared" si="1030"/>
        <v>0.32670000000000005</v>
      </c>
      <c r="EZ173" s="995">
        <f t="shared" si="1030"/>
        <v>0.32670000000000005</v>
      </c>
      <c r="FA173" s="995">
        <f t="shared" si="1030"/>
        <v>0.32670000000000005</v>
      </c>
      <c r="FB173" s="995">
        <f t="shared" si="1030"/>
        <v>0.32670000000000005</v>
      </c>
      <c r="FC173" s="995">
        <f t="shared" si="1030"/>
        <v>0.32670000000000005</v>
      </c>
      <c r="FD173" s="996">
        <f t="shared" si="1030"/>
        <v>0.16335000000000002</v>
      </c>
      <c r="FF173" s="994">
        <f t="shared" si="1042"/>
        <v>0</v>
      </c>
      <c r="FG173" s="995">
        <f t="shared" si="1031"/>
        <v>0.13500000000000001</v>
      </c>
      <c r="FH173" s="995">
        <f t="shared" si="1031"/>
        <v>0.27</v>
      </c>
      <c r="FI173" s="995">
        <f t="shared" si="1031"/>
        <v>0.27</v>
      </c>
      <c r="FJ173" s="995">
        <f t="shared" si="1031"/>
        <v>0.29700000000000004</v>
      </c>
      <c r="FK173" s="995">
        <f t="shared" si="1031"/>
        <v>0.32670000000000005</v>
      </c>
      <c r="FL173" s="995">
        <f t="shared" si="1031"/>
        <v>0.32670000000000005</v>
      </c>
      <c r="FM173" s="995">
        <f t="shared" si="1031"/>
        <v>0.32670000000000005</v>
      </c>
      <c r="FN173" s="995">
        <f t="shared" si="1031"/>
        <v>0.32670000000000005</v>
      </c>
      <c r="FO173" s="995">
        <f t="shared" si="1031"/>
        <v>0.32670000000000005</v>
      </c>
      <c r="FP173" s="995">
        <f t="shared" si="1031"/>
        <v>0.32670000000000005</v>
      </c>
      <c r="FQ173" s="996">
        <f t="shared" si="1031"/>
        <v>0.16335000000000002</v>
      </c>
      <c r="FS173" s="994">
        <f t="shared" si="1043"/>
        <v>0</v>
      </c>
      <c r="FT173" s="995">
        <f t="shared" si="1032"/>
        <v>0.13500000000000001</v>
      </c>
      <c r="FU173" s="995">
        <f t="shared" si="1032"/>
        <v>0.27</v>
      </c>
      <c r="FV173" s="995">
        <f t="shared" si="1032"/>
        <v>0.27</v>
      </c>
      <c r="FW173" s="995">
        <f t="shared" si="1032"/>
        <v>0.29700000000000004</v>
      </c>
      <c r="FX173" s="995">
        <f t="shared" si="1032"/>
        <v>0.32670000000000005</v>
      </c>
      <c r="FY173" s="995">
        <f t="shared" si="1032"/>
        <v>0.32670000000000005</v>
      </c>
      <c r="FZ173" s="995">
        <f t="shared" si="1032"/>
        <v>0.32670000000000005</v>
      </c>
      <c r="GA173" s="995">
        <f t="shared" si="1032"/>
        <v>0.32670000000000005</v>
      </c>
      <c r="GB173" s="995">
        <f t="shared" si="1032"/>
        <v>0.32670000000000005</v>
      </c>
      <c r="GC173" s="995">
        <f t="shared" si="1032"/>
        <v>0.32670000000000005</v>
      </c>
      <c r="GD173" s="996">
        <f t="shared" si="1032"/>
        <v>0.16335000000000002</v>
      </c>
      <c r="GF173" s="994">
        <f t="shared" si="1044"/>
        <v>0</v>
      </c>
      <c r="GG173" s="995">
        <f t="shared" si="1033"/>
        <v>0</v>
      </c>
      <c r="GH173" s="995">
        <f t="shared" si="1033"/>
        <v>0</v>
      </c>
      <c r="GI173" s="995">
        <f t="shared" si="1033"/>
        <v>0</v>
      </c>
      <c r="GJ173" s="995">
        <f t="shared" si="1033"/>
        <v>0</v>
      </c>
      <c r="GK173" s="995">
        <f t="shared" si="1033"/>
        <v>0</v>
      </c>
      <c r="GL173" s="995">
        <f t="shared" si="1033"/>
        <v>0</v>
      </c>
      <c r="GM173" s="995">
        <f t="shared" si="1033"/>
        <v>0</v>
      </c>
      <c r="GN173" s="995">
        <f t="shared" si="1033"/>
        <v>0</v>
      </c>
      <c r="GO173" s="995">
        <f t="shared" si="1033"/>
        <v>0</v>
      </c>
      <c r="GP173" s="995">
        <f t="shared" si="1033"/>
        <v>0</v>
      </c>
      <c r="GQ173" s="996">
        <f t="shared" si="1033"/>
        <v>0</v>
      </c>
      <c r="GS173" s="994">
        <f t="shared" si="1045"/>
        <v>0</v>
      </c>
      <c r="GT173" s="995">
        <f t="shared" si="1034"/>
        <v>0</v>
      </c>
      <c r="GU173" s="995">
        <f t="shared" si="1034"/>
        <v>0</v>
      </c>
      <c r="GV173" s="995">
        <f t="shared" si="1034"/>
        <v>0</v>
      </c>
      <c r="GW173" s="995">
        <f t="shared" si="1034"/>
        <v>0</v>
      </c>
      <c r="GX173" s="995">
        <f t="shared" si="1034"/>
        <v>0</v>
      </c>
      <c r="GY173" s="995">
        <f t="shared" si="1034"/>
        <v>0</v>
      </c>
      <c r="GZ173" s="995">
        <f t="shared" si="1034"/>
        <v>0</v>
      </c>
      <c r="HA173" s="995">
        <f t="shared" si="1034"/>
        <v>0</v>
      </c>
      <c r="HB173" s="995">
        <f t="shared" si="1034"/>
        <v>0</v>
      </c>
      <c r="HC173" s="995">
        <f t="shared" si="1034"/>
        <v>0</v>
      </c>
      <c r="HD173" s="996">
        <f t="shared" si="1034"/>
        <v>0</v>
      </c>
    </row>
    <row r="174" spans="2:212" ht="14.25">
      <c r="B174" s="1067" t="s">
        <v>1067</v>
      </c>
      <c r="C174" s="1009"/>
      <c r="D174" s="31"/>
      <c r="E174" s="31"/>
      <c r="F174" s="31"/>
      <c r="G174" s="31"/>
      <c r="H174" s="31"/>
      <c r="I174" s="31"/>
      <c r="J174" s="946"/>
      <c r="K174" s="946"/>
      <c r="N174" s="1684"/>
      <c r="O174" s="957" t="s">
        <v>163</v>
      </c>
      <c r="Q174" s="606">
        <v>1</v>
      </c>
      <c r="R174" s="606">
        <v>1</v>
      </c>
      <c r="T174" s="606">
        <v>1</v>
      </c>
      <c r="V174" s="606">
        <v>1</v>
      </c>
      <c r="AA174" s="1684"/>
      <c r="AB174" s="957" t="s">
        <v>163</v>
      </c>
      <c r="AC174" s="610"/>
      <c r="AD174" s="610">
        <f>Q174/Q160</f>
        <v>0.25</v>
      </c>
      <c r="AE174" s="610">
        <f>R174/R160</f>
        <v>0.5</v>
      </c>
      <c r="AF174" s="610">
        <f>S174/S160</f>
        <v>0</v>
      </c>
      <c r="AG174" s="610"/>
      <c r="AH174" s="610">
        <f>U174/U160</f>
        <v>0</v>
      </c>
      <c r="AI174" s="610">
        <f>V174/V160</f>
        <v>0.5</v>
      </c>
      <c r="AJ174" s="952">
        <f t="shared" si="961"/>
        <v>0.25</v>
      </c>
      <c r="AK174" s="952">
        <f t="shared" si="962"/>
        <v>0.25</v>
      </c>
      <c r="AL174" s="952">
        <f t="shared" si="963"/>
        <v>0.27500000000000002</v>
      </c>
      <c r="AM174" s="952">
        <f t="shared" si="964"/>
        <v>0.27500000000000002</v>
      </c>
      <c r="AN174" s="952">
        <f t="shared" si="965"/>
        <v>0.27500000000000002</v>
      </c>
      <c r="AO174" s="952">
        <f t="shared" si="966"/>
        <v>0.30250000000000005</v>
      </c>
      <c r="AP174" s="1053">
        <v>0.25</v>
      </c>
      <c r="AQ174" s="1053">
        <f t="shared" si="1035"/>
        <v>0.22500000000000001</v>
      </c>
      <c r="AR174" s="1053">
        <f t="shared" si="1035"/>
        <v>0.22500000000000001</v>
      </c>
      <c r="AS174" s="1053">
        <f t="shared" si="1035"/>
        <v>0.22500000000000001</v>
      </c>
      <c r="AT174" s="1053">
        <f t="shared" si="1035"/>
        <v>0.24750000000000003</v>
      </c>
      <c r="AU174" s="1053">
        <f t="shared" si="1035"/>
        <v>0.27225000000000005</v>
      </c>
      <c r="AV174" s="1053">
        <f t="shared" si="1035"/>
        <v>0.27225000000000005</v>
      </c>
      <c r="AW174" s="1053">
        <f t="shared" si="1035"/>
        <v>0.27225000000000005</v>
      </c>
      <c r="AX174" s="1053">
        <f t="shared" si="1035"/>
        <v>0.27225000000000005</v>
      </c>
      <c r="AY174" s="1053">
        <f t="shared" si="1035"/>
        <v>0.27225000000000005</v>
      </c>
      <c r="AZ174" s="1053">
        <f t="shared" si="1035"/>
        <v>0.27225000000000005</v>
      </c>
      <c r="BA174" s="1053">
        <f t="shared" si="1035"/>
        <v>0.27225000000000005</v>
      </c>
      <c r="BB174" s="1053">
        <v>0.25</v>
      </c>
      <c r="BC174" s="1053">
        <f t="shared" si="1036"/>
        <v>0.22500000000000001</v>
      </c>
      <c r="BD174" s="1053">
        <f t="shared" si="968"/>
        <v>0.22500000000000001</v>
      </c>
      <c r="BE174" s="1053">
        <f t="shared" si="969"/>
        <v>0.22500000000000001</v>
      </c>
      <c r="BF174" s="1053">
        <f t="shared" si="970"/>
        <v>0.24750000000000003</v>
      </c>
      <c r="BG174" s="1053">
        <f t="shared" si="971"/>
        <v>0.27225000000000005</v>
      </c>
      <c r="BH174" s="1053">
        <f t="shared" si="972"/>
        <v>0.27225000000000005</v>
      </c>
      <c r="BI174" s="1053">
        <f t="shared" si="973"/>
        <v>0.27225000000000005</v>
      </c>
      <c r="BJ174" s="1053">
        <f t="shared" si="974"/>
        <v>0.27225000000000005</v>
      </c>
      <c r="BK174" s="1053">
        <f t="shared" si="975"/>
        <v>0.27225000000000005</v>
      </c>
      <c r="BL174" s="1053">
        <f t="shared" si="976"/>
        <v>0.27225000000000005</v>
      </c>
      <c r="BM174" s="1053">
        <f t="shared" si="977"/>
        <v>0.27225000000000005</v>
      </c>
      <c r="BN174" s="1053">
        <v>0.25</v>
      </c>
      <c r="BO174" s="1053">
        <f t="shared" si="1037"/>
        <v>0.22500000000000001</v>
      </c>
      <c r="BP174" s="1053">
        <f t="shared" si="978"/>
        <v>0.22500000000000001</v>
      </c>
      <c r="BQ174" s="1053">
        <f t="shared" si="979"/>
        <v>0.22500000000000001</v>
      </c>
      <c r="BR174" s="1053">
        <f t="shared" si="980"/>
        <v>0.24750000000000003</v>
      </c>
      <c r="BS174" s="1053">
        <f t="shared" si="981"/>
        <v>0.27225000000000005</v>
      </c>
      <c r="BT174" s="1053">
        <f t="shared" si="982"/>
        <v>0.27225000000000005</v>
      </c>
      <c r="BU174" s="1053">
        <f t="shared" si="983"/>
        <v>0.27225000000000005</v>
      </c>
      <c r="BV174" s="1053">
        <f t="shared" si="984"/>
        <v>0.27225000000000005</v>
      </c>
      <c r="BW174" s="1053">
        <f t="shared" si="985"/>
        <v>0.27225000000000005</v>
      </c>
      <c r="BX174" s="1053">
        <f t="shared" si="986"/>
        <v>0.27225000000000005</v>
      </c>
      <c r="BY174" s="1053">
        <f t="shared" si="987"/>
        <v>0.27225000000000005</v>
      </c>
      <c r="BZ174" s="1053">
        <v>0.25</v>
      </c>
      <c r="CA174" s="1053">
        <f t="shared" si="1038"/>
        <v>0.22500000000000001</v>
      </c>
      <c r="CB174" s="1053">
        <f t="shared" si="988"/>
        <v>0.22500000000000001</v>
      </c>
      <c r="CC174" s="1053">
        <f t="shared" si="989"/>
        <v>0.22500000000000001</v>
      </c>
      <c r="CD174" s="1053">
        <f t="shared" si="990"/>
        <v>0.24750000000000003</v>
      </c>
      <c r="CE174" s="1053">
        <f t="shared" si="991"/>
        <v>0.27225000000000005</v>
      </c>
      <c r="CF174" s="1053">
        <f t="shared" si="992"/>
        <v>0.27225000000000005</v>
      </c>
      <c r="CG174" s="1053">
        <f t="shared" si="993"/>
        <v>0.27225000000000005</v>
      </c>
      <c r="CH174" s="1053">
        <f t="shared" si="994"/>
        <v>0.27225000000000005</v>
      </c>
      <c r="CI174" s="1053">
        <f t="shared" si="995"/>
        <v>0.27225000000000005</v>
      </c>
      <c r="CJ174" s="1053">
        <f t="shared" si="996"/>
        <v>0.27225000000000005</v>
      </c>
      <c r="CK174" s="1053">
        <f t="shared" si="997"/>
        <v>0.27225000000000005</v>
      </c>
      <c r="CL174" s="1053">
        <v>0.25</v>
      </c>
      <c r="CM174" s="1053">
        <f t="shared" si="1039"/>
        <v>0.22500000000000001</v>
      </c>
      <c r="CN174" s="1053">
        <f t="shared" si="998"/>
        <v>0.22500000000000001</v>
      </c>
      <c r="CO174" s="1053">
        <f t="shared" si="999"/>
        <v>0.22500000000000001</v>
      </c>
      <c r="CP174" s="1053">
        <f t="shared" si="1000"/>
        <v>0.24750000000000003</v>
      </c>
      <c r="CQ174" s="1053">
        <f t="shared" si="1001"/>
        <v>0.27225000000000005</v>
      </c>
      <c r="CR174" s="1053">
        <f t="shared" si="1002"/>
        <v>0.27225000000000005</v>
      </c>
      <c r="CS174" s="1053">
        <f t="shared" si="1003"/>
        <v>0.27225000000000005</v>
      </c>
      <c r="CT174" s="1053">
        <f t="shared" si="1004"/>
        <v>0.27225000000000005</v>
      </c>
      <c r="CU174" s="1053">
        <f t="shared" si="1005"/>
        <v>0.27225000000000005</v>
      </c>
      <c r="CV174" s="1053">
        <f t="shared" si="1006"/>
        <v>0.27225000000000005</v>
      </c>
      <c r="CW174" s="1053">
        <f t="shared" si="1007"/>
        <v>0.27225000000000005</v>
      </c>
      <c r="CX174" s="1053">
        <v>0.25</v>
      </c>
      <c r="CY174" s="1053">
        <f t="shared" si="1040"/>
        <v>0.22500000000000001</v>
      </c>
      <c r="CZ174" s="1053">
        <f t="shared" si="1008"/>
        <v>0.22500000000000001</v>
      </c>
      <c r="DA174" s="1053">
        <f t="shared" si="1009"/>
        <v>0.22500000000000001</v>
      </c>
      <c r="DB174" s="1053">
        <f t="shared" si="1010"/>
        <v>0.24750000000000003</v>
      </c>
      <c r="DC174" s="1053">
        <f t="shared" si="1011"/>
        <v>0.27225000000000005</v>
      </c>
      <c r="DD174" s="1053">
        <f t="shared" si="1012"/>
        <v>0.27225000000000005</v>
      </c>
      <c r="DE174" s="1053">
        <f t="shared" si="1013"/>
        <v>0.27225000000000005</v>
      </c>
      <c r="DF174" s="1053">
        <f t="shared" si="1014"/>
        <v>0.27225000000000005</v>
      </c>
      <c r="DG174" s="1053">
        <f t="shared" si="1015"/>
        <v>0.27225000000000005</v>
      </c>
      <c r="DH174" s="1053">
        <f t="shared" si="1016"/>
        <v>0.27225000000000005</v>
      </c>
      <c r="DI174" s="1053">
        <f t="shared" si="1017"/>
        <v>0.27225000000000005</v>
      </c>
      <c r="DK174" s="1684"/>
      <c r="DL174" s="957" t="s">
        <v>163</v>
      </c>
      <c r="DN174" s="994">
        <v>1</v>
      </c>
      <c r="DO174" s="995">
        <f>DO160*$AJ$174</f>
        <v>0</v>
      </c>
      <c r="DP174" s="995">
        <f>DP160*$AJ$174</f>
        <v>0.25</v>
      </c>
      <c r="DQ174" s="995">
        <f>DQ160*$AJ$174</f>
        <v>0</v>
      </c>
      <c r="DR174" s="996">
        <f>DR160*$AJ$174</f>
        <v>0</v>
      </c>
      <c r="DT174" s="994">
        <v>1</v>
      </c>
      <c r="DU174" s="995">
        <f>DU160*$AH$174</f>
        <v>0</v>
      </c>
      <c r="DV174" s="995">
        <f>DV160*$AH$174</f>
        <v>0</v>
      </c>
      <c r="DW174" s="995">
        <f>DW160*$AH$174</f>
        <v>0</v>
      </c>
      <c r="DX174" s="996">
        <f>DX160*$AH$174</f>
        <v>0</v>
      </c>
      <c r="DZ174" s="994">
        <v>1</v>
      </c>
      <c r="EA174" s="995">
        <f>EA160*AL$174</f>
        <v>0</v>
      </c>
      <c r="EB174" s="995">
        <f>EB160*AM$174</f>
        <v>0.27500000000000002</v>
      </c>
      <c r="EC174" s="995">
        <f>EC160*AN$174</f>
        <v>0</v>
      </c>
      <c r="ED174" s="996">
        <f>ED160*AO$174</f>
        <v>0</v>
      </c>
      <c r="EF174" s="994">
        <f t="shared" si="1018"/>
        <v>0</v>
      </c>
      <c r="EG174" s="995">
        <f t="shared" si="1019"/>
        <v>0</v>
      </c>
      <c r="EH174" s="995">
        <f t="shared" si="1020"/>
        <v>0</v>
      </c>
      <c r="EI174" s="995">
        <f t="shared" si="1021"/>
        <v>0</v>
      </c>
      <c r="EJ174" s="995">
        <f t="shared" si="1022"/>
        <v>0</v>
      </c>
      <c r="EK174" s="995">
        <f t="shared" si="1023"/>
        <v>0</v>
      </c>
      <c r="EL174" s="995">
        <f t="shared" si="1024"/>
        <v>0</v>
      </c>
      <c r="EM174" s="995">
        <f t="shared" si="1025"/>
        <v>0</v>
      </c>
      <c r="EN174" s="995">
        <f t="shared" si="1026"/>
        <v>0</v>
      </c>
      <c r="EO174" s="995">
        <f t="shared" si="1027"/>
        <v>0</v>
      </c>
      <c r="EP174" s="995">
        <f t="shared" si="1028"/>
        <v>0</v>
      </c>
      <c r="EQ174" s="996">
        <f t="shared" si="1029"/>
        <v>0</v>
      </c>
      <c r="ES174" s="994">
        <f t="shared" si="1041"/>
        <v>0</v>
      </c>
      <c r="ET174" s="995">
        <f t="shared" si="1030"/>
        <v>0</v>
      </c>
      <c r="EU174" s="995">
        <f t="shared" si="1030"/>
        <v>0</v>
      </c>
      <c r="EV174" s="995">
        <f t="shared" si="1030"/>
        <v>0</v>
      </c>
      <c r="EW174" s="995">
        <f t="shared" si="1030"/>
        <v>0</v>
      </c>
      <c r="EX174" s="995">
        <f t="shared" si="1030"/>
        <v>0</v>
      </c>
      <c r="EY174" s="995">
        <f t="shared" si="1030"/>
        <v>0</v>
      </c>
      <c r="EZ174" s="995">
        <f t="shared" si="1030"/>
        <v>0</v>
      </c>
      <c r="FA174" s="995">
        <f t="shared" si="1030"/>
        <v>0</v>
      </c>
      <c r="FB174" s="995">
        <f t="shared" si="1030"/>
        <v>0</v>
      </c>
      <c r="FC174" s="995">
        <f t="shared" si="1030"/>
        <v>0</v>
      </c>
      <c r="FD174" s="996">
        <f t="shared" si="1030"/>
        <v>0</v>
      </c>
      <c r="FF174" s="994">
        <f t="shared" si="1042"/>
        <v>0</v>
      </c>
      <c r="FG174" s="995">
        <f t="shared" si="1031"/>
        <v>0</v>
      </c>
      <c r="FH174" s="995">
        <f t="shared" si="1031"/>
        <v>0</v>
      </c>
      <c r="FI174" s="995">
        <f t="shared" si="1031"/>
        <v>0</v>
      </c>
      <c r="FJ174" s="995">
        <f t="shared" si="1031"/>
        <v>0</v>
      </c>
      <c r="FK174" s="995">
        <f t="shared" si="1031"/>
        <v>0</v>
      </c>
      <c r="FL174" s="995">
        <f t="shared" si="1031"/>
        <v>0</v>
      </c>
      <c r="FM174" s="995">
        <f t="shared" si="1031"/>
        <v>0</v>
      </c>
      <c r="FN174" s="995">
        <f t="shared" si="1031"/>
        <v>0</v>
      </c>
      <c r="FO174" s="995">
        <f t="shared" si="1031"/>
        <v>0</v>
      </c>
      <c r="FP174" s="995">
        <f t="shared" si="1031"/>
        <v>0</v>
      </c>
      <c r="FQ174" s="996">
        <f t="shared" si="1031"/>
        <v>0</v>
      </c>
      <c r="FS174" s="994">
        <f t="shared" si="1043"/>
        <v>0</v>
      </c>
      <c r="FT174" s="995">
        <f t="shared" si="1032"/>
        <v>0</v>
      </c>
      <c r="FU174" s="995">
        <f t="shared" si="1032"/>
        <v>0</v>
      </c>
      <c r="FV174" s="995">
        <f t="shared" si="1032"/>
        <v>0</v>
      </c>
      <c r="FW174" s="995">
        <f t="shared" si="1032"/>
        <v>0</v>
      </c>
      <c r="FX174" s="995">
        <f t="shared" si="1032"/>
        <v>0</v>
      </c>
      <c r="FY174" s="995">
        <f t="shared" si="1032"/>
        <v>0</v>
      </c>
      <c r="FZ174" s="995">
        <f t="shared" si="1032"/>
        <v>0</v>
      </c>
      <c r="GA174" s="995">
        <f t="shared" si="1032"/>
        <v>0</v>
      </c>
      <c r="GB174" s="995">
        <f t="shared" si="1032"/>
        <v>0</v>
      </c>
      <c r="GC174" s="995">
        <f t="shared" si="1032"/>
        <v>0</v>
      </c>
      <c r="GD174" s="996">
        <f t="shared" si="1032"/>
        <v>0</v>
      </c>
      <c r="GF174" s="994">
        <f t="shared" si="1044"/>
        <v>0</v>
      </c>
      <c r="GG174" s="995">
        <f t="shared" si="1033"/>
        <v>0</v>
      </c>
      <c r="GH174" s="995">
        <f t="shared" si="1033"/>
        <v>0</v>
      </c>
      <c r="GI174" s="995">
        <f t="shared" si="1033"/>
        <v>0</v>
      </c>
      <c r="GJ174" s="995">
        <f t="shared" si="1033"/>
        <v>0</v>
      </c>
      <c r="GK174" s="995">
        <f t="shared" si="1033"/>
        <v>0</v>
      </c>
      <c r="GL174" s="995">
        <f t="shared" si="1033"/>
        <v>0</v>
      </c>
      <c r="GM174" s="995">
        <f t="shared" si="1033"/>
        <v>0</v>
      </c>
      <c r="GN174" s="995">
        <f t="shared" si="1033"/>
        <v>0</v>
      </c>
      <c r="GO174" s="995">
        <f t="shared" si="1033"/>
        <v>0</v>
      </c>
      <c r="GP174" s="995">
        <f t="shared" si="1033"/>
        <v>0</v>
      </c>
      <c r="GQ174" s="996">
        <f t="shared" si="1033"/>
        <v>0</v>
      </c>
      <c r="GS174" s="994">
        <f t="shared" si="1045"/>
        <v>0</v>
      </c>
      <c r="GT174" s="995">
        <f t="shared" si="1034"/>
        <v>0</v>
      </c>
      <c r="GU174" s="995">
        <f t="shared" si="1034"/>
        <v>0</v>
      </c>
      <c r="GV174" s="995">
        <f t="shared" si="1034"/>
        <v>0</v>
      </c>
      <c r="GW174" s="995">
        <f t="shared" si="1034"/>
        <v>0</v>
      </c>
      <c r="GX174" s="995">
        <f t="shared" si="1034"/>
        <v>0</v>
      </c>
      <c r="GY174" s="995">
        <f t="shared" si="1034"/>
        <v>0</v>
      </c>
      <c r="GZ174" s="995">
        <f t="shared" si="1034"/>
        <v>0</v>
      </c>
      <c r="HA174" s="995">
        <f t="shared" si="1034"/>
        <v>0</v>
      </c>
      <c r="HB174" s="995">
        <f t="shared" si="1034"/>
        <v>0</v>
      </c>
      <c r="HC174" s="995">
        <f t="shared" si="1034"/>
        <v>0</v>
      </c>
      <c r="HD174" s="996">
        <f t="shared" si="1034"/>
        <v>0</v>
      </c>
    </row>
    <row r="175" spans="2:212" ht="14.25">
      <c r="B175" s="1069" t="s">
        <v>1068</v>
      </c>
      <c r="C175" s="1009"/>
      <c r="D175" s="31"/>
      <c r="E175" s="31"/>
      <c r="F175" s="31"/>
      <c r="G175" s="31"/>
      <c r="H175" s="31"/>
      <c r="I175" s="31"/>
      <c r="J175" s="946"/>
      <c r="K175" s="946"/>
      <c r="N175" s="1684"/>
      <c r="O175" s="957" t="s">
        <v>164</v>
      </c>
      <c r="R175" s="606">
        <v>0</v>
      </c>
      <c r="S175" s="606">
        <v>1</v>
      </c>
      <c r="AA175" s="1684"/>
      <c r="AB175" s="957" t="s">
        <v>164</v>
      </c>
      <c r="AC175" s="610"/>
      <c r="AD175" s="610"/>
      <c r="AE175" s="610">
        <f>R175/R161</f>
        <v>0</v>
      </c>
      <c r="AF175" s="610">
        <f>S175/S161</f>
        <v>0.5</v>
      </c>
      <c r="AG175" s="610">
        <f>T175/T161</f>
        <v>0</v>
      </c>
      <c r="AH175" s="610"/>
      <c r="AI175" s="610">
        <f>V175/V161</f>
        <v>0</v>
      </c>
      <c r="AJ175" s="952">
        <f t="shared" si="961"/>
        <v>0.125</v>
      </c>
      <c r="AK175" s="952">
        <f t="shared" si="962"/>
        <v>0.125</v>
      </c>
      <c r="AL175" s="952">
        <f t="shared" si="963"/>
        <v>0.13750000000000001</v>
      </c>
      <c r="AM175" s="952">
        <f t="shared" si="964"/>
        <v>0.13750000000000001</v>
      </c>
      <c r="AN175" s="952">
        <f t="shared" si="965"/>
        <v>0.13750000000000001</v>
      </c>
      <c r="AO175" s="952">
        <f t="shared" si="966"/>
        <v>0.15125000000000002</v>
      </c>
      <c r="AP175" s="1053">
        <v>0.2</v>
      </c>
      <c r="AQ175" s="1053">
        <f t="shared" si="1035"/>
        <v>0.18000000000000002</v>
      </c>
      <c r="AR175" s="1053">
        <f t="shared" si="1035"/>
        <v>0.18000000000000002</v>
      </c>
      <c r="AS175" s="1053">
        <f t="shared" si="1035"/>
        <v>0.18000000000000002</v>
      </c>
      <c r="AT175" s="1053">
        <f t="shared" si="1035"/>
        <v>0.19800000000000004</v>
      </c>
      <c r="AU175" s="1053">
        <f t="shared" si="1035"/>
        <v>0.21780000000000005</v>
      </c>
      <c r="AV175" s="1053">
        <f t="shared" si="1035"/>
        <v>0.21780000000000005</v>
      </c>
      <c r="AW175" s="1053">
        <f t="shared" si="1035"/>
        <v>0.21780000000000005</v>
      </c>
      <c r="AX175" s="1053">
        <f t="shared" si="1035"/>
        <v>0.21780000000000005</v>
      </c>
      <c r="AY175" s="1053">
        <f t="shared" si="1035"/>
        <v>0.21780000000000005</v>
      </c>
      <c r="AZ175" s="1053">
        <f t="shared" si="1035"/>
        <v>0.21780000000000005</v>
      </c>
      <c r="BA175" s="1053">
        <f t="shared" si="1035"/>
        <v>0.21780000000000005</v>
      </c>
      <c r="BB175" s="1053">
        <v>0.2</v>
      </c>
      <c r="BC175" s="1053">
        <f t="shared" si="1036"/>
        <v>0.18000000000000002</v>
      </c>
      <c r="BD175" s="1053">
        <f t="shared" si="968"/>
        <v>0.18000000000000002</v>
      </c>
      <c r="BE175" s="1053">
        <f t="shared" si="969"/>
        <v>0.18000000000000002</v>
      </c>
      <c r="BF175" s="1053">
        <f t="shared" si="970"/>
        <v>0.19800000000000004</v>
      </c>
      <c r="BG175" s="1053">
        <f t="shared" si="971"/>
        <v>0.21780000000000005</v>
      </c>
      <c r="BH175" s="1053">
        <f t="shared" si="972"/>
        <v>0.21780000000000005</v>
      </c>
      <c r="BI175" s="1053">
        <f t="shared" si="973"/>
        <v>0.21780000000000005</v>
      </c>
      <c r="BJ175" s="1053">
        <f t="shared" si="974"/>
        <v>0.21780000000000005</v>
      </c>
      <c r="BK175" s="1053">
        <f t="shared" si="975"/>
        <v>0.21780000000000005</v>
      </c>
      <c r="BL175" s="1053">
        <f t="shared" si="976"/>
        <v>0.21780000000000005</v>
      </c>
      <c r="BM175" s="1053">
        <f t="shared" si="977"/>
        <v>0.21780000000000005</v>
      </c>
      <c r="BN175" s="1053">
        <v>0.2</v>
      </c>
      <c r="BO175" s="1053">
        <f t="shared" si="1037"/>
        <v>0.18000000000000002</v>
      </c>
      <c r="BP175" s="1053">
        <f t="shared" si="978"/>
        <v>0.18000000000000002</v>
      </c>
      <c r="BQ175" s="1053">
        <f t="shared" si="979"/>
        <v>0.18000000000000002</v>
      </c>
      <c r="BR175" s="1053">
        <f t="shared" si="980"/>
        <v>0.19800000000000004</v>
      </c>
      <c r="BS175" s="1053">
        <f t="shared" si="981"/>
        <v>0.21780000000000005</v>
      </c>
      <c r="BT175" s="1053">
        <f t="shared" si="982"/>
        <v>0.21780000000000005</v>
      </c>
      <c r="BU175" s="1053">
        <f t="shared" si="983"/>
        <v>0.21780000000000005</v>
      </c>
      <c r="BV175" s="1053">
        <f t="shared" si="984"/>
        <v>0.21780000000000005</v>
      </c>
      <c r="BW175" s="1053">
        <f t="shared" si="985"/>
        <v>0.21780000000000005</v>
      </c>
      <c r="BX175" s="1053">
        <f t="shared" si="986"/>
        <v>0.21780000000000005</v>
      </c>
      <c r="BY175" s="1053">
        <f t="shared" si="987"/>
        <v>0.21780000000000005</v>
      </c>
      <c r="BZ175" s="1053">
        <v>0.2</v>
      </c>
      <c r="CA175" s="1053">
        <f t="shared" si="1038"/>
        <v>0.18000000000000002</v>
      </c>
      <c r="CB175" s="1053">
        <f t="shared" si="988"/>
        <v>0.18000000000000002</v>
      </c>
      <c r="CC175" s="1053">
        <f t="shared" si="989"/>
        <v>0.18000000000000002</v>
      </c>
      <c r="CD175" s="1053">
        <f t="shared" si="990"/>
        <v>0.19800000000000004</v>
      </c>
      <c r="CE175" s="1053">
        <f t="shared" si="991"/>
        <v>0.21780000000000005</v>
      </c>
      <c r="CF175" s="1053">
        <f t="shared" si="992"/>
        <v>0.21780000000000005</v>
      </c>
      <c r="CG175" s="1053">
        <f t="shared" si="993"/>
        <v>0.21780000000000005</v>
      </c>
      <c r="CH175" s="1053">
        <f t="shared" si="994"/>
        <v>0.21780000000000005</v>
      </c>
      <c r="CI175" s="1053">
        <f t="shared" si="995"/>
        <v>0.21780000000000005</v>
      </c>
      <c r="CJ175" s="1053">
        <f t="shared" si="996"/>
        <v>0.21780000000000005</v>
      </c>
      <c r="CK175" s="1053">
        <f t="shared" si="997"/>
        <v>0.21780000000000005</v>
      </c>
      <c r="CL175" s="1053">
        <v>0.2</v>
      </c>
      <c r="CM175" s="1053">
        <f t="shared" si="1039"/>
        <v>0.18000000000000002</v>
      </c>
      <c r="CN175" s="1053">
        <f t="shared" si="998"/>
        <v>0.18000000000000002</v>
      </c>
      <c r="CO175" s="1053">
        <f t="shared" si="999"/>
        <v>0.18000000000000002</v>
      </c>
      <c r="CP175" s="1053">
        <f t="shared" si="1000"/>
        <v>0.19800000000000004</v>
      </c>
      <c r="CQ175" s="1053">
        <f t="shared" si="1001"/>
        <v>0.21780000000000005</v>
      </c>
      <c r="CR175" s="1053">
        <f t="shared" si="1002"/>
        <v>0.21780000000000005</v>
      </c>
      <c r="CS175" s="1053">
        <f t="shared" si="1003"/>
        <v>0.21780000000000005</v>
      </c>
      <c r="CT175" s="1053">
        <f t="shared" si="1004"/>
        <v>0.21780000000000005</v>
      </c>
      <c r="CU175" s="1053">
        <f t="shared" si="1005"/>
        <v>0.21780000000000005</v>
      </c>
      <c r="CV175" s="1053">
        <f t="shared" si="1006"/>
        <v>0.21780000000000005</v>
      </c>
      <c r="CW175" s="1053">
        <f t="shared" si="1007"/>
        <v>0.21780000000000005</v>
      </c>
      <c r="CX175" s="1053">
        <v>0.2</v>
      </c>
      <c r="CY175" s="1053">
        <f t="shared" si="1040"/>
        <v>0.18000000000000002</v>
      </c>
      <c r="CZ175" s="1053">
        <f t="shared" si="1008"/>
        <v>0.18000000000000002</v>
      </c>
      <c r="DA175" s="1053">
        <f t="shared" si="1009"/>
        <v>0.18000000000000002</v>
      </c>
      <c r="DB175" s="1053">
        <f t="shared" si="1010"/>
        <v>0.19800000000000004</v>
      </c>
      <c r="DC175" s="1053">
        <f t="shared" si="1011"/>
        <v>0.21780000000000005</v>
      </c>
      <c r="DD175" s="1053">
        <f t="shared" si="1012"/>
        <v>0.21780000000000005</v>
      </c>
      <c r="DE175" s="1053">
        <f t="shared" si="1013"/>
        <v>0.21780000000000005</v>
      </c>
      <c r="DF175" s="1053">
        <f t="shared" si="1014"/>
        <v>0.21780000000000005</v>
      </c>
      <c r="DG175" s="1053">
        <f t="shared" si="1015"/>
        <v>0.21780000000000005</v>
      </c>
      <c r="DH175" s="1053">
        <f t="shared" si="1016"/>
        <v>0.21780000000000005</v>
      </c>
      <c r="DI175" s="1053">
        <f t="shared" si="1017"/>
        <v>0.21780000000000005</v>
      </c>
      <c r="DK175" s="1684"/>
      <c r="DL175" s="957" t="s">
        <v>164</v>
      </c>
      <c r="DN175" s="994">
        <v>1</v>
      </c>
      <c r="DO175" s="995">
        <f>DO161*$AJ$175</f>
        <v>0.25</v>
      </c>
      <c r="DP175" s="995">
        <f>DP161*$AJ$175</f>
        <v>0</v>
      </c>
      <c r="DQ175" s="995">
        <f>DQ161*$AJ$175</f>
        <v>0.125</v>
      </c>
      <c r="DR175" s="996">
        <f>DR161*$AJ$175</f>
        <v>0</v>
      </c>
      <c r="DT175" s="994">
        <v>1</v>
      </c>
      <c r="DU175" s="995">
        <f>DU161*$AH$175</f>
        <v>0</v>
      </c>
      <c r="DV175" s="995">
        <f>DV161*$AH$175</f>
        <v>0</v>
      </c>
      <c r="DW175" s="995">
        <f>DW161*$AH$175</f>
        <v>0</v>
      </c>
      <c r="DX175" s="996">
        <f>DX161*$AH$175</f>
        <v>0</v>
      </c>
      <c r="DZ175" s="994">
        <v>1</v>
      </c>
      <c r="EA175" s="995">
        <f>EA161*AL$175</f>
        <v>0.27500000000000002</v>
      </c>
      <c r="EB175" s="995">
        <f>EB161*AM$175</f>
        <v>0</v>
      </c>
      <c r="EC175" s="995">
        <f>EC161*AN$175</f>
        <v>0.13750000000000001</v>
      </c>
      <c r="ED175" s="996">
        <f>ED161*AO$175</f>
        <v>0</v>
      </c>
      <c r="EF175" s="994">
        <f t="shared" si="1018"/>
        <v>0</v>
      </c>
      <c r="EG175" s="995">
        <f t="shared" si="1019"/>
        <v>0</v>
      </c>
      <c r="EH175" s="995">
        <f t="shared" si="1020"/>
        <v>0</v>
      </c>
      <c r="EI175" s="995">
        <f t="shared" si="1021"/>
        <v>0</v>
      </c>
      <c r="EJ175" s="995">
        <f t="shared" si="1022"/>
        <v>0</v>
      </c>
      <c r="EK175" s="995">
        <f t="shared" si="1023"/>
        <v>0</v>
      </c>
      <c r="EL175" s="995">
        <f t="shared" si="1024"/>
        <v>0</v>
      </c>
      <c r="EM175" s="995">
        <f t="shared" si="1025"/>
        <v>0</v>
      </c>
      <c r="EN175" s="995">
        <f t="shared" si="1026"/>
        <v>0</v>
      </c>
      <c r="EO175" s="995">
        <f t="shared" si="1027"/>
        <v>0</v>
      </c>
      <c r="EP175" s="995">
        <f t="shared" si="1028"/>
        <v>0</v>
      </c>
      <c r="EQ175" s="996">
        <f t="shared" si="1029"/>
        <v>0</v>
      </c>
      <c r="ES175" s="994">
        <f t="shared" si="1041"/>
        <v>0</v>
      </c>
      <c r="ET175" s="995">
        <f t="shared" si="1030"/>
        <v>0</v>
      </c>
      <c r="EU175" s="995">
        <f t="shared" si="1030"/>
        <v>0</v>
      </c>
      <c r="EV175" s="995">
        <f t="shared" si="1030"/>
        <v>0</v>
      </c>
      <c r="EW175" s="995">
        <f t="shared" si="1030"/>
        <v>0</v>
      </c>
      <c r="EX175" s="995">
        <f t="shared" si="1030"/>
        <v>0</v>
      </c>
      <c r="EY175" s="995">
        <f t="shared" si="1030"/>
        <v>0</v>
      </c>
      <c r="EZ175" s="995">
        <f t="shared" si="1030"/>
        <v>0</v>
      </c>
      <c r="FA175" s="995">
        <f t="shared" si="1030"/>
        <v>0</v>
      </c>
      <c r="FB175" s="995">
        <f t="shared" si="1030"/>
        <v>0</v>
      </c>
      <c r="FC175" s="995">
        <f t="shared" si="1030"/>
        <v>0</v>
      </c>
      <c r="FD175" s="996">
        <f t="shared" si="1030"/>
        <v>0</v>
      </c>
      <c r="FF175" s="994">
        <f t="shared" si="1042"/>
        <v>0</v>
      </c>
      <c r="FG175" s="995">
        <f t="shared" si="1031"/>
        <v>0</v>
      </c>
      <c r="FH175" s="995">
        <f t="shared" si="1031"/>
        <v>0</v>
      </c>
      <c r="FI175" s="995">
        <f t="shared" si="1031"/>
        <v>0</v>
      </c>
      <c r="FJ175" s="995">
        <f t="shared" si="1031"/>
        <v>0</v>
      </c>
      <c r="FK175" s="995">
        <f t="shared" si="1031"/>
        <v>0</v>
      </c>
      <c r="FL175" s="995">
        <f t="shared" si="1031"/>
        <v>0</v>
      </c>
      <c r="FM175" s="995">
        <f t="shared" si="1031"/>
        <v>0</v>
      </c>
      <c r="FN175" s="995">
        <f t="shared" si="1031"/>
        <v>0</v>
      </c>
      <c r="FO175" s="995">
        <f t="shared" si="1031"/>
        <v>0</v>
      </c>
      <c r="FP175" s="995">
        <f t="shared" si="1031"/>
        <v>0</v>
      </c>
      <c r="FQ175" s="996">
        <f t="shared" si="1031"/>
        <v>0</v>
      </c>
      <c r="FS175" s="994">
        <f t="shared" si="1043"/>
        <v>0</v>
      </c>
      <c r="FT175" s="995">
        <f t="shared" si="1032"/>
        <v>0</v>
      </c>
      <c r="FU175" s="995">
        <f t="shared" si="1032"/>
        <v>0</v>
      </c>
      <c r="FV175" s="995">
        <f t="shared" si="1032"/>
        <v>0</v>
      </c>
      <c r="FW175" s="995">
        <f t="shared" si="1032"/>
        <v>0</v>
      </c>
      <c r="FX175" s="995">
        <f t="shared" si="1032"/>
        <v>0</v>
      </c>
      <c r="FY175" s="995">
        <f t="shared" si="1032"/>
        <v>0</v>
      </c>
      <c r="FZ175" s="995">
        <f t="shared" si="1032"/>
        <v>0</v>
      </c>
      <c r="GA175" s="995">
        <f t="shared" si="1032"/>
        <v>0</v>
      </c>
      <c r="GB175" s="995">
        <f t="shared" si="1032"/>
        <v>0</v>
      </c>
      <c r="GC175" s="995">
        <f t="shared" si="1032"/>
        <v>0</v>
      </c>
      <c r="GD175" s="996">
        <f t="shared" si="1032"/>
        <v>0</v>
      </c>
      <c r="GF175" s="994">
        <f t="shared" si="1044"/>
        <v>0</v>
      </c>
      <c r="GG175" s="995">
        <f t="shared" si="1033"/>
        <v>0</v>
      </c>
      <c r="GH175" s="995">
        <f t="shared" si="1033"/>
        <v>0</v>
      </c>
      <c r="GI175" s="995">
        <f t="shared" si="1033"/>
        <v>0</v>
      </c>
      <c r="GJ175" s="995">
        <f t="shared" si="1033"/>
        <v>0</v>
      </c>
      <c r="GK175" s="995">
        <f t="shared" si="1033"/>
        <v>0</v>
      </c>
      <c r="GL175" s="995">
        <f t="shared" si="1033"/>
        <v>0</v>
      </c>
      <c r="GM175" s="995">
        <f t="shared" si="1033"/>
        <v>0</v>
      </c>
      <c r="GN175" s="995">
        <f t="shared" si="1033"/>
        <v>0</v>
      </c>
      <c r="GO175" s="995">
        <f t="shared" si="1033"/>
        <v>0</v>
      </c>
      <c r="GP175" s="995">
        <f t="shared" si="1033"/>
        <v>0</v>
      </c>
      <c r="GQ175" s="996">
        <f t="shared" si="1033"/>
        <v>0</v>
      </c>
      <c r="GS175" s="994">
        <f t="shared" si="1045"/>
        <v>0</v>
      </c>
      <c r="GT175" s="995">
        <f t="shared" si="1034"/>
        <v>0</v>
      </c>
      <c r="GU175" s="995">
        <f t="shared" si="1034"/>
        <v>0</v>
      </c>
      <c r="GV175" s="995">
        <f t="shared" si="1034"/>
        <v>0</v>
      </c>
      <c r="GW175" s="995">
        <f t="shared" si="1034"/>
        <v>0</v>
      </c>
      <c r="GX175" s="995">
        <f t="shared" si="1034"/>
        <v>0</v>
      </c>
      <c r="GY175" s="995">
        <f t="shared" si="1034"/>
        <v>0</v>
      </c>
      <c r="GZ175" s="995">
        <f t="shared" si="1034"/>
        <v>0</v>
      </c>
      <c r="HA175" s="995">
        <f t="shared" si="1034"/>
        <v>0</v>
      </c>
      <c r="HB175" s="995">
        <f t="shared" si="1034"/>
        <v>0</v>
      </c>
      <c r="HC175" s="995">
        <f t="shared" si="1034"/>
        <v>0</v>
      </c>
      <c r="HD175" s="996">
        <f t="shared" si="1034"/>
        <v>0</v>
      </c>
    </row>
    <row r="176" spans="2:212" ht="14.25">
      <c r="B176" s="1120"/>
      <c r="C176" s="31"/>
      <c r="D176" s="31"/>
      <c r="E176" s="31"/>
      <c r="F176" s="31"/>
      <c r="G176" s="31"/>
      <c r="H176" s="31"/>
      <c r="I176" s="31"/>
      <c r="N176" s="1684"/>
      <c r="O176" s="957" t="s">
        <v>166</v>
      </c>
      <c r="S176" s="606">
        <v>1</v>
      </c>
      <c r="T176" s="606">
        <v>1</v>
      </c>
      <c r="U176" s="606">
        <v>1</v>
      </c>
      <c r="AA176" s="1684"/>
      <c r="AB176" s="957" t="s">
        <v>166</v>
      </c>
      <c r="AC176" s="610">
        <f>P176/P162</f>
        <v>0</v>
      </c>
      <c r="AD176" s="610"/>
      <c r="AE176" s="610"/>
      <c r="AF176" s="610">
        <f>S176/S162</f>
        <v>0.33333333333333331</v>
      </c>
      <c r="AG176" s="610">
        <f>T176/T162</f>
        <v>0.5</v>
      </c>
      <c r="AH176" s="610">
        <f>U176/U162</f>
        <v>1</v>
      </c>
      <c r="AI176" s="610"/>
      <c r="AJ176" s="952">
        <f t="shared" si="961"/>
        <v>0.45833333333333331</v>
      </c>
      <c r="AK176" s="952">
        <f t="shared" si="962"/>
        <v>0.45833333333333331</v>
      </c>
      <c r="AL176" s="952">
        <f t="shared" si="963"/>
        <v>0.50416666666666665</v>
      </c>
      <c r="AM176" s="952">
        <f t="shared" si="964"/>
        <v>0.50416666666666665</v>
      </c>
      <c r="AN176" s="952">
        <f t="shared" si="965"/>
        <v>0.50416666666666665</v>
      </c>
      <c r="AO176" s="952">
        <f t="shared" si="966"/>
        <v>0.55458333333333332</v>
      </c>
      <c r="AP176" s="1053">
        <v>0.2</v>
      </c>
      <c r="AQ176" s="1053">
        <f t="shared" si="1035"/>
        <v>0.18000000000000002</v>
      </c>
      <c r="AR176" s="1053">
        <f t="shared" si="1035"/>
        <v>0.18000000000000002</v>
      </c>
      <c r="AS176" s="1053">
        <f t="shared" si="1035"/>
        <v>0.18000000000000002</v>
      </c>
      <c r="AT176" s="1053">
        <f t="shared" si="1035"/>
        <v>0.19800000000000004</v>
      </c>
      <c r="AU176" s="1053">
        <f t="shared" si="1035"/>
        <v>0.21780000000000005</v>
      </c>
      <c r="AV176" s="1053">
        <f t="shared" si="1035"/>
        <v>0.21780000000000005</v>
      </c>
      <c r="AW176" s="1053">
        <f t="shared" si="1035"/>
        <v>0.21780000000000005</v>
      </c>
      <c r="AX176" s="1053">
        <f t="shared" si="1035"/>
        <v>0.21780000000000005</v>
      </c>
      <c r="AY176" s="1053">
        <f t="shared" si="1035"/>
        <v>0.21780000000000005</v>
      </c>
      <c r="AZ176" s="1053">
        <f t="shared" si="1035"/>
        <v>0.21780000000000005</v>
      </c>
      <c r="BA176" s="1053">
        <f t="shared" si="1035"/>
        <v>0.21780000000000005</v>
      </c>
      <c r="BB176" s="1053">
        <v>0.2</v>
      </c>
      <c r="BC176" s="1053">
        <f t="shared" si="1036"/>
        <v>0.18000000000000002</v>
      </c>
      <c r="BD176" s="1053">
        <f t="shared" si="968"/>
        <v>0.18000000000000002</v>
      </c>
      <c r="BE176" s="1053">
        <f t="shared" si="969"/>
        <v>0.18000000000000002</v>
      </c>
      <c r="BF176" s="1053">
        <f t="shared" si="970"/>
        <v>0.19800000000000004</v>
      </c>
      <c r="BG176" s="1053">
        <f t="shared" si="971"/>
        <v>0.21780000000000005</v>
      </c>
      <c r="BH176" s="1053">
        <f t="shared" si="972"/>
        <v>0.21780000000000005</v>
      </c>
      <c r="BI176" s="1053">
        <f t="shared" si="973"/>
        <v>0.21780000000000005</v>
      </c>
      <c r="BJ176" s="1053">
        <f t="shared" si="974"/>
        <v>0.21780000000000005</v>
      </c>
      <c r="BK176" s="1053">
        <f t="shared" si="975"/>
        <v>0.21780000000000005</v>
      </c>
      <c r="BL176" s="1053">
        <f t="shared" si="976"/>
        <v>0.21780000000000005</v>
      </c>
      <c r="BM176" s="1053">
        <f t="shared" si="977"/>
        <v>0.21780000000000005</v>
      </c>
      <c r="BN176" s="1053">
        <v>0.2</v>
      </c>
      <c r="BO176" s="1053">
        <f t="shared" si="1037"/>
        <v>0.18000000000000002</v>
      </c>
      <c r="BP176" s="1053">
        <f t="shared" si="978"/>
        <v>0.18000000000000002</v>
      </c>
      <c r="BQ176" s="1053">
        <f t="shared" si="979"/>
        <v>0.18000000000000002</v>
      </c>
      <c r="BR176" s="1053">
        <f t="shared" si="980"/>
        <v>0.19800000000000004</v>
      </c>
      <c r="BS176" s="1053">
        <f t="shared" si="981"/>
        <v>0.21780000000000005</v>
      </c>
      <c r="BT176" s="1053">
        <f t="shared" si="982"/>
        <v>0.21780000000000005</v>
      </c>
      <c r="BU176" s="1053">
        <f t="shared" si="983"/>
        <v>0.21780000000000005</v>
      </c>
      <c r="BV176" s="1053">
        <f t="shared" si="984"/>
        <v>0.21780000000000005</v>
      </c>
      <c r="BW176" s="1053">
        <f t="shared" si="985"/>
        <v>0.21780000000000005</v>
      </c>
      <c r="BX176" s="1053">
        <f t="shared" si="986"/>
        <v>0.21780000000000005</v>
      </c>
      <c r="BY176" s="1053">
        <f t="shared" si="987"/>
        <v>0.21780000000000005</v>
      </c>
      <c r="BZ176" s="1053">
        <v>0.2</v>
      </c>
      <c r="CA176" s="1053">
        <f t="shared" si="1038"/>
        <v>0.18000000000000002</v>
      </c>
      <c r="CB176" s="1053">
        <f t="shared" si="988"/>
        <v>0.18000000000000002</v>
      </c>
      <c r="CC176" s="1053">
        <f t="shared" si="989"/>
        <v>0.18000000000000002</v>
      </c>
      <c r="CD176" s="1053">
        <f t="shared" si="990"/>
        <v>0.19800000000000004</v>
      </c>
      <c r="CE176" s="1053">
        <f t="shared" si="991"/>
        <v>0.21780000000000005</v>
      </c>
      <c r="CF176" s="1053">
        <f t="shared" si="992"/>
        <v>0.21780000000000005</v>
      </c>
      <c r="CG176" s="1053">
        <f t="shared" si="993"/>
        <v>0.21780000000000005</v>
      </c>
      <c r="CH176" s="1053">
        <f t="shared" si="994"/>
        <v>0.21780000000000005</v>
      </c>
      <c r="CI176" s="1053">
        <f t="shared" si="995"/>
        <v>0.21780000000000005</v>
      </c>
      <c r="CJ176" s="1053">
        <f t="shared" si="996"/>
        <v>0.21780000000000005</v>
      </c>
      <c r="CK176" s="1053">
        <f t="shared" si="997"/>
        <v>0.21780000000000005</v>
      </c>
      <c r="CL176" s="1053">
        <v>0.2</v>
      </c>
      <c r="CM176" s="1053">
        <f t="shared" si="1039"/>
        <v>0.18000000000000002</v>
      </c>
      <c r="CN176" s="1053">
        <f t="shared" si="998"/>
        <v>0.18000000000000002</v>
      </c>
      <c r="CO176" s="1053">
        <f t="shared" si="999"/>
        <v>0.18000000000000002</v>
      </c>
      <c r="CP176" s="1053">
        <f t="shared" si="1000"/>
        <v>0.19800000000000004</v>
      </c>
      <c r="CQ176" s="1053">
        <f t="shared" si="1001"/>
        <v>0.21780000000000005</v>
      </c>
      <c r="CR176" s="1053">
        <f t="shared" si="1002"/>
        <v>0.21780000000000005</v>
      </c>
      <c r="CS176" s="1053">
        <f t="shared" si="1003"/>
        <v>0.21780000000000005</v>
      </c>
      <c r="CT176" s="1053">
        <f t="shared" si="1004"/>
        <v>0.21780000000000005</v>
      </c>
      <c r="CU176" s="1053">
        <f t="shared" si="1005"/>
        <v>0.21780000000000005</v>
      </c>
      <c r="CV176" s="1053">
        <f t="shared" si="1006"/>
        <v>0.21780000000000005</v>
      </c>
      <c r="CW176" s="1053">
        <f t="shared" si="1007"/>
        <v>0.21780000000000005</v>
      </c>
      <c r="CX176" s="1053">
        <v>0.2</v>
      </c>
      <c r="CY176" s="1053">
        <f t="shared" si="1040"/>
        <v>0.18000000000000002</v>
      </c>
      <c r="CZ176" s="1053">
        <f t="shared" si="1008"/>
        <v>0.18000000000000002</v>
      </c>
      <c r="DA176" s="1053">
        <f t="shared" si="1009"/>
        <v>0.18000000000000002</v>
      </c>
      <c r="DB176" s="1053">
        <f t="shared" si="1010"/>
        <v>0.19800000000000004</v>
      </c>
      <c r="DC176" s="1053">
        <f t="shared" si="1011"/>
        <v>0.21780000000000005</v>
      </c>
      <c r="DD176" s="1053">
        <f t="shared" si="1012"/>
        <v>0.21780000000000005</v>
      </c>
      <c r="DE176" s="1053">
        <f t="shared" si="1013"/>
        <v>0.21780000000000005</v>
      </c>
      <c r="DF176" s="1053">
        <f t="shared" si="1014"/>
        <v>0.21780000000000005</v>
      </c>
      <c r="DG176" s="1053">
        <f t="shared" si="1015"/>
        <v>0.21780000000000005</v>
      </c>
      <c r="DH176" s="1053">
        <f t="shared" si="1016"/>
        <v>0.21780000000000005</v>
      </c>
      <c r="DI176" s="1053">
        <f t="shared" si="1017"/>
        <v>0.21780000000000005</v>
      </c>
      <c r="DK176" s="1684"/>
      <c r="DL176" s="957" t="s">
        <v>166</v>
      </c>
      <c r="DN176" s="994">
        <v>0</v>
      </c>
      <c r="DO176" s="995">
        <f>DO162*$AJ$176</f>
        <v>0.91666666666666663</v>
      </c>
      <c r="DP176" s="995">
        <f>DP162*$AJ$176</f>
        <v>0.91666666666666663</v>
      </c>
      <c r="DQ176" s="995">
        <f>DQ162*$AJ$176</f>
        <v>0</v>
      </c>
      <c r="DR176" s="996">
        <f>DR162*$AJ$176</f>
        <v>0.45833333333333331</v>
      </c>
      <c r="DT176" s="994">
        <v>0</v>
      </c>
      <c r="DU176" s="995">
        <f>DU162*$AH$176</f>
        <v>2</v>
      </c>
      <c r="DV176" s="995">
        <f>DV162*$AH$176</f>
        <v>2</v>
      </c>
      <c r="DW176" s="995">
        <f>DW162*$AH$176</f>
        <v>0</v>
      </c>
      <c r="DX176" s="996">
        <f>DX162*$AH$176</f>
        <v>1</v>
      </c>
      <c r="DZ176" s="994">
        <v>0</v>
      </c>
      <c r="EA176" s="995">
        <f>EA162*AL$176</f>
        <v>1.0083333333333333</v>
      </c>
      <c r="EB176" s="995">
        <f>EB162*AM$176</f>
        <v>1.0083333333333333</v>
      </c>
      <c r="EC176" s="995">
        <f>EC162*AN$176</f>
        <v>0</v>
      </c>
      <c r="ED176" s="996">
        <f>ED162*AO$176</f>
        <v>0.55458333333333332</v>
      </c>
      <c r="EF176" s="994">
        <f t="shared" si="1018"/>
        <v>0.88000000000000012</v>
      </c>
      <c r="EG176" s="995">
        <f t="shared" si="1019"/>
        <v>0.38880000000000009</v>
      </c>
      <c r="EH176" s="995">
        <f t="shared" si="1020"/>
        <v>0.25920000000000004</v>
      </c>
      <c r="EI176" s="995">
        <f t="shared" si="1021"/>
        <v>0.12960000000000002</v>
      </c>
      <c r="EJ176" s="995">
        <f t="shared" si="1022"/>
        <v>0</v>
      </c>
      <c r="EK176" s="995">
        <f t="shared" si="1023"/>
        <v>9.4873680000000044E-2</v>
      </c>
      <c r="EL176" s="995">
        <f t="shared" si="1024"/>
        <v>0.18974736000000009</v>
      </c>
      <c r="EM176" s="995">
        <f t="shared" si="1025"/>
        <v>0.18974736000000009</v>
      </c>
      <c r="EN176" s="995">
        <f t="shared" si="1026"/>
        <v>0.18974736000000009</v>
      </c>
      <c r="EO176" s="995">
        <f t="shared" si="1027"/>
        <v>0.18974736000000009</v>
      </c>
      <c r="EP176" s="995">
        <f t="shared" si="1028"/>
        <v>0.18974736000000009</v>
      </c>
      <c r="EQ176" s="996">
        <f t="shared" si="1029"/>
        <v>0.18974736000000009</v>
      </c>
      <c r="ES176" s="994">
        <f t="shared" si="1041"/>
        <v>0.16000000000000003</v>
      </c>
      <c r="ET176" s="995">
        <f t="shared" si="1030"/>
        <v>0.12960000000000002</v>
      </c>
      <c r="EU176" s="995">
        <f t="shared" si="1030"/>
        <v>0.12960000000000002</v>
      </c>
      <c r="EV176" s="995">
        <f t="shared" si="1030"/>
        <v>6.480000000000001E-2</v>
      </c>
      <c r="EW176" s="995">
        <f t="shared" si="1030"/>
        <v>0</v>
      </c>
      <c r="EX176" s="995">
        <f t="shared" si="1030"/>
        <v>9.4873680000000044E-2</v>
      </c>
      <c r="EY176" s="995">
        <f t="shared" si="1030"/>
        <v>0.18974736000000009</v>
      </c>
      <c r="EZ176" s="995">
        <f t="shared" si="1030"/>
        <v>0.18974736000000009</v>
      </c>
      <c r="FA176" s="995">
        <f t="shared" si="1030"/>
        <v>0.18974736000000009</v>
      </c>
      <c r="FB176" s="995">
        <f t="shared" si="1030"/>
        <v>0.18974736000000009</v>
      </c>
      <c r="FC176" s="995">
        <f t="shared" si="1030"/>
        <v>0.18974736000000009</v>
      </c>
      <c r="FD176" s="996">
        <f t="shared" si="1030"/>
        <v>0.18974736000000009</v>
      </c>
      <c r="FF176" s="994">
        <f t="shared" si="1042"/>
        <v>0.16000000000000003</v>
      </c>
      <c r="FG176" s="995">
        <f t="shared" si="1031"/>
        <v>0.12960000000000002</v>
      </c>
      <c r="FH176" s="995">
        <f t="shared" si="1031"/>
        <v>0.12960000000000002</v>
      </c>
      <c r="FI176" s="995">
        <f t="shared" si="1031"/>
        <v>6.480000000000001E-2</v>
      </c>
      <c r="FJ176" s="995">
        <f t="shared" si="1031"/>
        <v>0</v>
      </c>
      <c r="FK176" s="995">
        <f t="shared" si="1031"/>
        <v>9.4873680000000044E-2</v>
      </c>
      <c r="FL176" s="995">
        <f t="shared" si="1031"/>
        <v>0.18974736000000009</v>
      </c>
      <c r="FM176" s="995">
        <f t="shared" si="1031"/>
        <v>0.18974736000000009</v>
      </c>
      <c r="FN176" s="995">
        <f t="shared" si="1031"/>
        <v>0.18974736000000009</v>
      </c>
      <c r="FO176" s="995">
        <f t="shared" si="1031"/>
        <v>0.18974736000000009</v>
      </c>
      <c r="FP176" s="995">
        <f t="shared" si="1031"/>
        <v>0.18974736000000009</v>
      </c>
      <c r="FQ176" s="996">
        <f t="shared" si="1031"/>
        <v>0.18974736000000009</v>
      </c>
      <c r="FS176" s="994">
        <f t="shared" si="1043"/>
        <v>0.16000000000000003</v>
      </c>
      <c r="FT176" s="995">
        <f t="shared" si="1032"/>
        <v>0.12960000000000002</v>
      </c>
      <c r="FU176" s="995">
        <f t="shared" si="1032"/>
        <v>0.12960000000000002</v>
      </c>
      <c r="FV176" s="995">
        <f t="shared" si="1032"/>
        <v>6.480000000000001E-2</v>
      </c>
      <c r="FW176" s="995">
        <f t="shared" si="1032"/>
        <v>0</v>
      </c>
      <c r="FX176" s="995">
        <f t="shared" si="1032"/>
        <v>0</v>
      </c>
      <c r="FY176" s="995">
        <f t="shared" si="1032"/>
        <v>0</v>
      </c>
      <c r="FZ176" s="995">
        <f t="shared" si="1032"/>
        <v>0</v>
      </c>
      <c r="GA176" s="995">
        <f t="shared" si="1032"/>
        <v>0</v>
      </c>
      <c r="GB176" s="995">
        <f t="shared" si="1032"/>
        <v>0</v>
      </c>
      <c r="GC176" s="995">
        <f t="shared" si="1032"/>
        <v>0</v>
      </c>
      <c r="GD176" s="996">
        <f t="shared" si="1032"/>
        <v>0</v>
      </c>
      <c r="GF176" s="994">
        <f t="shared" si="1044"/>
        <v>0</v>
      </c>
      <c r="GG176" s="995">
        <f t="shared" si="1033"/>
        <v>0</v>
      </c>
      <c r="GH176" s="995">
        <f t="shared" si="1033"/>
        <v>0</v>
      </c>
      <c r="GI176" s="995">
        <f t="shared" si="1033"/>
        <v>0</v>
      </c>
      <c r="GJ176" s="995">
        <f t="shared" si="1033"/>
        <v>0</v>
      </c>
      <c r="GK176" s="995">
        <f t="shared" si="1033"/>
        <v>0</v>
      </c>
      <c r="GL176" s="995">
        <f t="shared" si="1033"/>
        <v>0</v>
      </c>
      <c r="GM176" s="995">
        <f t="shared" si="1033"/>
        <v>0</v>
      </c>
      <c r="GN176" s="995">
        <f t="shared" si="1033"/>
        <v>0</v>
      </c>
      <c r="GO176" s="995">
        <f t="shared" si="1033"/>
        <v>0</v>
      </c>
      <c r="GP176" s="995">
        <f t="shared" si="1033"/>
        <v>0</v>
      </c>
      <c r="GQ176" s="996">
        <f t="shared" si="1033"/>
        <v>0</v>
      </c>
      <c r="GS176" s="994">
        <f t="shared" si="1045"/>
        <v>0</v>
      </c>
      <c r="GT176" s="995">
        <f t="shared" si="1034"/>
        <v>0</v>
      </c>
      <c r="GU176" s="995">
        <f t="shared" si="1034"/>
        <v>0</v>
      </c>
      <c r="GV176" s="995">
        <f t="shared" si="1034"/>
        <v>0</v>
      </c>
      <c r="GW176" s="995">
        <f t="shared" si="1034"/>
        <v>0</v>
      </c>
      <c r="GX176" s="995">
        <f t="shared" si="1034"/>
        <v>0</v>
      </c>
      <c r="GY176" s="995">
        <f t="shared" si="1034"/>
        <v>0</v>
      </c>
      <c r="GZ176" s="995">
        <f t="shared" si="1034"/>
        <v>0</v>
      </c>
      <c r="HA176" s="995">
        <f t="shared" si="1034"/>
        <v>0</v>
      </c>
      <c r="HB176" s="995">
        <f t="shared" si="1034"/>
        <v>0</v>
      </c>
      <c r="HC176" s="995">
        <f t="shared" si="1034"/>
        <v>0</v>
      </c>
      <c r="HD176" s="996">
        <f t="shared" si="1034"/>
        <v>0</v>
      </c>
    </row>
    <row r="177" spans="2:212" ht="14.25">
      <c r="B177" s="1065"/>
      <c r="C177" s="31"/>
      <c r="D177" s="31"/>
      <c r="E177" s="31"/>
      <c r="F177" s="31"/>
      <c r="G177" s="31"/>
      <c r="H177" s="1089"/>
      <c r="I177" s="1089"/>
      <c r="N177" s="1684"/>
      <c r="O177" s="957" t="s">
        <v>1062</v>
      </c>
      <c r="S177" s="606">
        <v>1</v>
      </c>
      <c r="T177" s="606">
        <v>1</v>
      </c>
      <c r="AA177" s="1684"/>
      <c r="AB177" s="957" t="s">
        <v>1062</v>
      </c>
      <c r="DK177" s="1684"/>
      <c r="DL177" s="957" t="s">
        <v>1062</v>
      </c>
      <c r="DN177" s="1063">
        <v>0</v>
      </c>
      <c r="DO177" s="614">
        <v>0</v>
      </c>
      <c r="DP177" s="614">
        <v>1</v>
      </c>
      <c r="DQ177" s="614">
        <v>1</v>
      </c>
      <c r="DR177" s="947">
        <v>1</v>
      </c>
      <c r="DT177" s="1063">
        <v>0</v>
      </c>
      <c r="DU177" s="614">
        <v>0</v>
      </c>
      <c r="DV177" s="614">
        <v>1</v>
      </c>
      <c r="DW177" s="614">
        <v>1</v>
      </c>
      <c r="DX177" s="947">
        <v>1</v>
      </c>
      <c r="DZ177" s="1063">
        <v>0</v>
      </c>
      <c r="EA177" s="614">
        <v>0</v>
      </c>
      <c r="EB177" s="614">
        <v>1</v>
      </c>
      <c r="EC177" s="614">
        <v>1</v>
      </c>
      <c r="ED177" s="947">
        <v>1</v>
      </c>
      <c r="EF177" s="1063"/>
      <c r="EG177" s="614"/>
      <c r="EH177" s="614"/>
      <c r="EI177" s="614"/>
      <c r="EJ177" s="614"/>
      <c r="EK177" s="614"/>
      <c r="EL177" s="614"/>
      <c r="EM177" s="614"/>
      <c r="EN177" s="614"/>
      <c r="EO177" s="614"/>
      <c r="EP177" s="614"/>
      <c r="EQ177" s="947"/>
      <c r="ES177" s="1063"/>
      <c r="ET177" s="614"/>
      <c r="EU177" s="614"/>
      <c r="EV177" s="614"/>
      <c r="EW177" s="614"/>
      <c r="EX177" s="614"/>
      <c r="EY177" s="614"/>
      <c r="EZ177" s="614"/>
      <c r="FA177" s="614"/>
      <c r="FB177" s="614"/>
      <c r="FC177" s="614"/>
      <c r="FD177" s="947"/>
      <c r="FF177" s="1063"/>
      <c r="FG177" s="614"/>
      <c r="FH177" s="614"/>
      <c r="FI177" s="614"/>
      <c r="FJ177" s="614"/>
      <c r="FK177" s="614"/>
      <c r="FL177" s="614"/>
      <c r="FM177" s="614"/>
      <c r="FN177" s="614"/>
      <c r="FO177" s="614"/>
      <c r="FP177" s="614"/>
      <c r="FQ177" s="947"/>
      <c r="FS177" s="1063"/>
      <c r="FT177" s="614"/>
      <c r="FU177" s="614"/>
      <c r="FV177" s="614"/>
      <c r="FW177" s="614"/>
      <c r="FX177" s="614"/>
      <c r="FY177" s="614"/>
      <c r="FZ177" s="614"/>
      <c r="GA177" s="614"/>
      <c r="GB177" s="614"/>
      <c r="GC177" s="614"/>
      <c r="GD177" s="947"/>
      <c r="GF177" s="1063"/>
      <c r="GG177" s="614"/>
      <c r="GH177" s="614"/>
      <c r="GI177" s="614"/>
      <c r="GJ177" s="614"/>
      <c r="GK177" s="614"/>
      <c r="GL177" s="614"/>
      <c r="GM177" s="614"/>
      <c r="GN177" s="614"/>
      <c r="GO177" s="614"/>
      <c r="GP177" s="614"/>
      <c r="GQ177" s="947"/>
      <c r="GS177" s="1063"/>
      <c r="GT177" s="614"/>
      <c r="GU177" s="614"/>
      <c r="GV177" s="614"/>
      <c r="GW177" s="614"/>
      <c r="GX177" s="614"/>
      <c r="GY177" s="614"/>
      <c r="GZ177" s="614"/>
      <c r="HA177" s="614"/>
      <c r="HB177" s="614"/>
      <c r="HC177" s="614"/>
      <c r="HD177" s="947"/>
    </row>
    <row r="178" spans="2:212" ht="14.25">
      <c r="B178" s="1101"/>
      <c r="C178" s="31"/>
      <c r="D178" s="31"/>
      <c r="E178" s="31"/>
      <c r="F178" s="31"/>
      <c r="G178" s="31"/>
      <c r="H178" s="1089"/>
      <c r="I178" s="1089"/>
      <c r="O178" s="1124" t="s">
        <v>254</v>
      </c>
      <c r="P178" s="1124">
        <f>SUM(P165:P177)</f>
        <v>6</v>
      </c>
      <c r="Q178" s="1124">
        <f t="shared" ref="Q178:V178" si="1047">SUM(Q165:Q177)</f>
        <v>4</v>
      </c>
      <c r="R178" s="1124">
        <f t="shared" si="1047"/>
        <v>7</v>
      </c>
      <c r="S178" s="1124">
        <f t="shared" si="1047"/>
        <v>10</v>
      </c>
      <c r="T178" s="1124">
        <f t="shared" si="1047"/>
        <v>12</v>
      </c>
      <c r="U178" s="1124">
        <f t="shared" si="1047"/>
        <v>8</v>
      </c>
      <c r="V178" s="1124">
        <f t="shared" si="1047"/>
        <v>7</v>
      </c>
      <c r="DN178" s="945" t="s">
        <v>1036</v>
      </c>
      <c r="DT178" s="945" t="s">
        <v>1038</v>
      </c>
      <c r="DZ178" s="945" t="s">
        <v>1039</v>
      </c>
      <c r="EF178" s="1279">
        <f>SUM(EF165:EF177)</f>
        <v>14.030000000000001</v>
      </c>
      <c r="EG178" s="1279">
        <f t="shared" ref="EG178" si="1048">SUM(EG165:EG177)</f>
        <v>12.7188</v>
      </c>
      <c r="EH178" s="1279">
        <f t="shared" ref="EH178" si="1049">SUM(EH165:EH177)</f>
        <v>12.769200000000001</v>
      </c>
      <c r="EI178" s="1279">
        <f t="shared" ref="EI178" si="1050">SUM(EI165:EI177)</f>
        <v>11.739600000000001</v>
      </c>
      <c r="EJ178" s="1279">
        <f t="shared" ref="EJ178" si="1051">SUM(EJ165:EJ177)</f>
        <v>11.088000000000001</v>
      </c>
      <c r="EK178" s="1279">
        <f t="shared" ref="EK178" si="1052">SUM(EK165:EK177)</f>
        <v>11.202673680000002</v>
      </c>
      <c r="EL178" s="1279">
        <f t="shared" ref="EL178" si="1053">SUM(EL165:EL177)</f>
        <v>10.535247360000001</v>
      </c>
      <c r="EM178" s="1279">
        <f>SUM(EM165:EM177)</f>
        <v>9.0106473600000019</v>
      </c>
      <c r="EN178" s="1279">
        <f t="shared" ref="EN178" si="1054">SUM(EN165:EN177)</f>
        <v>7.1593473600000008</v>
      </c>
      <c r="EO178" s="1279">
        <f t="shared" ref="EO178" si="1055">SUM(EO165:EO177)</f>
        <v>5.3624973600000017</v>
      </c>
      <c r="EP178" s="1279">
        <f t="shared" ref="EP178" si="1056">SUM(EP165:EP177)</f>
        <v>4.600197360000001</v>
      </c>
      <c r="EQ178" s="1279">
        <f t="shared" ref="EQ178" si="1057">SUM(EQ165:EQ177)</f>
        <v>4.3823973600000015</v>
      </c>
      <c r="ES178" s="1279">
        <f>SUM(ES165:ES177)</f>
        <v>4.16</v>
      </c>
      <c r="ET178" s="1279">
        <f t="shared" ref="ET178:EY178" si="1058">SUM(ET165:ET177)</f>
        <v>4.0446000000000009</v>
      </c>
      <c r="EU178" s="1279">
        <f t="shared" si="1058"/>
        <v>4.1796000000000006</v>
      </c>
      <c r="EV178" s="1279">
        <f t="shared" si="1058"/>
        <v>3.7548000000000004</v>
      </c>
      <c r="EW178" s="1279">
        <f t="shared" si="1058"/>
        <v>3.4155000000000002</v>
      </c>
      <c r="EX178" s="1279">
        <f t="shared" si="1058"/>
        <v>3.7430236800000012</v>
      </c>
      <c r="EY178" s="1279">
        <f t="shared" si="1058"/>
        <v>4.0012473600000007</v>
      </c>
      <c r="EZ178" s="1279">
        <f>SUM(EZ165:EZ177)</f>
        <v>4.0012473600000007</v>
      </c>
      <c r="FA178" s="1279">
        <f t="shared" ref="FA178:FD178" si="1059">SUM(FA165:FA177)</f>
        <v>4.0012473600000007</v>
      </c>
      <c r="FB178" s="1279">
        <f t="shared" si="1059"/>
        <v>4.0012473600000007</v>
      </c>
      <c r="FC178" s="1279">
        <f t="shared" si="1059"/>
        <v>4.0556973600000008</v>
      </c>
      <c r="FD178" s="1279">
        <f t="shared" si="1059"/>
        <v>4.2190473600000011</v>
      </c>
      <c r="FF178" s="1279">
        <f>SUM(FF165:FF177)</f>
        <v>4.16</v>
      </c>
      <c r="FG178" s="1279">
        <f t="shared" ref="FG178:FL178" si="1060">SUM(FG165:FG177)</f>
        <v>4.0446000000000009</v>
      </c>
      <c r="FH178" s="1279">
        <f t="shared" si="1060"/>
        <v>4.1796000000000006</v>
      </c>
      <c r="FI178" s="1279">
        <f t="shared" si="1060"/>
        <v>3.7548000000000004</v>
      </c>
      <c r="FJ178" s="1279">
        <f t="shared" si="1060"/>
        <v>3.4155000000000002</v>
      </c>
      <c r="FK178" s="1279">
        <f t="shared" si="1060"/>
        <v>3.7430236800000012</v>
      </c>
      <c r="FL178" s="1279">
        <f t="shared" si="1060"/>
        <v>4.0012473600000007</v>
      </c>
      <c r="FM178" s="1279">
        <f>SUM(FM165:FM177)</f>
        <v>4.0012473600000007</v>
      </c>
      <c r="FN178" s="1279">
        <f t="shared" ref="FN178:FQ178" si="1061">SUM(FN165:FN177)</f>
        <v>4.0012473600000007</v>
      </c>
      <c r="FO178" s="1279">
        <f t="shared" si="1061"/>
        <v>4.0012473600000007</v>
      </c>
      <c r="FP178" s="1279">
        <f t="shared" si="1061"/>
        <v>4.0556973600000008</v>
      </c>
      <c r="FQ178" s="1279">
        <f t="shared" si="1061"/>
        <v>4.2190473600000011</v>
      </c>
      <c r="FS178" s="1279">
        <f>SUM(FS165:FS177)</f>
        <v>4.16</v>
      </c>
      <c r="FT178" s="1279">
        <f t="shared" ref="FT178:FY178" si="1062">SUM(FT165:FT177)</f>
        <v>4.0446000000000009</v>
      </c>
      <c r="FU178" s="1279">
        <f t="shared" si="1062"/>
        <v>4.1796000000000006</v>
      </c>
      <c r="FV178" s="1279">
        <f t="shared" si="1062"/>
        <v>3.7548000000000004</v>
      </c>
      <c r="FW178" s="1279">
        <f t="shared" si="1062"/>
        <v>3.4155000000000002</v>
      </c>
      <c r="FX178" s="1279">
        <f t="shared" si="1062"/>
        <v>3.2125500000000007</v>
      </c>
      <c r="FY178" s="1279">
        <f t="shared" si="1062"/>
        <v>2.6680500000000005</v>
      </c>
      <c r="FZ178" s="1279">
        <f>SUM(FZ165:FZ177)</f>
        <v>2.1235500000000003</v>
      </c>
      <c r="GA178" s="1279">
        <f t="shared" ref="GA178:GD178" si="1063">SUM(GA165:GA177)</f>
        <v>1.5790500000000003</v>
      </c>
      <c r="GB178" s="1279">
        <f t="shared" si="1063"/>
        <v>1.0345500000000001</v>
      </c>
      <c r="GC178" s="1279">
        <f t="shared" si="1063"/>
        <v>0.5445000000000001</v>
      </c>
      <c r="GD178" s="1279">
        <f t="shared" si="1063"/>
        <v>0.16335000000000002</v>
      </c>
      <c r="GF178" s="1279">
        <f>SUM(GF165:GF177)</f>
        <v>0</v>
      </c>
      <c r="GG178" s="1279">
        <f t="shared" ref="GG178:GL178" si="1064">SUM(GG165:GG177)</f>
        <v>0</v>
      </c>
      <c r="GH178" s="1279">
        <f t="shared" si="1064"/>
        <v>0</v>
      </c>
      <c r="GI178" s="1279">
        <f t="shared" si="1064"/>
        <v>0</v>
      </c>
      <c r="GJ178" s="1279">
        <f t="shared" si="1064"/>
        <v>0</v>
      </c>
      <c r="GK178" s="1279">
        <f t="shared" si="1064"/>
        <v>0</v>
      </c>
      <c r="GL178" s="1279">
        <f t="shared" si="1064"/>
        <v>0</v>
      </c>
      <c r="GM178" s="1279">
        <f>SUM(GM165:GM177)</f>
        <v>0</v>
      </c>
      <c r="GN178" s="1279">
        <f t="shared" ref="GN178:GQ178" si="1065">SUM(GN165:GN177)</f>
        <v>0</v>
      </c>
      <c r="GO178" s="1279">
        <f t="shared" si="1065"/>
        <v>0</v>
      </c>
      <c r="GP178" s="1279">
        <f t="shared" si="1065"/>
        <v>0</v>
      </c>
      <c r="GQ178" s="1279">
        <f t="shared" si="1065"/>
        <v>0</v>
      </c>
      <c r="GS178" s="1279">
        <f>SUM(GS165:GS177)</f>
        <v>0</v>
      </c>
      <c r="GT178" s="1279">
        <f t="shared" ref="GT178:GY178" si="1066">SUM(GT165:GT177)</f>
        <v>0</v>
      </c>
      <c r="GU178" s="1279">
        <f t="shared" si="1066"/>
        <v>0</v>
      </c>
      <c r="GV178" s="1279">
        <f t="shared" si="1066"/>
        <v>0</v>
      </c>
      <c r="GW178" s="1279">
        <f t="shared" si="1066"/>
        <v>0</v>
      </c>
      <c r="GX178" s="1279">
        <f t="shared" si="1066"/>
        <v>0</v>
      </c>
      <c r="GY178" s="1279">
        <f t="shared" si="1066"/>
        <v>0</v>
      </c>
      <c r="GZ178" s="1279">
        <f>SUM(GZ165:GZ177)</f>
        <v>0</v>
      </c>
      <c r="HA178" s="1279">
        <f t="shared" ref="HA178:HD178" si="1067">SUM(HA165:HA177)</f>
        <v>0</v>
      </c>
      <c r="HB178" s="1279">
        <f t="shared" si="1067"/>
        <v>0</v>
      </c>
      <c r="HC178" s="1279">
        <f t="shared" si="1067"/>
        <v>0</v>
      </c>
      <c r="HD178" s="1279">
        <f t="shared" si="1067"/>
        <v>0</v>
      </c>
    </row>
    <row r="179" spans="2:212" ht="14.25">
      <c r="B179" s="1067"/>
      <c r="C179" s="31"/>
      <c r="D179" s="31"/>
      <c r="E179" s="31"/>
      <c r="F179" s="31"/>
      <c r="G179" s="31"/>
      <c r="H179" s="1089"/>
      <c r="I179" s="1089"/>
      <c r="P179" s="973">
        <f>P178/P146</f>
        <v>0.35294117647058826</v>
      </c>
      <c r="Q179" s="973">
        <f t="shared" ref="Q179:V179" si="1068">Q178/Q146</f>
        <v>0.25</v>
      </c>
      <c r="R179" s="973">
        <f t="shared" si="1068"/>
        <v>0.5</v>
      </c>
      <c r="S179" s="973">
        <f t="shared" si="1068"/>
        <v>0.625</v>
      </c>
      <c r="T179" s="973">
        <f t="shared" si="1068"/>
        <v>0.75</v>
      </c>
      <c r="U179" s="973">
        <f t="shared" si="1068"/>
        <v>0.47058823529411764</v>
      </c>
      <c r="V179" s="973">
        <f t="shared" si="1068"/>
        <v>0.3888888888888889</v>
      </c>
      <c r="DN179" s="945" t="s">
        <v>1066</v>
      </c>
      <c r="DT179" s="945" t="s">
        <v>1066</v>
      </c>
      <c r="DZ179" s="945" t="s">
        <v>1066</v>
      </c>
      <c r="EF179" s="973">
        <f>EF178/EF146</f>
        <v>0.48379310344827592</v>
      </c>
      <c r="EG179" s="973">
        <f t="shared" ref="EG179" si="1069">EG178/EG146</f>
        <v>0.43857931034482756</v>
      </c>
      <c r="EH179" s="973">
        <f t="shared" ref="EH179" si="1070">EH178/EH146</f>
        <v>0.43285423728813566</v>
      </c>
      <c r="EI179" s="973">
        <f t="shared" ref="EI179" si="1071">EI178/EI146</f>
        <v>0.41191578947368424</v>
      </c>
      <c r="EJ179" s="973">
        <f t="shared" ref="EJ179" si="1072">EJ178/EJ146</f>
        <v>0.41841509433962265</v>
      </c>
      <c r="EK179" s="973">
        <f t="shared" ref="EK179" si="1073">EK178/EK146</f>
        <v>0.45725198693877561</v>
      </c>
      <c r="EL179" s="973">
        <f t="shared" ref="EL179" si="1074">EL178/EL146</f>
        <v>0.44830839829787239</v>
      </c>
      <c r="EM179" s="973">
        <f>EM178/EM146</f>
        <v>0.41909987720930242</v>
      </c>
      <c r="EN179" s="973">
        <f t="shared" ref="EN179" si="1075">EN178/EN146</f>
        <v>0.39774152000000007</v>
      </c>
      <c r="EO179" s="973">
        <f t="shared" ref="EO179" si="1076">EO178/EO146</f>
        <v>0.39722202666666678</v>
      </c>
      <c r="EP179" s="973">
        <f t="shared" ref="EP179" si="1077">EP178/EP146</f>
        <v>0.40001716173913054</v>
      </c>
      <c r="EQ179" s="973">
        <f t="shared" ref="EQ179" si="1078">EQ178/EQ146</f>
        <v>0.41737117714285726</v>
      </c>
      <c r="ES179" s="973">
        <f>ES178/ES146</f>
        <v>0.41600000000000004</v>
      </c>
      <c r="ET179" s="973">
        <f t="shared" ref="ET179:EY179" si="1079">ET178/ET146</f>
        <v>0.4044600000000001</v>
      </c>
      <c r="EU179" s="973">
        <f t="shared" si="1079"/>
        <v>0.41796000000000005</v>
      </c>
      <c r="EV179" s="973">
        <f t="shared" si="1079"/>
        <v>0.37548000000000004</v>
      </c>
      <c r="EW179" s="973">
        <f t="shared" si="1079"/>
        <v>0.34155000000000002</v>
      </c>
      <c r="EX179" s="973">
        <f t="shared" si="1079"/>
        <v>0.37430236800000011</v>
      </c>
      <c r="EY179" s="973">
        <f t="shared" si="1079"/>
        <v>0.40012473600000009</v>
      </c>
      <c r="EZ179" s="973">
        <f>EZ178/EZ146</f>
        <v>0.40012473600000009</v>
      </c>
      <c r="FA179" s="973">
        <f t="shared" ref="FA179:FD179" si="1080">FA178/FA146</f>
        <v>0.40012473600000009</v>
      </c>
      <c r="FB179" s="973">
        <f t="shared" si="1080"/>
        <v>0.40012473600000009</v>
      </c>
      <c r="FC179" s="973">
        <f t="shared" si="1080"/>
        <v>0.40556973600000007</v>
      </c>
      <c r="FD179" s="973">
        <f t="shared" si="1080"/>
        <v>0.42190473600000011</v>
      </c>
      <c r="FF179" s="973">
        <f>FF178/FF146</f>
        <v>0.41600000000000004</v>
      </c>
      <c r="FG179" s="973">
        <f t="shared" ref="FG179:FL179" si="1081">FG178/FG146</f>
        <v>0.4044600000000001</v>
      </c>
      <c r="FH179" s="973">
        <f t="shared" si="1081"/>
        <v>0.41796000000000005</v>
      </c>
      <c r="FI179" s="973">
        <f t="shared" si="1081"/>
        <v>0.37548000000000004</v>
      </c>
      <c r="FJ179" s="973">
        <f t="shared" si="1081"/>
        <v>0.34155000000000002</v>
      </c>
      <c r="FK179" s="973">
        <f t="shared" si="1081"/>
        <v>0.37430236800000011</v>
      </c>
      <c r="FL179" s="973">
        <f t="shared" si="1081"/>
        <v>0.40012473600000009</v>
      </c>
      <c r="FM179" s="973">
        <f>FM178/FM146</f>
        <v>0.40012473600000009</v>
      </c>
      <c r="FN179" s="973">
        <f t="shared" ref="FN179:FQ179" si="1082">FN178/FN146</f>
        <v>0.40012473600000009</v>
      </c>
      <c r="FO179" s="973">
        <f t="shared" si="1082"/>
        <v>0.40012473600000009</v>
      </c>
      <c r="FP179" s="973">
        <f t="shared" si="1082"/>
        <v>0.40556973600000007</v>
      </c>
      <c r="FQ179" s="973">
        <f t="shared" si="1082"/>
        <v>0.42190473600000011</v>
      </c>
      <c r="FS179" s="973">
        <f>FS178/FS146</f>
        <v>0.41600000000000004</v>
      </c>
      <c r="FT179" s="973">
        <f t="shared" ref="FT179:FY179" si="1083">FT178/FT146</f>
        <v>0.4044600000000001</v>
      </c>
      <c r="FU179" s="973">
        <f t="shared" si="1083"/>
        <v>0.43995789473684216</v>
      </c>
      <c r="FV179" s="973">
        <f t="shared" si="1083"/>
        <v>0.4417411764705883</v>
      </c>
      <c r="FW179" s="973">
        <f t="shared" si="1083"/>
        <v>0.45540000000000003</v>
      </c>
      <c r="FX179" s="973">
        <f t="shared" si="1083"/>
        <v>0.49423846153846163</v>
      </c>
      <c r="FY179" s="973">
        <f t="shared" si="1083"/>
        <v>0.48510000000000009</v>
      </c>
      <c r="FZ179" s="973">
        <f>FZ178/FZ146</f>
        <v>0.47190000000000004</v>
      </c>
      <c r="GA179" s="973">
        <f t="shared" ref="GA179:GD179" si="1084">GA178/GA146</f>
        <v>0.45115714285714292</v>
      </c>
      <c r="GB179" s="973">
        <f t="shared" si="1084"/>
        <v>0.41382000000000002</v>
      </c>
      <c r="GC179" s="973">
        <f t="shared" si="1084"/>
        <v>0.36300000000000004</v>
      </c>
      <c r="GD179" s="973">
        <f t="shared" si="1084"/>
        <v>0.32670000000000005</v>
      </c>
      <c r="GF179" s="973" t="e">
        <f>GF178/GF146</f>
        <v>#DIV/0!</v>
      </c>
      <c r="GG179" s="973" t="e">
        <f t="shared" ref="GG179:GL179" si="1085">GG178/GG146</f>
        <v>#DIV/0!</v>
      </c>
      <c r="GH179" s="973" t="e">
        <f t="shared" si="1085"/>
        <v>#DIV/0!</v>
      </c>
      <c r="GI179" s="973" t="e">
        <f t="shared" si="1085"/>
        <v>#DIV/0!</v>
      </c>
      <c r="GJ179" s="973" t="e">
        <f t="shared" si="1085"/>
        <v>#DIV/0!</v>
      </c>
      <c r="GK179" s="973" t="e">
        <f t="shared" si="1085"/>
        <v>#DIV/0!</v>
      </c>
      <c r="GL179" s="973" t="e">
        <f t="shared" si="1085"/>
        <v>#DIV/0!</v>
      </c>
      <c r="GM179" s="973" t="e">
        <f>GM178/GM146</f>
        <v>#DIV/0!</v>
      </c>
      <c r="GN179" s="973" t="e">
        <f t="shared" ref="GN179:GQ179" si="1086">GN178/GN146</f>
        <v>#DIV/0!</v>
      </c>
      <c r="GO179" s="973" t="e">
        <f t="shared" si="1086"/>
        <v>#DIV/0!</v>
      </c>
      <c r="GP179" s="973" t="e">
        <f t="shared" si="1086"/>
        <v>#DIV/0!</v>
      </c>
      <c r="GQ179" s="973" t="e">
        <f t="shared" si="1086"/>
        <v>#DIV/0!</v>
      </c>
      <c r="GS179" s="973" t="e">
        <f>GS178/GS146</f>
        <v>#DIV/0!</v>
      </c>
      <c r="GT179" s="973" t="e">
        <f t="shared" ref="GT179:GY179" si="1087">GT178/GT146</f>
        <v>#DIV/0!</v>
      </c>
      <c r="GU179" s="973" t="e">
        <f t="shared" si="1087"/>
        <v>#DIV/0!</v>
      </c>
      <c r="GV179" s="973" t="e">
        <f t="shared" si="1087"/>
        <v>#DIV/0!</v>
      </c>
      <c r="GW179" s="973" t="e">
        <f t="shared" si="1087"/>
        <v>#DIV/0!</v>
      </c>
      <c r="GX179" s="973" t="e">
        <f t="shared" si="1087"/>
        <v>#DIV/0!</v>
      </c>
      <c r="GY179" s="973" t="e">
        <f t="shared" si="1087"/>
        <v>#DIV/0!</v>
      </c>
      <c r="GZ179" s="973" t="e">
        <f>GZ178/GZ146</f>
        <v>#DIV/0!</v>
      </c>
      <c r="HA179" s="973" t="e">
        <f t="shared" ref="HA179:HD179" si="1088">HA178/HA146</f>
        <v>#DIV/0!</v>
      </c>
      <c r="HB179" s="973" t="e">
        <f t="shared" si="1088"/>
        <v>#DIV/0!</v>
      </c>
      <c r="HC179" s="973" t="e">
        <f t="shared" si="1088"/>
        <v>#DIV/0!</v>
      </c>
      <c r="HD179" s="973" t="e">
        <f t="shared" si="1088"/>
        <v>#DIV/0!</v>
      </c>
    </row>
    <row r="180" spans="2:212">
      <c r="EF180" s="945" t="s">
        <v>1039</v>
      </c>
      <c r="ES180" s="945" t="s">
        <v>1039</v>
      </c>
      <c r="FF180" s="945" t="s">
        <v>1039</v>
      </c>
      <c r="FS180" s="945" t="s">
        <v>1039</v>
      </c>
      <c r="GF180" s="945" t="s">
        <v>1039</v>
      </c>
      <c r="GS180" s="945" t="s">
        <v>1039</v>
      </c>
    </row>
    <row r="181" spans="2:212">
      <c r="EF181" s="945" t="s">
        <v>1066</v>
      </c>
      <c r="ES181" s="945" t="s">
        <v>1066</v>
      </c>
      <c r="FF181" s="945" t="s">
        <v>1066</v>
      </c>
      <c r="FS181" s="945" t="s">
        <v>1066</v>
      </c>
      <c r="GF181" s="945" t="s">
        <v>1066</v>
      </c>
      <c r="GS181" s="945" t="s">
        <v>1066</v>
      </c>
    </row>
    <row r="183" spans="2:212">
      <c r="ER183" s="606" t="s">
        <v>628</v>
      </c>
      <c r="ES183" s="951">
        <f>ES13</f>
        <v>769.63749999999993</v>
      </c>
      <c r="ET183" s="951">
        <f t="shared" ref="ET183:FD183" si="1089">ET13</f>
        <v>566.40375000000006</v>
      </c>
      <c r="EU183" s="951">
        <f t="shared" si="1089"/>
        <v>581.78385000000003</v>
      </c>
      <c r="EV183" s="951">
        <f t="shared" si="1089"/>
        <v>695.17845</v>
      </c>
      <c r="EW183" s="951">
        <f t="shared" si="1089"/>
        <v>842.67216000000008</v>
      </c>
      <c r="EX183" s="951">
        <f t="shared" si="1089"/>
        <v>955.82482875000005</v>
      </c>
      <c r="EY183" s="951">
        <f t="shared" si="1089"/>
        <v>965.4741855000002</v>
      </c>
      <c r="EZ183" s="951">
        <f t="shared" si="1089"/>
        <v>1081.6590782250003</v>
      </c>
      <c r="FA183" s="951">
        <f t="shared" si="1089"/>
        <v>1211.6989694700005</v>
      </c>
      <c r="FB183" s="951">
        <f t="shared" si="1089"/>
        <v>1232.9289319050004</v>
      </c>
      <c r="FC183" s="951">
        <f t="shared" si="1089"/>
        <v>1375.0742135790003</v>
      </c>
      <c r="FD183" s="951">
        <f t="shared" si="1089"/>
        <v>1516.8171715537503</v>
      </c>
      <c r="FF183" s="951">
        <f>FF13</f>
        <v>849.21749999999997</v>
      </c>
      <c r="FG183" s="951">
        <f t="shared" ref="FG183:FQ183" si="1090">FG13</f>
        <v>613.59974999999997</v>
      </c>
      <c r="FH183" s="951">
        <f t="shared" si="1090"/>
        <v>611.01224999999999</v>
      </c>
      <c r="FI183" s="951">
        <f t="shared" si="1090"/>
        <v>666.07425000000001</v>
      </c>
      <c r="FJ183" s="951">
        <f t="shared" si="1090"/>
        <v>729.18648000000007</v>
      </c>
      <c r="FK183" s="951">
        <f t="shared" si="1090"/>
        <v>780.94667475000006</v>
      </c>
      <c r="FL183" s="951">
        <f t="shared" si="1090"/>
        <v>759.68803350000019</v>
      </c>
      <c r="FM183" s="951">
        <f t="shared" si="1090"/>
        <v>832.48150342500003</v>
      </c>
      <c r="FN183" s="951">
        <f t="shared" si="1090"/>
        <v>912.20648013000039</v>
      </c>
      <c r="FO183" s="951">
        <f t="shared" si="1090"/>
        <v>917.16165337500036</v>
      </c>
      <c r="FP183" s="951">
        <f t="shared" si="1090"/>
        <v>1016.0287246890005</v>
      </c>
      <c r="FQ183" s="951">
        <f t="shared" si="1090"/>
        <v>1113.5060744791504</v>
      </c>
      <c r="FS183" s="951">
        <f>FS13</f>
        <v>636.97349999999994</v>
      </c>
      <c r="FT183" s="951">
        <f t="shared" ref="FT183:GD183" si="1091">FT13</f>
        <v>485.30114999999995</v>
      </c>
      <c r="FU183" s="951">
        <f t="shared" si="1091"/>
        <v>423.71864999999997</v>
      </c>
      <c r="FV183" s="951">
        <f t="shared" si="1091"/>
        <v>385.00965000000002</v>
      </c>
      <c r="FW183" s="951">
        <f t="shared" si="1091"/>
        <v>397.76913000000002</v>
      </c>
      <c r="FX183" s="951">
        <f t="shared" si="1091"/>
        <v>412.95615075000001</v>
      </c>
      <c r="FY183" s="951">
        <f t="shared" si="1091"/>
        <v>394.11454500000002</v>
      </c>
      <c r="FZ183" s="951">
        <f t="shared" si="1091"/>
        <v>418.06949580000008</v>
      </c>
      <c r="GA183" s="951">
        <f t="shared" si="1091"/>
        <v>448.28406760500013</v>
      </c>
      <c r="GB183" s="951">
        <f t="shared" si="1091"/>
        <v>444.41994168000019</v>
      </c>
      <c r="GC183" s="951">
        <f t="shared" si="1091"/>
        <v>488.86193584800009</v>
      </c>
      <c r="GD183" s="951">
        <f t="shared" si="1091"/>
        <v>537.74812943280017</v>
      </c>
      <c r="GF183" s="951">
        <f>GF13</f>
        <v>337.27199999999999</v>
      </c>
      <c r="GG183" s="951">
        <f t="shared" ref="GG183:GQ183" si="1092">GG13</f>
        <v>303.54479999999995</v>
      </c>
      <c r="GH183" s="951">
        <f t="shared" si="1092"/>
        <v>303.54479999999995</v>
      </c>
      <c r="GI183" s="951">
        <f t="shared" si="1092"/>
        <v>303.54479999999995</v>
      </c>
      <c r="GJ183" s="951">
        <f t="shared" si="1092"/>
        <v>333.89928000000009</v>
      </c>
      <c r="GK183" s="951">
        <f t="shared" si="1092"/>
        <v>367.28920800000003</v>
      </c>
      <c r="GL183" s="951">
        <f t="shared" si="1092"/>
        <v>367.28920800000003</v>
      </c>
      <c r="GM183" s="951">
        <f t="shared" si="1092"/>
        <v>404.01812880000011</v>
      </c>
      <c r="GN183" s="951">
        <f t="shared" si="1092"/>
        <v>444.41994168000019</v>
      </c>
      <c r="GO183" s="951">
        <f t="shared" si="1092"/>
        <v>444.41994168000019</v>
      </c>
      <c r="GP183" s="951">
        <f t="shared" si="1092"/>
        <v>488.86193584800009</v>
      </c>
      <c r="GQ183" s="951">
        <f t="shared" si="1092"/>
        <v>537.74812943280017</v>
      </c>
      <c r="GS183" s="951">
        <f>GS13</f>
        <v>337.27199999999999</v>
      </c>
      <c r="GT183" s="951">
        <f t="shared" ref="GT183:HD183" si="1093">GT13</f>
        <v>303.54479999999995</v>
      </c>
      <c r="GU183" s="951">
        <f t="shared" si="1093"/>
        <v>303.54479999999995</v>
      </c>
      <c r="GV183" s="951">
        <f t="shared" si="1093"/>
        <v>303.54479999999995</v>
      </c>
      <c r="GW183" s="951">
        <f t="shared" si="1093"/>
        <v>333.89928000000009</v>
      </c>
      <c r="GX183" s="951">
        <f t="shared" si="1093"/>
        <v>367.28920800000003</v>
      </c>
      <c r="GY183" s="951">
        <f t="shared" si="1093"/>
        <v>367.28920800000003</v>
      </c>
      <c r="GZ183" s="951">
        <f t="shared" si="1093"/>
        <v>404.01812880000011</v>
      </c>
      <c r="HA183" s="951">
        <f t="shared" si="1093"/>
        <v>444.41994168000019</v>
      </c>
      <c r="HB183" s="951">
        <f t="shared" si="1093"/>
        <v>444.41994168000019</v>
      </c>
      <c r="HC183" s="951">
        <f t="shared" si="1093"/>
        <v>488.86193584800009</v>
      </c>
      <c r="HD183" s="951">
        <f t="shared" si="1093"/>
        <v>537.74812943280017</v>
      </c>
    </row>
    <row r="184" spans="2:212">
      <c r="ER184" s="606" t="s">
        <v>914</v>
      </c>
      <c r="ES184" s="951">
        <f>ES56</f>
        <v>121.84249999999997</v>
      </c>
      <c r="ET184" s="951">
        <f t="shared" ref="ET184:FD184" si="1094">ET56</f>
        <v>86.086124999999996</v>
      </c>
      <c r="EU184" s="951">
        <f t="shared" si="1094"/>
        <v>91.830375000000004</v>
      </c>
      <c r="EV184" s="951">
        <f t="shared" si="1094"/>
        <v>114.78150000000001</v>
      </c>
      <c r="EW184" s="951">
        <f t="shared" si="1094"/>
        <v>142.79636249999999</v>
      </c>
      <c r="EX184" s="951">
        <f t="shared" si="1094"/>
        <v>166.34338875</v>
      </c>
      <c r="EY184" s="951">
        <f t="shared" si="1094"/>
        <v>168.62892749999997</v>
      </c>
      <c r="EZ184" s="951">
        <f t="shared" si="1094"/>
        <v>187.83371475000001</v>
      </c>
      <c r="FA184" s="951">
        <f t="shared" si="1094"/>
        <v>209.49623887500005</v>
      </c>
      <c r="FB184" s="951">
        <f t="shared" si="1094"/>
        <v>213.20883045000002</v>
      </c>
      <c r="FC184" s="951">
        <f t="shared" si="1094"/>
        <v>240.36378597000009</v>
      </c>
      <c r="FD184" s="951">
        <f t="shared" si="1094"/>
        <v>267.60890442825013</v>
      </c>
      <c r="FF184" s="951">
        <f>FF56</f>
        <v>145.41749999999999</v>
      </c>
      <c r="FG184" s="951">
        <f t="shared" ref="FG184:FQ184" si="1095">FG56</f>
        <v>98.920124999999985</v>
      </c>
      <c r="FH184" s="951">
        <f t="shared" si="1095"/>
        <v>98.920124999999985</v>
      </c>
      <c r="FI184" s="951">
        <f t="shared" si="1095"/>
        <v>110.90025000000001</v>
      </c>
      <c r="FJ184" s="951">
        <f t="shared" si="1095"/>
        <v>123.7264875</v>
      </c>
      <c r="FK184" s="951">
        <f t="shared" si="1095"/>
        <v>135.09725625000002</v>
      </c>
      <c r="FL184" s="951">
        <f t="shared" si="1095"/>
        <v>131.37151500000002</v>
      </c>
      <c r="FM184" s="951">
        <f t="shared" si="1095"/>
        <v>142.78668525000003</v>
      </c>
      <c r="FN184" s="951">
        <f t="shared" si="1095"/>
        <v>155.09540722500003</v>
      </c>
      <c r="FO184" s="951">
        <f t="shared" si="1095"/>
        <v>155.32270875000003</v>
      </c>
      <c r="FP184" s="951">
        <f t="shared" si="1095"/>
        <v>174.35542311000006</v>
      </c>
      <c r="FQ184" s="951">
        <f t="shared" si="1095"/>
        <v>192.43271339325005</v>
      </c>
      <c r="FS184" s="951">
        <f>FS56</f>
        <v>106.43249999999999</v>
      </c>
      <c r="FT184" s="951">
        <f t="shared" ref="FT184:GD184" si="1096">FT56</f>
        <v>76.615875000000003</v>
      </c>
      <c r="FU184" s="951">
        <f t="shared" si="1096"/>
        <v>64.506374999999991</v>
      </c>
      <c r="FV184" s="951">
        <f t="shared" si="1096"/>
        <v>57.364875000000005</v>
      </c>
      <c r="FW184" s="951">
        <f t="shared" si="1096"/>
        <v>59.258925000000012</v>
      </c>
      <c r="FX184" s="951">
        <f t="shared" si="1096"/>
        <v>61.803472500000005</v>
      </c>
      <c r="FY184" s="951">
        <f t="shared" si="1096"/>
        <v>58.797832499999998</v>
      </c>
      <c r="FZ184" s="951">
        <f t="shared" si="1096"/>
        <v>61.784687250000012</v>
      </c>
      <c r="GA184" s="951">
        <f t="shared" si="1096"/>
        <v>64.780934625000015</v>
      </c>
      <c r="GB184" s="951">
        <f t="shared" si="1096"/>
        <v>63.189823950000012</v>
      </c>
      <c r="GC184" s="951">
        <f t="shared" si="1096"/>
        <v>69.508806345000025</v>
      </c>
      <c r="GD184" s="951">
        <f t="shared" si="1096"/>
        <v>76.459686979500034</v>
      </c>
      <c r="GF184" s="951">
        <f>GF56</f>
        <v>47.954999999999998</v>
      </c>
      <c r="GG184" s="951">
        <f t="shared" ref="GG184:GQ184" si="1097">GG56</f>
        <v>43.159500000000001</v>
      </c>
      <c r="GH184" s="951">
        <f t="shared" si="1097"/>
        <v>43.159500000000001</v>
      </c>
      <c r="GI184" s="951">
        <f t="shared" si="1097"/>
        <v>43.159500000000001</v>
      </c>
      <c r="GJ184" s="951">
        <f t="shared" si="1097"/>
        <v>47.475450000000009</v>
      </c>
      <c r="GK184" s="951">
        <f t="shared" si="1097"/>
        <v>52.222994999999997</v>
      </c>
      <c r="GL184" s="951">
        <f t="shared" si="1097"/>
        <v>52.222994999999997</v>
      </c>
      <c r="GM184" s="951">
        <f t="shared" si="1097"/>
        <v>57.445294500000003</v>
      </c>
      <c r="GN184" s="951">
        <f t="shared" si="1097"/>
        <v>63.189823950000012</v>
      </c>
      <c r="GO184" s="951">
        <f t="shared" si="1097"/>
        <v>63.189823950000012</v>
      </c>
      <c r="GP184" s="951">
        <f t="shared" si="1097"/>
        <v>69.508806345000025</v>
      </c>
      <c r="GQ184" s="951">
        <f t="shared" si="1097"/>
        <v>76.459686979500034</v>
      </c>
      <c r="GS184" s="951">
        <f>GS56</f>
        <v>47.954999999999998</v>
      </c>
      <c r="GT184" s="951">
        <f t="shared" ref="GT184:HD184" si="1098">GT56</f>
        <v>43.159500000000001</v>
      </c>
      <c r="GU184" s="951">
        <f t="shared" si="1098"/>
        <v>43.159500000000001</v>
      </c>
      <c r="GV184" s="951">
        <f t="shared" si="1098"/>
        <v>43.159500000000001</v>
      </c>
      <c r="GW184" s="951">
        <f t="shared" si="1098"/>
        <v>47.475450000000009</v>
      </c>
      <c r="GX184" s="951">
        <f t="shared" si="1098"/>
        <v>52.222994999999997</v>
      </c>
      <c r="GY184" s="951">
        <f t="shared" si="1098"/>
        <v>52.222994999999997</v>
      </c>
      <c r="GZ184" s="951">
        <f t="shared" si="1098"/>
        <v>57.445294500000003</v>
      </c>
      <c r="HA184" s="951">
        <f t="shared" si="1098"/>
        <v>63.189823950000012</v>
      </c>
      <c r="HB184" s="951">
        <f t="shared" si="1098"/>
        <v>63.189823950000012</v>
      </c>
      <c r="HC184" s="951">
        <f t="shared" si="1098"/>
        <v>69.508806345000025</v>
      </c>
      <c r="HD184" s="951">
        <f t="shared" si="1098"/>
        <v>76.459686979500034</v>
      </c>
    </row>
    <row r="185" spans="2:212">
      <c r="ER185" s="606" t="s">
        <v>629</v>
      </c>
      <c r="ES185" s="951">
        <f>ES103</f>
        <v>122.199</v>
      </c>
      <c r="ET185" s="951">
        <f t="shared" ref="ET185:FD185" si="1099">ET103</f>
        <v>111.61854</v>
      </c>
      <c r="EU185" s="951">
        <f t="shared" si="1099"/>
        <v>112.55004</v>
      </c>
      <c r="EV185" s="951">
        <f t="shared" si="1099"/>
        <v>103.66352999999999</v>
      </c>
      <c r="EW185" s="951">
        <f t="shared" si="1099"/>
        <v>98.217484200000001</v>
      </c>
      <c r="EX185" s="951">
        <f t="shared" si="1099"/>
        <v>106.65536082300002</v>
      </c>
      <c r="EY185" s="951">
        <f t="shared" si="1099"/>
        <v>115.84518026400001</v>
      </c>
      <c r="EZ185" s="951">
        <f t="shared" si="1099"/>
        <v>122.60787026400001</v>
      </c>
      <c r="FA185" s="951">
        <f t="shared" si="1099"/>
        <v>126.36492026400001</v>
      </c>
      <c r="FB185" s="951">
        <f t="shared" si="1099"/>
        <v>128.99485526399999</v>
      </c>
      <c r="FC185" s="951">
        <f t="shared" si="1099"/>
        <v>131.43693776400002</v>
      </c>
      <c r="FD185" s="951">
        <f t="shared" si="1099"/>
        <v>132.18834776400001</v>
      </c>
      <c r="FF185" s="951">
        <f>FF103</f>
        <v>122.199</v>
      </c>
      <c r="FG185" s="951">
        <f t="shared" ref="FG185:FQ185" si="1100">FG103</f>
        <v>111.61854</v>
      </c>
      <c r="FH185" s="951">
        <f t="shared" si="1100"/>
        <v>112.55004</v>
      </c>
      <c r="FI185" s="951">
        <f t="shared" si="1100"/>
        <v>103.66352999999999</v>
      </c>
      <c r="FJ185" s="951">
        <f t="shared" si="1100"/>
        <v>98.217484200000001</v>
      </c>
      <c r="FK185" s="951">
        <f t="shared" si="1100"/>
        <v>106.65536082300002</v>
      </c>
      <c r="FL185" s="951">
        <f t="shared" si="1100"/>
        <v>115.84518026400001</v>
      </c>
      <c r="FM185" s="951">
        <f t="shared" si="1100"/>
        <v>122.60787026400001</v>
      </c>
      <c r="FN185" s="951">
        <f t="shared" si="1100"/>
        <v>126.36492026400001</v>
      </c>
      <c r="FO185" s="951">
        <f t="shared" si="1100"/>
        <v>128.99485526399999</v>
      </c>
      <c r="FP185" s="951">
        <f t="shared" si="1100"/>
        <v>131.43693776400002</v>
      </c>
      <c r="FQ185" s="951">
        <f t="shared" si="1100"/>
        <v>132.18834776400001</v>
      </c>
      <c r="FS185" s="951">
        <f>FS103</f>
        <v>122.199</v>
      </c>
      <c r="FT185" s="951">
        <f t="shared" ref="FT185:GD185" si="1101">FT103</f>
        <v>111.61854</v>
      </c>
      <c r="FU185" s="951">
        <f t="shared" si="1101"/>
        <v>112.55004</v>
      </c>
      <c r="FV185" s="951">
        <f t="shared" si="1101"/>
        <v>103.66352999999999</v>
      </c>
      <c r="FW185" s="951">
        <f t="shared" si="1101"/>
        <v>98.217484200000001</v>
      </c>
      <c r="FX185" s="951">
        <f t="shared" si="1101"/>
        <v>95.774868882000007</v>
      </c>
      <c r="FY185" s="951">
        <f t="shared" si="1101"/>
        <v>87.32150638200001</v>
      </c>
      <c r="FZ185" s="951">
        <f t="shared" si="1101"/>
        <v>81.685931382000007</v>
      </c>
      <c r="GA185" s="951">
        <f t="shared" si="1101"/>
        <v>76.989618882000002</v>
      </c>
      <c r="GB185" s="951">
        <f t="shared" si="1101"/>
        <v>73.983978882000017</v>
      </c>
      <c r="GC185" s="951">
        <f t="shared" si="1101"/>
        <v>71.72974888200001</v>
      </c>
      <c r="GD185" s="951">
        <f t="shared" si="1101"/>
        <v>69.475518882000017</v>
      </c>
      <c r="GF185" s="951">
        <f>GF103</f>
        <v>62.651999999999994</v>
      </c>
      <c r="GG185" s="951">
        <f t="shared" ref="GG185:GQ185" si="1102">GG103</f>
        <v>56.275019999999998</v>
      </c>
      <c r="GH185" s="951">
        <f t="shared" si="1102"/>
        <v>56.275019999999998</v>
      </c>
      <c r="GI185" s="951">
        <f t="shared" si="1102"/>
        <v>56.275019999999998</v>
      </c>
      <c r="GJ185" s="951">
        <f t="shared" si="1102"/>
        <v>62.013184200000005</v>
      </c>
      <c r="GK185" s="951">
        <f t="shared" si="1102"/>
        <v>68.348403882000014</v>
      </c>
      <c r="GL185" s="951">
        <f t="shared" si="1102"/>
        <v>68.348403882000014</v>
      </c>
      <c r="GM185" s="951">
        <f t="shared" si="1102"/>
        <v>68.348403882000014</v>
      </c>
      <c r="GN185" s="951">
        <f t="shared" si="1102"/>
        <v>68.348403882000014</v>
      </c>
      <c r="GO185" s="951">
        <f t="shared" si="1102"/>
        <v>68.348403882000014</v>
      </c>
      <c r="GP185" s="951">
        <f t="shared" si="1102"/>
        <v>68.348403882000014</v>
      </c>
      <c r="GQ185" s="951">
        <f t="shared" si="1102"/>
        <v>68.348403882000014</v>
      </c>
      <c r="GS185" s="951">
        <f>GS103</f>
        <v>62.651999999999994</v>
      </c>
      <c r="GT185" s="951">
        <f t="shared" ref="GT185:HD185" si="1103">GT103</f>
        <v>56.275019999999998</v>
      </c>
      <c r="GU185" s="951">
        <f t="shared" si="1103"/>
        <v>56.275019999999998</v>
      </c>
      <c r="GV185" s="951">
        <f t="shared" si="1103"/>
        <v>56.275019999999998</v>
      </c>
      <c r="GW185" s="951">
        <f t="shared" si="1103"/>
        <v>62.013184200000005</v>
      </c>
      <c r="GX185" s="951">
        <f t="shared" si="1103"/>
        <v>68.348403882000014</v>
      </c>
      <c r="GY185" s="951">
        <f t="shared" si="1103"/>
        <v>68.348403882000014</v>
      </c>
      <c r="GZ185" s="951">
        <f t="shared" si="1103"/>
        <v>68.348403882000014</v>
      </c>
      <c r="HA185" s="951">
        <f t="shared" si="1103"/>
        <v>68.348403882000014</v>
      </c>
      <c r="HB185" s="951">
        <f t="shared" si="1103"/>
        <v>68.348403882000014</v>
      </c>
      <c r="HC185" s="951">
        <f t="shared" si="1103"/>
        <v>68.348403882000014</v>
      </c>
      <c r="HD185" s="951">
        <f t="shared" si="1103"/>
        <v>68.348403882000014</v>
      </c>
    </row>
    <row r="186" spans="2:212">
      <c r="ER186" s="614" t="s">
        <v>1117</v>
      </c>
      <c r="ES186" s="1509">
        <f>ES149</f>
        <v>75.002999999999986</v>
      </c>
      <c r="ET186" s="1509">
        <f t="shared" ref="ET186:FD186" si="1104">ET149</f>
        <v>71.65097999999999</v>
      </c>
      <c r="EU186" s="1509">
        <f t="shared" si="1104"/>
        <v>73.513980000000004</v>
      </c>
      <c r="EV186" s="1509">
        <f t="shared" si="1104"/>
        <v>65.167739999999995</v>
      </c>
      <c r="EW186" s="1509">
        <f t="shared" si="1104"/>
        <v>57.380399999999995</v>
      </c>
      <c r="EX186" s="1509">
        <f t="shared" si="1104"/>
        <v>62.173466784000013</v>
      </c>
      <c r="EY186" s="1509">
        <f t="shared" si="1104"/>
        <v>67.803331068000006</v>
      </c>
      <c r="EZ186" s="1509">
        <f t="shared" si="1104"/>
        <v>69.681856068000002</v>
      </c>
      <c r="FA186" s="1509">
        <f t="shared" si="1104"/>
        <v>70.621118568000014</v>
      </c>
      <c r="FB186" s="1509">
        <f t="shared" si="1104"/>
        <v>71.560381067999998</v>
      </c>
      <c r="FC186" s="1509">
        <f t="shared" si="1104"/>
        <v>74.190316068000001</v>
      </c>
      <c r="FD186" s="1509">
        <f t="shared" si="1104"/>
        <v>77.383808568000006</v>
      </c>
      <c r="FF186" s="1509">
        <f>FF149</f>
        <v>75.002999999999986</v>
      </c>
      <c r="FG186" s="1509">
        <f t="shared" ref="FG186:FQ186" si="1105">FG149</f>
        <v>71.65097999999999</v>
      </c>
      <c r="FH186" s="1509">
        <f t="shared" si="1105"/>
        <v>73.513980000000004</v>
      </c>
      <c r="FI186" s="1509">
        <f t="shared" si="1105"/>
        <v>65.167739999999995</v>
      </c>
      <c r="FJ186" s="1509">
        <f t="shared" si="1105"/>
        <v>57.380399999999995</v>
      </c>
      <c r="FK186" s="1509">
        <f t="shared" si="1105"/>
        <v>62.173466784000013</v>
      </c>
      <c r="FL186" s="1509">
        <f t="shared" si="1105"/>
        <v>67.803331068000006</v>
      </c>
      <c r="FM186" s="1509">
        <f t="shared" si="1105"/>
        <v>69.681856068000002</v>
      </c>
      <c r="FN186" s="1509">
        <f t="shared" si="1105"/>
        <v>70.621118568000014</v>
      </c>
      <c r="FO186" s="1509">
        <f t="shared" si="1105"/>
        <v>71.560381067999998</v>
      </c>
      <c r="FP186" s="1509">
        <f t="shared" si="1105"/>
        <v>74.190316068000001</v>
      </c>
      <c r="FQ186" s="1509">
        <f t="shared" si="1105"/>
        <v>77.383808568000006</v>
      </c>
      <c r="FS186" s="1509">
        <f>FS149</f>
        <v>75.002999999999986</v>
      </c>
      <c r="FT186" s="1509">
        <f t="shared" ref="FT186:GD186" si="1106">FT149</f>
        <v>71.65097999999999</v>
      </c>
      <c r="FU186" s="1509">
        <f t="shared" si="1106"/>
        <v>73.513980000000004</v>
      </c>
      <c r="FV186" s="1509">
        <f t="shared" si="1106"/>
        <v>65.167739999999995</v>
      </c>
      <c r="FW186" s="1509">
        <f t="shared" si="1106"/>
        <v>57.380399999999995</v>
      </c>
      <c r="FX186" s="1509">
        <f t="shared" si="1106"/>
        <v>51.847290000000008</v>
      </c>
      <c r="FY186" s="1509">
        <f t="shared" si="1106"/>
        <v>41.5154025</v>
      </c>
      <c r="FZ186" s="1509">
        <f t="shared" si="1106"/>
        <v>32.122777499999998</v>
      </c>
      <c r="GA186" s="1509">
        <f t="shared" si="1106"/>
        <v>22.730152500000003</v>
      </c>
      <c r="GB186" s="1509">
        <f t="shared" si="1106"/>
        <v>14.276789999999998</v>
      </c>
      <c r="GC186" s="1509">
        <f t="shared" si="1106"/>
        <v>7.5141</v>
      </c>
      <c r="GD186" s="1509">
        <f t="shared" si="1106"/>
        <v>2.2542300000000002</v>
      </c>
      <c r="GF186" s="1509">
        <f>GF149</f>
        <v>0</v>
      </c>
      <c r="GG186" s="1509">
        <f t="shared" ref="GG186:GQ186" si="1107">GG149</f>
        <v>0</v>
      </c>
      <c r="GH186" s="1509">
        <f t="shared" si="1107"/>
        <v>0</v>
      </c>
      <c r="GI186" s="1509">
        <f t="shared" si="1107"/>
        <v>0</v>
      </c>
      <c r="GJ186" s="1509">
        <f t="shared" si="1107"/>
        <v>0</v>
      </c>
      <c r="GK186" s="1509">
        <f t="shared" si="1107"/>
        <v>0</v>
      </c>
      <c r="GL186" s="1509">
        <f t="shared" si="1107"/>
        <v>0</v>
      </c>
      <c r="GM186" s="1509">
        <f t="shared" si="1107"/>
        <v>0</v>
      </c>
      <c r="GN186" s="1509">
        <f t="shared" si="1107"/>
        <v>0</v>
      </c>
      <c r="GO186" s="1509">
        <f t="shared" si="1107"/>
        <v>0</v>
      </c>
      <c r="GP186" s="1509">
        <f t="shared" si="1107"/>
        <v>0</v>
      </c>
      <c r="GQ186" s="1509">
        <f t="shared" si="1107"/>
        <v>0</v>
      </c>
      <c r="GS186" s="1509">
        <f>GS149</f>
        <v>0</v>
      </c>
      <c r="GT186" s="1509">
        <f t="shared" ref="GT186:HD186" si="1108">GT149</f>
        <v>0</v>
      </c>
      <c r="GU186" s="1509">
        <f t="shared" si="1108"/>
        <v>0</v>
      </c>
      <c r="GV186" s="1509">
        <f t="shared" si="1108"/>
        <v>0</v>
      </c>
      <c r="GW186" s="1509">
        <f t="shared" si="1108"/>
        <v>0</v>
      </c>
      <c r="GX186" s="1509">
        <f t="shared" si="1108"/>
        <v>0</v>
      </c>
      <c r="GY186" s="1509">
        <f t="shared" si="1108"/>
        <v>0</v>
      </c>
      <c r="GZ186" s="1509">
        <f t="shared" si="1108"/>
        <v>0</v>
      </c>
      <c r="HA186" s="1509">
        <f t="shared" si="1108"/>
        <v>0</v>
      </c>
      <c r="HB186" s="1509">
        <f t="shared" si="1108"/>
        <v>0</v>
      </c>
      <c r="HC186" s="1509">
        <f t="shared" si="1108"/>
        <v>0</v>
      </c>
      <c r="HD186" s="1509">
        <f t="shared" si="1108"/>
        <v>0</v>
      </c>
    </row>
    <row r="187" spans="2:212">
      <c r="ES187" s="951">
        <f>SUM(ES183:ES186)</f>
        <v>1088.6819999999998</v>
      </c>
      <c r="ET187" s="951">
        <f t="shared" ref="ET187:FD187" si="1109">SUM(ET183:ET186)</f>
        <v>835.75939500000015</v>
      </c>
      <c r="EU187" s="951">
        <f t="shared" si="1109"/>
        <v>859.67824500000006</v>
      </c>
      <c r="EV187" s="951">
        <f t="shared" si="1109"/>
        <v>978.79122000000007</v>
      </c>
      <c r="EW187" s="951">
        <f t="shared" si="1109"/>
        <v>1141.0664067</v>
      </c>
      <c r="EX187" s="951">
        <f t="shared" si="1109"/>
        <v>1290.9970451070003</v>
      </c>
      <c r="EY187" s="951">
        <f t="shared" si="1109"/>
        <v>1317.7516243320001</v>
      </c>
      <c r="EZ187" s="951">
        <f t="shared" si="1109"/>
        <v>1461.7825193070003</v>
      </c>
      <c r="FA187" s="951">
        <f t="shared" si="1109"/>
        <v>1618.1812471770004</v>
      </c>
      <c r="FB187" s="951">
        <f t="shared" si="1109"/>
        <v>1646.6929986870005</v>
      </c>
      <c r="FC187" s="951">
        <f t="shared" si="1109"/>
        <v>1821.0652533810003</v>
      </c>
      <c r="FD187" s="951">
        <f t="shared" si="1109"/>
        <v>1993.9982323140002</v>
      </c>
      <c r="FF187" s="951">
        <f>SUM(FF183:FF186)</f>
        <v>1191.837</v>
      </c>
      <c r="FG187" s="951">
        <f t="shared" ref="FG187" si="1110">SUM(FG183:FG186)</f>
        <v>895.7893949999999</v>
      </c>
      <c r="FH187" s="951">
        <f t="shared" ref="FH187" si="1111">SUM(FH183:FH186)</f>
        <v>895.99639499999989</v>
      </c>
      <c r="FI187" s="951">
        <f t="shared" ref="FI187" si="1112">SUM(FI183:FI186)</f>
        <v>945.80577000000005</v>
      </c>
      <c r="FJ187" s="951">
        <f t="shared" ref="FJ187" si="1113">SUM(FJ183:FJ186)</f>
        <v>1008.5108517000001</v>
      </c>
      <c r="FK187" s="951">
        <f t="shared" ref="FK187" si="1114">SUM(FK183:FK186)</f>
        <v>1084.8727586070002</v>
      </c>
      <c r="FL187" s="951">
        <f t="shared" ref="FL187" si="1115">SUM(FL183:FL186)</f>
        <v>1074.7080598320001</v>
      </c>
      <c r="FM187" s="951">
        <f t="shared" ref="FM187" si="1116">SUM(FM183:FM186)</f>
        <v>1167.5579150070002</v>
      </c>
      <c r="FN187" s="951">
        <f t="shared" ref="FN187" si="1117">SUM(FN183:FN186)</f>
        <v>1264.2879261870003</v>
      </c>
      <c r="FO187" s="951">
        <f t="shared" ref="FO187" si="1118">SUM(FO183:FO186)</f>
        <v>1273.0395984570005</v>
      </c>
      <c r="FP187" s="951">
        <f t="shared" ref="FP187" si="1119">SUM(FP183:FP186)</f>
        <v>1396.0114016310004</v>
      </c>
      <c r="FQ187" s="951">
        <f t="shared" ref="FQ187" si="1120">SUM(FQ183:FQ186)</f>
        <v>1515.5109442044004</v>
      </c>
      <c r="FS187" s="951">
        <f>SUM(FS183:FS186)</f>
        <v>940.60799999999995</v>
      </c>
      <c r="FT187" s="951">
        <f t="shared" ref="FT187" si="1121">SUM(FT183:FT186)</f>
        <v>745.18654499999991</v>
      </c>
      <c r="FU187" s="951">
        <f t="shared" ref="FU187" si="1122">SUM(FU183:FU186)</f>
        <v>674.28904499999999</v>
      </c>
      <c r="FV187" s="951">
        <f t="shared" ref="FV187" si="1123">SUM(FV183:FV186)</f>
        <v>611.20579499999997</v>
      </c>
      <c r="FW187" s="951">
        <f t="shared" ref="FW187" si="1124">SUM(FW183:FW186)</f>
        <v>612.62593920000006</v>
      </c>
      <c r="FX187" s="951">
        <f t="shared" ref="FX187" si="1125">SUM(FX183:FX186)</f>
        <v>622.38178213200001</v>
      </c>
      <c r="FY187" s="951">
        <f t="shared" ref="FY187" si="1126">SUM(FY183:FY186)</f>
        <v>581.74928638200015</v>
      </c>
      <c r="FZ187" s="951">
        <f t="shared" ref="FZ187" si="1127">SUM(FZ183:FZ186)</f>
        <v>593.66289193200009</v>
      </c>
      <c r="GA187" s="951">
        <f t="shared" ref="GA187" si="1128">SUM(GA183:GA186)</f>
        <v>612.78477361200021</v>
      </c>
      <c r="GB187" s="951">
        <f t="shared" ref="GB187" si="1129">SUM(GB183:GB186)</f>
        <v>595.87053451200018</v>
      </c>
      <c r="GC187" s="951">
        <f t="shared" ref="GC187" si="1130">SUM(GC183:GC186)</f>
        <v>637.61459107500002</v>
      </c>
      <c r="GD187" s="951">
        <f t="shared" ref="GD187" si="1131">SUM(GD183:GD186)</f>
        <v>685.93756529430016</v>
      </c>
      <c r="GF187" s="951">
        <f>SUM(GF183:GF186)</f>
        <v>447.87899999999996</v>
      </c>
      <c r="GG187" s="951">
        <f t="shared" ref="GG187" si="1132">SUM(GG183:GG186)</f>
        <v>402.97931999999992</v>
      </c>
      <c r="GH187" s="951">
        <f t="shared" ref="GH187" si="1133">SUM(GH183:GH186)</f>
        <v>402.97931999999992</v>
      </c>
      <c r="GI187" s="951">
        <f t="shared" ref="GI187" si="1134">SUM(GI183:GI186)</f>
        <v>402.97931999999992</v>
      </c>
      <c r="GJ187" s="951">
        <f t="shared" ref="GJ187" si="1135">SUM(GJ183:GJ186)</f>
        <v>443.38791420000013</v>
      </c>
      <c r="GK187" s="951">
        <f t="shared" ref="GK187" si="1136">SUM(GK183:GK186)</f>
        <v>487.86060688200001</v>
      </c>
      <c r="GL187" s="951">
        <f t="shared" ref="GL187" si="1137">SUM(GL183:GL186)</f>
        <v>487.86060688200001</v>
      </c>
      <c r="GM187" s="951">
        <f t="shared" ref="GM187" si="1138">SUM(GM183:GM186)</f>
        <v>529.81182718200012</v>
      </c>
      <c r="GN187" s="951">
        <f t="shared" ref="GN187" si="1139">SUM(GN183:GN186)</f>
        <v>575.95816951200027</v>
      </c>
      <c r="GO187" s="951">
        <f t="shared" ref="GO187" si="1140">SUM(GO183:GO186)</f>
        <v>575.95816951200027</v>
      </c>
      <c r="GP187" s="951">
        <f t="shared" ref="GP187" si="1141">SUM(GP183:GP186)</f>
        <v>626.71914607500003</v>
      </c>
      <c r="GQ187" s="951">
        <f t="shared" ref="GQ187" si="1142">SUM(GQ183:GQ186)</f>
        <v>682.55622029430015</v>
      </c>
      <c r="GS187" s="951">
        <f>SUM(GS183:GS186)</f>
        <v>447.87899999999996</v>
      </c>
      <c r="GT187" s="951">
        <f t="shared" ref="GT187" si="1143">SUM(GT183:GT186)</f>
        <v>402.97931999999992</v>
      </c>
      <c r="GU187" s="951">
        <f t="shared" ref="GU187" si="1144">SUM(GU183:GU186)</f>
        <v>402.97931999999992</v>
      </c>
      <c r="GV187" s="951">
        <f t="shared" ref="GV187" si="1145">SUM(GV183:GV186)</f>
        <v>402.97931999999992</v>
      </c>
      <c r="GW187" s="951">
        <f t="shared" ref="GW187" si="1146">SUM(GW183:GW186)</f>
        <v>443.38791420000013</v>
      </c>
      <c r="GX187" s="951">
        <f t="shared" ref="GX187" si="1147">SUM(GX183:GX186)</f>
        <v>487.86060688200001</v>
      </c>
      <c r="GY187" s="951">
        <f t="shared" ref="GY187" si="1148">SUM(GY183:GY186)</f>
        <v>487.86060688200001</v>
      </c>
      <c r="GZ187" s="951">
        <f t="shared" ref="GZ187" si="1149">SUM(GZ183:GZ186)</f>
        <v>529.81182718200012</v>
      </c>
      <c r="HA187" s="951">
        <f t="shared" ref="HA187" si="1150">SUM(HA183:HA186)</f>
        <v>575.95816951200027</v>
      </c>
      <c r="HB187" s="951">
        <f t="shared" ref="HB187" si="1151">SUM(HB183:HB186)</f>
        <v>575.95816951200027</v>
      </c>
      <c r="HC187" s="951">
        <f t="shared" ref="HC187" si="1152">SUM(HC183:HC186)</f>
        <v>626.71914607500003</v>
      </c>
      <c r="HD187" s="951">
        <f t="shared" ref="HD187" si="1153">SUM(HD183:HD186)</f>
        <v>682.55622029430015</v>
      </c>
    </row>
    <row r="188" spans="2:212">
      <c r="ES188" s="951"/>
      <c r="ET188" s="951"/>
      <c r="EU188" s="951"/>
      <c r="EV188" s="951"/>
      <c r="EW188" s="951"/>
      <c r="EX188" s="951"/>
      <c r="EY188" s="951"/>
      <c r="EZ188" s="951"/>
      <c r="FA188" s="951"/>
      <c r="FB188" s="951"/>
      <c r="FC188" s="951"/>
      <c r="FD188" s="951">
        <f>SUM(ES187:FD187)</f>
        <v>16054.446187005004</v>
      </c>
      <c r="FF188" s="951"/>
      <c r="FG188" s="951"/>
      <c r="FH188" s="951"/>
      <c r="FI188" s="951"/>
      <c r="FJ188" s="951"/>
      <c r="FK188" s="951"/>
      <c r="FL188" s="951"/>
      <c r="FM188" s="951"/>
      <c r="FN188" s="951"/>
      <c r="FO188" s="951"/>
      <c r="FP188" s="951"/>
      <c r="FQ188" s="951">
        <f>SUM(FF187:FQ187)</f>
        <v>13713.928015625399</v>
      </c>
      <c r="FS188" s="951"/>
      <c r="FT188" s="951"/>
      <c r="FU188" s="951"/>
      <c r="FV188" s="951"/>
      <c r="FW188" s="951"/>
      <c r="FX188" s="951"/>
      <c r="FY188" s="951"/>
      <c r="FZ188" s="951"/>
      <c r="GA188" s="951"/>
      <c r="GB188" s="951"/>
      <c r="GC188" s="951"/>
      <c r="GD188" s="951">
        <f>SUM(FS187:GD187)</f>
        <v>7913.9167491393</v>
      </c>
      <c r="GF188" s="951"/>
      <c r="GG188" s="951"/>
      <c r="GH188" s="951"/>
      <c r="GI188" s="951"/>
      <c r="GJ188" s="951"/>
      <c r="GK188" s="951"/>
      <c r="GL188" s="951"/>
      <c r="GM188" s="951"/>
      <c r="GN188" s="951"/>
      <c r="GO188" s="951"/>
      <c r="GP188" s="951"/>
      <c r="GQ188" s="951">
        <f>SUM(GF187:GQ187)</f>
        <v>6066.9296205393011</v>
      </c>
      <c r="GS188" s="951"/>
      <c r="GT188" s="951"/>
      <c r="GU188" s="951"/>
      <c r="GV188" s="951"/>
      <c r="GW188" s="951"/>
      <c r="GX188" s="951"/>
      <c r="GY188" s="951"/>
      <c r="GZ188" s="951"/>
      <c r="HA188" s="951"/>
      <c r="HB188" s="951"/>
      <c r="HC188" s="951"/>
      <c r="HD188" s="951">
        <f>SUM(GS187:HD187)</f>
        <v>6066.9296205393011</v>
      </c>
    </row>
  </sheetData>
  <mergeCells count="24">
    <mergeCell ref="N151:N163"/>
    <mergeCell ref="AA151:AA163"/>
    <mergeCell ref="DK151:DK163"/>
    <mergeCell ref="N165:N177"/>
    <mergeCell ref="AA165:AA177"/>
    <mergeCell ref="DK165:DK177"/>
    <mergeCell ref="N105:N117"/>
    <mergeCell ref="AA105:AA117"/>
    <mergeCell ref="DK105:DK117"/>
    <mergeCell ref="N119:N131"/>
    <mergeCell ref="AA119:AA131"/>
    <mergeCell ref="DK119:DK131"/>
    <mergeCell ref="N58:N66"/>
    <mergeCell ref="AA58:AA66"/>
    <mergeCell ref="DK58:DK66"/>
    <mergeCell ref="N69:N77"/>
    <mergeCell ref="AA69:AA77"/>
    <mergeCell ref="DK69:DK77"/>
    <mergeCell ref="N15:N23"/>
    <mergeCell ref="AA15:AA23"/>
    <mergeCell ref="DK15:DK23"/>
    <mergeCell ref="N26:N34"/>
    <mergeCell ref="AA26:AA34"/>
    <mergeCell ref="DK26:DK34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38"/>
  <sheetViews>
    <sheetView showGridLines="0" topLeftCell="B28" workbookViewId="0">
      <selection activeCell="D37" sqref="D37"/>
    </sheetView>
  </sheetViews>
  <sheetFormatPr defaultRowHeight="15"/>
  <cols>
    <col min="3" max="3" width="65.42578125" customWidth="1"/>
    <col min="4" max="4" width="81.5703125" bestFit="1" customWidth="1"/>
  </cols>
  <sheetData>
    <row r="2" spans="3:4" s="675" customFormat="1" ht="18" customHeight="1">
      <c r="C2" s="685" t="s">
        <v>576</v>
      </c>
      <c r="D2" s="685" t="s">
        <v>577</v>
      </c>
    </row>
    <row r="3" spans="3:4" s="675" customFormat="1" ht="18" customHeight="1">
      <c r="C3" s="683" t="s">
        <v>26</v>
      </c>
      <c r="D3" s="677" t="s">
        <v>578</v>
      </c>
    </row>
    <row r="4" spans="3:4" s="675" customFormat="1" ht="18" customHeight="1">
      <c r="C4" s="684" t="s">
        <v>27</v>
      </c>
      <c r="D4" s="678" t="s">
        <v>579</v>
      </c>
    </row>
    <row r="5" spans="3:4" s="675" customFormat="1" ht="18" customHeight="1">
      <c r="C5" s="681" t="s">
        <v>351</v>
      </c>
      <c r="D5" s="679" t="s">
        <v>580</v>
      </c>
    </row>
    <row r="6" spans="3:4" s="675" customFormat="1" ht="18" customHeight="1">
      <c r="C6" s="682" t="s">
        <v>29</v>
      </c>
      <c r="D6" s="680"/>
    </row>
    <row r="7" spans="3:4" s="675" customFormat="1" ht="18" customHeight="1">
      <c r="C7" s="684" t="s">
        <v>352</v>
      </c>
      <c r="D7" s="678"/>
    </row>
    <row r="8" spans="3:4" s="675" customFormat="1" ht="18" customHeight="1">
      <c r="C8" s="681" t="s">
        <v>527</v>
      </c>
      <c r="D8" s="679" t="s">
        <v>582</v>
      </c>
    </row>
    <row r="9" spans="3:4" s="675" customFormat="1" ht="18" customHeight="1">
      <c r="C9" s="681" t="s">
        <v>528</v>
      </c>
      <c r="D9" s="679" t="s">
        <v>585</v>
      </c>
    </row>
    <row r="10" spans="3:4" s="675" customFormat="1" ht="18" customHeight="1">
      <c r="C10" s="681" t="s">
        <v>529</v>
      </c>
      <c r="D10" s="679" t="s">
        <v>588</v>
      </c>
    </row>
    <row r="11" spans="3:4" s="675" customFormat="1" ht="18" customHeight="1">
      <c r="C11" s="682" t="s">
        <v>581</v>
      </c>
      <c r="D11" s="680"/>
    </row>
    <row r="12" spans="3:4" s="675" customFormat="1" ht="18" customHeight="1">
      <c r="C12" s="684" t="s">
        <v>183</v>
      </c>
      <c r="D12" s="678" t="s">
        <v>586</v>
      </c>
    </row>
    <row r="13" spans="3:4" s="675" customFormat="1" ht="18" customHeight="1">
      <c r="C13" s="681" t="s">
        <v>182</v>
      </c>
      <c r="D13" s="679" t="s">
        <v>583</v>
      </c>
    </row>
    <row r="14" spans="3:4" s="675" customFormat="1" ht="18" customHeight="1">
      <c r="C14" s="682" t="s">
        <v>184</v>
      </c>
      <c r="D14" s="680" t="s">
        <v>587</v>
      </c>
    </row>
    <row r="15" spans="3:4" s="675" customFormat="1" ht="18" customHeight="1">
      <c r="C15" s="683" t="s">
        <v>356</v>
      </c>
      <c r="D15" s="677" t="s">
        <v>589</v>
      </c>
    </row>
    <row r="19" spans="3:4" s="675" customFormat="1" ht="18" customHeight="1">
      <c r="C19" s="685" t="s">
        <v>576</v>
      </c>
      <c r="D19" s="685" t="s">
        <v>577</v>
      </c>
    </row>
    <row r="20" spans="3:4" s="675" customFormat="1" ht="18" customHeight="1">
      <c r="C20" s="676" t="s">
        <v>386</v>
      </c>
      <c r="D20" s="698" t="s">
        <v>590</v>
      </c>
    </row>
    <row r="21" spans="3:4" s="675" customFormat="1" ht="18" customHeight="1">
      <c r="C21" s="688" t="s">
        <v>542</v>
      </c>
      <c r="D21" s="690" t="s">
        <v>591</v>
      </c>
    </row>
    <row r="22" spans="3:4" s="675" customFormat="1" ht="18" customHeight="1">
      <c r="C22" s="696" t="s">
        <v>592</v>
      </c>
      <c r="D22" s="699" t="s">
        <v>593</v>
      </c>
    </row>
    <row r="23" spans="3:4" s="675" customFormat="1" ht="36" customHeight="1">
      <c r="C23" s="694" t="s">
        <v>537</v>
      </c>
      <c r="D23" s="691"/>
    </row>
    <row r="24" spans="3:4" s="675" customFormat="1" ht="18" customHeight="1">
      <c r="C24" s="695" t="s">
        <v>538</v>
      </c>
      <c r="D24" s="692"/>
    </row>
    <row r="25" spans="3:4" s="675" customFormat="1" ht="18" customHeight="1">
      <c r="C25" s="676" t="s">
        <v>543</v>
      </c>
      <c r="D25" s="698" t="s">
        <v>594</v>
      </c>
    </row>
    <row r="26" spans="3:4" s="675" customFormat="1" ht="18" customHeight="1">
      <c r="C26" s="688" t="s">
        <v>544</v>
      </c>
      <c r="D26" s="688"/>
    </row>
    <row r="27" spans="3:4" s="675" customFormat="1" ht="18" customHeight="1">
      <c r="C27" s="696" t="s">
        <v>387</v>
      </c>
      <c r="D27" s="691"/>
    </row>
    <row r="28" spans="3:4" s="675" customFormat="1" ht="18" customHeight="1">
      <c r="C28" s="696" t="s">
        <v>353</v>
      </c>
      <c r="D28" s="691"/>
    </row>
    <row r="29" spans="3:4" s="675" customFormat="1" ht="18" customHeight="1">
      <c r="C29" s="695" t="s">
        <v>536</v>
      </c>
      <c r="D29" s="692"/>
    </row>
    <row r="30" spans="3:4" s="675" customFormat="1" ht="45.75" customHeight="1">
      <c r="C30" s="693" t="s">
        <v>545</v>
      </c>
      <c r="D30" s="700" t="s">
        <v>596</v>
      </c>
    </row>
    <row r="31" spans="3:4" s="675" customFormat="1" ht="18" customHeight="1">
      <c r="C31" s="688" t="s">
        <v>541</v>
      </c>
      <c r="D31" s="701"/>
    </row>
    <row r="32" spans="3:4" s="675" customFormat="1" ht="18" customHeight="1">
      <c r="C32" s="696" t="s">
        <v>595</v>
      </c>
      <c r="D32" s="702" t="s">
        <v>597</v>
      </c>
    </row>
    <row r="33" spans="3:4" s="675" customFormat="1" ht="33.75" customHeight="1">
      <c r="C33" s="694" t="s">
        <v>539</v>
      </c>
      <c r="D33" s="702" t="s">
        <v>598</v>
      </c>
    </row>
    <row r="34" spans="3:4" s="675" customFormat="1" ht="37.5" customHeight="1">
      <c r="C34" s="694" t="s">
        <v>540</v>
      </c>
      <c r="D34" s="691"/>
    </row>
    <row r="35" spans="3:4" s="675" customFormat="1" ht="21.75" customHeight="1">
      <c r="C35" s="697" t="s">
        <v>599</v>
      </c>
      <c r="D35" s="692"/>
    </row>
    <row r="36" spans="3:4" s="675" customFormat="1" ht="18" customHeight="1">
      <c r="C36" s="688" t="s">
        <v>548</v>
      </c>
      <c r="D36" s="688"/>
    </row>
    <row r="37" spans="3:4" s="675" customFormat="1" ht="18" customHeight="1">
      <c r="C37" s="696" t="s">
        <v>595</v>
      </c>
      <c r="D37" s="702" t="s">
        <v>601</v>
      </c>
    </row>
    <row r="38" spans="3:4" s="675" customFormat="1" ht="35.25" customHeight="1">
      <c r="C38" s="697" t="s">
        <v>600</v>
      </c>
      <c r="D38" s="689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"/>
  <sheetViews>
    <sheetView workbookViewId="0">
      <selection activeCell="J20" sqref="J20"/>
    </sheetView>
  </sheetViews>
  <sheetFormatPr defaultRowHeight="1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1" sqref="J11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20"/>
  <sheetViews>
    <sheetView showGridLines="0" workbookViewId="0">
      <selection activeCell="E6" sqref="E6"/>
    </sheetView>
  </sheetViews>
  <sheetFormatPr defaultRowHeight="20.100000000000001" customHeight="1"/>
  <cols>
    <col min="1" max="1" width="9" style="67"/>
    <col min="2" max="2" width="41.42578125" style="67" customWidth="1"/>
    <col min="3" max="3" width="77.28515625" style="67" customWidth="1"/>
    <col min="4" max="5" width="9" style="67"/>
  </cols>
  <sheetData>
    <row r="1" spans="2:3" ht="15"/>
    <row r="2" spans="2:3" ht="18">
      <c r="B2" s="1414" t="s">
        <v>1411</v>
      </c>
    </row>
    <row r="3" spans="2:3" ht="15.75" thickBot="1"/>
    <row r="4" spans="2:3" ht="20.100000000000001" customHeight="1" thickBot="1">
      <c r="B4" s="1406" t="s">
        <v>1387</v>
      </c>
      <c r="C4" s="1406" t="s">
        <v>1388</v>
      </c>
    </row>
    <row r="5" spans="2:3" ht="20.100000000000001" customHeight="1" thickTop="1">
      <c r="B5" s="1620" t="s">
        <v>1389</v>
      </c>
      <c r="C5" s="1407" t="s">
        <v>1395</v>
      </c>
    </row>
    <row r="6" spans="2:3" ht="20.100000000000001" customHeight="1" thickBot="1">
      <c r="B6" s="1621"/>
      <c r="C6" s="1408" t="s">
        <v>1396</v>
      </c>
    </row>
    <row r="7" spans="2:3" ht="20.100000000000001" customHeight="1">
      <c r="B7" s="1617" t="s">
        <v>1390</v>
      </c>
      <c r="C7" s="1409" t="s">
        <v>1397</v>
      </c>
    </row>
    <row r="8" spans="2:3" ht="20.100000000000001" customHeight="1">
      <c r="B8" s="1618"/>
      <c r="C8" s="1410" t="s">
        <v>1398</v>
      </c>
    </row>
    <row r="9" spans="2:3" ht="20.100000000000001" customHeight="1" thickBot="1">
      <c r="B9" s="1619"/>
      <c r="C9" s="1411" t="s">
        <v>1399</v>
      </c>
    </row>
    <row r="10" spans="2:3" ht="20.100000000000001" customHeight="1">
      <c r="B10" s="1622" t="s">
        <v>1391</v>
      </c>
      <c r="C10" s="1412" t="s">
        <v>1400</v>
      </c>
    </row>
    <row r="11" spans="2:3" ht="20.100000000000001" customHeight="1">
      <c r="B11" s="1623"/>
      <c r="C11" s="1413" t="s">
        <v>1401</v>
      </c>
    </row>
    <row r="12" spans="2:3" ht="20.100000000000001" customHeight="1" thickBot="1">
      <c r="B12" s="1621"/>
      <c r="C12" s="1408" t="s">
        <v>1402</v>
      </c>
    </row>
    <row r="13" spans="2:3" ht="20.100000000000001" customHeight="1">
      <c r="B13" s="1617" t="s">
        <v>1392</v>
      </c>
      <c r="C13" s="1409" t="s">
        <v>1403</v>
      </c>
    </row>
    <row r="14" spans="2:3" ht="20.100000000000001" customHeight="1">
      <c r="B14" s="1618"/>
      <c r="C14" s="1410" t="s">
        <v>1404</v>
      </c>
    </row>
    <row r="15" spans="2:3" ht="20.100000000000001" customHeight="1" thickBot="1">
      <c r="B15" s="1619"/>
      <c r="C15" s="1411" t="s">
        <v>1405</v>
      </c>
    </row>
    <row r="16" spans="2:3" ht="20.100000000000001" customHeight="1">
      <c r="B16" s="1622" t="s">
        <v>1393</v>
      </c>
      <c r="C16" s="1412" t="s">
        <v>1406</v>
      </c>
    </row>
    <row r="17" spans="2:3" ht="20.100000000000001" customHeight="1" thickBot="1">
      <c r="B17" s="1621"/>
      <c r="C17" s="1408" t="s">
        <v>1407</v>
      </c>
    </row>
    <row r="18" spans="2:3" ht="20.100000000000001" customHeight="1">
      <c r="B18" s="1617" t="s">
        <v>1394</v>
      </c>
      <c r="C18" s="1409" t="s">
        <v>1408</v>
      </c>
    </row>
    <row r="19" spans="2:3" ht="20.100000000000001" customHeight="1">
      <c r="B19" s="1618"/>
      <c r="C19" s="1410" t="s">
        <v>1409</v>
      </c>
    </row>
    <row r="20" spans="2:3" ht="20.100000000000001" customHeight="1" thickBot="1">
      <c r="B20" s="1619"/>
      <c r="C20" s="1411" t="s">
        <v>1410</v>
      </c>
    </row>
  </sheetData>
  <mergeCells count="6">
    <mergeCell ref="B18:B20"/>
    <mergeCell ref="B5:B6"/>
    <mergeCell ref="B7:B9"/>
    <mergeCell ref="B10:B12"/>
    <mergeCell ref="B13:B15"/>
    <mergeCell ref="B16:B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2:U70"/>
  <sheetViews>
    <sheetView showGridLines="0" zoomScale="80" zoomScaleNormal="80" workbookViewId="0">
      <pane xSplit="2" ySplit="6" topLeftCell="H10" activePane="bottomRight" state="frozen"/>
      <selection pane="topRight" activeCell="C1" sqref="C1"/>
      <selection pane="bottomLeft" activeCell="A7" sqref="A7"/>
      <selection pane="bottomRight" activeCell="B29" sqref="B29"/>
    </sheetView>
  </sheetViews>
  <sheetFormatPr defaultRowHeight="15"/>
  <cols>
    <col min="1" max="1" width="2.140625" customWidth="1"/>
    <col min="2" max="2" width="35.28515625" customWidth="1"/>
    <col min="3" max="4" width="9" style="442"/>
    <col min="5" max="5" width="9.5703125" style="442" bestFit="1" customWidth="1"/>
    <col min="6" max="6" width="11.140625" style="442" bestFit="1" customWidth="1"/>
    <col min="7" max="7" width="11.28515625" style="442" bestFit="1" customWidth="1"/>
    <col min="8" max="11" width="12.5703125" style="442" bestFit="1" customWidth="1"/>
    <col min="12" max="12" width="3.42578125" customWidth="1"/>
    <col min="13" max="14" width="9.140625" style="594" bestFit="1" customWidth="1"/>
    <col min="15" max="15" width="10.42578125" style="594" bestFit="1" customWidth="1"/>
    <col min="16" max="16" width="10.42578125" style="594" customWidth="1"/>
    <col min="17" max="21" width="10.42578125" style="594" bestFit="1" customWidth="1"/>
  </cols>
  <sheetData>
    <row r="2" spans="2:21">
      <c r="C2" s="1132" t="s">
        <v>761</v>
      </c>
      <c r="M2" s="1140" t="s">
        <v>762</v>
      </c>
    </row>
    <row r="3" spans="2:21" ht="15.75" thickBot="1">
      <c r="C3" s="1133" t="s">
        <v>727</v>
      </c>
      <c r="D3" s="1133" t="s">
        <v>728</v>
      </c>
      <c r="E3" s="1142">
        <v>2016</v>
      </c>
      <c r="F3" s="1142">
        <v>2017</v>
      </c>
      <c r="G3" s="1142">
        <v>2018</v>
      </c>
      <c r="H3" s="1142">
        <v>2019</v>
      </c>
      <c r="I3" s="1142">
        <v>2020</v>
      </c>
      <c r="J3" s="1142">
        <v>2021</v>
      </c>
      <c r="K3" s="1142">
        <v>2022</v>
      </c>
      <c r="M3" s="1141" t="s">
        <v>727</v>
      </c>
      <c r="N3" s="1141" t="s">
        <v>728</v>
      </c>
      <c r="O3" s="1143">
        <v>2016</v>
      </c>
      <c r="P3" s="1143">
        <v>2017</v>
      </c>
      <c r="Q3" s="1143">
        <v>2018</v>
      </c>
      <c r="R3" s="1143">
        <v>2019</v>
      </c>
      <c r="S3" s="1143">
        <v>2020</v>
      </c>
      <c r="T3" s="1143">
        <v>2021</v>
      </c>
      <c r="U3" s="1143">
        <v>2022</v>
      </c>
    </row>
    <row r="5" spans="2:21" s="1144" customFormat="1">
      <c r="B5" s="1144" t="s">
        <v>499</v>
      </c>
      <c r="C5" s="1145">
        <v>121827.155</v>
      </c>
      <c r="D5" s="1145">
        <v>319929.83399999997</v>
      </c>
      <c r="E5" s="1145">
        <v>434569.95832999999</v>
      </c>
      <c r="F5" s="1145">
        <f>[1]Summary!G22</f>
        <v>700156.68629347836</v>
      </c>
      <c r="G5" s="1611">
        <v>980067.35800000001</v>
      </c>
      <c r="H5" s="1611">
        <v>1372094.301</v>
      </c>
      <c r="I5" s="1611">
        <v>1783722.591</v>
      </c>
      <c r="J5" s="1611">
        <v>2318839.3689999999</v>
      </c>
      <c r="K5" s="1611">
        <v>3014491.179</v>
      </c>
      <c r="M5" s="1146"/>
      <c r="N5" s="1146"/>
      <c r="O5" s="1146"/>
      <c r="P5" s="1146"/>
      <c r="Q5" s="1146"/>
      <c r="R5" s="1146"/>
      <c r="S5" s="1146"/>
      <c r="T5" s="1146"/>
      <c r="U5" s="1146"/>
    </row>
    <row r="6" spans="2:21" s="1144" customFormat="1">
      <c r="B6" s="1144" t="s">
        <v>206</v>
      </c>
      <c r="C6" s="1145">
        <v>116699.148</v>
      </c>
      <c r="D6" s="1145">
        <v>312309.09950000001</v>
      </c>
      <c r="E6" s="1145">
        <v>428323.51582999999</v>
      </c>
      <c r="F6" s="1145">
        <f>'Sale Plan &amp; KPIs'!N15</f>
        <v>686153.55256760889</v>
      </c>
      <c r="G6" s="1145">
        <v>966153.14998061094</v>
      </c>
      <c r="H6" s="1145">
        <v>1351788.1862255593</v>
      </c>
      <c r="I6" s="1145">
        <v>1762533.0784256798</v>
      </c>
      <c r="J6" s="1145">
        <v>2290631.0416128035</v>
      </c>
      <c r="K6" s="1145">
        <v>2977820.3540966678</v>
      </c>
      <c r="M6" s="1146"/>
      <c r="N6" s="1146"/>
      <c r="O6" s="1146"/>
      <c r="P6" s="1146"/>
      <c r="Q6" s="1615"/>
      <c r="R6" s="1615"/>
      <c r="S6" s="1615"/>
      <c r="T6" s="1615"/>
      <c r="U6" s="1615"/>
    </row>
    <row r="7" spans="2:21" s="1271" customFormat="1">
      <c r="B7" s="1271" t="s">
        <v>1206</v>
      </c>
      <c r="C7" s="1272"/>
      <c r="D7" s="1272"/>
      <c r="E7" s="1273">
        <f>'GA Cost Projection'!C6</f>
        <v>0.10689622786680239</v>
      </c>
      <c r="F7" s="1273">
        <f>'GA Cost Projection'!D6</f>
        <v>0.61842576018506712</v>
      </c>
      <c r="G7" s="1273">
        <f>'GA Cost Projection'!E6</f>
        <v>0.85610776491493668</v>
      </c>
      <c r="H7" s="1273">
        <f>'GA Cost Projection'!F6</f>
        <v>0.85991821890981623</v>
      </c>
      <c r="I7" s="1273">
        <f>'GA Cost Projection'!G6</f>
        <v>0.91478013993915797</v>
      </c>
      <c r="J7" s="1273">
        <f>'GA Cost Projection'!H6</f>
        <v>0.92974809987159523</v>
      </c>
      <c r="K7" s="1273">
        <f>'GA Cost Projection'!I6</f>
        <v>0.95777370447542065</v>
      </c>
      <c r="M7" s="1274"/>
      <c r="N7" s="1274"/>
      <c r="O7" s="1274"/>
      <c r="P7" s="1274"/>
      <c r="Q7" s="1616"/>
      <c r="R7" s="1616"/>
      <c r="S7" s="1616"/>
      <c r="T7" s="1616"/>
      <c r="U7" s="1616"/>
    </row>
    <row r="8" spans="2:21" s="1144" customFormat="1">
      <c r="C8" s="1145"/>
      <c r="D8" s="1145"/>
      <c r="E8" s="1145"/>
      <c r="F8" s="1145"/>
      <c r="G8" s="1145"/>
      <c r="H8" s="1145"/>
      <c r="I8" s="1145"/>
      <c r="J8" s="1145"/>
      <c r="K8" s="1145"/>
      <c r="M8" s="1146"/>
      <c r="N8" s="1146"/>
      <c r="O8" s="1146"/>
      <c r="P8" s="1146"/>
      <c r="Q8" s="1145"/>
      <c r="R8" s="1146"/>
      <c r="S8" s="1146"/>
      <c r="T8" s="1146"/>
      <c r="U8" s="1146"/>
    </row>
    <row r="9" spans="2:21" s="1144" customFormat="1">
      <c r="B9" s="1144" t="s">
        <v>1488</v>
      </c>
      <c r="C9" s="1145">
        <f>C11-C70</f>
        <v>108371.23842452624</v>
      </c>
      <c r="D9" s="1145">
        <f t="shared" ref="D9:K9" si="0">D11-D70</f>
        <v>314761.5980192796</v>
      </c>
      <c r="E9" s="1145">
        <f t="shared" si="0"/>
        <v>427599.37121665542</v>
      </c>
      <c r="F9" s="1145">
        <f t="shared" si="0"/>
        <v>687984.16387190216</v>
      </c>
      <c r="G9" s="1145">
        <f t="shared" si="0"/>
        <v>890728.54236737546</v>
      </c>
      <c r="H9" s="1145">
        <f t="shared" si="0"/>
        <v>1074120.9352672813</v>
      </c>
      <c r="I9" s="1145">
        <f t="shared" si="0"/>
        <v>1300148.1318309815</v>
      </c>
      <c r="J9" s="1145">
        <f t="shared" si="0"/>
        <v>1581046.3648046874</v>
      </c>
      <c r="K9" s="1145">
        <f t="shared" si="0"/>
        <v>1942611.0792660806</v>
      </c>
      <c r="M9" s="1146">
        <f>C9/C$6</f>
        <v>0.92863778598046176</v>
      </c>
      <c r="N9" s="1146">
        <f>D9/D$6</f>
        <v>1.0078527923880731</v>
      </c>
      <c r="O9" s="1146">
        <f t="shared" ref="O9" si="1">E9/E$6</f>
        <v>0.99830935125767883</v>
      </c>
      <c r="P9" s="1146">
        <f t="shared" ref="P9" si="2">F9/F$6</f>
        <v>1.0026679324146075</v>
      </c>
      <c r="Q9" s="1146">
        <f t="shared" ref="Q9" si="3">G9/G$6</f>
        <v>0.92193307281071424</v>
      </c>
      <c r="R9" s="1146">
        <f t="shared" ref="R9" si="4">H9/H$6</f>
        <v>0.79459263382558776</v>
      </c>
      <c r="S9" s="1146">
        <f t="shared" ref="S9" si="5">I9/I$6</f>
        <v>0.73765885460277014</v>
      </c>
      <c r="T9" s="1146">
        <f t="shared" ref="T9" si="6">J9/J$6</f>
        <v>0.69022305909706583</v>
      </c>
      <c r="U9" s="1146">
        <f t="shared" ref="U9" si="7">K9/K$6</f>
        <v>0.65236006483520004</v>
      </c>
    </row>
    <row r="10" spans="2:21" s="1144" customFormat="1">
      <c r="C10" s="1145"/>
      <c r="D10" s="1145"/>
      <c r="E10" s="1145"/>
      <c r="F10" s="1145"/>
      <c r="G10" s="1145"/>
      <c r="H10" s="1145"/>
      <c r="I10" s="1145"/>
      <c r="J10" s="1145"/>
      <c r="K10" s="1145"/>
      <c r="M10" s="1146"/>
      <c r="N10" s="1146"/>
      <c r="O10" s="1146"/>
      <c r="P10" s="1146"/>
      <c r="Q10" s="1145"/>
      <c r="R10" s="1146"/>
      <c r="S10" s="1146"/>
      <c r="T10" s="1146"/>
      <c r="U10" s="1146"/>
    </row>
    <row r="11" spans="2:21" s="1144" customFormat="1">
      <c r="B11" s="1144" t="s">
        <v>760</v>
      </c>
      <c r="C11" s="1145">
        <f>C18+C20+C25+C34+C39+C48+C56</f>
        <v>108371.23842452624</v>
      </c>
      <c r="D11" s="1145">
        <f t="shared" ref="D11:K11" si="8">D18+D20+D25+D34+D39+D48+D56</f>
        <v>314761.5980192796</v>
      </c>
      <c r="E11" s="1145">
        <f t="shared" si="8"/>
        <v>427599.37121665542</v>
      </c>
      <c r="F11" s="1145">
        <f t="shared" si="8"/>
        <v>681962.04387448507</v>
      </c>
      <c r="G11" s="1145">
        <f t="shared" si="8"/>
        <v>943701.07101018215</v>
      </c>
      <c r="H11" s="1145">
        <f t="shared" si="8"/>
        <v>1232816.9193569638</v>
      </c>
      <c r="I11" s="1145">
        <f t="shared" si="8"/>
        <v>1532399.5929269088</v>
      </c>
      <c r="J11" s="1145">
        <f t="shared" si="8"/>
        <v>1911432.0172430375</v>
      </c>
      <c r="K11" s="1145">
        <f t="shared" si="8"/>
        <v>2393287.8446359443</v>
      </c>
      <c r="M11" s="1146">
        <f>M18+M20+M25+M34+M39+M48+M56</f>
        <v>0.92863778598046176</v>
      </c>
      <c r="N11" s="1146">
        <f t="shared" ref="N11:U11" si="9">N18+N20+N25+N34+N39+N48+N56</f>
        <v>1.0078527923880731</v>
      </c>
      <c r="O11" s="1146">
        <f t="shared" si="9"/>
        <v>0.99830935125767872</v>
      </c>
      <c r="P11" s="1146">
        <f>P18+P20+P25+P34+P39+P48+P56</f>
        <v>0.99389129637609663</v>
      </c>
      <c r="Q11" s="1146">
        <f t="shared" si="9"/>
        <v>0.97676136648638023</v>
      </c>
      <c r="R11" s="1146">
        <f t="shared" si="9"/>
        <v>0.91198971252975303</v>
      </c>
      <c r="S11" s="1146">
        <f t="shared" si="9"/>
        <v>0.86943026016605041</v>
      </c>
      <c r="T11" s="1146">
        <f t="shared" si="9"/>
        <v>0.83445652421492689</v>
      </c>
      <c r="U11" s="1146">
        <f t="shared" si="9"/>
        <v>0.80370457584636834</v>
      </c>
    </row>
    <row r="12" spans="2:21" s="1144" customFormat="1">
      <c r="B12" s="1144" t="s">
        <v>1207</v>
      </c>
      <c r="C12" s="1145">
        <f>C18+C20+C25+C34+C39+C48</f>
        <v>105529.13901799999</v>
      </c>
      <c r="D12" s="1145">
        <f t="shared" ref="D12:K12" si="10">D18+D20+D25+D34+D39+D48</f>
        <v>307237.09797727957</v>
      </c>
      <c r="E12" s="1145">
        <f t="shared" si="10"/>
        <v>412674.7747351554</v>
      </c>
      <c r="F12" s="1145">
        <f>F18+F20+F25+F34+F39+F48</f>
        <v>571968.43629853788</v>
      </c>
      <c r="G12" s="1145">
        <f t="shared" si="10"/>
        <v>743075.82707868598</v>
      </c>
      <c r="H12" s="1145">
        <f t="shared" si="10"/>
        <v>983586.47006967803</v>
      </c>
      <c r="I12" s="1145">
        <f t="shared" si="10"/>
        <v>1213049.8404319556</v>
      </c>
      <c r="J12" s="1145">
        <f t="shared" si="10"/>
        <v>1509022.7545837739</v>
      </c>
      <c r="K12" s="1145">
        <f t="shared" si="10"/>
        <v>1864587.4613149469</v>
      </c>
      <c r="M12" s="1146">
        <f>M18+M20+M25+M34+M39+M48</f>
        <v>0.90428371437638932</v>
      </c>
      <c r="N12" s="1146">
        <f t="shared" ref="N12:U12" si="11">N18+N20+N25+N34+N39+N48</f>
        <v>0.98375967421109212</v>
      </c>
      <c r="O12" s="1146">
        <f t="shared" si="11"/>
        <v>0.96346513670975853</v>
      </c>
      <c r="P12" s="1146">
        <f>P18+P20+P25+P34+P39+P48</f>
        <v>0.83358664275396277</v>
      </c>
      <c r="Q12" s="1146">
        <f t="shared" si="11"/>
        <v>0.76910770005107199</v>
      </c>
      <c r="R12" s="1146">
        <f t="shared" si="11"/>
        <v>0.72761877940066355</v>
      </c>
      <c r="S12" s="1146">
        <f t="shared" si="11"/>
        <v>0.6882423117502392</v>
      </c>
      <c r="T12" s="1146">
        <f t="shared" si="11"/>
        <v>0.65878036539716611</v>
      </c>
      <c r="U12" s="1146">
        <f t="shared" si="11"/>
        <v>0.62615847821369874</v>
      </c>
    </row>
    <row r="13" spans="2:21" s="1144" customFormat="1">
      <c r="B13" s="1144" t="s">
        <v>1241</v>
      </c>
      <c r="C13" s="1145">
        <f>C18+C20+C25+C34+C40+C48</f>
        <v>93969.139017999987</v>
      </c>
      <c r="D13" s="1145">
        <f t="shared" ref="D13:K13" si="12">D18+D20+D25+D34+D40+D48</f>
        <v>269975.13000872405</v>
      </c>
      <c r="E13" s="1145">
        <f t="shared" si="12"/>
        <v>351835.93712756061</v>
      </c>
      <c r="F13" s="1145">
        <f t="shared" si="12"/>
        <v>535156.37734428258</v>
      </c>
      <c r="G13" s="1145">
        <f t="shared" si="12"/>
        <v>722341.88089168095</v>
      </c>
      <c r="H13" s="1145">
        <f t="shared" si="12"/>
        <v>969309.0420540527</v>
      </c>
      <c r="I13" s="1145">
        <f t="shared" si="12"/>
        <v>1205135.9236828163</v>
      </c>
      <c r="J13" s="1145">
        <f t="shared" si="12"/>
        <v>1502955.8249632346</v>
      </c>
      <c r="K13" s="1145">
        <f t="shared" si="12"/>
        <v>1858520.5316944076</v>
      </c>
      <c r="M13" s="1146">
        <f>M18+M20+M25+M34+M40+M48</f>
        <v>0.80522557900765468</v>
      </c>
      <c r="N13" s="1146">
        <f t="shared" ref="N13:U13" si="13">N18+N20+N25+N34+N40+N48</f>
        <v>0.86444849170564764</v>
      </c>
      <c r="O13" s="1146">
        <f t="shared" si="13"/>
        <v>0.82142568438199626</v>
      </c>
      <c r="P13" s="1146">
        <f t="shared" si="13"/>
        <v>0.77993675809403018</v>
      </c>
      <c r="Q13" s="1146">
        <f t="shared" si="13"/>
        <v>0.74764738996729163</v>
      </c>
      <c r="R13" s="1146">
        <f t="shared" si="13"/>
        <v>0.71705689688008123</v>
      </c>
      <c r="S13" s="1146">
        <f t="shared" si="13"/>
        <v>0.68375223048821376</v>
      </c>
      <c r="T13" s="1146">
        <f t="shared" si="13"/>
        <v>0.65613178100695912</v>
      </c>
      <c r="U13" s="1146">
        <f t="shared" si="13"/>
        <v>0.62412110560584722</v>
      </c>
    </row>
    <row r="14" spans="2:21" s="1144" customFormat="1">
      <c r="B14" s="1144" t="s">
        <v>1242</v>
      </c>
      <c r="C14" s="1145">
        <f>C18+C20+C25+C34+C40</f>
        <v>66787.704243</v>
      </c>
      <c r="D14" s="1145">
        <f t="shared" ref="D14:K14" si="14">D18+D20+D25+D34+D40</f>
        <v>197883.44426972407</v>
      </c>
      <c r="E14" s="1145">
        <f t="shared" si="14"/>
        <v>264584.99569134234</v>
      </c>
      <c r="F14" s="1145">
        <f t="shared" si="14"/>
        <v>428642.810597701</v>
      </c>
      <c r="G14" s="1145">
        <f t="shared" si="14"/>
        <v>578799.66956067435</v>
      </c>
      <c r="H14" s="1145">
        <f t="shared" si="14"/>
        <v>788480.00823590788</v>
      </c>
      <c r="I14" s="1145">
        <f t="shared" si="14"/>
        <v>994332.3658402483</v>
      </c>
      <c r="J14" s="1145">
        <f t="shared" si="14"/>
        <v>1259407.4462180822</v>
      </c>
      <c r="K14" s="1145">
        <f t="shared" si="14"/>
        <v>1612559.0219076409</v>
      </c>
      <c r="M14" s="1146">
        <f>M18+M20+M25+M34+M40</f>
        <v>0.57230669964274283</v>
      </c>
      <c r="N14" s="1146">
        <f t="shared" ref="N14:U14" si="15">N18+N20+N25+N34+N40</f>
        <v>0.63361408484905213</v>
      </c>
      <c r="O14" s="1146">
        <f t="shared" si="15"/>
        <v>0.61772231949168788</v>
      </c>
      <c r="P14" s="1146">
        <f t="shared" si="15"/>
        <v>0.6247039150255882</v>
      </c>
      <c r="Q14" s="1146">
        <f t="shared" si="15"/>
        <v>0.59907652277725321</v>
      </c>
      <c r="R14" s="1146">
        <f t="shared" si="15"/>
        <v>0.58328665412995573</v>
      </c>
      <c r="S14" s="1146">
        <f t="shared" si="15"/>
        <v>0.56414961966467059</v>
      </c>
      <c r="T14" s="1146">
        <f t="shared" si="15"/>
        <v>0.54980807617596505</v>
      </c>
      <c r="U14" s="1146">
        <f t="shared" si="15"/>
        <v>0.54152327211048845</v>
      </c>
    </row>
    <row r="15" spans="2:21" s="1144" customFormat="1">
      <c r="C15" s="1145"/>
      <c r="D15" s="1145"/>
      <c r="E15" s="1145"/>
      <c r="F15" s="1145"/>
      <c r="G15" s="1145"/>
      <c r="H15" s="1145"/>
      <c r="I15" s="1145"/>
      <c r="J15" s="1145"/>
      <c r="K15" s="1145"/>
      <c r="M15" s="1146"/>
      <c r="N15" s="1146"/>
      <c r="O15" s="1146"/>
      <c r="P15" s="1146"/>
      <c r="Q15" s="1146"/>
      <c r="R15" s="1146"/>
      <c r="S15" s="1146"/>
      <c r="T15" s="1146"/>
      <c r="U15" s="1146"/>
    </row>
    <row r="16" spans="2:21" s="1144" customFormat="1">
      <c r="C16" s="1145"/>
      <c r="D16" s="1145"/>
      <c r="E16" s="1145"/>
      <c r="F16" s="1145"/>
      <c r="G16" s="1145"/>
      <c r="H16" s="1145"/>
      <c r="I16" s="1145"/>
      <c r="J16" s="1145"/>
      <c r="K16" s="1145"/>
      <c r="M16" s="1146"/>
      <c r="N16" s="1146"/>
      <c r="O16" s="1146"/>
      <c r="P16" s="1146"/>
      <c r="Q16" s="1146"/>
      <c r="R16" s="1146"/>
      <c r="S16" s="1146"/>
      <c r="T16" s="1146"/>
      <c r="U16" s="1146"/>
    </row>
    <row r="18" spans="2:21" s="1144" customFormat="1">
      <c r="B18" s="1144" t="s">
        <v>729</v>
      </c>
      <c r="C18" s="1145">
        <v>34879.911</v>
      </c>
      <c r="D18" s="1145">
        <v>99342.799446000005</v>
      </c>
      <c r="E18" s="1145">
        <v>134174.375505</v>
      </c>
      <c r="F18" s="1145">
        <f>'2017 Scheme &amp; cost projection'!Q22</f>
        <v>217279.47454649099</v>
      </c>
      <c r="G18" s="1145">
        <f>'Long term projection'!J31</f>
        <v>301352.16735766613</v>
      </c>
      <c r="H18" s="1145">
        <f>'Long term projection'!K31</f>
        <v>420937.84090831759</v>
      </c>
      <c r="I18" s="1145">
        <f>'Long term projection'!L31</f>
        <v>542783.81664517662</v>
      </c>
      <c r="J18" s="1145">
        <f>'Long term projection'!M31</f>
        <v>705502.83938576467</v>
      </c>
      <c r="K18" s="1145">
        <f>'Long term projection'!N31</f>
        <v>917153.6912014971</v>
      </c>
      <c r="M18" s="1146">
        <f>C18/C$6</f>
        <v>0.29888745203178346</v>
      </c>
      <c r="N18" s="1146">
        <f>D18/D$6</f>
        <v>0.31809127433381107</v>
      </c>
      <c r="O18" s="1146">
        <f t="shared" ref="O18:U18" si="16">E18/E$6</f>
        <v>0.31325474914679519</v>
      </c>
      <c r="P18" s="1146">
        <f t="shared" si="16"/>
        <v>0.31666304682592422</v>
      </c>
      <c r="Q18" s="1146">
        <f t="shared" si="16"/>
        <v>0.31190931516780107</v>
      </c>
      <c r="R18" s="1146">
        <f t="shared" si="16"/>
        <v>0.31139334194335083</v>
      </c>
      <c r="S18" s="1146">
        <f t="shared" si="16"/>
        <v>0.30795666946006994</v>
      </c>
      <c r="T18" s="1146">
        <f t="shared" si="16"/>
        <v>0.30799497019346656</v>
      </c>
      <c r="U18" s="1146">
        <f t="shared" si="16"/>
        <v>0.30799497019346517</v>
      </c>
    </row>
    <row r="20" spans="2:21" s="1144" customFormat="1">
      <c r="B20" s="1144" t="s">
        <v>730</v>
      </c>
      <c r="C20" s="1145">
        <f>SUM(C21:C23)</f>
        <v>9763.7780840000014</v>
      </c>
      <c r="D20" s="1145">
        <f t="shared" ref="D20:K20" si="17">SUM(D21:D23)</f>
        <v>29740.268093999999</v>
      </c>
      <c r="E20" s="1145">
        <f t="shared" si="17"/>
        <v>41439.199822999995</v>
      </c>
      <c r="F20" s="1145">
        <f t="shared" si="17"/>
        <v>42161.007169136763</v>
      </c>
      <c r="G20" s="1145">
        <f t="shared" si="17"/>
        <v>57273.16756066071</v>
      </c>
      <c r="H20" s="1145">
        <f t="shared" si="17"/>
        <v>77499.043385196477</v>
      </c>
      <c r="I20" s="1145">
        <f t="shared" si="17"/>
        <v>95329.447578986204</v>
      </c>
      <c r="J20" s="1145">
        <f t="shared" si="17"/>
        <v>119947.44688965527</v>
      </c>
      <c r="K20" s="1145">
        <f t="shared" si="17"/>
        <v>151737.96553586118</v>
      </c>
      <c r="M20" s="1146">
        <f t="shared" ref="M20:N23" si="18">C20/C$6</f>
        <v>8.3666232798889004E-2</v>
      </c>
      <c r="N20" s="1146">
        <f t="shared" si="18"/>
        <v>9.5227030341458227E-2</v>
      </c>
      <c r="O20" s="1146">
        <f t="shared" ref="O20:O23" si="19">E20/E$6</f>
        <v>9.6747431069012471E-2</v>
      </c>
      <c r="P20" s="1146">
        <f t="shared" ref="P20:P23" si="20">F20/F$6</f>
        <v>6.1445440326540472E-2</v>
      </c>
      <c r="Q20" s="1146">
        <f t="shared" ref="Q20:Q23" si="21">G20/G$6</f>
        <v>5.9279595126104062E-2</v>
      </c>
      <c r="R20" s="1146">
        <f t="shared" ref="R20:R23" si="22">H20/H$6</f>
        <v>5.7330759489464117E-2</v>
      </c>
      <c r="S20" s="1146">
        <f t="shared" ref="S20:S23" si="23">I20/I$6</f>
        <v>5.408661473981291E-2</v>
      </c>
      <c r="T20" s="1146">
        <f t="shared" ref="T20:T23" si="24">J20/J$6</f>
        <v>5.2364368032488479E-2</v>
      </c>
      <c r="U20" s="1146">
        <f t="shared" ref="U20:U23" si="25">K20/K$6</f>
        <v>5.0956050900488728E-2</v>
      </c>
    </row>
    <row r="21" spans="2:21">
      <c r="B21" s="902" t="s">
        <v>556</v>
      </c>
      <c r="C21" s="442">
        <v>4858.1800440000006</v>
      </c>
      <c r="D21" s="442">
        <v>14632.381222</v>
      </c>
      <c r="E21" s="442">
        <v>20152.059366999998</v>
      </c>
      <c r="F21" s="442">
        <f>'2017 Scheme &amp; cost projection'!AB225</f>
        <v>31834.522245987071</v>
      </c>
      <c r="G21" s="442">
        <f>'Long term projection'!J166</f>
        <v>43592.065685364112</v>
      </c>
      <c r="H21" s="442">
        <f>'Long term projection'!K166</f>
        <v>58795.190979107196</v>
      </c>
      <c r="I21" s="442">
        <f>'Long term projection'!L166</f>
        <v>72708.376664911033</v>
      </c>
      <c r="J21" s="442">
        <f>'Long term projection'!M166</f>
        <v>90598.176256932638</v>
      </c>
      <c r="K21" s="442">
        <f>'Long term projection'!N166</f>
        <v>114042.03671902469</v>
      </c>
      <c r="M21" s="594">
        <f t="shared" si="18"/>
        <v>4.1629952979605304E-2</v>
      </c>
      <c r="N21" s="594">
        <f t="shared" si="18"/>
        <v>4.6852241082395996E-2</v>
      </c>
      <c r="O21" s="594">
        <f t="shared" si="19"/>
        <v>4.7048687784394902E-2</v>
      </c>
      <c r="P21" s="594">
        <f t="shared" si="20"/>
        <v>4.6395624021563768E-2</v>
      </c>
      <c r="Q21" s="594">
        <f t="shared" si="21"/>
        <v>4.5119208777861908E-2</v>
      </c>
      <c r="R21" s="594">
        <f t="shared" si="22"/>
        <v>4.3494381426186418E-2</v>
      </c>
      <c r="S21" s="594">
        <f t="shared" si="23"/>
        <v>4.1252205450722779E-2</v>
      </c>
      <c r="T21" s="594">
        <f t="shared" si="24"/>
        <v>3.9551623378483357E-2</v>
      </c>
      <c r="U21" s="594">
        <f t="shared" si="25"/>
        <v>3.8297151324838644E-2</v>
      </c>
    </row>
    <row r="22" spans="2:21">
      <c r="B22" s="902" t="s">
        <v>731</v>
      </c>
      <c r="C22" s="442">
        <v>3497.2014280000003</v>
      </c>
      <c r="D22" s="442">
        <v>10901.362347999999</v>
      </c>
      <c r="E22" s="442">
        <v>14816.280462999999</v>
      </c>
      <c r="F22" s="442">
        <v>0</v>
      </c>
      <c r="G22" s="442">
        <v>0</v>
      </c>
      <c r="H22" s="442">
        <v>0</v>
      </c>
      <c r="I22" s="442">
        <v>0</v>
      </c>
      <c r="J22" s="442">
        <v>0</v>
      </c>
      <c r="K22" s="442">
        <v>0</v>
      </c>
      <c r="M22" s="594">
        <f t="shared" si="18"/>
        <v>2.9967668898491017E-2</v>
      </c>
      <c r="N22" s="594">
        <f t="shared" si="18"/>
        <v>3.4905682752929199E-2</v>
      </c>
      <c r="O22" s="594">
        <f t="shared" si="19"/>
        <v>3.4591330887563332E-2</v>
      </c>
      <c r="P22" s="594">
        <f t="shared" si="20"/>
        <v>0</v>
      </c>
      <c r="Q22" s="594">
        <f t="shared" si="21"/>
        <v>0</v>
      </c>
      <c r="R22" s="594">
        <f t="shared" si="22"/>
        <v>0</v>
      </c>
      <c r="S22" s="594">
        <f t="shared" si="23"/>
        <v>0</v>
      </c>
      <c r="T22" s="594">
        <f t="shared" si="24"/>
        <v>0</v>
      </c>
      <c r="U22" s="594">
        <f t="shared" si="25"/>
        <v>0</v>
      </c>
    </row>
    <row r="23" spans="2:21">
      <c r="B23" s="902" t="s">
        <v>36</v>
      </c>
      <c r="C23" s="442">
        <v>1408.396612</v>
      </c>
      <c r="D23" s="442">
        <v>4206.5245239999986</v>
      </c>
      <c r="E23" s="442">
        <v>6470.859993</v>
      </c>
      <c r="F23" s="442">
        <f>'2017 Scheme &amp; cost projection'!AB255</f>
        <v>10326.484923149696</v>
      </c>
      <c r="G23" s="442">
        <f>'Long term projection'!J202</f>
        <v>13681.101875296599</v>
      </c>
      <c r="H23" s="442">
        <f>'Long term projection'!K202</f>
        <v>18703.852406089281</v>
      </c>
      <c r="I23" s="442">
        <f>'Long term projection'!L202</f>
        <v>22621.070914075179</v>
      </c>
      <c r="J23" s="442">
        <f>'Long term projection'!M202</f>
        <v>29349.270632722633</v>
      </c>
      <c r="K23" s="442">
        <f>'Long term projection'!N202</f>
        <v>37695.928816836487</v>
      </c>
      <c r="M23" s="594">
        <f t="shared" si="18"/>
        <v>1.206861092079267E-2</v>
      </c>
      <c r="N23" s="594">
        <f t="shared" si="18"/>
        <v>1.3469106506133031E-2</v>
      </c>
      <c r="O23" s="594">
        <f t="shared" si="19"/>
        <v>1.5107412397054241E-2</v>
      </c>
      <c r="P23" s="594">
        <f t="shared" si="20"/>
        <v>1.5049816304976711E-2</v>
      </c>
      <c r="Q23" s="594">
        <f t="shared" si="21"/>
        <v>1.4160386348242156E-2</v>
      </c>
      <c r="R23" s="594">
        <f t="shared" si="22"/>
        <v>1.3836378063277701E-2</v>
      </c>
      <c r="S23" s="594">
        <f t="shared" si="23"/>
        <v>1.2834409289090137E-2</v>
      </c>
      <c r="T23" s="594">
        <f t="shared" si="24"/>
        <v>1.2812744654005122E-2</v>
      </c>
      <c r="U23" s="594">
        <f t="shared" si="25"/>
        <v>1.2658899575650083E-2</v>
      </c>
    </row>
    <row r="25" spans="2:21" s="1144" customFormat="1">
      <c r="B25" s="1266" t="s">
        <v>732</v>
      </c>
      <c r="C25" s="1145">
        <f>SUM(C26:C32)</f>
        <v>19023.250990999997</v>
      </c>
      <c r="D25" s="1145">
        <f t="shared" ref="D25:K25" si="26">SUM(D26:D32)</f>
        <v>56028.242899451339</v>
      </c>
      <c r="E25" s="1145">
        <f t="shared" si="26"/>
        <v>63247.116502000012</v>
      </c>
      <c r="F25" s="1145">
        <f t="shared" si="26"/>
        <v>127355.6670250825</v>
      </c>
      <c r="G25" s="1145">
        <f t="shared" si="26"/>
        <v>172465.38849309826</v>
      </c>
      <c r="H25" s="1145">
        <f t="shared" si="26"/>
        <v>226522.06579639326</v>
      </c>
      <c r="I25" s="1145">
        <f t="shared" si="26"/>
        <v>285929.83688020788</v>
      </c>
      <c r="J25" s="1145">
        <f t="shared" si="26"/>
        <v>363835.62498736195</v>
      </c>
      <c r="K25" s="1145">
        <f t="shared" si="26"/>
        <v>459306.16949235147</v>
      </c>
      <c r="M25" s="1146">
        <f t="shared" ref="M25:N32" si="27">C25/C$6</f>
        <v>0.16301105292559631</v>
      </c>
      <c r="N25" s="1146">
        <f t="shared" si="27"/>
        <v>0.17939996941860267</v>
      </c>
      <c r="O25" s="1146">
        <f t="shared" ref="O25:O32" si="28">E25/E$6</f>
        <v>0.14766202219703145</v>
      </c>
      <c r="P25" s="1146">
        <f t="shared" ref="P25:P32" si="29">F25/F$6</f>
        <v>0.18560811431860033</v>
      </c>
      <c r="Q25" s="1146">
        <f t="shared" ref="Q25:Q32" si="30">G25/G$6</f>
        <v>0.17850729824413381</v>
      </c>
      <c r="R25" s="1146">
        <f t="shared" ref="R25:R32" si="31">H25/H$6</f>
        <v>0.16757215968049288</v>
      </c>
      <c r="S25" s="1146">
        <f t="shared" ref="S25:S32" si="32">I25/I$6</f>
        <v>0.16222665003008316</v>
      </c>
      <c r="T25" s="1146">
        <f t="shared" ref="T25:T32" si="33">J25/J$6</f>
        <v>0.15883641598220463</v>
      </c>
      <c r="U25" s="1146">
        <f t="shared" ref="U25:U32" si="34">K25/K$6</f>
        <v>0.15424240379728468</v>
      </c>
    </row>
    <row r="26" spans="2:21">
      <c r="B26" s="902" t="s">
        <v>733</v>
      </c>
      <c r="C26" s="442">
        <v>3209.8407399999996</v>
      </c>
      <c r="D26" s="442">
        <v>9716.52736</v>
      </c>
      <c r="E26" s="442">
        <v>8757.0588099999986</v>
      </c>
      <c r="F26" s="442">
        <f>'2017 Scheme &amp; cost projection'!Q113</f>
        <v>5037.0998253866055</v>
      </c>
      <c r="G26" s="442">
        <v>0</v>
      </c>
      <c r="H26" s="442">
        <v>0</v>
      </c>
      <c r="I26" s="442">
        <v>0</v>
      </c>
      <c r="J26" s="442">
        <v>0</v>
      </c>
      <c r="K26" s="442">
        <v>0</v>
      </c>
      <c r="M26" s="594">
        <f t="shared" si="27"/>
        <v>2.750526284904839E-2</v>
      </c>
      <c r="N26" s="594">
        <f t="shared" si="27"/>
        <v>3.1111893235118496E-2</v>
      </c>
      <c r="O26" s="594">
        <f t="shared" si="28"/>
        <v>2.0444963879768963E-2</v>
      </c>
      <c r="P26" s="594">
        <f t="shared" si="29"/>
        <v>7.3410679089798694E-3</v>
      </c>
      <c r="Q26" s="594">
        <f t="shared" si="30"/>
        <v>0</v>
      </c>
      <c r="R26" s="594">
        <f t="shared" si="31"/>
        <v>0</v>
      </c>
      <c r="S26" s="594">
        <f t="shared" si="32"/>
        <v>0</v>
      </c>
      <c r="T26" s="594">
        <f t="shared" si="33"/>
        <v>0</v>
      </c>
      <c r="U26" s="594">
        <f t="shared" si="34"/>
        <v>0</v>
      </c>
    </row>
    <row r="27" spans="2:21">
      <c r="B27" s="902" t="s">
        <v>734</v>
      </c>
      <c r="C27" s="442">
        <v>11199.023729</v>
      </c>
      <c r="D27" s="442">
        <v>31433.503821000002</v>
      </c>
      <c r="E27" s="442">
        <v>37996.168799000006</v>
      </c>
      <c r="F27" s="442">
        <f>'2017 Scheme &amp; cost projection'!Q37</f>
        <v>56377.026467544536</v>
      </c>
      <c r="G27" s="442">
        <f>'Long term projection'!K78</f>
        <v>77152.172055785049</v>
      </c>
      <c r="H27" s="442">
        <f>'Long term projection'!L78</f>
        <v>102868.53722917679</v>
      </c>
      <c r="I27" s="442">
        <f>'Long term projection'!M78</f>
        <v>132820.89321731927</v>
      </c>
      <c r="J27" s="442">
        <f>'Long term projection'!N78</f>
        <v>164675.55565632597</v>
      </c>
      <c r="K27" s="442">
        <f>'Long term projection'!O78</f>
        <v>207069.86580509026</v>
      </c>
      <c r="M27" s="594">
        <f t="shared" si="27"/>
        <v>9.5964914233992532E-2</v>
      </c>
      <c r="N27" s="594">
        <f t="shared" si="27"/>
        <v>0.10064869666405606</v>
      </c>
      <c r="O27" s="594">
        <f t="shared" si="28"/>
        <v>8.8709042101906319E-2</v>
      </c>
      <c r="P27" s="594">
        <f t="shared" si="29"/>
        <v>8.2163862967086401E-2</v>
      </c>
      <c r="Q27" s="594">
        <f t="shared" si="30"/>
        <v>7.985501269372601E-2</v>
      </c>
      <c r="R27" s="594">
        <f t="shared" si="31"/>
        <v>7.6098118238778684E-2</v>
      </c>
      <c r="S27" s="594">
        <f t="shared" si="32"/>
        <v>7.5357957727497982E-2</v>
      </c>
      <c r="T27" s="594">
        <f t="shared" si="33"/>
        <v>7.1890912444974142E-2</v>
      </c>
      <c r="U27" s="594">
        <f t="shared" si="34"/>
        <v>6.9537393523494001E-2</v>
      </c>
    </row>
    <row r="28" spans="2:21">
      <c r="B28" s="902" t="s">
        <v>557</v>
      </c>
      <c r="C28" s="442">
        <v>3256.6338059999998</v>
      </c>
      <c r="D28" s="442">
        <v>10454.396048000001</v>
      </c>
      <c r="E28" s="442">
        <v>12371.622794999999</v>
      </c>
      <c r="F28" s="442">
        <f>'2017 Scheme &amp; cost projection'!Q292</f>
        <v>21120.698756170554</v>
      </c>
      <c r="G28" s="442">
        <f>Q28*G$6</f>
        <v>28984.594499418326</v>
      </c>
      <c r="H28" s="442">
        <f t="shared" ref="H28:K29" si="35">R28*H$6</f>
        <v>40553.645586766776</v>
      </c>
      <c r="I28" s="442">
        <f t="shared" si="35"/>
        <v>49350.926195919033</v>
      </c>
      <c r="J28" s="442">
        <f t="shared" si="35"/>
        <v>59556.407081932884</v>
      </c>
      <c r="K28" s="442">
        <f t="shared" si="35"/>
        <v>77423.329206513357</v>
      </c>
      <c r="M28" s="594">
        <f t="shared" si="27"/>
        <v>2.7906234636777296E-2</v>
      </c>
      <c r="N28" s="594">
        <f t="shared" si="27"/>
        <v>3.3474516319688598E-2</v>
      </c>
      <c r="O28" s="594">
        <f t="shared" si="28"/>
        <v>2.8883828082673497E-2</v>
      </c>
      <c r="P28" s="594">
        <f t="shared" si="29"/>
        <v>3.0781300595378706E-2</v>
      </c>
      <c r="Q28" s="594">
        <v>0.03</v>
      </c>
      <c r="R28" s="594">
        <v>0.03</v>
      </c>
      <c r="S28" s="594">
        <v>2.8000000000000001E-2</v>
      </c>
      <c r="T28" s="594">
        <v>2.5999999999999999E-2</v>
      </c>
      <c r="U28" s="594">
        <v>2.5999999999999999E-2</v>
      </c>
    </row>
    <row r="29" spans="2:21">
      <c r="B29" s="902" t="s">
        <v>558</v>
      </c>
      <c r="C29" s="442">
        <v>1357.752716</v>
      </c>
      <c r="D29" s="442">
        <v>4423.8156704513403</v>
      </c>
      <c r="E29" s="442">
        <v>4122.2660980000001</v>
      </c>
      <c r="F29" s="442">
        <f>'2017 Scheme &amp; cost projection'!Q381</f>
        <v>8239.1044182733749</v>
      </c>
      <c r="G29" s="442">
        <f>Q29*G$6</f>
        <v>11593.837799767331</v>
      </c>
      <c r="H29" s="442">
        <f t="shared" si="35"/>
        <v>16221.458234706712</v>
      </c>
      <c r="I29" s="442">
        <f t="shared" si="35"/>
        <v>21150.39694110816</v>
      </c>
      <c r="J29" s="442">
        <f t="shared" si="35"/>
        <v>25196.941457740835</v>
      </c>
      <c r="K29" s="442">
        <f t="shared" si="35"/>
        <v>32756.023895063343</v>
      </c>
      <c r="M29" s="594">
        <f t="shared" si="27"/>
        <v>1.1634641205778127E-2</v>
      </c>
      <c r="N29" s="594">
        <f t="shared" si="27"/>
        <v>1.4164863199739527E-2</v>
      </c>
      <c r="O29" s="594">
        <f t="shared" si="28"/>
        <v>9.6241881326826623E-3</v>
      </c>
      <c r="P29" s="594">
        <f t="shared" si="29"/>
        <v>1.2007668527609277E-2</v>
      </c>
      <c r="Q29" s="594">
        <v>1.2E-2</v>
      </c>
      <c r="R29" s="594">
        <v>1.2E-2</v>
      </c>
      <c r="S29" s="594">
        <v>1.2E-2</v>
      </c>
      <c r="T29" s="594">
        <v>1.0999999999999999E-2</v>
      </c>
      <c r="U29" s="594">
        <v>1.0999999999999999E-2</v>
      </c>
    </row>
    <row r="30" spans="2:21">
      <c r="B30" s="902" t="s">
        <v>735</v>
      </c>
      <c r="F30" s="442">
        <f>'2017 Scheme &amp; cost projection'!Q130</f>
        <v>16683.086849006559</v>
      </c>
      <c r="G30" s="442">
        <f>'Long term projection'!K124</f>
        <v>25192.333033946808</v>
      </c>
      <c r="H30" s="442">
        <f>'Long term projection'!L124</f>
        <v>34067.897598975622</v>
      </c>
      <c r="I30" s="442">
        <f>'Long term projection'!M124</f>
        <v>43973.071606488484</v>
      </c>
      <c r="J30" s="442">
        <f>'Long term projection'!N124</f>
        <v>54507.702604896484</v>
      </c>
      <c r="K30" s="442">
        <f>'Long term projection'!O124</f>
        <v>68621.049796760824</v>
      </c>
      <c r="M30" s="594">
        <f t="shared" si="27"/>
        <v>0</v>
      </c>
      <c r="N30" s="594">
        <f t="shared" si="27"/>
        <v>0</v>
      </c>
      <c r="O30" s="594">
        <f t="shared" si="28"/>
        <v>0</v>
      </c>
      <c r="P30" s="594">
        <f t="shared" si="29"/>
        <v>2.431392621458842E-2</v>
      </c>
      <c r="Q30" s="594">
        <f t="shared" si="30"/>
        <v>2.6074885782292771E-2</v>
      </c>
      <c r="R30" s="594">
        <f t="shared" si="31"/>
        <v>2.5202097448491129E-2</v>
      </c>
      <c r="S30" s="594">
        <f t="shared" si="32"/>
        <v>2.4948792249485537E-2</v>
      </c>
      <c r="T30" s="594">
        <f t="shared" si="33"/>
        <v>2.379593291747165E-2</v>
      </c>
      <c r="U30" s="594">
        <f t="shared" si="34"/>
        <v>2.3044052910161955E-2</v>
      </c>
    </row>
    <row r="31" spans="2:21">
      <c r="B31" s="902" t="s">
        <v>736</v>
      </c>
      <c r="F31" s="442">
        <f>'2017 Scheme &amp; cost projection'!Q471</f>
        <v>17047.450708700875</v>
      </c>
      <c r="G31" s="442">
        <f>'Long term projection'!K299</f>
        <v>25768.451104180756</v>
      </c>
      <c r="H31" s="442">
        <f>'Long term projection'!L299</f>
        <v>28316.527146767348</v>
      </c>
      <c r="I31" s="442">
        <f>'Long term projection'!M299</f>
        <v>33855.548919372872</v>
      </c>
      <c r="J31" s="442">
        <f>'Long term projection'!N299</f>
        <v>54508.018186465757</v>
      </c>
      <c r="K31" s="442">
        <f>'Long term projection'!O299</f>
        <v>67414.900788923653</v>
      </c>
      <c r="M31" s="594">
        <f t="shared" si="27"/>
        <v>0</v>
      </c>
      <c r="N31" s="594">
        <f t="shared" si="27"/>
        <v>0</v>
      </c>
      <c r="O31" s="594">
        <f t="shared" si="28"/>
        <v>0</v>
      </c>
      <c r="P31" s="594">
        <f t="shared" si="29"/>
        <v>2.4844950004133566E-2</v>
      </c>
      <c r="Q31" s="594">
        <f t="shared" si="30"/>
        <v>2.6671186762365663E-2</v>
      </c>
      <c r="R31" s="594">
        <f t="shared" si="31"/>
        <v>2.094745865906129E-2</v>
      </c>
      <c r="S31" s="594">
        <f t="shared" si="32"/>
        <v>1.9208461579406578E-2</v>
      </c>
      <c r="T31" s="594">
        <f t="shared" si="33"/>
        <v>2.3796070688052569E-2</v>
      </c>
      <c r="U31" s="594">
        <f t="shared" si="34"/>
        <v>2.2639008661546407E-2</v>
      </c>
    </row>
    <row r="32" spans="2:21">
      <c r="B32" s="902" t="s">
        <v>737</v>
      </c>
      <c r="F32" s="1181">
        <f>'2017 Scheme &amp; cost projection'!Q550</f>
        <v>2851.2000000000007</v>
      </c>
      <c r="G32" s="442">
        <f>'Long term projection'!J310</f>
        <v>3774</v>
      </c>
      <c r="H32" s="442">
        <f>'Long term projection'!K310</f>
        <v>4494</v>
      </c>
      <c r="I32" s="442">
        <f>'Long term projection'!L310</f>
        <v>4779</v>
      </c>
      <c r="J32" s="442">
        <f>'Long term projection'!M310</f>
        <v>5391.0000000000009</v>
      </c>
      <c r="K32" s="442">
        <f>'Long term projection'!N310</f>
        <v>6021.0000000000009</v>
      </c>
      <c r="M32" s="594">
        <f t="shared" si="27"/>
        <v>0</v>
      </c>
      <c r="N32" s="594">
        <f t="shared" si="27"/>
        <v>0</v>
      </c>
      <c r="O32" s="594">
        <f t="shared" si="28"/>
        <v>0</v>
      </c>
      <c r="P32" s="594">
        <f t="shared" si="29"/>
        <v>4.1553381008241049E-3</v>
      </c>
      <c r="Q32" s="594">
        <f t="shared" si="30"/>
        <v>3.9062130057493866E-3</v>
      </c>
      <c r="R32" s="594">
        <f t="shared" si="31"/>
        <v>3.3244853341617615E-3</v>
      </c>
      <c r="S32" s="594">
        <f t="shared" si="32"/>
        <v>2.7114384736930284E-3</v>
      </c>
      <c r="T32" s="594">
        <f t="shared" si="33"/>
        <v>2.3534999317062727E-3</v>
      </c>
      <c r="U32" s="594">
        <f t="shared" si="34"/>
        <v>2.0219487020822959E-3</v>
      </c>
    </row>
    <row r="34" spans="2:21" s="1144" customFormat="1">
      <c r="B34" s="1266" t="s">
        <v>569</v>
      </c>
      <c r="C34" s="1145">
        <f>SUM(C35:C37)</f>
        <v>1955.122325</v>
      </c>
      <c r="D34" s="1145">
        <f t="shared" ref="D34:K34" si="36">SUM(D35:D37)</f>
        <v>6629.1338302727263</v>
      </c>
      <c r="E34" s="1145">
        <f t="shared" si="36"/>
        <v>12776.903861342276</v>
      </c>
      <c r="F34" s="1145">
        <f t="shared" si="36"/>
        <v>20072.632679374768</v>
      </c>
      <c r="G34" s="1145">
        <f t="shared" si="36"/>
        <v>18963.506699650996</v>
      </c>
      <c r="H34" s="1145">
        <f t="shared" si="36"/>
        <v>26644.737352060067</v>
      </c>
      <c r="I34" s="1145">
        <f t="shared" si="36"/>
        <v>28734.346176385196</v>
      </c>
      <c r="J34" s="1145">
        <f t="shared" si="36"/>
        <v>22906.310416128035</v>
      </c>
      <c r="K34" s="1145">
        <f t="shared" si="36"/>
        <v>29778.203540966679</v>
      </c>
      <c r="M34" s="1146">
        <f t="shared" ref="M34:N36" si="37">C34/C$6</f>
        <v>1.6753526983761698E-2</v>
      </c>
      <c r="N34" s="1146">
        <f t="shared" si="37"/>
        <v>2.1226194948804962E-2</v>
      </c>
      <c r="O34" s="1146">
        <f t="shared" ref="O34:O36" si="38">E34/E$6</f>
        <v>2.9830031247720198E-2</v>
      </c>
      <c r="P34" s="1146">
        <f t="shared" ref="P34:P36" si="39">F34/F$6</f>
        <v>2.9253849381472012E-2</v>
      </c>
      <c r="Q34" s="1146">
        <f>G34/G$6</f>
        <v>1.9627847510543812E-2</v>
      </c>
      <c r="R34" s="1146">
        <f t="shared" ref="R34:R36" si="40">H34/H$6</f>
        <v>1.9710733991881571E-2</v>
      </c>
      <c r="S34" s="1146">
        <f t="shared" ref="S34:S36" si="41">I34/I$6</f>
        <v>1.6302869164901649E-2</v>
      </c>
      <c r="T34" s="1146">
        <f t="shared" ref="T34:T36" si="42">J34/J$6</f>
        <v>0.01</v>
      </c>
      <c r="U34" s="1146">
        <f t="shared" ref="U34:U36" si="43">K34/K$6</f>
        <v>0.01</v>
      </c>
    </row>
    <row r="35" spans="2:21">
      <c r="B35" s="902" t="s">
        <v>738</v>
      </c>
      <c r="C35" s="442">
        <v>1743.122325</v>
      </c>
      <c r="D35" s="442">
        <v>6073.0611029999991</v>
      </c>
      <c r="E35" s="442">
        <v>9387.4081310000001</v>
      </c>
      <c r="F35" s="1181">
        <f>'2017 Scheme &amp; cost projection'!Q569</f>
        <v>12318.332679374769</v>
      </c>
      <c r="G35" s="442">
        <f>Q35*G6</f>
        <v>17390.756699650996</v>
      </c>
      <c r="H35" s="442">
        <f t="shared" ref="H35:K35" si="44">R35*H6</f>
        <v>24332.187352060067</v>
      </c>
      <c r="I35" s="442">
        <f t="shared" si="44"/>
        <v>26437.996176385197</v>
      </c>
      <c r="J35" s="442">
        <f t="shared" si="44"/>
        <v>22906.310416128035</v>
      </c>
      <c r="K35" s="442">
        <f t="shared" si="44"/>
        <v>29778.203540966679</v>
      </c>
      <c r="M35" s="594">
        <f t="shared" si="37"/>
        <v>1.4936889899144766E-2</v>
      </c>
      <c r="N35" s="594">
        <f t="shared" si="37"/>
        <v>1.9445674534372633E-2</v>
      </c>
      <c r="O35" s="594">
        <f t="shared" si="38"/>
        <v>2.1916630266748716E-2</v>
      </c>
      <c r="P35" s="594">
        <f t="shared" si="39"/>
        <v>1.7952734680567007E-2</v>
      </c>
      <c r="Q35" s="594">
        <v>1.7999999999999999E-2</v>
      </c>
      <c r="R35" s="594">
        <v>1.7999999999999999E-2</v>
      </c>
      <c r="S35" s="594">
        <v>1.4999999999999999E-2</v>
      </c>
      <c r="T35" s="594">
        <v>0.01</v>
      </c>
      <c r="U35" s="594">
        <v>0.01</v>
      </c>
    </row>
    <row r="36" spans="2:21">
      <c r="B36" s="902" t="s">
        <v>739</v>
      </c>
      <c r="C36" s="442">
        <v>211.99999999999997</v>
      </c>
      <c r="D36" s="442">
        <v>556.07272727272732</v>
      </c>
      <c r="E36" s="442">
        <v>3389.4957303422761</v>
      </c>
      <c r="F36" s="442">
        <f>'2017 Scheme &amp; cost projection'!Q262</f>
        <v>7754.2999999999993</v>
      </c>
      <c r="G36" s="442">
        <f>'Long term projection'!K221</f>
        <v>1572.75</v>
      </c>
      <c r="H36" s="442">
        <f>'Long term projection'!L221</f>
        <v>2312.5500000000002</v>
      </c>
      <c r="I36" s="442">
        <f>'Long term projection'!M221</f>
        <v>2296.35</v>
      </c>
      <c r="J36" s="442">
        <f>'Long term projection'!N221</f>
        <v>0</v>
      </c>
      <c r="K36" s="442">
        <f>'Long term projection'!O221</f>
        <v>0</v>
      </c>
      <c r="M36" s="594">
        <f t="shared" si="37"/>
        <v>1.8166370846169329E-3</v>
      </c>
      <c r="N36" s="594">
        <f t="shared" si="37"/>
        <v>1.7805204144323284E-3</v>
      </c>
      <c r="O36" s="594">
        <f t="shared" si="38"/>
        <v>7.9134009809714821E-3</v>
      </c>
      <c r="P36" s="594">
        <f t="shared" si="39"/>
        <v>1.1301114700905003E-2</v>
      </c>
      <c r="Q36" s="594">
        <f t="shared" ref="Q36" si="45">G36/G$6</f>
        <v>1.6278475105438123E-3</v>
      </c>
      <c r="R36" s="594">
        <f t="shared" si="40"/>
        <v>1.7107339918815713E-3</v>
      </c>
      <c r="S36" s="594">
        <f t="shared" si="41"/>
        <v>1.30286916490165E-3</v>
      </c>
      <c r="T36" s="594">
        <f t="shared" si="42"/>
        <v>0</v>
      </c>
      <c r="U36" s="594">
        <f t="shared" si="43"/>
        <v>0</v>
      </c>
    </row>
    <row r="37" spans="2:21">
      <c r="B37" s="902"/>
    </row>
    <row r="39" spans="2:21" s="1144" customFormat="1">
      <c r="B39" s="1266" t="s">
        <v>741</v>
      </c>
      <c r="C39" s="1145">
        <f>C40+C45+C46</f>
        <v>12725.641842999999</v>
      </c>
      <c r="D39" s="1145">
        <f t="shared" ref="D39:K39" si="46">D40+D45+D46</f>
        <v>43404.967968555524</v>
      </c>
      <c r="E39" s="1145">
        <f t="shared" si="46"/>
        <v>73786.237607594827</v>
      </c>
      <c r="F39" s="1145">
        <f t="shared" si="46"/>
        <v>58586.088131871191</v>
      </c>
      <c r="G39" s="1145">
        <f t="shared" si="46"/>
        <v>49479.385636603343</v>
      </c>
      <c r="H39" s="1145">
        <f t="shared" si="46"/>
        <v>51153.748809565936</v>
      </c>
      <c r="I39" s="1145">
        <f t="shared" si="46"/>
        <v>49468.835308631737</v>
      </c>
      <c r="J39" s="1145">
        <f t="shared" si="46"/>
        <v>53282.154159711783</v>
      </c>
      <c r="K39" s="1145">
        <f t="shared" si="46"/>
        <v>60649.921757503856</v>
      </c>
      <c r="M39" s="1146">
        <f t="shared" ref="M39:N46" si="47">C39/C$6</f>
        <v>0.10904657027144705</v>
      </c>
      <c r="N39" s="1146">
        <f t="shared" si="47"/>
        <v>0.13898079831181967</v>
      </c>
      <c r="O39" s="1146">
        <f t="shared" ref="O39:O46" si="48">E39/E$6</f>
        <v>0.17226753815889087</v>
      </c>
      <c r="P39" s="1146">
        <f t="shared" ref="P39:P46" si="49">F39/F$6</f>
        <v>8.5383348832983735E-2</v>
      </c>
      <c r="Q39" s="1146">
        <f t="shared" ref="Q39:Q46" si="50">G39/G$6</f>
        <v>5.121277681245081E-2</v>
      </c>
      <c r="R39" s="1146">
        <f t="shared" ref="R39:R46" si="51">H39/H$6</f>
        <v>3.7841541545348599E-2</v>
      </c>
      <c r="S39" s="1146">
        <f t="shared" ref="S39:S46" si="52">I39/I$6</f>
        <v>2.8066897531828464E-2</v>
      </c>
      <c r="T39" s="1146">
        <f t="shared" ref="T39:T46" si="53">J39/J$6</f>
        <v>2.3260906358012381E-2</v>
      </c>
      <c r="U39" s="1146">
        <f t="shared" ref="U39:U46" si="54">K39/K$6</f>
        <v>2.0367219827101431E-2</v>
      </c>
    </row>
    <row r="40" spans="2:21" s="1269" customFormat="1">
      <c r="B40" s="1267" t="s">
        <v>746</v>
      </c>
      <c r="C40" s="1268">
        <f>SUM(C41:C44)</f>
        <v>1165.6418429999999</v>
      </c>
      <c r="D40" s="1268">
        <f t="shared" ref="D40:K40" si="55">SUM(D41:D44)</f>
        <v>6143</v>
      </c>
      <c r="E40" s="1268">
        <f>SUM(E41:E44)</f>
        <v>12947.4</v>
      </c>
      <c r="F40" s="1268">
        <f>SUM(F41:F44)</f>
        <v>21774.029177615939</v>
      </c>
      <c r="G40" s="1268">
        <f t="shared" si="55"/>
        <v>28745.439449598347</v>
      </c>
      <c r="H40" s="1268">
        <f t="shared" si="55"/>
        <v>36876.320793940533</v>
      </c>
      <c r="I40" s="1268">
        <f t="shared" si="55"/>
        <v>41554.918559492435</v>
      </c>
      <c r="J40" s="1268">
        <f t="shared" si="55"/>
        <v>47215.224539172479</v>
      </c>
      <c r="K40" s="1268">
        <f t="shared" si="55"/>
        <v>54582.992136964553</v>
      </c>
      <c r="M40" s="1270">
        <f t="shared" si="47"/>
        <v>9.9884349027123988E-3</v>
      </c>
      <c r="N40" s="1270">
        <f t="shared" si="47"/>
        <v>1.9669615806375183E-2</v>
      </c>
      <c r="O40" s="1270">
        <f t="shared" si="48"/>
        <v>3.0228085831128577E-2</v>
      </c>
      <c r="P40" s="1270">
        <f t="shared" si="49"/>
        <v>3.1733464173051083E-2</v>
      </c>
      <c r="Q40" s="1270">
        <f t="shared" si="50"/>
        <v>2.9752466728670521E-2</v>
      </c>
      <c r="R40" s="1270">
        <f t="shared" si="51"/>
        <v>2.7279659024766291E-2</v>
      </c>
      <c r="S40" s="1270">
        <f t="shared" si="52"/>
        <v>2.3576816269802944E-2</v>
      </c>
      <c r="T40" s="1270">
        <f t="shared" si="53"/>
        <v>2.0612321967805367E-2</v>
      </c>
      <c r="U40" s="1270">
        <f t="shared" si="54"/>
        <v>1.8329847219249899E-2</v>
      </c>
    </row>
    <row r="41" spans="2:21">
      <c r="B41" s="903" t="s">
        <v>742</v>
      </c>
      <c r="C41" s="442">
        <v>1165.6418429999999</v>
      </c>
      <c r="D41" s="442">
        <v>4055</v>
      </c>
      <c r="E41" s="442">
        <v>8097.4</v>
      </c>
      <c r="F41" s="442">
        <f>'2017 Scheme &amp; cost projection'!AN687+'2017 Scheme &amp; cost projection'!AN691+'2017 Scheme &amp; cost projection'!AN695</f>
        <v>5356.5388123632347</v>
      </c>
      <c r="G41" s="442">
        <f>'Long term projection'!J333</f>
        <v>6748.7745253396497</v>
      </c>
      <c r="H41" s="442">
        <f>'Long term projection'!K333</f>
        <v>8214.2681802901388</v>
      </c>
      <c r="I41" s="442">
        <f>'Long term projection'!L333</f>
        <v>9144.3499036789963</v>
      </c>
      <c r="J41" s="442">
        <f>'Long term projection'!M333</f>
        <v>10393.989020543078</v>
      </c>
      <c r="K41" s="442">
        <f>'Long term projection'!N333</f>
        <v>11897.334126774898</v>
      </c>
      <c r="M41" s="594">
        <f t="shared" si="47"/>
        <v>9.9884349027123988E-3</v>
      </c>
      <c r="N41" s="594">
        <f t="shared" si="47"/>
        <v>1.298393164493755E-2</v>
      </c>
      <c r="O41" s="594">
        <f t="shared" si="48"/>
        <v>1.8904869101825889E-2</v>
      </c>
      <c r="P41" s="594">
        <f t="shared" si="49"/>
        <v>7.8066182013033268E-3</v>
      </c>
      <c r="Q41" s="594">
        <f t="shared" si="50"/>
        <v>6.985201596118676E-3</v>
      </c>
      <c r="R41" s="594">
        <f t="shared" si="51"/>
        <v>6.0765941469172642E-3</v>
      </c>
      <c r="S41" s="594">
        <f t="shared" si="52"/>
        <v>5.1881862619264215E-3</v>
      </c>
      <c r="T41" s="594">
        <f t="shared" si="53"/>
        <v>4.5376094323880314E-3</v>
      </c>
      <c r="U41" s="594">
        <f t="shared" si="54"/>
        <v>3.9953162756804364E-3</v>
      </c>
    </row>
    <row r="42" spans="2:21">
      <c r="B42" s="903" t="s">
        <v>743</v>
      </c>
      <c r="F42" s="442">
        <f>'2017 Scheme &amp; cost projection'!AN701+'2017 Scheme &amp; cost projection'!AN703</f>
        <v>8887.9502388345954</v>
      </c>
      <c r="G42" s="442">
        <f>'Long term projection'!J338</f>
        <v>12533.438404202207</v>
      </c>
      <c r="H42" s="442">
        <f>'Long term projection'!K338</f>
        <v>16780.576425449854</v>
      </c>
      <c r="I42" s="442">
        <f>'Long term projection'!L338</f>
        <v>18680.600517515668</v>
      </c>
      <c r="J42" s="442">
        <f>'Long term projection'!M338</f>
        <v>21233.434713395149</v>
      </c>
      <c r="K42" s="442">
        <f>'Long term projection'!N338</f>
        <v>24304.554001840152</v>
      </c>
      <c r="M42" s="594">
        <f t="shared" si="47"/>
        <v>0</v>
      </c>
      <c r="N42" s="594">
        <f t="shared" si="47"/>
        <v>0</v>
      </c>
      <c r="O42" s="594">
        <f t="shared" si="48"/>
        <v>0</v>
      </c>
      <c r="P42" s="594">
        <f t="shared" si="49"/>
        <v>1.2953296249178623E-2</v>
      </c>
      <c r="Q42" s="594">
        <f t="shared" si="50"/>
        <v>1.2972517249934683E-2</v>
      </c>
      <c r="R42" s="594">
        <f t="shared" si="51"/>
        <v>1.241361375727384E-2</v>
      </c>
      <c r="S42" s="594">
        <f t="shared" si="52"/>
        <v>1.0598723363649693E-2</v>
      </c>
      <c r="T42" s="594">
        <f t="shared" si="53"/>
        <v>9.2696878404498369E-3</v>
      </c>
      <c r="U42" s="594">
        <f t="shared" si="54"/>
        <v>8.161860391747178E-3</v>
      </c>
    </row>
    <row r="43" spans="2:21">
      <c r="B43" s="903" t="s">
        <v>744</v>
      </c>
      <c r="C43" s="442">
        <v>0</v>
      </c>
      <c r="D43" s="442">
        <v>2088</v>
      </c>
      <c r="E43" s="442">
        <v>4850</v>
      </c>
      <c r="F43" s="442">
        <f>'2017 Scheme &amp; cost projection'!AC714+'2017 Scheme &amp; cost projection'!AC718</f>
        <v>5356.5388123632347</v>
      </c>
      <c r="G43" s="442">
        <f>'Long term projection'!J350</f>
        <v>6748.7745253396497</v>
      </c>
      <c r="H43" s="442">
        <f>'Long term projection'!K350</f>
        <v>8214.2681802901388</v>
      </c>
      <c r="I43" s="442">
        <f>'Long term projection'!L350</f>
        <v>9144.3499036789963</v>
      </c>
      <c r="J43" s="442">
        <f>'Long term projection'!M350</f>
        <v>10393.989020543078</v>
      </c>
      <c r="K43" s="442">
        <f>'Long term projection'!N350</f>
        <v>11897.334126774898</v>
      </c>
      <c r="M43" s="594">
        <f t="shared" si="47"/>
        <v>0</v>
      </c>
      <c r="N43" s="594">
        <f t="shared" si="47"/>
        <v>6.6856841614376331E-3</v>
      </c>
      <c r="O43" s="594">
        <f t="shared" si="48"/>
        <v>1.1323216729302686E-2</v>
      </c>
      <c r="P43" s="594">
        <f t="shared" si="49"/>
        <v>7.8066182013033268E-3</v>
      </c>
      <c r="Q43" s="594">
        <f t="shared" si="50"/>
        <v>6.985201596118676E-3</v>
      </c>
      <c r="R43" s="594">
        <f t="shared" si="51"/>
        <v>6.0765941469172642E-3</v>
      </c>
      <c r="S43" s="594">
        <f t="shared" si="52"/>
        <v>5.1881862619264215E-3</v>
      </c>
      <c r="T43" s="594">
        <f t="shared" si="53"/>
        <v>4.5376094323880314E-3</v>
      </c>
      <c r="U43" s="594">
        <f t="shared" si="54"/>
        <v>3.9953162756804364E-3</v>
      </c>
    </row>
    <row r="44" spans="2:21">
      <c r="B44" s="903" t="s">
        <v>745</v>
      </c>
      <c r="F44" s="442">
        <f>'2017 Scheme &amp; cost projection'!AC727</f>
        <v>2173.0013140548735</v>
      </c>
      <c r="G44" s="442">
        <f>'Long term projection'!J356</f>
        <v>2714.4519947168424</v>
      </c>
      <c r="H44" s="442">
        <f>'Long term projection'!K356</f>
        <v>3667.2080079103998</v>
      </c>
      <c r="I44" s="442">
        <f>'Long term projection'!L356</f>
        <v>4585.6182346187807</v>
      </c>
      <c r="J44" s="442">
        <f>'Long term projection'!M356</f>
        <v>5193.8117846911709</v>
      </c>
      <c r="K44" s="442">
        <f>'Long term projection'!N356</f>
        <v>6483.7698815746035</v>
      </c>
      <c r="M44" s="594">
        <f t="shared" si="47"/>
        <v>0</v>
      </c>
      <c r="N44" s="594">
        <f t="shared" si="47"/>
        <v>0</v>
      </c>
      <c r="O44" s="594">
        <f t="shared" si="48"/>
        <v>0</v>
      </c>
      <c r="P44" s="594">
        <f t="shared" si="49"/>
        <v>3.166931521265804E-3</v>
      </c>
      <c r="Q44" s="594">
        <f t="shared" si="50"/>
        <v>2.8095462864984881E-3</v>
      </c>
      <c r="R44" s="594">
        <f t="shared" si="51"/>
        <v>2.7128569736579199E-3</v>
      </c>
      <c r="S44" s="594">
        <f t="shared" si="52"/>
        <v>2.6017203823004115E-3</v>
      </c>
      <c r="T44" s="594">
        <f t="shared" si="53"/>
        <v>2.267415262579466E-3</v>
      </c>
      <c r="U44" s="594">
        <f t="shared" si="54"/>
        <v>2.1773542761418453E-3</v>
      </c>
    </row>
    <row r="45" spans="2:21" s="669" customFormat="1">
      <c r="B45" s="906" t="s">
        <v>747</v>
      </c>
      <c r="C45" s="842">
        <v>1143</v>
      </c>
      <c r="D45" s="842">
        <v>15354</v>
      </c>
      <c r="E45" s="842">
        <v>28876.6</v>
      </c>
      <c r="F45" s="842">
        <f>'MDRT Recruitment'!N161</f>
        <v>14809.900000000001</v>
      </c>
      <c r="G45" s="842">
        <f>'MDRT Recruitment'!N162</f>
        <v>4679.5</v>
      </c>
      <c r="H45" s="842">
        <f>'MDRT Recruitment'!N163</f>
        <v>563.5</v>
      </c>
      <c r="I45" s="842">
        <v>0</v>
      </c>
      <c r="J45" s="842">
        <v>0</v>
      </c>
      <c r="K45" s="842">
        <v>0</v>
      </c>
      <c r="M45" s="671">
        <f t="shared" si="47"/>
        <v>9.7944159797978981E-3</v>
      </c>
      <c r="N45" s="671">
        <f t="shared" si="47"/>
        <v>4.916283266988191E-2</v>
      </c>
      <c r="O45" s="671">
        <f t="shared" si="48"/>
        <v>6.7417732001109676E-2</v>
      </c>
      <c r="P45" s="671">
        <f t="shared" si="49"/>
        <v>2.1583944212750738E-2</v>
      </c>
      <c r="Q45" s="671">
        <f t="shared" si="50"/>
        <v>4.843435018655075E-3</v>
      </c>
      <c r="R45" s="671">
        <f t="shared" si="51"/>
        <v>4.1685524828663831E-4</v>
      </c>
      <c r="S45" s="671">
        <f t="shared" si="52"/>
        <v>0</v>
      </c>
      <c r="T45" s="671">
        <f t="shared" si="53"/>
        <v>0</v>
      </c>
      <c r="U45" s="671">
        <f t="shared" si="54"/>
        <v>0</v>
      </c>
    </row>
    <row r="46" spans="2:21" s="669" customFormat="1">
      <c r="B46" s="906" t="s">
        <v>748</v>
      </c>
      <c r="C46" s="842">
        <v>10417</v>
      </c>
      <c r="D46" s="842">
        <v>21907.967968555524</v>
      </c>
      <c r="E46" s="842">
        <v>31962.237607594827</v>
      </c>
      <c r="F46" s="842">
        <f>'2017 Scheme &amp; cost projection'!Q730</f>
        <v>22002.158954255254</v>
      </c>
      <c r="G46" s="842">
        <f>'Leader RSP'!FD188</f>
        <v>16054.446187005004</v>
      </c>
      <c r="H46" s="842">
        <f>'Leader RSP'!FQ188</f>
        <v>13713.928015625399</v>
      </c>
      <c r="I46" s="842">
        <f>'Leader RSP'!GD188</f>
        <v>7913.9167491393</v>
      </c>
      <c r="J46" s="842">
        <f>'Leader RSP'!GQ188</f>
        <v>6066.9296205393011</v>
      </c>
      <c r="K46" s="842">
        <f>'Leader RSP'!HD188</f>
        <v>6066.9296205393011</v>
      </c>
      <c r="M46" s="671">
        <f t="shared" si="47"/>
        <v>8.9263719388936749E-2</v>
      </c>
      <c r="N46" s="671">
        <f t="shared" si="47"/>
        <v>7.0148349835562576E-2</v>
      </c>
      <c r="O46" s="671">
        <f t="shared" si="48"/>
        <v>7.4621720326652624E-2</v>
      </c>
      <c r="P46" s="671">
        <f t="shared" si="49"/>
        <v>3.2065940447181918E-2</v>
      </c>
      <c r="Q46" s="671">
        <f t="shared" si="50"/>
        <v>1.6616875065125224E-2</v>
      </c>
      <c r="R46" s="671">
        <f t="shared" si="51"/>
        <v>1.0145027272295671E-2</v>
      </c>
      <c r="S46" s="671">
        <f t="shared" si="52"/>
        <v>4.4900812620255193E-3</v>
      </c>
      <c r="T46" s="671">
        <f t="shared" si="53"/>
        <v>2.6485843902070124E-3</v>
      </c>
      <c r="U46" s="671">
        <f t="shared" si="54"/>
        <v>2.0373726078515321E-3</v>
      </c>
    </row>
    <row r="48" spans="2:21" s="1144" customFormat="1">
      <c r="B48" s="1144" t="s">
        <v>574</v>
      </c>
      <c r="C48" s="1145">
        <f>SUM(C49:C53)</f>
        <v>27181.434774999994</v>
      </c>
      <c r="D48" s="1145">
        <f t="shared" ref="D48:K48" si="56">SUM(D49:D53)</f>
        <v>72091.685738999993</v>
      </c>
      <c r="E48" s="1145">
        <f t="shared" si="56"/>
        <v>87250.941436218272</v>
      </c>
      <c r="F48" s="1145">
        <f t="shared" si="56"/>
        <v>106513.56674658161</v>
      </c>
      <c r="G48" s="1145">
        <f t="shared" si="56"/>
        <v>143542.21133100663</v>
      </c>
      <c r="H48" s="1145">
        <f t="shared" si="56"/>
        <v>180829.03381814488</v>
      </c>
      <c r="I48" s="1145">
        <f t="shared" si="56"/>
        <v>210803.557842568</v>
      </c>
      <c r="J48" s="1145">
        <f t="shared" si="56"/>
        <v>243548.37874515229</v>
      </c>
      <c r="K48" s="1145">
        <f t="shared" si="56"/>
        <v>245961.50978676675</v>
      </c>
      <c r="M48" s="1146">
        <f>C48/C$6</f>
        <v>0.23291887936491185</v>
      </c>
      <c r="N48" s="1146">
        <f>D48/D$6</f>
        <v>0.23083440685659556</v>
      </c>
      <c r="O48" s="1146">
        <f>E48/E$6</f>
        <v>0.20370336489030841</v>
      </c>
      <c r="P48" s="1146">
        <f t="shared" ref="P48:P51" si="57">F48/F$6</f>
        <v>0.15523284306844201</v>
      </c>
      <c r="Q48" s="1146">
        <f t="shared" ref="Q48:Q51" si="58">G48/G$6</f>
        <v>0.14857086719003842</v>
      </c>
      <c r="R48" s="1146">
        <f t="shared" ref="R48:R51" si="59">H48/H$6</f>
        <v>0.13377024275012547</v>
      </c>
      <c r="S48" s="1146">
        <f t="shared" ref="S48:S51" si="60">I48/I$6</f>
        <v>0.11960261082354312</v>
      </c>
      <c r="T48" s="1146">
        <f t="shared" ref="T48:T51" si="61">J48/J$6</f>
        <v>0.10632370483099411</v>
      </c>
      <c r="U48" s="1146">
        <f t="shared" ref="U48:U51" si="62">K48/K$6</f>
        <v>8.2597833495358736E-2</v>
      </c>
    </row>
    <row r="49" spans="2:21">
      <c r="B49" s="904" t="s">
        <v>749</v>
      </c>
      <c r="C49" s="442">
        <v>21025.659742999997</v>
      </c>
      <c r="D49" s="442">
        <v>44009.216317999999</v>
      </c>
      <c r="E49" s="442">
        <f>66081.11419617+437</f>
        <v>66518.114196170005</v>
      </c>
      <c r="F49" s="847">
        <f>F6*12.2%</f>
        <v>83710.733413248279</v>
      </c>
      <c r="G49" s="442">
        <f>G6*12%</f>
        <v>115938.37799767331</v>
      </c>
      <c r="H49" s="847">
        <f>H6*11%</f>
        <v>148696.70048481153</v>
      </c>
      <c r="I49" s="847">
        <f>I6*10%</f>
        <v>176253.307842568</v>
      </c>
      <c r="J49" s="847">
        <f>J6*9%</f>
        <v>206156.7937451523</v>
      </c>
      <c r="K49" s="442">
        <f>K6*7%</f>
        <v>208447.42478676676</v>
      </c>
      <c r="M49" s="594">
        <f t="shared" ref="M49:N51" si="63">C49/C$6</f>
        <v>0.1801697793286374</v>
      </c>
      <c r="N49" s="594">
        <f t="shared" si="63"/>
        <v>0.14091557494949006</v>
      </c>
      <c r="O49" s="594">
        <f t="shared" ref="O49:O51" si="64">E49/E$6</f>
        <v>0.15529876772530696</v>
      </c>
      <c r="P49" s="594">
        <f t="shared" si="57"/>
        <v>0.122</v>
      </c>
      <c r="Q49" s="594">
        <f t="shared" si="58"/>
        <v>0.12</v>
      </c>
      <c r="R49" s="594">
        <f t="shared" si="59"/>
        <v>0.11</v>
      </c>
      <c r="S49" s="594">
        <f t="shared" si="60"/>
        <v>0.1</v>
      </c>
      <c r="T49" s="594">
        <f t="shared" si="61"/>
        <v>0.09</v>
      </c>
      <c r="U49" s="594">
        <f t="shared" si="62"/>
        <v>7.0000000000000007E-2</v>
      </c>
    </row>
    <row r="50" spans="2:21">
      <c r="B50" s="904" t="s">
        <v>750</v>
      </c>
      <c r="C50" s="442">
        <v>3949.9999999999995</v>
      </c>
      <c r="D50" s="442">
        <v>14089.6</v>
      </c>
      <c r="E50" s="442">
        <v>12939.562320230092</v>
      </c>
      <c r="F50" s="442">
        <f>'Contest Plan'!H7</f>
        <v>21740</v>
      </c>
      <c r="G50" s="442">
        <f>'Contest Plan'!H13</f>
        <v>26870</v>
      </c>
      <c r="H50" s="442">
        <f>'Contest Plan'!H19</f>
        <v>31258.5</v>
      </c>
      <c r="I50" s="442">
        <f>'Contest Plan'!H24</f>
        <v>33621</v>
      </c>
      <c r="J50" s="442">
        <f>'Contest Plan'!H30</f>
        <v>36343.334999999999</v>
      </c>
      <c r="K50" s="442">
        <f>'Contest Plan'!H35</f>
        <v>36343.334999999999</v>
      </c>
      <c r="M50" s="594">
        <f t="shared" si="63"/>
        <v>3.3847719265268326E-2</v>
      </c>
      <c r="N50" s="594">
        <f t="shared" si="63"/>
        <v>4.5114279483233564E-2</v>
      </c>
      <c r="O50" s="594">
        <f t="shared" si="64"/>
        <v>3.0209787326656509E-2</v>
      </c>
      <c r="P50" s="594">
        <f t="shared" si="57"/>
        <v>3.1683870058893109E-2</v>
      </c>
      <c r="Q50" s="594">
        <f t="shared" si="58"/>
        <v>2.7811325772253846E-2</v>
      </c>
      <c r="R50" s="594">
        <f t="shared" si="59"/>
        <v>2.3123815046260664E-2</v>
      </c>
      <c r="S50" s="594">
        <f t="shared" si="60"/>
        <v>1.9075386675880584E-2</v>
      </c>
      <c r="T50" s="594">
        <f t="shared" si="61"/>
        <v>1.5866079844273451E-2</v>
      </c>
      <c r="U50" s="594">
        <f t="shared" si="62"/>
        <v>1.2204676803287174E-2</v>
      </c>
    </row>
    <row r="51" spans="2:21">
      <c r="B51" s="902" t="s">
        <v>751</v>
      </c>
      <c r="C51" s="442">
        <v>1104.2074319999999</v>
      </c>
      <c r="D51" s="442">
        <v>13324.126554999999</v>
      </c>
      <c r="E51" s="442">
        <v>5079</v>
      </c>
      <c r="F51" s="442">
        <v>0</v>
      </c>
      <c r="G51" s="442">
        <v>0</v>
      </c>
      <c r="H51" s="442">
        <v>0</v>
      </c>
      <c r="I51" s="442">
        <v>0</v>
      </c>
      <c r="J51" s="442">
        <v>0</v>
      </c>
      <c r="K51" s="442">
        <v>0</v>
      </c>
      <c r="M51" s="594">
        <f t="shared" si="63"/>
        <v>9.4620008022680679E-3</v>
      </c>
      <c r="N51" s="594">
        <f t="shared" si="63"/>
        <v>4.2663267180916703E-2</v>
      </c>
      <c r="O51" s="594">
        <f t="shared" si="64"/>
        <v>1.185785933363471E-2</v>
      </c>
      <c r="P51" s="594">
        <f t="shared" si="57"/>
        <v>0</v>
      </c>
      <c r="Q51" s="594">
        <f t="shared" si="58"/>
        <v>0</v>
      </c>
      <c r="R51" s="594">
        <f t="shared" si="59"/>
        <v>0</v>
      </c>
      <c r="S51" s="594">
        <f t="shared" si="60"/>
        <v>0</v>
      </c>
      <c r="T51" s="594">
        <f t="shared" si="61"/>
        <v>0</v>
      </c>
      <c r="U51" s="594">
        <f t="shared" si="62"/>
        <v>0</v>
      </c>
    </row>
    <row r="52" spans="2:21">
      <c r="B52" s="902" t="s">
        <v>1236</v>
      </c>
      <c r="C52" s="442">
        <v>1059.5676000000001</v>
      </c>
      <c r="D52" s="442">
        <v>521.74286599999994</v>
      </c>
      <c r="E52" s="442">
        <v>2103.7649198181816</v>
      </c>
      <c r="F52" s="442">
        <f>'2017 Scheme &amp; cost projection'!Q283</f>
        <v>1062.8333333333333</v>
      </c>
      <c r="G52" s="442">
        <f>'Long term projection'!K234</f>
        <v>733.83333333333326</v>
      </c>
      <c r="H52" s="442">
        <f>'Long term projection'!L234</f>
        <v>873.83333333333326</v>
      </c>
      <c r="I52" s="442">
        <f>'Long term projection'!M234</f>
        <v>929.25</v>
      </c>
      <c r="J52" s="442">
        <f>'Long term projection'!N234</f>
        <v>1048.25</v>
      </c>
      <c r="K52" s="442">
        <f>'Long term projection'!O234</f>
        <v>1170.75</v>
      </c>
      <c r="M52" s="594">
        <f t="shared" ref="M52:M53" si="65">C52/C$6</f>
        <v>9.0794801689554755E-3</v>
      </c>
      <c r="N52" s="594">
        <f t="shared" ref="N52:N53" si="66">D52/D$6</f>
        <v>1.6705977086011864E-3</v>
      </c>
      <c r="O52" s="594">
        <f t="shared" ref="O52:O53" si="67">E52/E$6</f>
        <v>4.9116260071351255E-3</v>
      </c>
      <c r="P52" s="594">
        <f t="shared" ref="P52:P53" si="68">F52/F$6</f>
        <v>1.5489730095489215E-3</v>
      </c>
      <c r="Q52" s="594">
        <f t="shared" ref="Q52:Q53" si="69">G52/G$6</f>
        <v>7.5954141778460289E-4</v>
      </c>
      <c r="R52" s="594">
        <f t="shared" ref="R52:R53" si="70">H52/H$6</f>
        <v>6.4642770386478686E-4</v>
      </c>
      <c r="S52" s="594">
        <f t="shared" ref="S52:S53" si="71">I52/I$6</f>
        <v>5.2722414766253332E-4</v>
      </c>
      <c r="T52" s="594">
        <f t="shared" ref="T52:T53" si="72">J52/J$6</f>
        <v>4.5762498672066401E-4</v>
      </c>
      <c r="U52" s="594">
        <f t="shared" ref="U52:U53" si="73">K52/K$6</f>
        <v>3.9315669207155753E-4</v>
      </c>
    </row>
    <row r="53" spans="2:21">
      <c r="B53" s="902" t="s">
        <v>1167</v>
      </c>
      <c r="C53" s="442">
        <v>42</v>
      </c>
      <c r="D53" s="442">
        <v>147</v>
      </c>
      <c r="E53" s="442">
        <v>610.5</v>
      </c>
      <c r="F53" s="442">
        <v>0</v>
      </c>
      <c r="G53" s="442">
        <v>0</v>
      </c>
      <c r="H53" s="442">
        <v>0</v>
      </c>
      <c r="I53" s="442">
        <v>0</v>
      </c>
      <c r="J53" s="442">
        <v>0</v>
      </c>
      <c r="K53" s="442">
        <v>0</v>
      </c>
      <c r="M53" s="594">
        <f t="shared" si="65"/>
        <v>3.5989979978259996E-4</v>
      </c>
      <c r="N53" s="594">
        <f t="shared" si="66"/>
        <v>4.7068753435408628E-4</v>
      </c>
      <c r="O53" s="594">
        <f t="shared" si="67"/>
        <v>1.4253244975751113E-3</v>
      </c>
      <c r="P53" s="594">
        <f t="shared" si="68"/>
        <v>0</v>
      </c>
      <c r="Q53" s="594">
        <f t="shared" si="69"/>
        <v>0</v>
      </c>
      <c r="R53" s="594">
        <f t="shared" si="70"/>
        <v>0</v>
      </c>
      <c r="S53" s="594">
        <f t="shared" si="71"/>
        <v>0</v>
      </c>
      <c r="T53" s="594">
        <f t="shared" si="72"/>
        <v>0</v>
      </c>
      <c r="U53" s="594">
        <f t="shared" si="73"/>
        <v>0</v>
      </c>
    </row>
    <row r="54" spans="2:21">
      <c r="B54" s="902"/>
    </row>
    <row r="56" spans="2:21" s="1144" customFormat="1">
      <c r="B56" s="1144" t="s">
        <v>570</v>
      </c>
      <c r="C56" s="1145">
        <f>C57+C61</f>
        <v>2842.0994065262435</v>
      </c>
      <c r="D56" s="1145">
        <f t="shared" ref="D56:K56" si="74">D57+D61</f>
        <v>7524.5000420000033</v>
      </c>
      <c r="E56" s="1145">
        <f>E57+E61</f>
        <v>14924.596481500001</v>
      </c>
      <c r="F56" s="1145">
        <f t="shared" si="74"/>
        <v>109993.6075759472</v>
      </c>
      <c r="G56" s="1145">
        <f t="shared" si="74"/>
        <v>200625.24393149611</v>
      </c>
      <c r="H56" s="1145">
        <f t="shared" si="74"/>
        <v>249230.44928728577</v>
      </c>
      <c r="I56" s="1145">
        <f t="shared" si="74"/>
        <v>319349.75249495305</v>
      </c>
      <c r="J56" s="1145">
        <f t="shared" si="74"/>
        <v>402409.26265926362</v>
      </c>
      <c r="K56" s="1145">
        <f t="shared" si="74"/>
        <v>528700.38332099759</v>
      </c>
      <c r="L56" s="1145"/>
      <c r="M56" s="1146">
        <f t="shared" ref="M56:N59" si="75">C56/C$6</f>
        <v>2.4354071604072408E-2</v>
      </c>
      <c r="N56" s="1146">
        <f t="shared" si="75"/>
        <v>2.4093118176980954E-2</v>
      </c>
      <c r="O56" s="1146">
        <f t="shared" ref="O56:O59" si="76">E56/E$6</f>
        <v>3.4844214547920173E-2</v>
      </c>
      <c r="P56" s="1146">
        <f t="shared" ref="P56:P59" si="77">F56/F$6</f>
        <v>0.16030465362213392</v>
      </c>
      <c r="Q56" s="1146">
        <f t="shared" ref="Q56:Q59" si="78">G56/G$6</f>
        <v>0.20765366643530822</v>
      </c>
      <c r="R56" s="1146">
        <f t="shared" ref="R56:R59" si="79">H56/H$6</f>
        <v>0.18437093312908948</v>
      </c>
      <c r="S56" s="1146">
        <f t="shared" ref="S56:S59" si="80">I56/I$6</f>
        <v>0.18118794841581123</v>
      </c>
      <c r="T56" s="1146">
        <f t="shared" ref="T56:T59" si="81">J56/J$6</f>
        <v>0.17567615881776077</v>
      </c>
      <c r="U56" s="1146">
        <f t="shared" ref="U56:U59" si="82">K56/K$6</f>
        <v>0.17754609763266954</v>
      </c>
    </row>
    <row r="57" spans="2:21" s="669" customFormat="1">
      <c r="B57" s="906" t="s">
        <v>752</v>
      </c>
      <c r="C57" s="842">
        <f>SUM(C58:C59)</f>
        <v>393.02867351856338</v>
      </c>
      <c r="D57" s="842">
        <f t="shared" ref="D57:K57" si="83">SUM(D58:D59)</f>
        <v>2024.0000000000007</v>
      </c>
      <c r="E57" s="842">
        <f t="shared" si="83"/>
        <v>2761.2233000000001</v>
      </c>
      <c r="F57" s="842">
        <f t="shared" si="83"/>
        <v>29255.063114906141</v>
      </c>
      <c r="G57" s="842">
        <f t="shared" si="83"/>
        <v>46643.430429988606</v>
      </c>
      <c r="H57" s="842">
        <f t="shared" si="83"/>
        <v>33579.669417383033</v>
      </c>
      <c r="I57" s="842">
        <f t="shared" si="83"/>
        <v>21764.193978887248</v>
      </c>
      <c r="J57" s="842">
        <f t="shared" si="83"/>
        <v>9596.0193800938268</v>
      </c>
      <c r="K57" s="842">
        <f t="shared" si="83"/>
        <v>3372.1805454729888</v>
      </c>
      <c r="M57" s="671">
        <f t="shared" si="75"/>
        <v>3.3678795454321858E-3</v>
      </c>
      <c r="N57" s="671">
        <f t="shared" si="75"/>
        <v>6.4807589764127272E-3</v>
      </c>
      <c r="O57" s="671">
        <f t="shared" si="76"/>
        <v>6.4465834770928605E-3</v>
      </c>
      <c r="P57" s="671">
        <f t="shared" si="77"/>
        <v>4.2636320988840973E-2</v>
      </c>
      <c r="Q57" s="671">
        <f t="shared" si="78"/>
        <v>4.8277470741491309E-2</v>
      </c>
      <c r="R57" s="671">
        <f t="shared" si="79"/>
        <v>2.4840925345814443E-2</v>
      </c>
      <c r="S57" s="671">
        <f t="shared" si="80"/>
        <v>1.2348247102589043E-2</v>
      </c>
      <c r="T57" s="671">
        <f t="shared" si="81"/>
        <v>4.189247070247243E-3</v>
      </c>
      <c r="U57" s="671">
        <f t="shared" si="82"/>
        <v>1.1324324991041817E-3</v>
      </c>
    </row>
    <row r="58" spans="2:21">
      <c r="B58" s="905" t="s">
        <v>753</v>
      </c>
      <c r="C58" s="442">
        <v>393.02867351856338</v>
      </c>
      <c r="D58" s="442">
        <v>2024.0000000000007</v>
      </c>
      <c r="E58" s="442">
        <v>0</v>
      </c>
      <c r="F58" s="442">
        <f>'GA Cost Projection'!D22</f>
        <v>10740</v>
      </c>
      <c r="G58" s="442">
        <f>'GA Cost Projection'!E22</f>
        <v>30620</v>
      </c>
      <c r="H58" s="442">
        <f>'GA Cost Projection'!F22</f>
        <v>24840</v>
      </c>
      <c r="I58" s="442">
        <f>'GA Cost Projection'!G22</f>
        <v>14575</v>
      </c>
      <c r="J58" s="442">
        <f>'GA Cost Projection'!H22</f>
        <v>5625</v>
      </c>
      <c r="K58" s="442">
        <f>'GA Cost Projection'!I22</f>
        <v>0</v>
      </c>
      <c r="M58" s="594">
        <f t="shared" si="75"/>
        <v>3.3678795454321858E-3</v>
      </c>
      <c r="N58" s="594">
        <f t="shared" si="75"/>
        <v>6.4807589764127272E-3</v>
      </c>
      <c r="O58" s="594">
        <f t="shared" si="76"/>
        <v>0</v>
      </c>
      <c r="P58" s="594">
        <f t="shared" si="77"/>
        <v>1.5652473064972951E-2</v>
      </c>
      <c r="Q58" s="594">
        <f t="shared" si="78"/>
        <v>3.1692697995772713E-2</v>
      </c>
      <c r="R58" s="594">
        <f t="shared" si="79"/>
        <v>1.837565992447222E-2</v>
      </c>
      <c r="S58" s="594">
        <f t="shared" si="80"/>
        <v>8.2693483477873798E-3</v>
      </c>
      <c r="T58" s="594">
        <f t="shared" si="81"/>
        <v>2.4556551875065443E-3</v>
      </c>
      <c r="U58" s="594">
        <f t="shared" si="82"/>
        <v>0</v>
      </c>
    </row>
    <row r="59" spans="2:21">
      <c r="B59" s="905" t="s">
        <v>754</v>
      </c>
      <c r="E59" s="442">
        <v>2761.2233000000001</v>
      </c>
      <c r="F59" s="442">
        <f>'GA Cost Projection'!D23</f>
        <v>18515.063114906141</v>
      </c>
      <c r="G59" s="442">
        <f>'GA Cost Projection'!E23</f>
        <v>16023.430429988608</v>
      </c>
      <c r="H59" s="442">
        <f>'GA Cost Projection'!F23</f>
        <v>8739.6694173830347</v>
      </c>
      <c r="I59" s="442">
        <f>'GA Cost Projection'!G23</f>
        <v>7189.1939788872478</v>
      </c>
      <c r="J59" s="442">
        <f>'GA Cost Projection'!H23</f>
        <v>3971.0193800938264</v>
      </c>
      <c r="K59" s="442">
        <f>'GA Cost Projection'!I23</f>
        <v>3372.1805454729888</v>
      </c>
      <c r="M59" s="594">
        <f t="shared" si="75"/>
        <v>0</v>
      </c>
      <c r="N59" s="594">
        <f t="shared" si="75"/>
        <v>0</v>
      </c>
      <c r="O59" s="594">
        <f t="shared" si="76"/>
        <v>6.4465834770928605E-3</v>
      </c>
      <c r="P59" s="594">
        <f t="shared" si="77"/>
        <v>2.6983847923868022E-2</v>
      </c>
      <c r="Q59" s="594">
        <f t="shared" si="78"/>
        <v>1.6584772745718596E-2</v>
      </c>
      <c r="R59" s="594">
        <f t="shared" si="79"/>
        <v>6.4652654213422263E-3</v>
      </c>
      <c r="S59" s="594">
        <f t="shared" si="80"/>
        <v>4.0788987548016631E-3</v>
      </c>
      <c r="T59" s="594">
        <f t="shared" si="81"/>
        <v>1.7335918827406981E-3</v>
      </c>
      <c r="U59" s="594">
        <f t="shared" si="82"/>
        <v>1.1324324991041817E-3</v>
      </c>
    </row>
    <row r="61" spans="2:21" s="669" customFormat="1">
      <c r="B61" s="906" t="s">
        <v>755</v>
      </c>
      <c r="C61" s="842">
        <f>SUM(C62:C66)</f>
        <v>2449.0707330076802</v>
      </c>
      <c r="D61" s="842">
        <f t="shared" ref="D61:K61" si="84">SUM(D62:D66)</f>
        <v>5500.5000420000024</v>
      </c>
      <c r="E61" s="842">
        <f t="shared" si="84"/>
        <v>12163.373181500001</v>
      </c>
      <c r="F61" s="842">
        <f t="shared" si="84"/>
        <v>80738.544461041063</v>
      </c>
      <c r="G61" s="842">
        <f t="shared" si="84"/>
        <v>153981.81350150751</v>
      </c>
      <c r="H61" s="842">
        <f t="shared" si="84"/>
        <v>215650.77986990273</v>
      </c>
      <c r="I61" s="842">
        <f t="shared" si="84"/>
        <v>297585.55851606582</v>
      </c>
      <c r="J61" s="842">
        <f t="shared" si="84"/>
        <v>392813.24327916978</v>
      </c>
      <c r="K61" s="842">
        <f t="shared" si="84"/>
        <v>525328.20277552458</v>
      </c>
      <c r="M61" s="671">
        <f t="shared" ref="M61:N65" si="85">C61/C$6</f>
        <v>2.0986192058640225E-2</v>
      </c>
      <c r="N61" s="671">
        <f t="shared" si="85"/>
        <v>1.7612359200568226E-2</v>
      </c>
      <c r="O61" s="671">
        <f t="shared" ref="O61:O65" si="86">E61/E$6</f>
        <v>2.8397631070827309E-2</v>
      </c>
      <c r="P61" s="671">
        <f t="shared" ref="P61:P65" si="87">F61/F$6</f>
        <v>0.11766833263329295</v>
      </c>
      <c r="Q61" s="671">
        <f t="shared" ref="Q61:Q65" si="88">G61/G$6</f>
        <v>0.15937619569381692</v>
      </c>
      <c r="R61" s="671">
        <f t="shared" ref="R61:R65" si="89">H61/H$6</f>
        <v>0.15953000778327503</v>
      </c>
      <c r="S61" s="671">
        <f>I61/I$6</f>
        <v>0.16883970131322221</v>
      </c>
      <c r="T61" s="671">
        <f t="shared" ref="T61:T65" si="90">J61/J$6</f>
        <v>0.17148691174751352</v>
      </c>
      <c r="U61" s="671">
        <f t="shared" ref="U61:U65" si="91">K61/K$6</f>
        <v>0.17641366513356535</v>
      </c>
    </row>
    <row r="62" spans="2:21">
      <c r="B62" s="903" t="s">
        <v>756</v>
      </c>
      <c r="E62" s="442">
        <v>202.73570999999998</v>
      </c>
      <c r="F62" s="442">
        <f>'GA Cost Projection'!D26</f>
        <v>1543.8899397568548</v>
      </c>
      <c r="G62" s="442">
        <f>'GA Cost Projection'!E26</f>
        <v>2418.9312074416334</v>
      </c>
      <c r="H62" s="442">
        <f>'GA Cost Projection'!F26</f>
        <v>3220.3080314923732</v>
      </c>
      <c r="I62" s="442">
        <f>'GA Cost Projection'!G26</f>
        <v>4228.1333173568764</v>
      </c>
      <c r="J62" s="442">
        <f>'GA Cost Projection'!H26</f>
        <v>5640.0918752685866</v>
      </c>
      <c r="K62" s="442">
        <f>'GA Cost Projection'!I26</f>
        <v>7147.8061899473241</v>
      </c>
      <c r="M62" s="594">
        <f t="shared" si="85"/>
        <v>0</v>
      </c>
      <c r="N62" s="594">
        <f t="shared" si="85"/>
        <v>0</v>
      </c>
      <c r="O62" s="594">
        <f t="shared" si="86"/>
        <v>4.7332379032970261E-4</v>
      </c>
      <c r="P62" s="594">
        <f t="shared" si="87"/>
        <v>2.2500647762874193E-3</v>
      </c>
      <c r="Q62" s="594">
        <f t="shared" si="88"/>
        <v>2.503672639777842E-3</v>
      </c>
      <c r="R62" s="594">
        <f t="shared" si="89"/>
        <v>2.3822578598530768E-3</v>
      </c>
      <c r="S62" s="594">
        <f t="shared" ref="S62:S65" si="92">I62/I$6</f>
        <v>2.3988958670401275E-3</v>
      </c>
      <c r="T62" s="594">
        <f t="shared" si="90"/>
        <v>2.4622437104918787E-3</v>
      </c>
      <c r="U62" s="594">
        <f t="shared" si="91"/>
        <v>2.4003483555056953E-3</v>
      </c>
    </row>
    <row r="63" spans="2:21">
      <c r="B63" s="903" t="s">
        <v>757</v>
      </c>
      <c r="C63" s="442">
        <v>2449.0707330076802</v>
      </c>
      <c r="D63" s="442">
        <v>5500.5000420000024</v>
      </c>
      <c r="E63" s="442">
        <f>7017.32921+2630</f>
        <v>9647.3292099999999</v>
      </c>
      <c r="F63" s="442">
        <f>'GA Cost Projection'!D27</f>
        <v>55163.554205540029</v>
      </c>
      <c r="G63" s="442">
        <f>'GA Cost Projection'!E27</f>
        <v>105572.11624339578</v>
      </c>
      <c r="H63" s="442">
        <f>'GA Cost Projection'!F27</f>
        <v>147969.83355760676</v>
      </c>
      <c r="I63" s="442">
        <f>'GA Cost Projection'!G27</f>
        <v>204340.03184138419</v>
      </c>
      <c r="J63" s="442">
        <f>'GA Cost Projection'!H27</f>
        <v>269687.98908843979</v>
      </c>
      <c r="K63" s="442">
        <f>'GA Cost Projection'!I27</f>
        <v>360941.94195410446</v>
      </c>
      <c r="M63" s="594">
        <f t="shared" si="85"/>
        <v>2.0986192058640225E-2</v>
      </c>
      <c r="N63" s="594">
        <f t="shared" si="85"/>
        <v>1.7612359200568226E-2</v>
      </c>
      <c r="O63" s="594">
        <f t="shared" si="86"/>
        <v>2.2523463815208755E-2</v>
      </c>
      <c r="P63" s="594">
        <f t="shared" si="87"/>
        <v>8.0395348824058716E-2</v>
      </c>
      <c r="Q63" s="594">
        <f t="shared" si="88"/>
        <v>0.10927058121739233</v>
      </c>
      <c r="R63" s="594">
        <f t="shared" si="89"/>
        <v>0.1094622922920829</v>
      </c>
      <c r="S63" s="594">
        <f t="shared" si="92"/>
        <v>0.11593543085381619</v>
      </c>
      <c r="T63" s="594">
        <f t="shared" si="90"/>
        <v>0.11773523722901964</v>
      </c>
      <c r="U63" s="594">
        <f t="shared" si="91"/>
        <v>0.12121011311429411</v>
      </c>
    </row>
    <row r="64" spans="2:21">
      <c r="B64" s="903" t="s">
        <v>758</v>
      </c>
      <c r="E64" s="442">
        <v>1260.7088800000001</v>
      </c>
      <c r="F64" s="442">
        <f>'GA Cost Projection'!D28</f>
        <v>16973.401294012318</v>
      </c>
      <c r="G64" s="442">
        <f>'GA Cost Projection'!E28</f>
        <v>32483.728074891009</v>
      </c>
      <c r="H64" s="442">
        <f>'GA Cost Projection'!F28</f>
        <v>34146.884667140017</v>
      </c>
      <c r="I64" s="442">
        <f>'GA Cost Projection'!G28</f>
        <v>47155.391963396352</v>
      </c>
      <c r="J64" s="442">
        <f>'GA Cost Projection'!H28</f>
        <v>62235.689789639953</v>
      </c>
      <c r="K64" s="442">
        <f>'GA Cost Projection'!I28</f>
        <v>83294.294297101034</v>
      </c>
      <c r="M64" s="594">
        <f t="shared" si="85"/>
        <v>0</v>
      </c>
      <c r="N64" s="594">
        <f t="shared" si="85"/>
        <v>0</v>
      </c>
      <c r="O64" s="594">
        <f t="shared" si="86"/>
        <v>2.9433566764528771E-3</v>
      </c>
      <c r="P64" s="594">
        <f t="shared" si="87"/>
        <v>2.4737030407402685E-2</v>
      </c>
      <c r="Q64" s="594">
        <f t="shared" si="88"/>
        <v>3.3621717297659177E-2</v>
      </c>
      <c r="R64" s="594">
        <f t="shared" si="89"/>
        <v>2.5260528990480664E-2</v>
      </c>
      <c r="S64" s="594">
        <f t="shared" si="92"/>
        <v>2.6754330197034507E-2</v>
      </c>
      <c r="T64" s="594">
        <f t="shared" si="90"/>
        <v>2.7169670129773765E-2</v>
      </c>
      <c r="U64" s="594">
        <f t="shared" si="91"/>
        <v>2.7971564564837105E-2</v>
      </c>
    </row>
    <row r="65" spans="2:21">
      <c r="B65" s="903" t="s">
        <v>697</v>
      </c>
      <c r="E65" s="442">
        <v>1052.5993814999999</v>
      </c>
      <c r="F65" s="442">
        <f>'GA Cost Projection'!D29</f>
        <v>7057.6990217318653</v>
      </c>
      <c r="G65" s="442">
        <f>'GA Cost Projection'!E29</f>
        <v>13507.037975779087</v>
      </c>
      <c r="H65" s="442">
        <f>'GA Cost Projection'!F29</f>
        <v>18931.458724616907</v>
      </c>
      <c r="I65" s="442">
        <f>'GA Cost Projection'!G29</f>
        <v>26143.537406129639</v>
      </c>
      <c r="J65" s="442">
        <f>'GA Cost Projection'!H29</f>
        <v>34504.242595941389</v>
      </c>
      <c r="K65" s="442">
        <f>'GA Cost Projection'!I29</f>
        <v>46179.395568671462</v>
      </c>
      <c r="M65" s="594">
        <f t="shared" si="85"/>
        <v>0</v>
      </c>
      <c r="N65" s="594">
        <f t="shared" si="85"/>
        <v>0</v>
      </c>
      <c r="O65" s="594">
        <f t="shared" si="86"/>
        <v>2.457486788835971E-3</v>
      </c>
      <c r="P65" s="594">
        <f t="shared" si="87"/>
        <v>1.028588862554413E-2</v>
      </c>
      <c r="Q65" s="594">
        <f t="shared" si="88"/>
        <v>1.3980224538987583E-2</v>
      </c>
      <c r="R65" s="594">
        <f t="shared" si="89"/>
        <v>1.4004752310698183E-2</v>
      </c>
      <c r="S65" s="594">
        <f t="shared" si="92"/>
        <v>1.483293432965322E-2</v>
      </c>
      <c r="T65" s="594">
        <f t="shared" si="90"/>
        <v>1.5063203968303599E-2</v>
      </c>
      <c r="U65" s="594">
        <f t="shared" si="91"/>
        <v>1.5507784243982758E-2</v>
      </c>
    </row>
    <row r="66" spans="2:21">
      <c r="B66" s="903" t="s">
        <v>759</v>
      </c>
      <c r="F66" s="442">
        <f>'GA Cost Projection'!D30</f>
        <v>0</v>
      </c>
      <c r="G66" s="442">
        <f>'GA Cost Projection'!E30</f>
        <v>0</v>
      </c>
      <c r="H66" s="442">
        <f>'GA Cost Projection'!F30</f>
        <v>11382.294889046674</v>
      </c>
      <c r="I66" s="442">
        <f>'GA Cost Projection'!G30</f>
        <v>15718.463987798785</v>
      </c>
      <c r="J66" s="442">
        <f>'GA Cost Projection'!H30</f>
        <v>20745.229929879984</v>
      </c>
      <c r="K66" s="442">
        <f>'GA Cost Projection'!I30</f>
        <v>27764.764765700344</v>
      </c>
      <c r="M66" s="594">
        <f t="shared" ref="M66" si="93">C66/C$6</f>
        <v>0</v>
      </c>
      <c r="N66" s="594">
        <f t="shared" ref="N66" si="94">D66/D$6</f>
        <v>0</v>
      </c>
      <c r="O66" s="594">
        <f t="shared" ref="O66" si="95">E66/E$6</f>
        <v>0</v>
      </c>
      <c r="P66" s="594">
        <f t="shared" ref="P66" si="96">F66/F$6</f>
        <v>0</v>
      </c>
      <c r="Q66" s="594">
        <f t="shared" ref="Q66" si="97">G66/G$6</f>
        <v>0</v>
      </c>
      <c r="R66" s="594">
        <f t="shared" ref="R66" si="98">H66/H$6</f>
        <v>8.4201763301602235E-3</v>
      </c>
      <c r="S66" s="594">
        <f t="shared" ref="S66" si="99">I66/I$6</f>
        <v>8.9181100656781694E-3</v>
      </c>
      <c r="T66" s="594">
        <f t="shared" ref="T66" si="100">J66/J$6</f>
        <v>9.0565567099245882E-3</v>
      </c>
      <c r="U66" s="594">
        <f t="shared" ref="U66" si="101">K66/K$6</f>
        <v>9.3238548549457005E-3</v>
      </c>
    </row>
    <row r="68" spans="2:21">
      <c r="B68" s="1612" t="s">
        <v>1485</v>
      </c>
      <c r="C68" s="920"/>
      <c r="D68" s="920"/>
      <c r="E68" s="920"/>
      <c r="F68" s="920">
        <v>260585.08799999999</v>
      </c>
      <c r="G68" s="920">
        <v>305470.28999999998</v>
      </c>
      <c r="H68" s="920">
        <v>342817.43300000002</v>
      </c>
      <c r="I68" s="920">
        <v>421648.31099999999</v>
      </c>
      <c r="J68" s="920">
        <v>519438.46399999998</v>
      </c>
      <c r="K68" s="920">
        <v>654094.58600000001</v>
      </c>
      <c r="L68" s="919"/>
      <c r="M68" s="1613"/>
      <c r="N68" s="1613"/>
      <c r="O68" s="1613"/>
      <c r="P68" s="1613">
        <f>F68/F6</f>
        <v>0.37977663603851081</v>
      </c>
      <c r="Q68" s="1613">
        <f t="shared" ref="Q68:U68" si="102">G68/G6</f>
        <v>0.31617170632433406</v>
      </c>
      <c r="R68" s="1613">
        <f t="shared" si="102"/>
        <v>0.25360292129583495</v>
      </c>
      <c r="S68" s="1613">
        <f t="shared" si="102"/>
        <v>0.23922859443671968</v>
      </c>
      <c r="T68" s="1613">
        <f t="shared" si="102"/>
        <v>0.22676653488213891</v>
      </c>
      <c r="U68" s="1613">
        <f t="shared" si="102"/>
        <v>0.21965548898883186</v>
      </c>
    </row>
    <row r="69" spans="2:21">
      <c r="B69" s="1612" t="s">
        <v>1486</v>
      </c>
      <c r="C69" s="920"/>
      <c r="D69" s="920"/>
      <c r="E69" s="920"/>
      <c r="F69" s="920">
        <f>P69*F$6</f>
        <v>254562.9680025829</v>
      </c>
      <c r="G69" s="920">
        <f t="shared" ref="G69:K70" si="103">Q69*G$6</f>
        <v>358442.81864280667</v>
      </c>
      <c r="H69" s="920">
        <f t="shared" si="103"/>
        <v>501513.41708968248</v>
      </c>
      <c r="I69" s="920">
        <f t="shared" si="103"/>
        <v>653899.77209592715</v>
      </c>
      <c r="J69" s="920">
        <f t="shared" si="103"/>
        <v>849824.11643835006</v>
      </c>
      <c r="K69" s="920">
        <f t="shared" si="103"/>
        <v>1104771.3513698638</v>
      </c>
      <c r="L69" s="919"/>
      <c r="M69" s="1613"/>
      <c r="N69" s="1613"/>
      <c r="O69" s="1613"/>
      <c r="P69" s="1613">
        <v>0.371</v>
      </c>
      <c r="Q69" s="1613">
        <v>0.371</v>
      </c>
      <c r="R69" s="1613">
        <v>0.371</v>
      </c>
      <c r="S69" s="1613">
        <v>0.371</v>
      </c>
      <c r="T69" s="1613">
        <v>0.371</v>
      </c>
      <c r="U69" s="1613">
        <v>0.371</v>
      </c>
    </row>
    <row r="70" spans="2:21">
      <c r="B70" s="1614" t="s">
        <v>1487</v>
      </c>
      <c r="C70" s="920"/>
      <c r="D70" s="920"/>
      <c r="E70" s="920"/>
      <c r="F70" s="920">
        <f>P70*F$6</f>
        <v>-6022.1199974170977</v>
      </c>
      <c r="G70" s="920">
        <f t="shared" si="103"/>
        <v>52972.528642806654</v>
      </c>
      <c r="H70" s="920">
        <f t="shared" si="103"/>
        <v>158695.98408968252</v>
      </c>
      <c r="I70" s="920">
        <f t="shared" si="103"/>
        <v>232251.46109592722</v>
      </c>
      <c r="J70" s="920">
        <f t="shared" si="103"/>
        <v>330385.65243835008</v>
      </c>
      <c r="K70" s="920">
        <f t="shared" si="103"/>
        <v>450676.76536986377</v>
      </c>
      <c r="L70" s="919"/>
      <c r="M70" s="1613"/>
      <c r="N70" s="1613"/>
      <c r="O70" s="1613"/>
      <c r="P70" s="1613">
        <f>P69-P68</f>
        <v>-8.77663603851081E-3</v>
      </c>
      <c r="Q70" s="1613">
        <f t="shared" ref="Q70:U70" si="104">Q69-Q68</f>
        <v>5.482829367566594E-2</v>
      </c>
      <c r="R70" s="1613">
        <f t="shared" si="104"/>
        <v>0.11739707870416505</v>
      </c>
      <c r="S70" s="1613">
        <f t="shared" si="104"/>
        <v>0.13177140556328032</v>
      </c>
      <c r="T70" s="1613">
        <f t="shared" si="104"/>
        <v>0.14423346511786109</v>
      </c>
      <c r="U70" s="1613">
        <f t="shared" si="104"/>
        <v>0.15134451101116814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Q82"/>
  <sheetViews>
    <sheetView showGridLines="0" topLeftCell="A8" zoomScale="90" zoomScaleNormal="90" workbookViewId="0">
      <selection activeCell="J23" sqref="J23:K23"/>
    </sheetView>
  </sheetViews>
  <sheetFormatPr defaultRowHeight="15"/>
  <cols>
    <col min="1" max="1" width="3.42578125" customWidth="1"/>
    <col min="2" max="2" width="30.28515625" customWidth="1"/>
    <col min="3" max="5" width="12" customWidth="1"/>
    <col min="6" max="7" width="12.140625" bestFit="1" customWidth="1"/>
    <col min="8" max="9" width="13" customWidth="1"/>
    <col min="10" max="10" width="8.140625" customWidth="1"/>
    <col min="11" max="13" width="9" bestFit="1" customWidth="1"/>
  </cols>
  <sheetData>
    <row r="1" spans="2:16" ht="15.75">
      <c r="B1" s="1186" t="s">
        <v>1168</v>
      </c>
      <c r="C1" s="1187" t="s">
        <v>1169</v>
      </c>
    </row>
    <row r="2" spans="2:16" s="960" customFormat="1" ht="12.75">
      <c r="B2" s="975" t="s">
        <v>499</v>
      </c>
      <c r="C2" s="1188">
        <f>[1]Summary!F22</f>
        <v>471477.18758582999</v>
      </c>
      <c r="D2" s="1188">
        <f>[1]Summary!G22</f>
        <v>700156.68629347836</v>
      </c>
      <c r="E2" s="1188">
        <f>[1]Summary!H22</f>
        <v>967946.52085075621</v>
      </c>
      <c r="F2" s="1188">
        <f>[1]Summary!I22</f>
        <v>1350661.7683017454</v>
      </c>
      <c r="G2" s="1188">
        <f>[1]Summary!J22</f>
        <v>1753344.6854463178</v>
      </c>
      <c r="H2" s="1188">
        <f>[1]Summary!K22</f>
        <v>2276810.457820653</v>
      </c>
      <c r="I2" s="1188">
        <f>[1]Summary!L22</f>
        <v>2958046.6122296471</v>
      </c>
    </row>
    <row r="3" spans="2:16" s="960" customFormat="1" ht="12.75">
      <c r="B3" s="975" t="s">
        <v>206</v>
      </c>
      <c r="C3" s="1188"/>
      <c r="D3" s="1189">
        <f>D2*98%</f>
        <v>686153.55256760877</v>
      </c>
      <c r="E3" s="1189">
        <f t="shared" ref="E3:I3" si="0">E2*98%</f>
        <v>948587.5904337411</v>
      </c>
      <c r="F3" s="1189">
        <f t="shared" si="0"/>
        <v>1323648.5329357104</v>
      </c>
      <c r="G3" s="1189">
        <f t="shared" si="0"/>
        <v>1718277.7917373914</v>
      </c>
      <c r="H3" s="1189">
        <f t="shared" si="0"/>
        <v>2231274.2486642399</v>
      </c>
      <c r="I3" s="1189">
        <f t="shared" si="0"/>
        <v>2898885.6799850543</v>
      </c>
    </row>
    <row r="4" spans="2:16" s="960" customFormat="1" ht="12.75">
      <c r="B4" s="975" t="s">
        <v>1170</v>
      </c>
      <c r="C4" s="1190"/>
      <c r="D4" s="1190">
        <f>D2/C2-1</f>
        <v>0.48502770596089229</v>
      </c>
      <c r="E4" s="1190">
        <f t="shared" ref="E4:I4" si="1">E2/D2-1</f>
        <v>0.38247129506813105</v>
      </c>
      <c r="F4" s="1190">
        <f t="shared" si="1"/>
        <v>0.39538883523710555</v>
      </c>
      <c r="G4" s="1190">
        <f t="shared" si="1"/>
        <v>0.29813749570396575</v>
      </c>
      <c r="H4" s="1190">
        <f t="shared" si="1"/>
        <v>0.29855269002117857</v>
      </c>
      <c r="I4" s="1190">
        <f t="shared" si="1"/>
        <v>0.29920635337430257</v>
      </c>
    </row>
    <row r="5" spans="2:16" s="960" customFormat="1" ht="12.75">
      <c r="C5" s="1187"/>
    </row>
    <row r="6" spans="2:16">
      <c r="B6" s="1191" t="s">
        <v>1171</v>
      </c>
      <c r="C6" s="1192">
        <f>C9/C2</f>
        <v>0.10689622786680239</v>
      </c>
      <c r="D6" s="1192">
        <f>D9/D2</f>
        <v>0.61842576018506712</v>
      </c>
      <c r="E6" s="1192">
        <f t="shared" ref="E6:I6" si="2">E9/E2</f>
        <v>0.85610776491493668</v>
      </c>
      <c r="F6" s="1192">
        <f t="shared" si="2"/>
        <v>0.85991821890981623</v>
      </c>
      <c r="G6" s="1192">
        <f t="shared" si="2"/>
        <v>0.91478013993915797</v>
      </c>
      <c r="H6" s="1192">
        <f t="shared" si="2"/>
        <v>0.92974809987159523</v>
      </c>
      <c r="I6" s="1192">
        <f t="shared" si="2"/>
        <v>0.95777370447542065</v>
      </c>
    </row>
    <row r="7" spans="2:16">
      <c r="B7" s="1193" t="s">
        <v>1172</v>
      </c>
      <c r="C7" s="1194">
        <v>2016</v>
      </c>
      <c r="D7" s="1194">
        <v>2017</v>
      </c>
      <c r="E7" s="1194">
        <v>2018</v>
      </c>
      <c r="F7" s="1194">
        <v>2019</v>
      </c>
      <c r="G7" s="1194">
        <v>2020</v>
      </c>
      <c r="H7" s="1194">
        <v>2021</v>
      </c>
      <c r="I7" s="1195">
        <v>2022</v>
      </c>
      <c r="J7" s="1194">
        <v>2016</v>
      </c>
      <c r="K7" s="1194">
        <v>2017</v>
      </c>
      <c r="L7" s="1194">
        <v>2018</v>
      </c>
      <c r="M7" s="1194">
        <v>2019</v>
      </c>
      <c r="N7" s="1194">
        <v>2020</v>
      </c>
      <c r="O7" s="1194">
        <v>2021</v>
      </c>
      <c r="P7" s="1194">
        <v>2</v>
      </c>
    </row>
    <row r="8" spans="2:16" ht="6.75" customHeight="1">
      <c r="B8" s="976"/>
      <c r="C8" s="968"/>
      <c r="D8" s="968"/>
      <c r="E8" s="968"/>
      <c r="F8" s="968"/>
      <c r="G8" s="968"/>
      <c r="H8" s="968"/>
      <c r="I8" s="1196"/>
      <c r="J8" s="968"/>
      <c r="K8" s="968"/>
      <c r="L8" s="968"/>
      <c r="M8" s="968"/>
      <c r="N8" s="968"/>
      <c r="O8" s="968"/>
    </row>
    <row r="9" spans="2:16" s="1201" customFormat="1">
      <c r="B9" s="1197" t="s">
        <v>1173</v>
      </c>
      <c r="C9" s="1198">
        <f>SUM('[2]GA summary_monthly'!C95:N95)</f>
        <v>50399.132878174016</v>
      </c>
      <c r="D9" s="1199">
        <f>SUM('[2]GA summary_monthly'!O95:Z95)</f>
        <v>432994.93096970191</v>
      </c>
      <c r="E9" s="1199">
        <f>SUM('[2]GA summary_monthly'!AA95:AL95)</f>
        <v>828666.53252273006</v>
      </c>
      <c r="F9" s="1199">
        <f>SUM('[2]GA summary_monthly'!AM95:AX95)</f>
        <v>1161458.6621476198</v>
      </c>
      <c r="G9" s="1199">
        <f>SUM('[2]GA summary_monthly'!AY95:BJ95)</f>
        <v>1603924.8967141614</v>
      </c>
      <c r="H9" s="1199">
        <f>SUM('[2]GA summary_monthly'!BK95:BV95)</f>
        <v>2116860.1969265291</v>
      </c>
      <c r="I9" s="1200">
        <f>SUM('[2]GA summary_monthly'!BW95:CH95)</f>
        <v>2833139.2618061574</v>
      </c>
    </row>
    <row r="10" spans="2:16">
      <c r="B10" s="12"/>
      <c r="C10" s="769"/>
      <c r="D10" s="1202"/>
      <c r="E10" s="1202"/>
      <c r="F10" s="1202"/>
      <c r="G10" s="1202"/>
      <c r="H10" s="1202"/>
      <c r="I10" s="1203"/>
    </row>
    <row r="11" spans="2:16" s="1201" customFormat="1">
      <c r="B11" s="1197" t="s">
        <v>1174</v>
      </c>
      <c r="C11" s="1199">
        <f>SUM('[2]GA summary_monthly'!C183:N183)</f>
        <v>49391.150220610522</v>
      </c>
      <c r="D11" s="1199">
        <f>SUM('[2]GA summary_monthly'!O183:Z183)</f>
        <v>424335.03235030791</v>
      </c>
      <c r="E11" s="1199">
        <f>SUM('[2]GA summary_monthly'!AA183:AL183)</f>
        <v>812093.20187227521</v>
      </c>
      <c r="F11" s="1199">
        <f>SUM('[2]GA summary_monthly'!AM183:AX183)</f>
        <v>1138229.4889046673</v>
      </c>
      <c r="G11" s="1199">
        <f>SUM('[2]GA summary_monthly'!AY183:BJ183)</f>
        <v>1571846.3987798784</v>
      </c>
      <c r="H11" s="1199">
        <f>SUM('[2]GA summary_monthly'!BK183:BV183)</f>
        <v>2074522.9929879985</v>
      </c>
      <c r="I11" s="1200">
        <f>SUM('[2]GA summary_monthly'!BW183:CH183)</f>
        <v>2776476.4765700344</v>
      </c>
    </row>
    <row r="12" spans="2:16">
      <c r="B12" s="12"/>
      <c r="C12" s="769"/>
      <c r="D12" s="769"/>
      <c r="E12" s="769"/>
      <c r="F12" s="769"/>
      <c r="G12" s="769"/>
      <c r="H12" s="769"/>
      <c r="I12" s="1204"/>
    </row>
    <row r="13" spans="2:16" s="1201" customFormat="1" ht="12.75">
      <c r="B13" s="1205" t="s">
        <v>1175</v>
      </c>
      <c r="C13" s="1206">
        <f>SUM(C14:C16)</f>
        <v>20</v>
      </c>
      <c r="D13" s="1206">
        <f t="shared" ref="D13:F13" si="3">SUM(D14:D16)</f>
        <v>30</v>
      </c>
      <c r="E13" s="1206">
        <f t="shared" si="3"/>
        <v>18</v>
      </c>
      <c r="F13" s="1206">
        <f t="shared" si="3"/>
        <v>15</v>
      </c>
      <c r="G13" s="1206">
        <f>SUM(G14:G16)</f>
        <v>8</v>
      </c>
      <c r="H13" s="1206">
        <f>SUM(H14:H16)</f>
        <v>6</v>
      </c>
      <c r="I13" s="1207">
        <f>SUM(I14:I16)</f>
        <v>5</v>
      </c>
    </row>
    <row r="14" spans="2:16">
      <c r="B14" s="1208" t="s">
        <v>1176</v>
      </c>
      <c r="C14" s="1209">
        <f>SUM('[2]GA summary_monthly'!C5:N5)</f>
        <v>10</v>
      </c>
      <c r="D14" s="1209">
        <f>SUM('[2]GA summary_monthly'!O5:Z5)</f>
        <v>15</v>
      </c>
      <c r="E14" s="1209">
        <f>SUM('[2]GA summary_monthly'!AA5:AL5)</f>
        <v>8</v>
      </c>
      <c r="F14" s="1209">
        <f>SUM('[2]GA summary_monthly'!AM5:AX5)</f>
        <v>2</v>
      </c>
      <c r="G14" s="1209">
        <f>SUM('[2]GA summary_monthly'!AY5:BJ5)</f>
        <v>3</v>
      </c>
      <c r="H14" s="1209">
        <f>SUM('[2]GA summary_monthly'!BK5:BV5)</f>
        <v>4</v>
      </c>
      <c r="I14" s="1210">
        <f>SUM('[2]GA summary_monthly'!BW5:CH5)</f>
        <v>3</v>
      </c>
    </row>
    <row r="15" spans="2:16">
      <c r="B15" s="1208" t="s">
        <v>1177</v>
      </c>
      <c r="C15" s="1209">
        <f>SUM('[2]GA summary_monthly'!C6:N6)</f>
        <v>7</v>
      </c>
      <c r="D15" s="1209">
        <f>SUM('[2]GA summary_monthly'!O6:Z6)</f>
        <v>12</v>
      </c>
      <c r="E15" s="1209">
        <f>SUM('[2]GA summary_monthly'!AA6:AL6)</f>
        <v>10</v>
      </c>
      <c r="F15" s="1209">
        <f>SUM('[2]GA summary_monthly'!AM6:AX6)</f>
        <v>7</v>
      </c>
      <c r="G15" s="1209">
        <f>SUM('[2]GA summary_monthly'!AY6:BJ6)</f>
        <v>5</v>
      </c>
      <c r="H15" s="1209">
        <f>SUM('[2]GA summary_monthly'!BK6:BV6)</f>
        <v>2</v>
      </c>
      <c r="I15" s="1210">
        <f>SUM('[2]GA summary_monthly'!BW6:CH6)</f>
        <v>2</v>
      </c>
    </row>
    <row r="16" spans="2:16">
      <c r="B16" s="1208" t="s">
        <v>1178</v>
      </c>
      <c r="C16" s="1209">
        <f>SUM('[2]GA summary_monthly'!C7:N7)</f>
        <v>3</v>
      </c>
      <c r="D16" s="1209">
        <f>SUM('[2]GA summary_monthly'!O7:Z7)</f>
        <v>3</v>
      </c>
      <c r="E16" s="1209">
        <f>SUM('[2]GA summary_monthly'!AA7:AL7)</f>
        <v>0</v>
      </c>
      <c r="F16" s="1209">
        <f>SUM('[2]GA summary_monthly'!AM7:AX7)</f>
        <v>6</v>
      </c>
      <c r="G16" s="1209">
        <f>SUM('[2]GA summary_monthly'!AY7:BJ7)</f>
        <v>0</v>
      </c>
      <c r="H16" s="1209">
        <f>SUM('[2]GA summary_monthly'!BK7:BV7)</f>
        <v>0</v>
      </c>
      <c r="I16" s="1210">
        <f>SUM('[2]GA summary_monthly'!BW7:CH7)</f>
        <v>0</v>
      </c>
    </row>
    <row r="17" spans="2:16" s="1201" customFormat="1">
      <c r="B17" s="976" t="s">
        <v>1179</v>
      </c>
      <c r="C17" s="1211">
        <f>C13</f>
        <v>20</v>
      </c>
      <c r="D17" s="1211">
        <f>C17+D13</f>
        <v>50</v>
      </c>
      <c r="E17" s="1211">
        <f>D17+E13</f>
        <v>68</v>
      </c>
      <c r="F17" s="1211">
        <f t="shared" ref="F17:I17" si="4">E17+F13</f>
        <v>83</v>
      </c>
      <c r="G17" s="1211">
        <f t="shared" si="4"/>
        <v>91</v>
      </c>
      <c r="H17" s="1211">
        <f t="shared" si="4"/>
        <v>97</v>
      </c>
      <c r="I17" s="1212">
        <f t="shared" si="4"/>
        <v>102</v>
      </c>
    </row>
    <row r="18" spans="2:16">
      <c r="B18" s="12"/>
      <c r="C18" s="12"/>
      <c r="D18" s="12"/>
      <c r="E18" s="12"/>
      <c r="F18" s="12"/>
      <c r="G18" s="12"/>
      <c r="H18" s="12"/>
      <c r="I18" s="548"/>
    </row>
    <row r="19" spans="2:16" ht="15.75" thickBot="1">
      <c r="B19" s="1213" t="s">
        <v>1180</v>
      </c>
      <c r="C19" s="1214">
        <f>C21+C25</f>
        <v>12032.030330806472</v>
      </c>
      <c r="D19" s="1214">
        <f t="shared" ref="D19:P19" si="5">D21+D25</f>
        <v>109993.6075759472</v>
      </c>
      <c r="E19" s="1214">
        <f t="shared" si="5"/>
        <v>200625.24393149611</v>
      </c>
      <c r="F19" s="1214">
        <f t="shared" si="5"/>
        <v>249230.44928728577</v>
      </c>
      <c r="G19" s="1214">
        <f t="shared" si="5"/>
        <v>319349.75249495305</v>
      </c>
      <c r="H19" s="1214">
        <f t="shared" si="5"/>
        <v>402409.26265926362</v>
      </c>
      <c r="I19" s="1215">
        <f t="shared" si="5"/>
        <v>528700.38332099759</v>
      </c>
      <c r="J19" s="1216">
        <f t="shared" si="5"/>
        <v>0.24360700807865787</v>
      </c>
      <c r="K19" s="1216">
        <f t="shared" si="5"/>
        <v>0.25921406245134732</v>
      </c>
      <c r="L19" s="1216">
        <f t="shared" si="5"/>
        <v>0.24704706734270895</v>
      </c>
      <c r="M19" s="1216">
        <f t="shared" si="5"/>
        <v>0.218963268582264</v>
      </c>
      <c r="N19" s="1216">
        <f t="shared" si="5"/>
        <v>0.20316854925700337</v>
      </c>
      <c r="O19" s="1216">
        <f t="shared" si="5"/>
        <v>0.19397676671670017</v>
      </c>
      <c r="P19" s="1216">
        <f t="shared" si="5"/>
        <v>0.19042134438471323</v>
      </c>
    </row>
    <row r="20" spans="2:16" ht="15.75" thickTop="1">
      <c r="B20" s="1205"/>
      <c r="C20" s="1217">
        <f>C19/C9</f>
        <v>0.23873486791708465</v>
      </c>
      <c r="D20" s="1217">
        <f t="shared" ref="D20:G20" si="6">D19/D9</f>
        <v>0.25402978120232039</v>
      </c>
      <c r="E20" s="1217">
        <f t="shared" si="6"/>
        <v>0.24210612599585471</v>
      </c>
      <c r="F20" s="1217">
        <f t="shared" si="6"/>
        <v>0.21458400321061871</v>
      </c>
      <c r="G20" s="1217">
        <f t="shared" si="6"/>
        <v>0.1991051782718633</v>
      </c>
      <c r="H20" s="1217">
        <f>H19/H9</f>
        <v>0.19009723138236617</v>
      </c>
      <c r="I20" s="1217"/>
      <c r="J20" s="1218"/>
      <c r="K20" s="1218"/>
      <c r="L20" s="1218"/>
      <c r="M20" s="1218"/>
      <c r="N20" s="1218"/>
      <c r="O20" s="1218"/>
    </row>
    <row r="21" spans="2:16" ht="16.5">
      <c r="B21" s="1205" t="s">
        <v>752</v>
      </c>
      <c r="C21" s="1199">
        <f>SUM(C22:C23)</f>
        <v>2469.5575110305263</v>
      </c>
      <c r="D21" s="1199">
        <f t="shared" ref="D21:P21" si="7">SUM(D22:D23)</f>
        <v>29255.063114906141</v>
      </c>
      <c r="E21" s="1199">
        <f t="shared" si="7"/>
        <v>46643.430429988606</v>
      </c>
      <c r="F21" s="1199">
        <f t="shared" si="7"/>
        <v>33579.669417383033</v>
      </c>
      <c r="G21" s="1199">
        <f t="shared" si="7"/>
        <v>21764.193978887248</v>
      </c>
      <c r="H21" s="1199">
        <f t="shared" si="7"/>
        <v>9596.0193800938268</v>
      </c>
      <c r="I21" s="1200">
        <f t="shared" si="7"/>
        <v>3372.1805454729888</v>
      </c>
      <c r="J21" s="1219">
        <f t="shared" si="7"/>
        <v>0.05</v>
      </c>
      <c r="K21" s="1219">
        <f t="shared" si="7"/>
        <v>6.8943313383455815E-2</v>
      </c>
      <c r="L21" s="1219">
        <f t="shared" si="7"/>
        <v>5.7436055766077715E-2</v>
      </c>
      <c r="M21" s="1219">
        <f t="shared" si="7"/>
        <v>2.9501668815220362E-2</v>
      </c>
      <c r="N21" s="1219">
        <f t="shared" si="7"/>
        <v>1.3846260039009772E-2</v>
      </c>
      <c r="O21" s="1219">
        <f t="shared" si="7"/>
        <v>4.6256510111138309E-3</v>
      </c>
      <c r="P21" s="1219">
        <f t="shared" si="7"/>
        <v>1.214553976570645E-3</v>
      </c>
    </row>
    <row r="22" spans="2:16">
      <c r="B22" s="1220" t="s">
        <v>753</v>
      </c>
      <c r="C22" s="1221">
        <f>SUM('[2]GA summary_monthly'!C887:N887)</f>
        <v>0</v>
      </c>
      <c r="D22" s="1221">
        <f>SUM('[2]GA summary_monthly'!O887:Z887)</f>
        <v>10740</v>
      </c>
      <c r="E22" s="1221">
        <f>SUM('[2]GA summary_monthly'!AA887:AL887)</f>
        <v>30620</v>
      </c>
      <c r="F22" s="1221">
        <f>SUM('[2]GA summary_monthly'!AM887:AX887)</f>
        <v>24840</v>
      </c>
      <c r="G22" s="1221">
        <f>SUM('[2]GA summary_monthly'!AY887:BJ887)</f>
        <v>14575</v>
      </c>
      <c r="H22" s="1221">
        <f>SUM('[2]GA summary_monthly'!BK887:BV887)</f>
        <v>5625</v>
      </c>
      <c r="I22" s="1222">
        <f>SUM('[2]GA summary_monthly'!BW887:CH887)</f>
        <v>0</v>
      </c>
      <c r="J22" s="594">
        <f t="shared" ref="J22:P23" si="8">C22/C$11</f>
        <v>0</v>
      </c>
      <c r="K22" s="594">
        <f t="shared" si="8"/>
        <v>2.5310189310821834E-2</v>
      </c>
      <c r="L22" s="594">
        <f t="shared" si="8"/>
        <v>3.770503179857411E-2</v>
      </c>
      <c r="M22" s="594">
        <f t="shared" si="8"/>
        <v>2.1823367117209242E-2</v>
      </c>
      <c r="N22" s="594">
        <f t="shared" si="8"/>
        <v>9.2725345245652634E-3</v>
      </c>
      <c r="O22" s="594">
        <f t="shared" si="8"/>
        <v>2.711466693313503E-3</v>
      </c>
      <c r="P22" s="594">
        <f t="shared" si="8"/>
        <v>0</v>
      </c>
    </row>
    <row r="23" spans="2:16">
      <c r="B23" s="1220" t="s">
        <v>754</v>
      </c>
      <c r="C23" s="1221">
        <f>SUM('[2]GA summary_monthly'!C975:N975)</f>
        <v>2469.5575110305263</v>
      </c>
      <c r="D23" s="1221">
        <f>SUM('[2]GA summary_monthly'!O975:Z975)</f>
        <v>18515.063114906141</v>
      </c>
      <c r="E23" s="1221">
        <f>SUM('[2]GA summary_monthly'!AA975:AL975)</f>
        <v>16023.430429988608</v>
      </c>
      <c r="F23" s="1221">
        <f>SUM('[2]GA summary_monthly'!AM975:AX975)</f>
        <v>8739.6694173830347</v>
      </c>
      <c r="G23" s="1221">
        <f>SUM('[2]GA summary_monthly'!AY975:BJ975)</f>
        <v>7189.1939788872478</v>
      </c>
      <c r="H23" s="1221">
        <f>SUM('[2]GA summary_monthly'!BK975:BV975)</f>
        <v>3971.0193800938264</v>
      </c>
      <c r="I23" s="1222">
        <f>SUM('[2]GA summary_monthly'!BW975:CH975)</f>
        <v>3372.1805454729888</v>
      </c>
      <c r="J23" s="594">
        <f t="shared" si="8"/>
        <v>0.05</v>
      </c>
      <c r="K23" s="594">
        <f t="shared" si="8"/>
        <v>4.3633124072633984E-2</v>
      </c>
      <c r="L23" s="594">
        <f t="shared" si="8"/>
        <v>1.9731023967503609E-2</v>
      </c>
      <c r="M23" s="594">
        <f t="shared" si="8"/>
        <v>7.6783016980111187E-3</v>
      </c>
      <c r="N23" s="594">
        <f t="shared" si="8"/>
        <v>4.5737255144445085E-3</v>
      </c>
      <c r="O23" s="594">
        <f t="shared" si="8"/>
        <v>1.9141843178003279E-3</v>
      </c>
      <c r="P23" s="594">
        <f t="shared" si="8"/>
        <v>1.214553976570645E-3</v>
      </c>
    </row>
    <row r="24" spans="2:16">
      <c r="B24" s="1220"/>
      <c r="C24" s="1221"/>
      <c r="D24" s="1221"/>
      <c r="E24" s="1221"/>
      <c r="F24" s="1221"/>
      <c r="G24" s="1221"/>
      <c r="H24" s="1221"/>
      <c r="I24" s="1222"/>
      <c r="J24" s="594"/>
      <c r="K24" s="594"/>
      <c r="L24" s="594"/>
      <c r="M24" s="594"/>
      <c r="N24" s="594"/>
      <c r="O24" s="594"/>
    </row>
    <row r="25" spans="2:16" ht="16.5">
      <c r="B25" s="1223" t="s">
        <v>755</v>
      </c>
      <c r="C25" s="1224">
        <f>SUM(C26:C30)</f>
        <v>9562.4728197759468</v>
      </c>
      <c r="D25" s="1224">
        <f t="shared" ref="D25:P25" si="9">SUM(D26:D30)</f>
        <v>80738.544461041063</v>
      </c>
      <c r="E25" s="1224">
        <f t="shared" si="9"/>
        <v>153981.81350150751</v>
      </c>
      <c r="F25" s="1224">
        <f t="shared" si="9"/>
        <v>215650.77986990273</v>
      </c>
      <c r="G25" s="1224">
        <f t="shared" si="9"/>
        <v>297585.55851606582</v>
      </c>
      <c r="H25" s="1224">
        <f t="shared" si="9"/>
        <v>392813.24327916978</v>
      </c>
      <c r="I25" s="1225">
        <f t="shared" si="9"/>
        <v>525328.20277552458</v>
      </c>
      <c r="J25" s="1226">
        <f t="shared" si="9"/>
        <v>0.19360700807865788</v>
      </c>
      <c r="K25" s="1226">
        <f t="shared" si="9"/>
        <v>0.19027074906789151</v>
      </c>
      <c r="L25" s="1226">
        <f t="shared" si="9"/>
        <v>0.18961101157663124</v>
      </c>
      <c r="M25" s="1226">
        <f t="shared" si="9"/>
        <v>0.18946159976704363</v>
      </c>
      <c r="N25" s="1226">
        <f t="shared" si="9"/>
        <v>0.1893222892179936</v>
      </c>
      <c r="O25" s="1226">
        <f t="shared" si="9"/>
        <v>0.18935111570558633</v>
      </c>
      <c r="P25" s="1226">
        <f t="shared" si="9"/>
        <v>0.18920679040814259</v>
      </c>
    </row>
    <row r="26" spans="2:16">
      <c r="B26" s="1220" t="s">
        <v>756</v>
      </c>
      <c r="C26" s="1221">
        <f>SUM('[2]GA summary_monthly (HCM HN)'!C183:N183)*1%</f>
        <v>272.27221888520467</v>
      </c>
      <c r="D26" s="1221">
        <f>SUM('[2]GA summary_monthly (HCM HN)'!O183:Z183)*1%</f>
        <v>1543.8899397568548</v>
      </c>
      <c r="E26" s="1221">
        <f>SUM('[2]GA summary_monthly (HCM HN)'!AA183:AL183)*1%</f>
        <v>2418.9312074416334</v>
      </c>
      <c r="F26" s="1221">
        <f>SUM('[2]GA summary_monthly (HCM HN)'!AM183:AX183)*1%</f>
        <v>3220.3080314923732</v>
      </c>
      <c r="G26" s="1221">
        <f>SUM('[2]GA summary_monthly (HCM HN)'!AY183:BJ183)*1%</f>
        <v>4228.1333173568764</v>
      </c>
      <c r="H26" s="1221">
        <f>SUM('[2]GA summary_monthly (HCM HN)'!BK183:BV183)*1%</f>
        <v>5640.0918752685866</v>
      </c>
      <c r="I26" s="1222">
        <f>SUM('[2]GA summary_monthly (HCM HN)'!BW183:CH183)*1%</f>
        <v>7147.8061899473241</v>
      </c>
      <c r="J26" s="1227">
        <f t="shared" ref="J26:P26" si="10">C26/C$11</f>
        <v>5.5125709295911008E-3</v>
      </c>
      <c r="K26" s="1227">
        <f t="shared" si="10"/>
        <v>3.6383749208863418E-3</v>
      </c>
      <c r="L26" s="1227">
        <f t="shared" si="10"/>
        <v>2.9786374296260631E-3</v>
      </c>
      <c r="M26" s="1227">
        <f t="shared" si="10"/>
        <v>2.8292256200384658E-3</v>
      </c>
      <c r="N26" s="1227">
        <f t="shared" si="10"/>
        <v>2.689915070988425E-3</v>
      </c>
      <c r="O26" s="1227">
        <f t="shared" si="10"/>
        <v>2.7187415585811325E-3</v>
      </c>
      <c r="P26" s="1227">
        <f t="shared" si="10"/>
        <v>2.5744162611373834E-3</v>
      </c>
    </row>
    <row r="27" spans="2:16">
      <c r="B27" s="1220" t="s">
        <v>757</v>
      </c>
      <c r="C27" s="1221">
        <f>SUM('[2]GA summary_monthly'!C1063:N1063)</f>
        <v>6484.8714514798212</v>
      </c>
      <c r="D27" s="1221">
        <f t="shared" ref="D27:I27" si="11">K27*D11</f>
        <v>55163.554205540029</v>
      </c>
      <c r="E27" s="1221">
        <f t="shared" si="11"/>
        <v>105572.11624339578</v>
      </c>
      <c r="F27" s="1221">
        <f t="shared" si="11"/>
        <v>147969.83355760676</v>
      </c>
      <c r="G27" s="1221">
        <f t="shared" si="11"/>
        <v>204340.03184138419</v>
      </c>
      <c r="H27" s="1221">
        <f t="shared" si="11"/>
        <v>269687.98908843979</v>
      </c>
      <c r="I27" s="1222">
        <f t="shared" si="11"/>
        <v>360941.94195410446</v>
      </c>
      <c r="J27" s="1227">
        <f>C27/C$11</f>
        <v>0.13129622255230933</v>
      </c>
      <c r="K27" s="1227">
        <v>0.13</v>
      </c>
      <c r="L27" s="1227">
        <v>0.13</v>
      </c>
      <c r="M27" s="1227">
        <v>0.13</v>
      </c>
      <c r="N27" s="1227">
        <v>0.13</v>
      </c>
      <c r="O27" s="1227">
        <v>0.13</v>
      </c>
      <c r="P27" s="1227">
        <v>0.13</v>
      </c>
    </row>
    <row r="28" spans="2:16">
      <c r="B28" s="1220" t="s">
        <v>758</v>
      </c>
      <c r="C28" s="1221">
        <f>C11*4%</f>
        <v>1975.646008824421</v>
      </c>
      <c r="D28" s="1221">
        <f>D11*4%</f>
        <v>16973.401294012318</v>
      </c>
      <c r="E28" s="1228">
        <f>E11*4%</f>
        <v>32483.728074891009</v>
      </c>
      <c r="F28" s="1221">
        <f>F11*3%</f>
        <v>34146.884667140017</v>
      </c>
      <c r="G28" s="1221">
        <f>G11*3%</f>
        <v>47155.391963396352</v>
      </c>
      <c r="H28" s="1221">
        <f>H11*3%</f>
        <v>62235.689789639953</v>
      </c>
      <c r="I28" s="1222">
        <f>I11*3%</f>
        <v>83294.294297101034</v>
      </c>
      <c r="J28" s="1227">
        <f>C28/C$11</f>
        <v>0.04</v>
      </c>
      <c r="K28" s="1227">
        <f t="shared" ref="K28:P29" si="12">D28/D$11</f>
        <v>0.04</v>
      </c>
      <c r="L28" s="1227">
        <f t="shared" si="12"/>
        <v>0.04</v>
      </c>
      <c r="M28" s="1227">
        <f t="shared" si="12"/>
        <v>0.03</v>
      </c>
      <c r="N28" s="1227">
        <f t="shared" si="12"/>
        <v>0.03</v>
      </c>
      <c r="O28" s="1227">
        <f t="shared" si="12"/>
        <v>0.03</v>
      </c>
      <c r="P28" s="1227">
        <f t="shared" si="12"/>
        <v>3.0000000000000002E-2</v>
      </c>
    </row>
    <row r="29" spans="2:16">
      <c r="B29" s="1220" t="s">
        <v>697</v>
      </c>
      <c r="C29" s="1221">
        <f>C43</f>
        <v>829.68314058649935</v>
      </c>
      <c r="D29" s="1221">
        <f>D44</f>
        <v>7057.6990217318653</v>
      </c>
      <c r="E29" s="1221">
        <f>E45</f>
        <v>13507.037975779087</v>
      </c>
      <c r="F29" s="1221">
        <f>F46</f>
        <v>18931.458724616907</v>
      </c>
      <c r="G29" s="1221">
        <f>G47</f>
        <v>26143.537406129639</v>
      </c>
      <c r="H29" s="1221">
        <f>H48</f>
        <v>34504.242595941389</v>
      </c>
      <c r="I29" s="1222">
        <f>I49</f>
        <v>46179.395568671462</v>
      </c>
      <c r="J29" s="1227">
        <f>C29/C$11</f>
        <v>1.6798214596757444E-2</v>
      </c>
      <c r="K29" s="1227">
        <f t="shared" si="12"/>
        <v>1.6632374147005174E-2</v>
      </c>
      <c r="L29" s="1227">
        <f t="shared" si="12"/>
        <v>1.6632374147005177E-2</v>
      </c>
      <c r="M29" s="1227">
        <f t="shared" si="12"/>
        <v>1.6632374147005177E-2</v>
      </c>
      <c r="N29" s="1227">
        <f t="shared" si="12"/>
        <v>1.6632374147005177E-2</v>
      </c>
      <c r="O29" s="1227">
        <f t="shared" si="12"/>
        <v>1.6632374147005177E-2</v>
      </c>
      <c r="P29" s="1227">
        <f t="shared" si="12"/>
        <v>1.6632374147005177E-2</v>
      </c>
    </row>
    <row r="30" spans="2:16">
      <c r="B30" s="1220" t="s">
        <v>759</v>
      </c>
      <c r="C30" s="1221"/>
      <c r="D30" s="1221"/>
      <c r="E30" s="1221"/>
      <c r="F30" s="1221">
        <f>M30*F11</f>
        <v>11382.294889046674</v>
      </c>
      <c r="G30" s="1221">
        <f>N30*G11</f>
        <v>15718.463987798785</v>
      </c>
      <c r="H30" s="1221">
        <f>O30*H11</f>
        <v>20745.229929879984</v>
      </c>
      <c r="I30" s="1222">
        <f>P30*I11</f>
        <v>27764.764765700344</v>
      </c>
      <c r="J30" s="1229"/>
      <c r="K30" s="1229"/>
      <c r="L30" s="1229"/>
      <c r="M30" s="1229">
        <v>0.01</v>
      </c>
      <c r="N30" s="1229">
        <v>0.01</v>
      </c>
      <c r="O30" s="1229">
        <v>0.01</v>
      </c>
      <c r="P30" s="1229">
        <v>0.01</v>
      </c>
    </row>
    <row r="31" spans="2:16">
      <c r="B31" s="1220"/>
      <c r="C31" s="1221"/>
      <c r="D31" s="1221"/>
      <c r="E31" s="1221"/>
      <c r="F31" s="1221"/>
      <c r="G31" s="1221"/>
      <c r="H31" s="1221"/>
      <c r="I31" s="1222"/>
    </row>
    <row r="32" spans="2:16">
      <c r="B32" s="960"/>
      <c r="C32" s="722"/>
      <c r="D32" s="722"/>
      <c r="E32" s="722"/>
      <c r="F32" s="722"/>
      <c r="G32" s="722"/>
      <c r="H32" s="722"/>
      <c r="I32" s="722"/>
      <c r="J32" s="704"/>
      <c r="K32" s="704"/>
      <c r="L32" s="704"/>
      <c r="M32" s="704"/>
      <c r="N32" s="704"/>
      <c r="O32" s="704"/>
    </row>
    <row r="33" spans="2:17" hidden="1">
      <c r="D33" s="1230"/>
      <c r="J33" s="946" t="s">
        <v>410</v>
      </c>
      <c r="K33" s="946" t="s">
        <v>411</v>
      </c>
      <c r="L33" s="946" t="s">
        <v>412</v>
      </c>
    </row>
    <row r="34" spans="2:17" hidden="1">
      <c r="D34" s="1230"/>
      <c r="J34" s="1231">
        <v>0.25</v>
      </c>
      <c r="K34" s="1231">
        <v>0.25</v>
      </c>
      <c r="L34" s="1231">
        <v>0.5</v>
      </c>
      <c r="M34" s="1231"/>
    </row>
    <row r="35" spans="2:17" hidden="1">
      <c r="B35" s="960" t="s">
        <v>697</v>
      </c>
      <c r="C35" s="847">
        <f t="shared" ref="C35:G35" si="13">C27*15%</f>
        <v>972.73071772197318</v>
      </c>
      <c r="D35" s="847">
        <f t="shared" si="13"/>
        <v>8274.5331308310033</v>
      </c>
      <c r="E35" s="847">
        <f t="shared" si="13"/>
        <v>15835.817436509366</v>
      </c>
      <c r="F35" s="847">
        <f t="shared" si="13"/>
        <v>22195.475033641014</v>
      </c>
      <c r="G35" s="847">
        <f t="shared" si="13"/>
        <v>30651.004776207628</v>
      </c>
      <c r="H35" s="847">
        <f>H27*15%</f>
        <v>40453.198363265969</v>
      </c>
      <c r="I35" s="847">
        <f>I27*15%</f>
        <v>54141.291293115668</v>
      </c>
    </row>
    <row r="36" spans="2:17" hidden="1">
      <c r="B36" s="960" t="s">
        <v>1181</v>
      </c>
      <c r="C36" s="1126">
        <v>2016</v>
      </c>
      <c r="D36" s="1126">
        <v>2017</v>
      </c>
      <c r="E36" s="1126">
        <v>2018</v>
      </c>
      <c r="F36" s="1126">
        <v>2019</v>
      </c>
      <c r="G36" s="1126">
        <v>2020</v>
      </c>
      <c r="H36" s="1126">
        <v>2021</v>
      </c>
      <c r="I36" s="1126">
        <v>2022</v>
      </c>
      <c r="J36" s="1126">
        <v>2022</v>
      </c>
      <c r="K36" s="1126">
        <v>2023</v>
      </c>
      <c r="L36" s="1126">
        <v>2024</v>
      </c>
      <c r="M36" s="1126">
        <v>2025</v>
      </c>
      <c r="N36" s="1126">
        <v>2026</v>
      </c>
      <c r="O36" s="1126">
        <v>2025</v>
      </c>
      <c r="P36" s="914"/>
      <c r="Q36" s="914"/>
    </row>
    <row r="37" spans="2:17" hidden="1">
      <c r="B37">
        <v>2016</v>
      </c>
      <c r="D37" s="1230"/>
      <c r="E37" s="442">
        <f>$C$35*J34</f>
        <v>243.18267943049329</v>
      </c>
      <c r="F37" s="442">
        <f>$C$35*K34</f>
        <v>243.18267943049329</v>
      </c>
      <c r="G37" s="442">
        <f>$C$35*L34</f>
        <v>486.36535886098659</v>
      </c>
      <c r="H37" s="442">
        <f>$C$35*M34</f>
        <v>0</v>
      </c>
      <c r="I37" s="442"/>
      <c r="J37" s="442"/>
      <c r="K37" s="442"/>
      <c r="L37" s="442"/>
      <c r="M37" s="442"/>
      <c r="N37" s="442"/>
      <c r="O37" s="442"/>
    </row>
    <row r="38" spans="2:17" hidden="1">
      <c r="B38">
        <v>2017</v>
      </c>
      <c r="D38" s="1230"/>
      <c r="E38" s="442"/>
      <c r="F38" s="442">
        <f>$D$35*J34</f>
        <v>2068.6332827077508</v>
      </c>
      <c r="G38" s="442">
        <f>$D$35*K34</f>
        <v>2068.6332827077508</v>
      </c>
      <c r="H38" s="442">
        <f>$D$35*L34</f>
        <v>4137.2665654155016</v>
      </c>
      <c r="I38" s="442">
        <f>$D$35*M34</f>
        <v>0</v>
      </c>
      <c r="J38" s="442"/>
      <c r="K38" s="442"/>
      <c r="L38" s="442"/>
      <c r="M38" s="442"/>
      <c r="N38" s="442"/>
      <c r="O38" s="442"/>
    </row>
    <row r="39" spans="2:17" hidden="1">
      <c r="B39">
        <v>2018</v>
      </c>
      <c r="D39" s="1230"/>
      <c r="E39" s="442"/>
      <c r="F39" s="442"/>
      <c r="G39" s="442">
        <f>$E$35*J34</f>
        <v>3958.9543591273414</v>
      </c>
      <c r="H39" s="442">
        <f>$E$35*K34</f>
        <v>3958.9543591273414</v>
      </c>
      <c r="I39" s="442">
        <f>$E$35*L34</f>
        <v>7917.9087182546828</v>
      </c>
      <c r="J39" s="442"/>
      <c r="K39" s="442"/>
      <c r="L39" s="442"/>
      <c r="M39" s="442"/>
      <c r="N39" s="442"/>
      <c r="O39" s="442"/>
    </row>
    <row r="40" spans="2:17" hidden="1">
      <c r="B40" s="960">
        <v>2019</v>
      </c>
      <c r="C40" s="442"/>
      <c r="D40" s="1230"/>
      <c r="E40" s="442"/>
      <c r="F40" s="442"/>
      <c r="G40" s="442"/>
      <c r="H40" s="442">
        <f>$F$35*J34</f>
        <v>5548.8687584102536</v>
      </c>
      <c r="I40" s="442">
        <f t="shared" ref="I40:J40" si="14">$F$35*K34</f>
        <v>5548.8687584102536</v>
      </c>
      <c r="J40" s="442">
        <f t="shared" si="14"/>
        <v>11097.737516820507</v>
      </c>
      <c r="K40" s="442"/>
      <c r="L40" s="442"/>
      <c r="M40" s="442"/>
    </row>
    <row r="41" spans="2:17" hidden="1">
      <c r="B41">
        <v>2020</v>
      </c>
      <c r="D41" s="1230"/>
      <c r="E41" s="442"/>
      <c r="F41" s="442"/>
      <c r="G41" s="442"/>
      <c r="H41" s="442"/>
      <c r="I41" s="442">
        <f>$G$35*J34</f>
        <v>7662.7511940519071</v>
      </c>
      <c r="J41" s="442">
        <f t="shared" ref="J41:K41" si="15">$G$35*K34</f>
        <v>7662.7511940519071</v>
      </c>
      <c r="K41" s="442">
        <f t="shared" si="15"/>
        <v>15325.502388103814</v>
      </c>
      <c r="L41" s="442"/>
      <c r="M41" s="442"/>
    </row>
    <row r="42" spans="2:17" hidden="1">
      <c r="B42">
        <v>2021</v>
      </c>
      <c r="D42" s="1230"/>
      <c r="E42" s="442"/>
      <c r="F42" s="442"/>
      <c r="G42" s="442"/>
      <c r="H42" s="442"/>
      <c r="I42" s="442"/>
      <c r="J42" s="442">
        <f>$H$35*J34</f>
        <v>10113.299590816492</v>
      </c>
      <c r="K42" s="442">
        <f t="shared" ref="K42:L42" si="16">$H$35*K34</f>
        <v>10113.299590816492</v>
      </c>
      <c r="L42" s="442">
        <f t="shared" si="16"/>
        <v>20226.599181632984</v>
      </c>
      <c r="M42" s="442"/>
      <c r="N42" s="442"/>
    </row>
    <row r="43" spans="2:17" hidden="1">
      <c r="B43" s="1232" t="s">
        <v>1182</v>
      </c>
      <c r="C43" s="442">
        <f>E37/((1+6%)^1.5)+F37/((1+6%)^2.5)+G37/((1+6%)^3.5)</f>
        <v>829.68314058649935</v>
      </c>
      <c r="D43" s="1230"/>
      <c r="K43" s="581">
        <f>$I$35*J34</f>
        <v>13535.322823278917</v>
      </c>
      <c r="L43" s="581">
        <f t="shared" ref="L43:M43" si="17">$I$35*K34</f>
        <v>13535.322823278917</v>
      </c>
      <c r="M43" s="581">
        <f t="shared" si="17"/>
        <v>27070.645646557834</v>
      </c>
    </row>
    <row r="44" spans="2:17" hidden="1">
      <c r="D44" s="442">
        <f>F38/((1+6%)^1.5)+G38/((1+6%)^2.5)+H38/((1+6%)^3.5)</f>
        <v>7057.6990217318653</v>
      </c>
    </row>
    <row r="45" spans="2:17" hidden="1">
      <c r="D45" s="1230"/>
      <c r="E45" s="442">
        <f>G39/((1+6%)^1.5)+H39/((1+6%)^2.5)+I39/((1+6%)^3.5)</f>
        <v>13507.037975779087</v>
      </c>
    </row>
    <row r="46" spans="2:17" hidden="1">
      <c r="D46" s="1230"/>
      <c r="F46" s="442">
        <f>H40/((1+6%)^1.5)+I40/((1+6%)^2.5)+J40/((1+6%)^3.5)</f>
        <v>18931.458724616907</v>
      </c>
      <c r="G46" s="442"/>
    </row>
    <row r="47" spans="2:17" hidden="1">
      <c r="D47" s="1230"/>
      <c r="G47" s="442">
        <f>I41/((1+6%)^1.5)+J41/((1+6%)^2.5)+K41/((1+6%)^3.5)</f>
        <v>26143.537406129639</v>
      </c>
      <c r="H47" s="442"/>
      <c r="I47" s="442"/>
    </row>
    <row r="48" spans="2:17" hidden="1">
      <c r="D48" s="1230"/>
      <c r="H48" s="442">
        <f>J42/((1+6%)^1.5)+K42/((1+6%)^2.5)+L42/((1+6%)^3.5)</f>
        <v>34504.242595941389</v>
      </c>
      <c r="I48" s="442"/>
    </row>
    <row r="49" spans="2:15" hidden="1">
      <c r="D49" s="1230"/>
      <c r="I49" s="442">
        <f>K43/((1+6%)^1.5)+L43/((1+6%)^2.5)+M43/((1+6%)^3.5)</f>
        <v>46179.395568671462</v>
      </c>
    </row>
    <row r="50" spans="2:15" ht="5.25" customHeight="1">
      <c r="B50" s="1158"/>
      <c r="C50" s="1158"/>
      <c r="D50" s="1233"/>
      <c r="E50" s="1158"/>
      <c r="F50" s="1158"/>
      <c r="G50" s="1158"/>
      <c r="H50" s="1158"/>
      <c r="I50" s="1158"/>
      <c r="J50" s="1158"/>
      <c r="K50" s="1158"/>
      <c r="L50" s="1158"/>
      <c r="M50" s="1158"/>
      <c r="N50" s="1158"/>
      <c r="O50" s="1158"/>
    </row>
    <row r="51" spans="2:15">
      <c r="D51" s="1230"/>
    </row>
    <row r="52" spans="2:15">
      <c r="B52" s="1234" t="s">
        <v>1183</v>
      </c>
      <c r="C52" s="1235">
        <v>2016</v>
      </c>
      <c r="D52" s="1235">
        <v>2017</v>
      </c>
      <c r="E52" s="1235">
        <v>2018</v>
      </c>
      <c r="F52" s="1235">
        <v>2019</v>
      </c>
      <c r="G52" s="1235">
        <v>2020</v>
      </c>
      <c r="H52" s="1236">
        <v>2021</v>
      </c>
      <c r="I52" s="1237"/>
    </row>
    <row r="53" spans="2:15">
      <c r="B53" s="1238"/>
      <c r="C53" s="1239"/>
      <c r="D53" s="1239"/>
      <c r="E53" s="1239"/>
      <c r="F53" s="1239"/>
      <c r="G53" s="1239"/>
      <c r="H53" s="1240"/>
      <c r="I53" s="1239"/>
    </row>
    <row r="54" spans="2:15">
      <c r="B54" s="1241" t="s">
        <v>1184</v>
      </c>
      <c r="C54" s="1242">
        <f>SUM('[2]GA summary_monthly'!C447:N447)</f>
        <v>346</v>
      </c>
      <c r="D54" s="1242">
        <f>SUM('[2]GA summary_monthly'!O447:Z447)</f>
        <v>778</v>
      </c>
      <c r="E54" s="1242">
        <f>SUM('[2]GA summary_monthly'!AA447:AL447)</f>
        <v>538</v>
      </c>
      <c r="F54" s="1242">
        <f>SUM('[2]GA summary_monthly'!AM447:AX447)</f>
        <v>338</v>
      </c>
      <c r="G54" s="1242">
        <f>SUM('[2]GA summary_monthly'!AY447:BJ447)</f>
        <v>258</v>
      </c>
      <c r="H54" s="1243">
        <f>SUM('[2]GA summary_monthly'!BK447:BV447)</f>
        <v>166</v>
      </c>
      <c r="I54" s="1242"/>
    </row>
    <row r="55" spans="2:15">
      <c r="B55" s="1241" t="s">
        <v>1185</v>
      </c>
      <c r="C55" s="1242">
        <f>SUM('[2]GA summary_monthly'!C623:N623)</f>
        <v>463.06496293654175</v>
      </c>
      <c r="D55" s="1242">
        <f>SUM('[2]GA summary_monthly'!O623:Z623)</f>
        <v>4634.2360167894185</v>
      </c>
      <c r="E55" s="1242">
        <f>SUM('[2]GA summary_monthly'!AA623:AL623)</f>
        <v>9569.2641270309123</v>
      </c>
      <c r="F55" s="1242">
        <f>SUM('[2]GA summary_monthly'!AM623:AX623)</f>
        <v>13227.548275184316</v>
      </c>
      <c r="G55" s="1242">
        <f>SUM('[2]GA summary_monthly'!AY623:BJ623)</f>
        <v>18391.427685592702</v>
      </c>
      <c r="H55" s="1243">
        <f>SUM('[2]GA summary_monthly'!BK623:BV623)</f>
        <v>25337.391142204273</v>
      </c>
      <c r="I55" s="1242"/>
    </row>
    <row r="56" spans="2:15">
      <c r="B56" s="1244" t="s">
        <v>1186</v>
      </c>
      <c r="C56" s="1242">
        <f>+'[2]GA summary_monthly'!N359</f>
        <v>2774.545596205131</v>
      </c>
      <c r="D56" s="1242">
        <f>+'[2]GA summary_monthly'!Z359</f>
        <v>6988.6782999325487</v>
      </c>
      <c r="E56" s="1242">
        <f>+'[2]GA summary_monthly'!AL359</f>
        <v>9993.3300772222883</v>
      </c>
      <c r="F56" s="1242">
        <f>+'[2]GA summary_monthly'!AX359</f>
        <v>12768.535256297051</v>
      </c>
      <c r="G56" s="1242">
        <f>+'[2]GA summary_monthly'!BJ359</f>
        <v>15893.400296880107</v>
      </c>
      <c r="H56" s="1243">
        <f>+'[2]GA summary_monthly'!BV359</f>
        <v>19971.916655751833</v>
      </c>
      <c r="I56" s="1242"/>
    </row>
    <row r="57" spans="2:15">
      <c r="B57" s="1244" t="s">
        <v>617</v>
      </c>
      <c r="C57" s="1242">
        <f>+'[2]GA summary_monthly'!N535</f>
        <v>333.57661504677264</v>
      </c>
      <c r="D57" s="1242">
        <f>+'[2]GA summary_monthly'!Z535</f>
        <v>928.19206199125608</v>
      </c>
      <c r="E57" s="1242">
        <f>+'[2]GA summary_monthly'!AL535</f>
        <v>1313.0919225028858</v>
      </c>
      <c r="F57" s="1242">
        <f>+'[2]GA summary_monthly'!AX535</f>
        <v>1848.3377213334559</v>
      </c>
      <c r="G57" s="1242">
        <f>+'[2]GA summary_monthly'!BJ535</f>
        <v>2347.3530375256296</v>
      </c>
      <c r="H57" s="1243">
        <f>+'[2]GA summary_monthly'!BV535</f>
        <v>3057.7683841156686</v>
      </c>
      <c r="I57" s="1242"/>
    </row>
    <row r="58" spans="2:15">
      <c r="B58" s="1244" t="s">
        <v>1187</v>
      </c>
      <c r="C58" s="1242">
        <f>AVERAGE('[2]GA summary_monthly'!C535:N535)</f>
        <v>66.901373106839614</v>
      </c>
      <c r="D58" s="1242">
        <f>AVERAGE('[2]GA summary_monthly'!O535:Z535)</f>
        <v>625.94600460343736</v>
      </c>
      <c r="E58" s="1242">
        <f>AVERAGE('[2]GA summary_monthly'!AA535:AL535)</f>
        <v>1148.0044875290823</v>
      </c>
      <c r="F58" s="1242">
        <f>AVERAGE('[2]GA summary_monthly'!AM535:AX535)</f>
        <v>1652.1461303787707</v>
      </c>
      <c r="G58" s="1242">
        <f>AVERAGE('[2]GA summary_monthly'!AY535:BJ535)</f>
        <v>2113.3812149849073</v>
      </c>
      <c r="H58" s="1243">
        <f>AVERAGE('[2]GA summary_monthly'!BK535:BV535)</f>
        <v>2681.0810631720492</v>
      </c>
      <c r="I58" s="1242"/>
    </row>
    <row r="59" spans="2:15">
      <c r="B59" s="1244" t="s">
        <v>1188</v>
      </c>
      <c r="C59" s="1245">
        <f t="shared" ref="C59:F59" si="18">+C62/C64</f>
        <v>7.719051414253089</v>
      </c>
      <c r="D59" s="1245">
        <f t="shared" si="18"/>
        <v>7.7556560497466993</v>
      </c>
      <c r="E59" s="1245">
        <f t="shared" si="18"/>
        <v>8.0668422607565962</v>
      </c>
      <c r="F59" s="1245">
        <f t="shared" si="18"/>
        <v>8.5951083698882034</v>
      </c>
      <c r="G59" s="1245">
        <f>+G62/G64</f>
        <v>9.2427951387905676</v>
      </c>
      <c r="H59" s="1246">
        <f>+H62/H64</f>
        <v>9.8576019999160138</v>
      </c>
      <c r="I59" s="1245"/>
    </row>
    <row r="60" spans="2:15">
      <c r="B60" s="866"/>
      <c r="C60" s="12"/>
      <c r="D60" s="12"/>
      <c r="E60" s="12"/>
      <c r="F60" s="12"/>
      <c r="G60" s="12"/>
      <c r="H60" s="548"/>
      <c r="I60" s="12"/>
    </row>
    <row r="61" spans="2:15">
      <c r="B61" s="1015" t="s">
        <v>1189</v>
      </c>
      <c r="C61" s="12"/>
      <c r="D61" s="12"/>
      <c r="E61" s="12"/>
      <c r="F61" s="12"/>
      <c r="G61" s="12"/>
      <c r="H61" s="548"/>
      <c r="I61" s="12"/>
    </row>
    <row r="62" spans="2:15" s="1251" customFormat="1" ht="12.75">
      <c r="B62" s="1247" t="s">
        <v>499</v>
      </c>
      <c r="C62" s="1248">
        <f>SUM('[2]GA summary_monthly'!C95:N95)</f>
        <v>50399.132878174016</v>
      </c>
      <c r="D62" s="1249">
        <f>SUM('[2]GA summary_monthly'!O95:Z95)</f>
        <v>432994.93096970191</v>
      </c>
      <c r="E62" s="1249">
        <f>SUM('[2]GA summary_monthly'!AA95:AL95)</f>
        <v>828666.53252273006</v>
      </c>
      <c r="F62" s="1249">
        <f>SUM('[2]GA summary_monthly'!AM95:AX95)</f>
        <v>1161458.6621476198</v>
      </c>
      <c r="G62" s="1249">
        <f>SUM('[2]GA summary_monthly'!AY95:BJ95)</f>
        <v>1603924.8967141614</v>
      </c>
      <c r="H62" s="1250">
        <f>SUM('[2]GA summary_monthly'!BK95:BV95)</f>
        <v>2116860.1969265291</v>
      </c>
      <c r="I62" s="1249"/>
    </row>
    <row r="63" spans="2:15" s="1251" customFormat="1" ht="12.75">
      <c r="B63" s="1247" t="s">
        <v>1190</v>
      </c>
      <c r="C63" s="1249">
        <f>SUM('[2]GA summary_monthly'!C271:N271)</f>
        <v>2850.6296876795259</v>
      </c>
      <c r="D63" s="1249">
        <f>SUM('[2]GA summary_monthly'!O271:Z271)</f>
        <v>24356.126414426701</v>
      </c>
      <c r="E63" s="1249">
        <f>SUM('[2]GA summary_monthly'!AA271:AL271)</f>
        <v>45491.783231234593</v>
      </c>
      <c r="F63" s="1249">
        <f>SUM('[2]GA summary_monthly'!AM271:AX271)</f>
        <v>61511.864811588821</v>
      </c>
      <c r="G63" s="1249">
        <f>SUM('[2]GA summary_monthly'!AY271:BJ271)</f>
        <v>81775.372869207858</v>
      </c>
      <c r="H63" s="1250">
        <f>SUM('[2]GA summary_monthly'!BK271:BV271)</f>
        <v>103509.68780443916</v>
      </c>
      <c r="I63" s="1249"/>
    </row>
    <row r="64" spans="2:15" s="1251" customFormat="1" ht="12.75">
      <c r="B64" s="1247" t="s">
        <v>1191</v>
      </c>
      <c r="C64" s="1249">
        <f>SUM('[2]GA summary_monthly'!C711:N711)</f>
        <v>6529.1873539166909</v>
      </c>
      <c r="D64" s="1249">
        <f>SUM('[2]GA summary_monthly'!O711:Z711)</f>
        <v>55829.568535835671</v>
      </c>
      <c r="E64" s="1249">
        <f>SUM('[2]GA summary_monthly'!AA711:AL711)</f>
        <v>102725.01999376008</v>
      </c>
      <c r="F64" s="1249">
        <f>SUM('[2]GA summary_monthly'!AM711:AX711)</f>
        <v>135130.19407837052</v>
      </c>
      <c r="G64" s="1249">
        <f>SUM('[2]GA summary_monthly'!AY711:BJ711)</f>
        <v>173532.45123682759</v>
      </c>
      <c r="H64" s="1250">
        <f>SUM('[2]GA summary_monthly'!BK711:BV711)</f>
        <v>214743.93031333224</v>
      </c>
      <c r="I64" s="1249"/>
    </row>
    <row r="65" spans="2:9" s="1251" customFormat="1" ht="12.75">
      <c r="B65" s="1247" t="s">
        <v>782</v>
      </c>
      <c r="C65" s="1249">
        <f>SUM('[2]GA summary_monthly'!C799:N799)</f>
        <v>1697.5887120183397</v>
      </c>
      <c r="D65" s="1249">
        <f>SUM('[2]GA summary_monthly'!O799:Z799)</f>
        <v>14515.687819317276</v>
      </c>
      <c r="E65" s="1249">
        <f>SUM('[2]GA summary_monthly'!AA799:AL799)</f>
        <v>26738.304812748356</v>
      </c>
      <c r="F65" s="1249">
        <f>SUM('[2]GA summary_monthly'!AM799:AX799)</f>
        <v>35521.206216417027</v>
      </c>
      <c r="G65" s="1249">
        <f>SUM('[2]GA summary_monthly'!AY799:BJ799)</f>
        <v>46140.080128054047</v>
      </c>
      <c r="H65" s="1250">
        <f>SUM('[2]GA summary_monthly'!BK799:BV799)</f>
        <v>57546.002685619264</v>
      </c>
      <c r="I65" s="1249"/>
    </row>
    <row r="66" spans="2:9" s="1251" customFormat="1" ht="12.75">
      <c r="B66" s="1247" t="s">
        <v>1192</v>
      </c>
      <c r="C66" s="1252">
        <f t="shared" ref="C66:G66" si="19">+C65/C64</f>
        <v>0.26</v>
      </c>
      <c r="D66" s="1252">
        <f t="shared" si="19"/>
        <v>0.26</v>
      </c>
      <c r="E66" s="1252">
        <f t="shared" si="19"/>
        <v>0.26029009110314649</v>
      </c>
      <c r="F66" s="1252">
        <f t="shared" si="19"/>
        <v>0.26286653740625904</v>
      </c>
      <c r="G66" s="1252">
        <f t="shared" si="19"/>
        <v>0.26588733000195214</v>
      </c>
      <c r="H66" s="1253">
        <f>+H65/H64</f>
        <v>0.26797499049986678</v>
      </c>
      <c r="I66" s="1252"/>
    </row>
    <row r="67" spans="2:9" s="1251" customFormat="1" ht="12.75">
      <c r="B67" s="1247" t="s">
        <v>1193</v>
      </c>
      <c r="C67" s="1254">
        <f t="shared" ref="C67:H67" si="20">+C62/C63</f>
        <v>17.68</v>
      </c>
      <c r="D67" s="1254">
        <f t="shared" si="20"/>
        <v>17.777659862745207</v>
      </c>
      <c r="E67" s="1254">
        <f t="shared" si="20"/>
        <v>18.215740814349278</v>
      </c>
      <c r="F67" s="1254">
        <f t="shared" si="20"/>
        <v>18.881863941292856</v>
      </c>
      <c r="G67" s="1254">
        <f t="shared" si="20"/>
        <v>19.613788851559146</v>
      </c>
      <c r="H67" s="1255">
        <f t="shared" si="20"/>
        <v>20.450841286720067</v>
      </c>
      <c r="I67" s="1254"/>
    </row>
    <row r="68" spans="2:9" s="1251" customFormat="1" ht="12.75">
      <c r="B68" s="1247" t="s">
        <v>1194</v>
      </c>
      <c r="C68" s="1254">
        <f t="shared" ref="C68:G68" si="21">+C63/C65</f>
        <v>1.67922281027086</v>
      </c>
      <c r="D68" s="1254">
        <f t="shared" si="21"/>
        <v>1.6779174860741979</v>
      </c>
      <c r="E68" s="1254">
        <f t="shared" si="21"/>
        <v>1.7013712555758174</v>
      </c>
      <c r="F68" s="1254">
        <f t="shared" si="21"/>
        <v>1.7316941445293474</v>
      </c>
      <c r="G68" s="1254">
        <f t="shared" si="21"/>
        <v>1.7723283670564516</v>
      </c>
      <c r="H68" s="1255">
        <f>+H63/H65</f>
        <v>1.7987294160104403</v>
      </c>
      <c r="I68" s="1254"/>
    </row>
    <row r="69" spans="2:9" s="1251" customFormat="1" ht="12.75">
      <c r="B69" s="1247" t="s">
        <v>1195</v>
      </c>
      <c r="C69" s="1256">
        <f t="shared" ref="C69:H69" si="22">C55/(C58 * 12)</f>
        <v>0.57680052171355789</v>
      </c>
      <c r="D69" s="1256">
        <f t="shared" si="22"/>
        <v>0.61696429387246676</v>
      </c>
      <c r="E69" s="1256">
        <f t="shared" si="22"/>
        <v>0.69463027881445849</v>
      </c>
      <c r="F69" s="1256">
        <f t="shared" si="22"/>
        <v>0.66719018937264396</v>
      </c>
      <c r="G69" s="1256">
        <f t="shared" si="22"/>
        <v>0.72519759470386747</v>
      </c>
      <c r="H69" s="1257">
        <f t="shared" si="22"/>
        <v>0.78753652429749788</v>
      </c>
      <c r="I69" s="1256"/>
    </row>
    <row r="70" spans="2:9">
      <c r="B70" s="866"/>
      <c r="C70" s="1258"/>
      <c r="D70" s="12"/>
      <c r="E70" s="12"/>
      <c r="F70" s="12"/>
      <c r="G70" s="12"/>
      <c r="H70" s="548"/>
      <c r="I70" s="12"/>
    </row>
    <row r="71" spans="2:9">
      <c r="B71" s="1259" t="s">
        <v>1196</v>
      </c>
      <c r="C71" s="1260"/>
      <c r="D71" s="1261">
        <f>D64/C64-1</f>
        <v>7.5507683436813853</v>
      </c>
      <c r="E71" s="1261">
        <f t="shared" ref="E71:G71" si="23">E64/D64-1</f>
        <v>0.83997517243614994</v>
      </c>
      <c r="F71" s="1261">
        <f t="shared" si="23"/>
        <v>0.31545551499117597</v>
      </c>
      <c r="G71" s="1261">
        <f t="shared" si="23"/>
        <v>0.28418709393834796</v>
      </c>
      <c r="H71" s="1262">
        <f>H64/G64-1</f>
        <v>0.23748571971856425</v>
      </c>
      <c r="I71" s="1261"/>
    </row>
    <row r="72" spans="2:9">
      <c r="B72" s="1259" t="s">
        <v>1197</v>
      </c>
      <c r="C72" s="1260"/>
      <c r="D72" s="1261">
        <f>D67/C67-1</f>
        <v>5.5237478928285011E-3</v>
      </c>
      <c r="E72" s="1261">
        <f t="shared" ref="E72:H74" si="24">E67/D67-1</f>
        <v>2.4642216972668773E-2</v>
      </c>
      <c r="F72" s="1261">
        <f t="shared" si="24"/>
        <v>3.6568544410713555E-2</v>
      </c>
      <c r="G72" s="1261">
        <f t="shared" si="24"/>
        <v>3.8763382287997583E-2</v>
      </c>
      <c r="H72" s="1262">
        <f t="shared" si="24"/>
        <v>4.2676733266371558E-2</v>
      </c>
      <c r="I72" s="1261"/>
    </row>
    <row r="73" spans="2:9">
      <c r="B73" s="1259" t="s">
        <v>1198</v>
      </c>
      <c r="C73" s="1260"/>
      <c r="D73" s="1261">
        <f>D68/C68-1</f>
        <v>-7.7733829523884967E-4</v>
      </c>
      <c r="E73" s="1261">
        <f t="shared" si="24"/>
        <v>1.3977903976967188E-2</v>
      </c>
      <c r="F73" s="1261">
        <f t="shared" si="24"/>
        <v>1.7822617405903962E-2</v>
      </c>
      <c r="G73" s="1261">
        <f t="shared" si="24"/>
        <v>2.3465011217756349E-2</v>
      </c>
      <c r="H73" s="1262">
        <f t="shared" si="24"/>
        <v>1.4896251419727946E-2</v>
      </c>
      <c r="I73" s="1261"/>
    </row>
    <row r="74" spans="2:9">
      <c r="B74" s="1259" t="s">
        <v>1199</v>
      </c>
      <c r="C74" s="1260"/>
      <c r="D74" s="1261">
        <f>D69/C69-1</f>
        <v>6.9631996932995932E-2</v>
      </c>
      <c r="E74" s="1261">
        <f t="shared" si="24"/>
        <v>0.12588408391433781</v>
      </c>
      <c r="F74" s="1261">
        <f t="shared" si="24"/>
        <v>-3.9503157692243329E-2</v>
      </c>
      <c r="G74" s="1261">
        <f t="shared" si="24"/>
        <v>8.6942833175900791E-2</v>
      </c>
      <c r="H74" s="1262">
        <f t="shared" si="24"/>
        <v>8.5961302200797229E-2</v>
      </c>
      <c r="I74" s="1261"/>
    </row>
    <row r="75" spans="2:9">
      <c r="B75" s="866"/>
      <c r="C75" s="12"/>
      <c r="D75" s="12"/>
      <c r="E75" s="12"/>
      <c r="F75" s="12"/>
      <c r="G75" s="12"/>
      <c r="H75" s="548"/>
      <c r="I75" s="12"/>
    </row>
    <row r="76" spans="2:9">
      <c r="B76" s="1263" t="s">
        <v>1200</v>
      </c>
      <c r="C76" s="714"/>
      <c r="D76" s="1264">
        <f>D58/C58-1</f>
        <v>8.3562504853797126</v>
      </c>
      <c r="E76" s="1264">
        <f t="shared" ref="E76:H76" si="25">E58/D58-1</f>
        <v>0.83403117694854623</v>
      </c>
      <c r="F76" s="1264">
        <f t="shared" si="25"/>
        <v>0.43914605589633382</v>
      </c>
      <c r="G76" s="1264">
        <f t="shared" si="25"/>
        <v>0.27917329836943283</v>
      </c>
      <c r="H76" s="1265">
        <f t="shared" si="25"/>
        <v>0.26862160227500476</v>
      </c>
      <c r="I76" s="1261"/>
    </row>
    <row r="78" spans="2:9">
      <c r="C78" s="729">
        <f>C56/C57</f>
        <v>8.3175662533061452</v>
      </c>
      <c r="D78" s="729">
        <f t="shared" ref="D78:H78" si="26">D56/D57</f>
        <v>7.5293450419514416</v>
      </c>
      <c r="E78" s="729">
        <f t="shared" si="26"/>
        <v>7.6105335094697653</v>
      </c>
      <c r="F78" s="729">
        <f t="shared" si="26"/>
        <v>6.9081180938542879</v>
      </c>
      <c r="G78" s="729">
        <f t="shared" si="26"/>
        <v>6.7707754405930833</v>
      </c>
      <c r="H78" s="729">
        <f t="shared" si="26"/>
        <v>6.531533506429354</v>
      </c>
      <c r="I78" s="729"/>
    </row>
    <row r="79" spans="2:9">
      <c r="B79" s="960" t="s">
        <v>1178</v>
      </c>
      <c r="C79" s="729">
        <f>'[2]Small GA Plan'!H18</f>
        <v>5.3015746897568858</v>
      </c>
      <c r="D79" s="729">
        <f>'[2]Small GA Plan'!H34</f>
        <v>6.3593043115962056</v>
      </c>
      <c r="E79" s="729">
        <f>'[2]Small GA Plan'!H50</f>
        <v>7.8463329943630438</v>
      </c>
      <c r="F79" s="729">
        <f>'[2]Small GA Plan'!H66</f>
        <v>7.3197844674227008</v>
      </c>
      <c r="G79" s="729">
        <f>'[2]Small GA Plan'!H82</f>
        <v>7.4278511342739035</v>
      </c>
      <c r="H79" s="729">
        <f>'[2]Small GA Plan'!H98</f>
        <v>7.28539842780883</v>
      </c>
      <c r="I79" s="729"/>
    </row>
    <row r="80" spans="2:9">
      <c r="B80" s="960" t="s">
        <v>1201</v>
      </c>
      <c r="C80" s="729"/>
      <c r="D80" s="729"/>
      <c r="E80" s="729"/>
      <c r="F80" s="729"/>
      <c r="G80" s="729"/>
      <c r="H80" s="729"/>
      <c r="I80" s="729"/>
    </row>
    <row r="81" spans="2:9">
      <c r="B81" s="960" t="s">
        <v>1176</v>
      </c>
      <c r="C81" s="729"/>
      <c r="D81" s="729"/>
      <c r="E81" s="729"/>
      <c r="F81" s="729"/>
      <c r="G81" s="729"/>
      <c r="H81" s="729"/>
      <c r="I81" s="729"/>
    </row>
    <row r="82" spans="2:9">
      <c r="C82" s="729"/>
      <c r="D82" s="729"/>
      <c r="E82" s="729"/>
      <c r="F82" s="729"/>
      <c r="G82" s="729"/>
      <c r="H82" s="729"/>
      <c r="I82" s="72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2:I49"/>
  <sheetViews>
    <sheetView topLeftCell="A29" zoomScale="90" zoomScaleNormal="90" workbookViewId="0">
      <selection activeCell="C47" sqref="C47"/>
    </sheetView>
  </sheetViews>
  <sheetFormatPr defaultRowHeight="15"/>
  <cols>
    <col min="2" max="2" width="29.42578125" customWidth="1"/>
    <col min="3" max="3" width="19.28515625" style="594" bestFit="1" customWidth="1"/>
    <col min="4" max="4" width="15.140625" style="594" customWidth="1"/>
    <col min="5" max="5" width="14.42578125" style="594" customWidth="1"/>
    <col min="6" max="6" width="11.140625" style="442" bestFit="1" customWidth="1"/>
  </cols>
  <sheetData>
    <row r="2" spans="2:9">
      <c r="C2" s="668" t="s">
        <v>549</v>
      </c>
      <c r="D2" s="674">
        <v>2016</v>
      </c>
      <c r="E2" s="703">
        <v>2015</v>
      </c>
      <c r="F2" s="442">
        <f>700000*98%</f>
        <v>686000</v>
      </c>
    </row>
    <row r="3" spans="2:9">
      <c r="B3" t="s">
        <v>550</v>
      </c>
      <c r="C3" s="594">
        <v>0.31</v>
      </c>
      <c r="D3" s="594">
        <v>0.31997650575267755</v>
      </c>
      <c r="E3" s="594">
        <v>0.31809127433381107</v>
      </c>
      <c r="H3" s="704">
        <f>SUM(C3:C28)+C42</f>
        <v>0.63427255478944644</v>
      </c>
      <c r="I3" s="704">
        <f>SUM(D3:D28)+D42</f>
        <v>0.60228325431968521</v>
      </c>
    </row>
    <row r="4" spans="2:9">
      <c r="B4" t="s">
        <v>602</v>
      </c>
      <c r="C4" s="594">
        <v>7.3410679089798677E-3</v>
      </c>
      <c r="D4" s="594">
        <v>2.6599999999999999E-2</v>
      </c>
      <c r="E4" s="594">
        <v>3.1111893235118496E-2</v>
      </c>
      <c r="H4" s="704">
        <f>SUM(C31:C38)+C40</f>
        <v>9.1276897959183673E-2</v>
      </c>
      <c r="I4" s="704">
        <f>SUM(D30:D40)</f>
        <v>0.19879276126833961</v>
      </c>
    </row>
    <row r="6" spans="2:9">
      <c r="B6" t="s">
        <v>551</v>
      </c>
      <c r="C6" s="594">
        <v>0.08</v>
      </c>
      <c r="D6" s="594">
        <v>9.2676308945304445E-2</v>
      </c>
      <c r="E6" s="594">
        <v>0.10064869666405606</v>
      </c>
    </row>
    <row r="7" spans="2:9">
      <c r="B7" t="s">
        <v>359</v>
      </c>
    </row>
    <row r="8" spans="2:9">
      <c r="B8" s="490" t="s">
        <v>21</v>
      </c>
      <c r="C8" s="594">
        <f>F2*60%*31%*20%/F2</f>
        <v>3.7200000000000004E-2</v>
      </c>
    </row>
    <row r="9" spans="2:9">
      <c r="B9" s="490" t="s">
        <v>552</v>
      </c>
      <c r="C9" s="594">
        <f>4000/F2</f>
        <v>5.8309037900874635E-3</v>
      </c>
    </row>
    <row r="11" spans="2:9">
      <c r="B11" t="s">
        <v>553</v>
      </c>
    </row>
    <row r="12" spans="2:9">
      <c r="B12" s="490" t="s">
        <v>554</v>
      </c>
      <c r="C12" s="594">
        <f>471/F2</f>
        <v>6.8658892128279888E-4</v>
      </c>
    </row>
    <row r="13" spans="2:9">
      <c r="B13" s="490" t="s">
        <v>555</v>
      </c>
      <c r="C13" s="594">
        <f>471*50%*30/F2</f>
        <v>1.0298833819241982E-2</v>
      </c>
    </row>
    <row r="14" spans="2:9">
      <c r="B14" s="490" t="s">
        <v>553</v>
      </c>
      <c r="C14" s="594">
        <f>471*50%*8/F2</f>
        <v>2.7463556851311955E-3</v>
      </c>
    </row>
    <row r="16" spans="2:9">
      <c r="B16" s="670" t="s">
        <v>556</v>
      </c>
      <c r="C16" s="594">
        <v>4.7E-2</v>
      </c>
      <c r="D16" s="594">
        <v>4.7996475862901629E-2</v>
      </c>
      <c r="E16" s="594">
        <v>4.6852241082395996E-2</v>
      </c>
    </row>
    <row r="17" spans="2:5">
      <c r="B17" s="670" t="s">
        <v>573</v>
      </c>
      <c r="D17" s="594">
        <v>3.7048589096648217E-2</v>
      </c>
      <c r="E17" s="594">
        <v>3.4905682752929199E-2</v>
      </c>
    </row>
    <row r="18" spans="2:5">
      <c r="B18" t="s">
        <v>557</v>
      </c>
      <c r="C18" s="594">
        <v>2.8000000000000001E-2</v>
      </c>
      <c r="D18" s="594">
        <v>2.9120094771969252E-2</v>
      </c>
      <c r="E18" s="594">
        <v>3.3474516319688598E-2</v>
      </c>
    </row>
    <row r="19" spans="2:5">
      <c r="B19" t="s">
        <v>36</v>
      </c>
      <c r="C19" s="594">
        <v>1.4E-2</v>
      </c>
      <c r="D19" s="594">
        <v>1.3163031584952712E-2</v>
      </c>
      <c r="E19" s="594">
        <v>1.3469106506133031E-2</v>
      </c>
    </row>
    <row r="20" spans="2:5">
      <c r="B20" t="s">
        <v>558</v>
      </c>
      <c r="C20" s="594">
        <v>1.2999999999999999E-2</v>
      </c>
      <c r="D20" s="594">
        <v>1.3514045760551451E-2</v>
      </c>
      <c r="E20" s="594">
        <v>1.4164863199739527E-2</v>
      </c>
    </row>
    <row r="22" spans="2:5">
      <c r="B22" t="s">
        <v>559</v>
      </c>
    </row>
    <row r="23" spans="2:5">
      <c r="B23" s="490" t="s">
        <v>560</v>
      </c>
      <c r="C23" s="594">
        <f>C16*50%</f>
        <v>2.35E-2</v>
      </c>
    </row>
    <row r="24" spans="2:5">
      <c r="B24" s="490" t="s">
        <v>289</v>
      </c>
      <c r="C24" s="594">
        <f>7000/F2</f>
        <v>1.020408163265306E-2</v>
      </c>
    </row>
    <row r="25" spans="2:5">
      <c r="B25" s="490" t="s">
        <v>377</v>
      </c>
      <c r="C25" s="594">
        <f>400*8/F2</f>
        <v>4.6647230320699708E-3</v>
      </c>
    </row>
    <row r="26" spans="2:5">
      <c r="B26" s="490" t="s">
        <v>561</v>
      </c>
      <c r="C26" s="594">
        <v>0.01</v>
      </c>
    </row>
    <row r="28" spans="2:5">
      <c r="B28" s="670" t="s">
        <v>297</v>
      </c>
      <c r="C28" s="594">
        <f>C19*0.7</f>
        <v>9.7999999999999997E-3</v>
      </c>
    </row>
    <row r="30" spans="2:5">
      <c r="B30" t="s">
        <v>562</v>
      </c>
      <c r="D30" s="594">
        <v>0.02</v>
      </c>
      <c r="E30" s="594">
        <v>1.298393164493755E-2</v>
      </c>
    </row>
    <row r="31" spans="2:5">
      <c r="B31" s="490" t="s">
        <v>554</v>
      </c>
      <c r="C31" s="594">
        <f>14000*0.3/F2</f>
        <v>6.1224489795918364E-3</v>
      </c>
    </row>
    <row r="32" spans="2:5">
      <c r="B32" s="490" t="s">
        <v>563</v>
      </c>
      <c r="C32" s="594">
        <f>14000*50%*70%*1/F2</f>
        <v>7.1428571428571426E-3</v>
      </c>
    </row>
    <row r="33" spans="2:5">
      <c r="B33" s="490" t="s">
        <v>564</v>
      </c>
      <c r="C33" s="594">
        <f>14000*7%*10/F2</f>
        <v>1.4285714285714289E-2</v>
      </c>
    </row>
    <row r="35" spans="2:5">
      <c r="B35" s="670" t="s">
        <v>565</v>
      </c>
    </row>
    <row r="36" spans="2:5">
      <c r="B36" s="490" t="s">
        <v>566</v>
      </c>
      <c r="C36" s="594">
        <f>C32/2</f>
        <v>3.5714285714285713E-3</v>
      </c>
    </row>
    <row r="37" spans="2:5">
      <c r="B37" s="490" t="s">
        <v>567</v>
      </c>
      <c r="C37" s="594">
        <f>F2*70%*30%*32%*6%/F2</f>
        <v>4.0319999999999991E-3</v>
      </c>
      <c r="D37" s="594">
        <v>8.4838480716317895E-3</v>
      </c>
      <c r="E37" s="594">
        <v>6.6856841614376331E-3</v>
      </c>
    </row>
    <row r="38" spans="2:5">
      <c r="B38" s="490" t="s">
        <v>564</v>
      </c>
      <c r="C38" s="594">
        <f>50*10/F2</f>
        <v>7.2886297376093293E-4</v>
      </c>
    </row>
    <row r="40" spans="2:5">
      <c r="B40" s="670" t="s">
        <v>568</v>
      </c>
      <c r="C40" s="594">
        <f>38000/F2</f>
        <v>5.5393586005830907E-2</v>
      </c>
      <c r="D40" s="594">
        <v>0.17030891319670782</v>
      </c>
      <c r="E40" s="594">
        <v>0.12109170291987681</v>
      </c>
    </row>
    <row r="42" spans="2:5">
      <c r="B42" t="s">
        <v>569</v>
      </c>
      <c r="C42" s="594">
        <v>0.02</v>
      </c>
      <c r="D42" s="594">
        <v>2.2188202544679923E-2</v>
      </c>
      <c r="E42" s="594">
        <v>1.9445674534372633E-2</v>
      </c>
    </row>
    <row r="44" spans="2:5">
      <c r="B44" s="669" t="s">
        <v>575</v>
      </c>
      <c r="C44" s="671">
        <f>SUM(C3:C42)</f>
        <v>0.72554945274863003</v>
      </c>
      <c r="D44" s="671">
        <f>SUM(D3:D42)</f>
        <v>0.80107601558802488</v>
      </c>
      <c r="E44" s="671">
        <f>SUM(E3:E42)</f>
        <v>0.7529252673544965</v>
      </c>
    </row>
    <row r="45" spans="2:5">
      <c r="B45" s="669" t="s">
        <v>570</v>
      </c>
      <c r="C45" s="671">
        <f>85000/F2</f>
        <v>0.12390670553935861</v>
      </c>
      <c r="D45" s="671">
        <v>2.1415640484750781E-2</v>
      </c>
      <c r="E45" s="671">
        <v>2.4093118176980954E-2</v>
      </c>
    </row>
    <row r="46" spans="2:5">
      <c r="B46" s="669" t="s">
        <v>574</v>
      </c>
      <c r="C46" s="671">
        <f>C49-C44-C45</f>
        <v>0.1450266718420084</v>
      </c>
      <c r="D46" s="671">
        <v>0.18309524580295017</v>
      </c>
      <c r="E46" s="671">
        <v>0.23083440685659559</v>
      </c>
    </row>
    <row r="47" spans="2:5">
      <c r="B47" s="672" t="s">
        <v>571</v>
      </c>
      <c r="C47" s="673">
        <f>C45+C44+C46</f>
        <v>0.99448283012999705</v>
      </c>
      <c r="D47" s="673">
        <f>D45+D44+D46</f>
        <v>1.0055869018757257</v>
      </c>
      <c r="E47" s="673">
        <f>E45+E44+E46</f>
        <v>1.0078527923880729</v>
      </c>
    </row>
    <row r="49" spans="2:3">
      <c r="B49" t="s">
        <v>572</v>
      </c>
      <c r="C49" s="594">
        <v>0.99448283012999705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C3:H35"/>
  <sheetViews>
    <sheetView zoomScale="90" zoomScaleNormal="90" workbookViewId="0">
      <selection activeCell="G6" sqref="G6"/>
    </sheetView>
  </sheetViews>
  <sheetFormatPr defaultRowHeight="15"/>
  <cols>
    <col min="5" max="5" width="12.42578125" customWidth="1"/>
    <col min="6" max="6" width="20.140625" bestFit="1" customWidth="1"/>
    <col min="7" max="7" width="9" style="442"/>
    <col min="8" max="8" width="10.140625" style="442" bestFit="1" customWidth="1"/>
  </cols>
  <sheetData>
    <row r="3" spans="3:8">
      <c r="D3" s="490" t="s">
        <v>1202</v>
      </c>
    </row>
    <row r="4" spans="3:8">
      <c r="C4">
        <v>2017</v>
      </c>
      <c r="D4" s="714"/>
      <c r="E4" s="775" t="s">
        <v>219</v>
      </c>
      <c r="F4" s="775" t="s">
        <v>1205</v>
      </c>
      <c r="G4" s="1439" t="s">
        <v>723</v>
      </c>
      <c r="H4" s="1439" t="s">
        <v>466</v>
      </c>
    </row>
    <row r="5" spans="3:8">
      <c r="D5" s="490" t="s">
        <v>1203</v>
      </c>
      <c r="E5" s="490">
        <v>150</v>
      </c>
      <c r="F5" s="490">
        <v>6</v>
      </c>
      <c r="G5" s="921">
        <v>40</v>
      </c>
      <c r="H5" s="921">
        <f>(E5+F5)*G5</f>
        <v>6240</v>
      </c>
    </row>
    <row r="6" spans="3:8">
      <c r="D6" s="490" t="s">
        <v>1204</v>
      </c>
      <c r="E6" s="490">
        <v>150</v>
      </c>
      <c r="F6" s="490">
        <v>5</v>
      </c>
      <c r="G6" s="921">
        <v>100</v>
      </c>
      <c r="H6" s="921">
        <f>(E6+F6)*G6</f>
        <v>15500</v>
      </c>
    </row>
    <row r="7" spans="3:8">
      <c r="H7" s="842">
        <f>SUM(H5:H6)</f>
        <v>21740</v>
      </c>
    </row>
    <row r="10" spans="3:8">
      <c r="C10">
        <v>2018</v>
      </c>
      <c r="D10" s="714"/>
      <c r="E10" s="775" t="s">
        <v>219</v>
      </c>
      <c r="F10" s="775" t="s">
        <v>1205</v>
      </c>
      <c r="G10" s="1439" t="s">
        <v>723</v>
      </c>
      <c r="H10" s="1439" t="s">
        <v>466</v>
      </c>
    </row>
    <row r="11" spans="3:8">
      <c r="D11" s="490" t="s">
        <v>1203</v>
      </c>
      <c r="E11" s="490">
        <v>180</v>
      </c>
      <c r="F11" s="490">
        <v>6</v>
      </c>
      <c r="G11" s="921">
        <v>45</v>
      </c>
      <c r="H11" s="921">
        <f>(E11+F11)*G11</f>
        <v>8370</v>
      </c>
    </row>
    <row r="12" spans="3:8">
      <c r="D12" s="490" t="s">
        <v>1204</v>
      </c>
      <c r="E12" s="490">
        <v>180</v>
      </c>
      <c r="F12" s="490">
        <v>5</v>
      </c>
      <c r="G12" s="921">
        <v>100</v>
      </c>
      <c r="H12" s="921">
        <f>(E12+F12)*G12</f>
        <v>18500</v>
      </c>
    </row>
    <row r="13" spans="3:8">
      <c r="H13" s="842">
        <f>SUM(H11:H12)</f>
        <v>26870</v>
      </c>
    </row>
    <row r="16" spans="3:8">
      <c r="C16">
        <v>2019</v>
      </c>
      <c r="D16" s="714"/>
      <c r="E16" s="775" t="s">
        <v>219</v>
      </c>
      <c r="F16" s="775" t="s">
        <v>1205</v>
      </c>
      <c r="G16" s="1439" t="s">
        <v>723</v>
      </c>
      <c r="H16" s="1439" t="s">
        <v>466</v>
      </c>
    </row>
    <row r="17" spans="3:8">
      <c r="D17" s="490" t="s">
        <v>1203</v>
      </c>
      <c r="E17" s="490">
        <v>200</v>
      </c>
      <c r="F17" s="490">
        <v>6</v>
      </c>
      <c r="G17" s="921">
        <f>G11*1.05</f>
        <v>47.25</v>
      </c>
      <c r="H17" s="921">
        <f>(E17+F17)*G17</f>
        <v>9733.5</v>
      </c>
    </row>
    <row r="18" spans="3:8">
      <c r="D18" s="490" t="s">
        <v>1204</v>
      </c>
      <c r="E18" s="490">
        <v>200</v>
      </c>
      <c r="F18" s="490">
        <v>5</v>
      </c>
      <c r="G18" s="921">
        <f>G12*1.05</f>
        <v>105</v>
      </c>
      <c r="H18" s="921">
        <f>(E18+F18)*G18</f>
        <v>21525</v>
      </c>
    </row>
    <row r="19" spans="3:8">
      <c r="H19" s="842">
        <f>SUM(H17:H18)</f>
        <v>31258.5</v>
      </c>
    </row>
    <row r="21" spans="3:8">
      <c r="C21">
        <v>2020</v>
      </c>
      <c r="D21" s="714"/>
      <c r="E21" s="775" t="s">
        <v>219</v>
      </c>
      <c r="F21" s="775" t="s">
        <v>1205</v>
      </c>
      <c r="G21" s="1439" t="s">
        <v>723</v>
      </c>
      <c r="H21" s="1439" t="s">
        <v>466</v>
      </c>
    </row>
    <row r="22" spans="3:8">
      <c r="D22" s="490" t="s">
        <v>1203</v>
      </c>
      <c r="E22" s="490">
        <v>250</v>
      </c>
      <c r="F22" s="490">
        <v>6</v>
      </c>
      <c r="G22" s="921">
        <f>G17</f>
        <v>47.25</v>
      </c>
      <c r="H22" s="921">
        <f>(E22+F22)*G22</f>
        <v>12096</v>
      </c>
    </row>
    <row r="23" spans="3:8">
      <c r="D23" s="490" t="s">
        <v>1204</v>
      </c>
      <c r="E23" s="490">
        <v>200</v>
      </c>
      <c r="F23" s="490">
        <v>5</v>
      </c>
      <c r="G23" s="921">
        <f>G18</f>
        <v>105</v>
      </c>
      <c r="H23" s="921">
        <f>(E23+F23)*G23</f>
        <v>21525</v>
      </c>
    </row>
    <row r="24" spans="3:8">
      <c r="H24" s="842">
        <f>SUM(H22:H23)</f>
        <v>33621</v>
      </c>
    </row>
    <row r="27" spans="3:8">
      <c r="C27">
        <v>2021</v>
      </c>
      <c r="D27" s="714"/>
      <c r="E27" s="775" t="s">
        <v>219</v>
      </c>
      <c r="F27" s="775" t="s">
        <v>1205</v>
      </c>
      <c r="G27" s="1439" t="s">
        <v>723</v>
      </c>
      <c r="H27" s="1439" t="s">
        <v>466</v>
      </c>
    </row>
    <row r="28" spans="3:8">
      <c r="D28" s="490" t="s">
        <v>1203</v>
      </c>
      <c r="E28" s="490">
        <v>300</v>
      </c>
      <c r="F28" s="490">
        <v>6</v>
      </c>
      <c r="G28" s="921">
        <f>G22*1.01</f>
        <v>47.722500000000004</v>
      </c>
      <c r="H28" s="921">
        <f>(E28+F28)*G28</f>
        <v>14603.085000000001</v>
      </c>
    </row>
    <row r="29" spans="3:8">
      <c r="D29" s="490" t="s">
        <v>1204</v>
      </c>
      <c r="E29" s="490">
        <v>200</v>
      </c>
      <c r="F29" s="490">
        <v>5</v>
      </c>
      <c r="G29" s="921">
        <f>G23*1.01</f>
        <v>106.05</v>
      </c>
      <c r="H29" s="921">
        <f>(E29+F29)*G29</f>
        <v>21740.25</v>
      </c>
    </row>
    <row r="30" spans="3:8">
      <c r="H30" s="842">
        <f>SUM(H28:H29)</f>
        <v>36343.334999999999</v>
      </c>
    </row>
    <row r="32" spans="3:8">
      <c r="C32">
        <v>2022</v>
      </c>
      <c r="D32" s="714"/>
      <c r="E32" s="775" t="s">
        <v>219</v>
      </c>
      <c r="F32" s="775" t="s">
        <v>1205</v>
      </c>
      <c r="G32" s="1439" t="s">
        <v>723</v>
      </c>
      <c r="H32" s="1439" t="s">
        <v>466</v>
      </c>
    </row>
    <row r="33" spans="4:8">
      <c r="D33" s="490" t="s">
        <v>1203</v>
      </c>
      <c r="E33" s="490">
        <v>300</v>
      </c>
      <c r="F33" s="490">
        <v>6</v>
      </c>
      <c r="G33" s="921">
        <f>G28</f>
        <v>47.722500000000004</v>
      </c>
      <c r="H33" s="921">
        <f>(E33+F33)*G33</f>
        <v>14603.085000000001</v>
      </c>
    </row>
    <row r="34" spans="4:8">
      <c r="D34" s="490" t="s">
        <v>1204</v>
      </c>
      <c r="E34" s="490">
        <v>200</v>
      </c>
      <c r="F34" s="490">
        <v>5</v>
      </c>
      <c r="G34" s="921">
        <f>G29</f>
        <v>106.05</v>
      </c>
      <c r="H34" s="921">
        <f>(E34+F34)*G34</f>
        <v>21740.25</v>
      </c>
    </row>
    <row r="35" spans="4:8">
      <c r="H35" s="842">
        <f>SUM(H33:H34)</f>
        <v>36343.334999999999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2:R17"/>
  <sheetViews>
    <sheetView zoomScale="90" zoomScaleNormal="90" workbookViewId="0">
      <selection activeCell="B15" sqref="B15"/>
    </sheetView>
  </sheetViews>
  <sheetFormatPr defaultColWidth="9" defaultRowHeight="12.75"/>
  <cols>
    <col min="1" max="1" width="17.140625" style="67" bestFit="1" customWidth="1"/>
    <col min="2" max="14" width="9" style="67"/>
    <col min="15" max="18" width="9" style="74"/>
    <col min="19" max="16384" width="9" style="67"/>
  </cols>
  <sheetData>
    <row r="2" spans="1:18" ht="13.5" thickBot="1">
      <c r="A2" s="567"/>
      <c r="B2" s="568" t="s">
        <v>479</v>
      </c>
      <c r="C2" s="568" t="s">
        <v>480</v>
      </c>
      <c r="D2" s="568" t="s">
        <v>481</v>
      </c>
      <c r="E2" s="568" t="s">
        <v>482</v>
      </c>
      <c r="F2" s="568" t="s">
        <v>483</v>
      </c>
      <c r="G2" s="568" t="s">
        <v>484</v>
      </c>
      <c r="H2" s="568" t="s">
        <v>485</v>
      </c>
      <c r="I2" s="568" t="s">
        <v>486</v>
      </c>
      <c r="J2" s="568" t="s">
        <v>487</v>
      </c>
      <c r="K2" s="568" t="s">
        <v>488</v>
      </c>
      <c r="L2" s="568" t="s">
        <v>489</v>
      </c>
      <c r="M2" s="568" t="s">
        <v>490</v>
      </c>
      <c r="O2" s="568" t="s">
        <v>502</v>
      </c>
      <c r="P2" s="568" t="s">
        <v>503</v>
      </c>
      <c r="Q2" s="568" t="s">
        <v>504</v>
      </c>
      <c r="R2" s="568" t="s">
        <v>505</v>
      </c>
    </row>
    <row r="3" spans="1:18" ht="13.5" thickTop="1">
      <c r="A3" s="67" t="s">
        <v>491</v>
      </c>
      <c r="B3" s="501">
        <f>'[1]Total Agency'!Z40</f>
        <v>9971.7775109676732</v>
      </c>
      <c r="C3" s="501">
        <f>'[1]Total Agency'!AA40</f>
        <v>9764.5229665469487</v>
      </c>
      <c r="D3" s="501">
        <f>'[1]Total Agency'!AB40</f>
        <v>10074.342287148558</v>
      </c>
      <c r="E3" s="501">
        <f>'[1]Total Agency'!AC40</f>
        <v>10315.069279174604</v>
      </c>
      <c r="F3" s="501">
        <f>'[1]Total Agency'!AD40</f>
        <v>10733.240152274808</v>
      </c>
      <c r="G3" s="501">
        <f>'[1]Total Agency'!AE40</f>
        <v>11536.536904661592</v>
      </c>
      <c r="H3" s="501">
        <f>'[1]Total Agency'!AF40</f>
        <v>11603.932911977012</v>
      </c>
      <c r="I3" s="501">
        <f>'[1]Total Agency'!AG40</f>
        <v>12042.793382315393</v>
      </c>
      <c r="J3" s="501">
        <f>'[1]Total Agency'!AH40</f>
        <v>12856.471758648277</v>
      </c>
      <c r="K3" s="501">
        <f>'[1]Total Agency'!AI40</f>
        <v>13174.629317775247</v>
      </c>
      <c r="L3" s="501">
        <f>'[1]Total Agency'!AJ40</f>
        <v>13772.12079595208</v>
      </c>
      <c r="M3" s="501">
        <f>'[1]Total Agency'!AK40</f>
        <v>14741.670769023571</v>
      </c>
      <c r="O3" s="509">
        <f>AVERAGE(B3:D3)</f>
        <v>9936.8809215543934</v>
      </c>
      <c r="P3" s="509">
        <f>AVERAGE(E3:G3)</f>
        <v>10861.615445370335</v>
      </c>
      <c r="Q3" s="509">
        <f>AVERAGE(H3:J3)</f>
        <v>12167.732684313562</v>
      </c>
      <c r="R3" s="509">
        <f>AVERAGE(K3:M3)</f>
        <v>13896.140294250299</v>
      </c>
    </row>
    <row r="4" spans="1:18">
      <c r="A4" s="67" t="s">
        <v>617</v>
      </c>
      <c r="B4" s="501">
        <f>'[1]Total Agency'!Z11</f>
        <v>1794.5917037284321</v>
      </c>
      <c r="C4" s="501">
        <f>'[1]Total Agency'!AA11</f>
        <v>1871.8082502962395</v>
      </c>
      <c r="D4" s="501">
        <f>'[1]Total Agency'!AB11</f>
        <v>1973.9888797338535</v>
      </c>
      <c r="E4" s="501">
        <f>'[1]Total Agency'!AC11</f>
        <v>1902.2907117976904</v>
      </c>
      <c r="F4" s="501">
        <f>'[1]Total Agency'!AD11</f>
        <v>2014.9190846447134</v>
      </c>
      <c r="G4" s="501">
        <f>'[1]Total Agency'!AE11</f>
        <v>2148.3476767016191</v>
      </c>
      <c r="H4" s="501">
        <f>'[1]Total Agency'!AF11</f>
        <v>2071.9648378944012</v>
      </c>
      <c r="I4" s="501">
        <f>'[1]Total Agency'!AG11</f>
        <v>2188.0217551482751</v>
      </c>
      <c r="J4" s="501">
        <f>'[1]Total Agency'!AH11</f>
        <v>2331.1422846074338</v>
      </c>
      <c r="K4" s="501">
        <f>'[1]Total Agency'!AI11</f>
        <v>2260.6748094943919</v>
      </c>
      <c r="L4" s="501">
        <f>'[1]Total Agency'!AJ11</f>
        <v>2380.5711328942421</v>
      </c>
      <c r="M4" s="501">
        <f>'[1]Total Agency'!AK11</f>
        <v>2508.4328014594726</v>
      </c>
      <c r="O4" s="509">
        <f>AVERAGE(B4:D4)</f>
        <v>1880.1296112528416</v>
      </c>
      <c r="P4" s="509">
        <f>AVERAGE(E4:G4)</f>
        <v>2021.8524910480076</v>
      </c>
      <c r="Q4" s="509">
        <f>AVERAGE(H4:J4)</f>
        <v>2197.0429592167034</v>
      </c>
      <c r="R4" s="509">
        <f>AVERAGE(K4:M4)</f>
        <v>2383.2262479493688</v>
      </c>
    </row>
    <row r="5" spans="1:18">
      <c r="A5" s="67" t="s">
        <v>492</v>
      </c>
      <c r="B5" s="67">
        <f>'[1]Total Agency'!Z8</f>
        <v>20</v>
      </c>
      <c r="C5" s="67">
        <f>'[1]Total Agency'!AA8</f>
        <v>20</v>
      </c>
      <c r="D5" s="67">
        <f>'[1]Total Agency'!AB8</f>
        <v>40</v>
      </c>
      <c r="E5" s="67">
        <f>'[1]Total Agency'!AC8</f>
        <v>50</v>
      </c>
      <c r="F5" s="67">
        <f>'[1]Total Agency'!AD8</f>
        <v>55</v>
      </c>
      <c r="G5" s="67">
        <f>'[1]Total Agency'!AE8</f>
        <v>55</v>
      </c>
      <c r="H5" s="67">
        <f>'[1]Total Agency'!AF8</f>
        <v>55</v>
      </c>
      <c r="I5" s="67">
        <f>'[1]Total Agency'!AG8</f>
        <v>55</v>
      </c>
      <c r="J5" s="67">
        <f>'[1]Total Agency'!AH8</f>
        <v>55</v>
      </c>
      <c r="K5" s="67">
        <f>'[1]Total Agency'!AI8</f>
        <v>55</v>
      </c>
      <c r="L5" s="67">
        <f>'[1]Total Agency'!AJ8</f>
        <v>45</v>
      </c>
      <c r="M5" s="67">
        <f>'[1]Total Agency'!AK8</f>
        <v>45</v>
      </c>
      <c r="O5" s="74">
        <f>SUM(B5:D5)</f>
        <v>80</v>
      </c>
      <c r="P5" s="74">
        <f>SUM(E5:G5)</f>
        <v>160</v>
      </c>
      <c r="Q5" s="74">
        <f>SUM(H5:J5)</f>
        <v>165</v>
      </c>
      <c r="R5" s="74">
        <f>SUM(K5:M5)</f>
        <v>145</v>
      </c>
    </row>
    <row r="6" spans="1:18">
      <c r="A6" s="67" t="s">
        <v>493</v>
      </c>
      <c r="B6" s="501">
        <f>'[1]Total Agency'!Z15</f>
        <v>403.78313333889719</v>
      </c>
      <c r="C6" s="501">
        <f>'[1]Total Agency'!AA15</f>
        <v>421.15685631665389</v>
      </c>
      <c r="D6" s="501">
        <f>'[1]Total Agency'!AB15</f>
        <v>1100.7202601023207</v>
      </c>
      <c r="E6" s="501">
        <f>'[1]Total Agency'!AC15</f>
        <v>1065.7614684765738</v>
      </c>
      <c r="F6" s="501">
        <f>'[1]Total Agency'!AD15</f>
        <v>1300.9996124012082</v>
      </c>
      <c r="G6" s="501">
        <f>'[1]Total Agency'!AE15</f>
        <v>1670.6740965621302</v>
      </c>
      <c r="H6" s="501">
        <f>'[1]Total Agency'!AF15</f>
        <v>1160.8254547148047</v>
      </c>
      <c r="I6" s="501">
        <f>'[1]Total Agency'!AG15</f>
        <v>1413.2698134488169</v>
      </c>
      <c r="J6" s="501">
        <f>'[1]Total Agency'!AH15</f>
        <v>1666.9132116041837</v>
      </c>
      <c r="K6" s="501">
        <f>'[1]Total Agency'!AI15</f>
        <v>1293.7400579646248</v>
      </c>
      <c r="L6" s="501">
        <f>'[1]Total Agency'!AJ15</f>
        <v>1539.0841279619865</v>
      </c>
      <c r="M6" s="501">
        <f>'[1]Total Agency'!AK15</f>
        <v>1796.0022303166488</v>
      </c>
      <c r="O6" s="496">
        <f>SUM(B6:D6)</f>
        <v>1925.6602497578717</v>
      </c>
      <c r="P6" s="496">
        <f>SUM(E6:G6)</f>
        <v>4037.435177439912</v>
      </c>
      <c r="Q6" s="496">
        <f>SUM(H6:J6)</f>
        <v>4241.0084797678055</v>
      </c>
      <c r="R6" s="496">
        <f>SUM(K6:M6)</f>
        <v>4628.8264162432606</v>
      </c>
    </row>
    <row r="7" spans="1:18">
      <c r="A7" s="67" t="s">
        <v>494</v>
      </c>
      <c r="B7" s="501">
        <f>'[1]Total Agency'!Z55</f>
        <v>1150.1355645758795</v>
      </c>
      <c r="C7" s="501">
        <f>'[1]Total Agency'!AA55</f>
        <v>1079.8660284651169</v>
      </c>
      <c r="D7" s="501">
        <f>'[1]Total Agency'!AB55</f>
        <v>2170.5155976737065</v>
      </c>
      <c r="E7" s="501">
        <f>'[1]Total Agency'!AC55</f>
        <v>2188.9250875271819</v>
      </c>
      <c r="F7" s="501">
        <f>'[1]Total Agency'!AD55</f>
        <v>2344.8083926775471</v>
      </c>
      <c r="G7" s="501">
        <f>'[1]Total Agency'!AE55</f>
        <v>2592.8144150335875</v>
      </c>
      <c r="H7" s="501">
        <f>'[1]Total Agency'!AF55</f>
        <v>2582.5965452385622</v>
      </c>
      <c r="I7" s="501">
        <f>'[1]Total Agency'!AG55</f>
        <v>2717.1197833764895</v>
      </c>
      <c r="J7" s="501">
        <f>'[1]Total Agency'!AH55</f>
        <v>2947.4328884488855</v>
      </c>
      <c r="K7" s="501">
        <f>'[1]Total Agency'!AI55</f>
        <v>3001.7602851599686</v>
      </c>
      <c r="L7" s="501">
        <f>'[1]Total Agency'!AJ55</f>
        <v>3174.6181719923029</v>
      </c>
      <c r="M7" s="501">
        <f>'[1]Total Agency'!AK55</f>
        <v>3445.3602368077322</v>
      </c>
      <c r="O7" s="496">
        <f>SUM(B7:D7)</f>
        <v>4400.5171907147032</v>
      </c>
      <c r="P7" s="496">
        <f>SUM(E7:G7)</f>
        <v>7126.5478952383164</v>
      </c>
      <c r="Q7" s="496">
        <f>SUM(H7:J7)</f>
        <v>8247.1492170639376</v>
      </c>
      <c r="R7" s="496">
        <f>SUM(K7:M7)</f>
        <v>9621.7386939600037</v>
      </c>
    </row>
    <row r="8" spans="1:18">
      <c r="A8" s="67" t="s">
        <v>495</v>
      </c>
      <c r="B8" s="96">
        <f>'[1]Total Agency'!Z66</f>
        <v>0.11533907202711635</v>
      </c>
      <c r="C8" s="96">
        <f>'[1]Total Agency'!AA66</f>
        <v>0.11059076128600601</v>
      </c>
      <c r="D8" s="96">
        <f>'[1]Total Agency'!AB66</f>
        <v>0.21544985625935578</v>
      </c>
      <c r="E8" s="96">
        <f>'[1]Total Agency'!AC66</f>
        <v>0.21220653281955817</v>
      </c>
      <c r="F8" s="96">
        <f>'[1]Total Agency'!AD66</f>
        <v>0.21846230582855145</v>
      </c>
      <c r="G8" s="96">
        <f>'[1]Total Agency'!AE66</f>
        <v>0.22474807097317945</v>
      </c>
      <c r="H8" s="96">
        <f>'[1]Total Agency'!AF66</f>
        <v>0.22256217480996743</v>
      </c>
      <c r="I8" s="96">
        <f>'[1]Total Agency'!AG66</f>
        <v>0.22562205437872304</v>
      </c>
      <c r="J8" s="96">
        <f>'[1]Total Agency'!AH66</f>
        <v>0.22925674662383244</v>
      </c>
      <c r="K8" s="96">
        <f>'[1]Total Agency'!AI66</f>
        <v>0.22784400325480014</v>
      </c>
      <c r="L8" s="96">
        <f>'[1]Total Agency'!AJ66</f>
        <v>0.23051047976034242</v>
      </c>
      <c r="M8" s="96">
        <f>'[1]Total Agency'!AK66</f>
        <v>0.2337157226470836</v>
      </c>
      <c r="O8" s="510">
        <f>SUM(B7:D7)/SUM(B3:D3)</f>
        <v>0.14761564269023314</v>
      </c>
      <c r="P8" s="510">
        <f>SUM(E7:G7)/SUM(E3:G3)</f>
        <v>0.21870742681209368</v>
      </c>
      <c r="Q8" s="510">
        <f>SUM(H7:J7)/SUM(H3:J3)</f>
        <v>0.22592949815254748</v>
      </c>
      <c r="R8" s="510">
        <f>SUM(K7:M7)/SUM(K3:M3)</f>
        <v>0.23080122706065648</v>
      </c>
    </row>
    <row r="9" spans="1:18">
      <c r="A9" s="67" t="s">
        <v>496</v>
      </c>
      <c r="B9" s="566">
        <f>'[1]Total Agency'!Z88</f>
        <v>1.21040602743353</v>
      </c>
      <c r="C9" s="566">
        <f>'[1]Total Agency'!AA88</f>
        <v>1.2486383741794347</v>
      </c>
      <c r="D9" s="566">
        <f>'[1]Total Agency'!AB88</f>
        <v>1.4030166582032118</v>
      </c>
      <c r="E9" s="566">
        <f>'[1]Total Agency'!AC88</f>
        <v>1.390978153373595</v>
      </c>
      <c r="F9" s="566">
        <f>'[1]Total Agency'!AD88</f>
        <v>1.5075684340395079</v>
      </c>
      <c r="G9" s="566">
        <f>'[1]Total Agency'!AE88</f>
        <v>1.555378745008112</v>
      </c>
      <c r="H9" s="566">
        <f>'[1]Total Agency'!AF88</f>
        <v>1.4408486282416026</v>
      </c>
      <c r="I9" s="566">
        <f>'[1]Total Agency'!AG88</f>
        <v>1.5241608204866186</v>
      </c>
      <c r="J9" s="566">
        <f>'[1]Total Agency'!AH88</f>
        <v>1.5812574378218431</v>
      </c>
      <c r="K9" s="566">
        <f>'[1]Total Agency'!AI88</f>
        <v>1.4617330421115176</v>
      </c>
      <c r="L9" s="566">
        <f>'[1]Total Agency'!AJ88</f>
        <v>1.5267788353612097</v>
      </c>
      <c r="M9" s="566">
        <f>'[1]Total Agency'!AK88</f>
        <v>1.5853491003332512</v>
      </c>
      <c r="O9" s="493">
        <f>O11/O7</f>
        <v>1.3147915282496652</v>
      </c>
      <c r="P9" s="493">
        <f t="shared" ref="P9:R9" si="0">P11/P7</f>
        <v>1.4891522066073581</v>
      </c>
      <c r="Q9" s="493">
        <f t="shared" si="0"/>
        <v>1.5184772405147389</v>
      </c>
      <c r="R9" s="493">
        <f t="shared" si="0"/>
        <v>1.5274589393744709</v>
      </c>
    </row>
    <row r="10" spans="1:18">
      <c r="A10" s="67" t="s">
        <v>497</v>
      </c>
      <c r="B10" s="500">
        <f>'[1]Total Agency'!Z99</f>
        <v>15.199335108774019</v>
      </c>
      <c r="C10" s="500">
        <f>'[1]Total Agency'!AA99</f>
        <v>15.476289027211017</v>
      </c>
      <c r="D10" s="500">
        <f>'[1]Total Agency'!AB99</f>
        <v>16.313350967586789</v>
      </c>
      <c r="E10" s="500">
        <f>'[1]Total Agency'!AC99</f>
        <v>16.19390962652837</v>
      </c>
      <c r="F10" s="500">
        <f>'[1]Total Agency'!AD99</f>
        <v>16.328100376653708</v>
      </c>
      <c r="G10" s="500">
        <f>'[1]Total Agency'!AE99</f>
        <v>16.114414828249785</v>
      </c>
      <c r="H10" s="500">
        <f>'[1]Total Agency'!AF99</f>
        <v>16.095081640269612</v>
      </c>
      <c r="I10" s="500">
        <f>'[1]Total Agency'!AG99</f>
        <v>16.070777184894332</v>
      </c>
      <c r="J10" s="500">
        <f>'[1]Total Agency'!AH99</f>
        <v>15.953615369207728</v>
      </c>
      <c r="K10" s="500">
        <f>'[1]Total Agency'!AI99</f>
        <v>16.032963006433</v>
      </c>
      <c r="L10" s="500">
        <f>'[1]Total Agency'!AJ99</f>
        <v>16.089004853403338</v>
      </c>
      <c r="M10" s="500">
        <f>'[1]Total Agency'!AK99</f>
        <v>15.984195138035355</v>
      </c>
      <c r="O10" s="494">
        <f>O12/O11</f>
        <v>15.850228159083416</v>
      </c>
      <c r="P10" s="494">
        <f t="shared" ref="P10:R10" si="1">P12/P11</f>
        <v>16.208399267270465</v>
      </c>
      <c r="Q10" s="494">
        <f t="shared" si="1"/>
        <v>16.034395627835742</v>
      </c>
      <c r="R10" s="494">
        <f t="shared" si="1"/>
        <v>16.03332067229028</v>
      </c>
    </row>
    <row r="11" spans="1:18">
      <c r="A11" s="67" t="s">
        <v>498</v>
      </c>
      <c r="B11" s="501">
        <f>'[1]Total Agency'!Z77</f>
        <v>1392.1310197283105</v>
      </c>
      <c r="C11" s="501">
        <f>'[1]Total Agency'!AA77</f>
        <v>1348.3621621142865</v>
      </c>
      <c r="D11" s="501">
        <f>'[1]Total Agency'!AB77</f>
        <v>3045.2695404261103</v>
      </c>
      <c r="E11" s="501">
        <f>'[1]Total Agency'!AC77</f>
        <v>3044.7469761216944</v>
      </c>
      <c r="F11" s="501">
        <f>'[1]Total Agency'!AD77</f>
        <v>3534.9591166715854</v>
      </c>
      <c r="G11" s="501">
        <f>'[1]Total Agency'!AE77</f>
        <v>4032.8084308938833</v>
      </c>
      <c r="H11" s="501">
        <f>'[1]Total Agency'!AF77</f>
        <v>3721.1306895084845</v>
      </c>
      <c r="I11" s="501">
        <f>'[1]Total Agency'!AG77</f>
        <v>4141.3275183915339</v>
      </c>
      <c r="J11" s="501">
        <f>'[1]Total Agency'!AH77</f>
        <v>4660.6501773405189</v>
      </c>
      <c r="K11" s="501">
        <f>'[1]Total Agency'!AI77</f>
        <v>4387.7721933164175</v>
      </c>
      <c r="L11" s="501">
        <f>'[1]Total Agency'!AJ77</f>
        <v>4846.9398353509405</v>
      </c>
      <c r="M11" s="501">
        <f>'[1]Total Agency'!AK77</f>
        <v>5462.0987517470958</v>
      </c>
      <c r="O11" s="496">
        <f>SUM(B11:D11)</f>
        <v>5785.7627222687079</v>
      </c>
      <c r="P11" s="496">
        <f>SUM(E11:G11)</f>
        <v>10612.514523687163</v>
      </c>
      <c r="Q11" s="496">
        <f>SUM(H11:J11)</f>
        <v>12523.108385240537</v>
      </c>
      <c r="R11" s="496">
        <f>SUM(K11:M11)</f>
        <v>14696.810780414453</v>
      </c>
    </row>
    <row r="12" spans="1:18">
      <c r="A12" s="67" t="s">
        <v>499</v>
      </c>
      <c r="B12" s="501">
        <f>'[1]Total Agency'!Z29</f>
        <v>21159.465884169887</v>
      </c>
      <c r="C12" s="501">
        <f>'[1]Total Agency'!AA29</f>
        <v>20867.642534235856</v>
      </c>
      <c r="D12" s="501">
        <f>'[1]Total Agency'!AB29</f>
        <v>49678.550803872859</v>
      </c>
      <c r="E12" s="501">
        <f>'[1]Total Agency'!AC29</f>
        <v>49306.357366960248</v>
      </c>
      <c r="F12" s="501">
        <f>'[1]Total Agency'!AD29</f>
        <v>57719.167284380776</v>
      </c>
      <c r="G12" s="501">
        <f>'[1]Total Agency'!AE29</f>
        <v>64986.347978287136</v>
      </c>
      <c r="H12" s="501">
        <f>'[1]Total Agency'!AF29</f>
        <v>59891.902241751806</v>
      </c>
      <c r="I12" s="501">
        <f>'[1]Total Agency'!AG29</f>
        <v>66554.351797741721</v>
      </c>
      <c r="J12" s="501">
        <f>'[1]Total Agency'!AH29</f>
        <v>74354.220299720429</v>
      </c>
      <c r="K12" s="501">
        <f>'[1]Total Agency'!AI29</f>
        <v>70348.989256097513</v>
      </c>
      <c r="L12" s="501">
        <f>'[1]Total Agency'!AJ29</f>
        <v>77982.43853511526</v>
      </c>
      <c r="M12" s="501">
        <f>'[1]Total Agency'!AK29</f>
        <v>87307.252311144912</v>
      </c>
      <c r="N12" s="605">
        <f>SUM(B12:M12)</f>
        <v>700156.68629347836</v>
      </c>
      <c r="O12" s="496">
        <f>SUM(B12:D12)</f>
        <v>91705.659222278598</v>
      </c>
      <c r="P12" s="496">
        <f>SUM(E12:G12)</f>
        <v>172011.87262962817</v>
      </c>
      <c r="Q12" s="496">
        <f>SUM(H12:J12)</f>
        <v>200800.47433921398</v>
      </c>
      <c r="R12" s="496">
        <f>SUM(K12:M12)</f>
        <v>235638.6801023577</v>
      </c>
    </row>
    <row r="13" spans="1:18">
      <c r="A13" s="67" t="s">
        <v>500</v>
      </c>
      <c r="B13" s="500">
        <f>'[1]Total Agency'!Z110</f>
        <v>18.397366828642141</v>
      </c>
      <c r="C13" s="500">
        <f>'[1]Total Agency'!AA110</f>
        <v>19.324288369267787</v>
      </c>
      <c r="D13" s="500">
        <f>'[1]Total Agency'!AB110</f>
        <v>22.887903158639745</v>
      </c>
      <c r="E13" s="500">
        <f>'[1]Total Agency'!AC110</f>
        <v>22.525374508207314</v>
      </c>
      <c r="F13" s="500">
        <f>'[1]Total Agency'!AD110</f>
        <v>24.615728715671732</v>
      </c>
      <c r="G13" s="500">
        <f>'[1]Total Agency'!AE110</f>
        <v>25.064018312103258</v>
      </c>
      <c r="H13" s="500">
        <f>'[1]Total Agency'!AF110</f>
        <v>23.190576302819075</v>
      </c>
      <c r="I13" s="500">
        <f>'[1]Total Agency'!AG110</f>
        <v>24.494448939986174</v>
      </c>
      <c r="J13" s="500">
        <f>'[1]Total Agency'!AH110</f>
        <v>25.226772962708591</v>
      </c>
      <c r="K13" s="500">
        <f>'[1]Total Agency'!AI110</f>
        <v>23.435911789454735</v>
      </c>
      <c r="L13" s="500">
        <f>'[1]Total Agency'!AJ110</f>
        <v>24.564352092199996</v>
      </c>
      <c r="M13" s="500">
        <f>'[1]Total Agency'!AK110</f>
        <v>25.340529381635481</v>
      </c>
      <c r="O13" s="494">
        <f>O12/O7</f>
        <v>20.839745704387163</v>
      </c>
      <c r="P13" s="494">
        <f t="shared" ref="P13:R13" si="2">P12/P7</f>
        <v>24.136773534428897</v>
      </c>
      <c r="Q13" s="494">
        <f t="shared" si="2"/>
        <v>24.347864826277611</v>
      </c>
      <c r="R13" s="494">
        <f t="shared" si="2"/>
        <v>24.49023898874729</v>
      </c>
    </row>
    <row r="14" spans="1:18">
      <c r="A14" s="67" t="s">
        <v>501</v>
      </c>
      <c r="B14" s="500">
        <f>'[1]Total Agency'!Z121</f>
        <v>2.1219352177580371</v>
      </c>
      <c r="C14" s="500">
        <f>'[1]Total Agency'!AA121</f>
        <v>2.1370877620676363</v>
      </c>
      <c r="D14" s="500">
        <f>'[1]Total Agency'!AB121</f>
        <v>4.9311954456069884</v>
      </c>
      <c r="E14" s="500">
        <f>'[1]Total Agency'!AC121</f>
        <v>4.7800316248487347</v>
      </c>
      <c r="F14" s="500">
        <f>'[1]Total Agency'!AD121</f>
        <v>5.3776088548757341</v>
      </c>
      <c r="G14" s="500">
        <f>'[1]Total Agency'!AE121</f>
        <v>5.6330897664816524</v>
      </c>
      <c r="H14" s="500">
        <f>'[1]Total Agency'!AF121</f>
        <v>5.1613450970519068</v>
      </c>
      <c r="I14" s="500">
        <f>'[1]Total Agency'!AG121</f>
        <v>5.5264878907144164</v>
      </c>
      <c r="J14" s="500">
        <f>'[1]Total Agency'!AH121</f>
        <v>5.7834078972486305</v>
      </c>
      <c r="K14" s="500">
        <f>'[1]Total Agency'!AI121</f>
        <v>5.3397319620357333</v>
      </c>
      <c r="L14" s="500">
        <f>'[1]Total Agency'!AJ121</f>
        <v>5.6623405857749924</v>
      </c>
      <c r="M14" s="500">
        <f>'[1]Total Agency'!AK121</f>
        <v>5.9224801366885904</v>
      </c>
      <c r="O14" s="569">
        <f>O12/(O3*3)</f>
        <v>3.0762724556541361</v>
      </c>
      <c r="P14" s="569">
        <f t="shared" ref="P14:R14" si="3">P12/(P3*3)</f>
        <v>5.278891631261188</v>
      </c>
      <c r="Q14" s="569">
        <f t="shared" si="3"/>
        <v>5.5009008812869631</v>
      </c>
      <c r="R14" s="569">
        <f t="shared" si="3"/>
        <v>5.6523772096116049</v>
      </c>
    </row>
    <row r="15" spans="1:18">
      <c r="A15" s="67" t="s">
        <v>206</v>
      </c>
      <c r="B15" s="501">
        <f>B12*98%</f>
        <v>20736.276566486489</v>
      </c>
      <c r="C15" s="501">
        <f t="shared" ref="C15:M15" si="4">C12*98%</f>
        <v>20450.289683551138</v>
      </c>
      <c r="D15" s="501">
        <f t="shared" si="4"/>
        <v>48684.979787795397</v>
      </c>
      <c r="E15" s="501">
        <f t="shared" si="4"/>
        <v>48320.230219621044</v>
      </c>
      <c r="F15" s="501">
        <f t="shared" si="4"/>
        <v>56564.783938693159</v>
      </c>
      <c r="G15" s="501">
        <f t="shared" si="4"/>
        <v>63686.621018721395</v>
      </c>
      <c r="H15" s="501">
        <f t="shared" si="4"/>
        <v>58694.06419691677</v>
      </c>
      <c r="I15" s="501">
        <f t="shared" si="4"/>
        <v>65223.264761786886</v>
      </c>
      <c r="J15" s="501">
        <f t="shared" si="4"/>
        <v>72867.135893726023</v>
      </c>
      <c r="K15" s="501">
        <f t="shared" si="4"/>
        <v>68942.009470975565</v>
      </c>
      <c r="L15" s="501">
        <f t="shared" si="4"/>
        <v>76422.789764412955</v>
      </c>
      <c r="M15" s="501">
        <f t="shared" si="4"/>
        <v>85561.107264922015</v>
      </c>
      <c r="N15" s="605">
        <f>SUM(B15:M15)</f>
        <v>686153.55256760889</v>
      </c>
      <c r="O15" s="496">
        <f>SUM(B15:D15)</f>
        <v>89871.546037833032</v>
      </c>
      <c r="P15" s="496">
        <f>SUM(E15:G15)</f>
        <v>168571.63517703561</v>
      </c>
      <c r="Q15" s="496">
        <f>SUM(H15:J15)</f>
        <v>196784.46485242969</v>
      </c>
      <c r="R15" s="496">
        <f>SUM(K15:M15)</f>
        <v>230925.90650031052</v>
      </c>
    </row>
    <row r="16" spans="1:18">
      <c r="O16" s="773"/>
      <c r="P16" s="783">
        <f>P14/O14-1</f>
        <v>0.71600263219815763</v>
      </c>
      <c r="Q16" s="783">
        <f>Q14/P14-1</f>
        <v>4.2056034776515094E-2</v>
      </c>
      <c r="R16" s="783">
        <f>R14/Q14-1</f>
        <v>2.7536640196506035E-2</v>
      </c>
    </row>
    <row r="17" spans="15:18">
      <c r="O17" s="784">
        <f>O3/O4</f>
        <v>5.2852105844622388</v>
      </c>
      <c r="P17" s="784">
        <f t="shared" ref="P17:R17" si="5">P3/P4</f>
        <v>5.3721107219549546</v>
      </c>
      <c r="Q17" s="784">
        <f t="shared" si="5"/>
        <v>5.5382315731557838</v>
      </c>
      <c r="R17" s="784">
        <f t="shared" si="5"/>
        <v>5.8308103589439488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2:AM418"/>
  <sheetViews>
    <sheetView showGridLines="0" topLeftCell="I22" zoomScale="80" zoomScaleNormal="80" workbookViewId="0">
      <selection activeCell="I36" sqref="I33:I36"/>
    </sheetView>
  </sheetViews>
  <sheetFormatPr defaultColWidth="9" defaultRowHeight="15"/>
  <cols>
    <col min="1" max="1" width="2.140625" style="141" customWidth="1"/>
    <col min="2" max="3" width="9" style="141"/>
    <col min="4" max="4" width="11.42578125" style="141" customWidth="1"/>
    <col min="5" max="5" width="11" style="141" customWidth="1"/>
    <col min="6" max="7" width="11.42578125" style="141" customWidth="1"/>
    <col min="8" max="8" width="9" style="141"/>
    <col min="9" max="9" width="10.7109375" style="141" customWidth="1"/>
    <col min="10" max="10" width="9" style="141"/>
    <col min="11" max="14" width="9" style="141" customWidth="1"/>
    <col min="15" max="15" width="2.28515625" style="142" customWidth="1"/>
    <col min="16" max="16" width="9" style="143"/>
    <col min="17" max="16384" width="9" style="141"/>
  </cols>
  <sheetData>
    <row r="2" spans="2:29" ht="18.75">
      <c r="B2" s="705" t="s">
        <v>0</v>
      </c>
    </row>
    <row r="4" spans="2:29" s="145" customFormat="1" ht="22.5" customHeight="1">
      <c r="B4" s="144" t="s">
        <v>189</v>
      </c>
      <c r="O4" s="146"/>
      <c r="P4" s="147" t="s">
        <v>190</v>
      </c>
    </row>
    <row r="6" spans="2:29" s="149" customFormat="1" ht="17.25" customHeight="1">
      <c r="B6" s="148" t="s">
        <v>181</v>
      </c>
      <c r="O6" s="150"/>
      <c r="P6" s="151" t="s">
        <v>181</v>
      </c>
      <c r="Q6" s="152"/>
      <c r="R6" s="153"/>
      <c r="S6" s="152"/>
      <c r="T6" s="152"/>
      <c r="U6" s="152"/>
      <c r="V6" s="152"/>
      <c r="W6" s="152"/>
      <c r="X6" s="152"/>
      <c r="Y6" s="152"/>
      <c r="Z6" s="152"/>
      <c r="AA6" s="152"/>
      <c r="AB6" s="152"/>
      <c r="AC6" s="152"/>
    </row>
    <row r="7" spans="2:29">
      <c r="B7" s="154"/>
    </row>
    <row r="8" spans="2:29">
      <c r="B8" s="155" t="s">
        <v>25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7"/>
    </row>
    <row r="9" spans="2:29">
      <c r="B9" s="158"/>
      <c r="C9" s="39" t="s">
        <v>26</v>
      </c>
      <c r="D9" s="39"/>
      <c r="E9" s="39"/>
      <c r="F9" s="39"/>
      <c r="G9" s="156"/>
      <c r="H9" s="156"/>
      <c r="I9" s="156"/>
      <c r="J9" s="156"/>
      <c r="K9" s="156"/>
      <c r="L9" s="156"/>
      <c r="M9" s="156"/>
      <c r="N9" s="156"/>
      <c r="O9" s="157"/>
    </row>
    <row r="10" spans="2:29">
      <c r="B10" s="158"/>
      <c r="C10" s="39" t="s">
        <v>27</v>
      </c>
      <c r="D10" s="39"/>
      <c r="E10" s="39"/>
      <c r="F10" s="156"/>
      <c r="G10" s="156"/>
      <c r="H10" s="156"/>
      <c r="I10" s="156"/>
      <c r="J10" s="156"/>
      <c r="K10" s="156"/>
      <c r="L10" s="156"/>
      <c r="M10" s="156"/>
      <c r="N10" s="156"/>
      <c r="O10" s="157"/>
    </row>
    <row r="11" spans="2:29">
      <c r="B11" s="158"/>
      <c r="C11" s="39"/>
      <c r="D11" s="39" t="s">
        <v>351</v>
      </c>
      <c r="E11" s="39"/>
      <c r="F11" s="156"/>
      <c r="G11" s="156"/>
      <c r="H11" s="156"/>
      <c r="I11" s="156"/>
      <c r="J11" s="156"/>
      <c r="K11" s="156"/>
      <c r="L11" s="156"/>
      <c r="M11" s="156"/>
      <c r="N11" s="156"/>
      <c r="O11" s="157"/>
    </row>
    <row r="12" spans="2:29">
      <c r="B12" s="158"/>
      <c r="C12" s="39"/>
      <c r="D12" s="39" t="s">
        <v>29</v>
      </c>
      <c r="E12" s="39"/>
      <c r="F12" s="156"/>
      <c r="G12" s="156"/>
      <c r="H12" s="156"/>
      <c r="I12" s="156"/>
      <c r="J12" s="156"/>
      <c r="K12" s="156"/>
      <c r="L12" s="156"/>
      <c r="M12" s="156"/>
      <c r="N12" s="156"/>
      <c r="O12" s="157"/>
    </row>
    <row r="13" spans="2:29">
      <c r="B13" s="158"/>
      <c r="C13" s="39" t="s">
        <v>352</v>
      </c>
      <c r="D13" s="39"/>
      <c r="E13" s="39"/>
      <c r="F13" s="39"/>
      <c r="G13" s="156"/>
      <c r="H13" s="156"/>
      <c r="I13" s="156"/>
      <c r="J13" s="156"/>
      <c r="K13" s="156"/>
      <c r="L13" s="156"/>
      <c r="M13" s="156"/>
      <c r="N13" s="156"/>
      <c r="O13" s="157"/>
    </row>
    <row r="14" spans="2:29">
      <c r="B14" s="158"/>
      <c r="C14" s="39"/>
      <c r="D14" s="39" t="s">
        <v>527</v>
      </c>
      <c r="E14" s="39"/>
      <c r="F14" s="39"/>
      <c r="G14" s="156"/>
      <c r="H14" s="156"/>
      <c r="I14" s="156"/>
      <c r="J14" s="156"/>
      <c r="K14" s="156"/>
      <c r="L14" s="156"/>
      <c r="M14" s="156"/>
      <c r="N14" s="156"/>
      <c r="O14" s="157"/>
    </row>
    <row r="15" spans="2:29">
      <c r="B15" s="158"/>
      <c r="C15" s="39"/>
      <c r="D15" s="39" t="s">
        <v>528</v>
      </c>
      <c r="E15" s="39"/>
      <c r="F15" s="39"/>
      <c r="G15" s="156"/>
      <c r="H15" s="156"/>
      <c r="I15" s="156"/>
      <c r="J15" s="156"/>
      <c r="K15" s="156"/>
      <c r="L15" s="156"/>
      <c r="M15" s="156"/>
      <c r="N15" s="156"/>
      <c r="O15" s="157"/>
    </row>
    <row r="16" spans="2:29">
      <c r="B16" s="158"/>
      <c r="C16" s="39"/>
      <c r="D16" s="39" t="s">
        <v>529</v>
      </c>
      <c r="E16" s="39"/>
      <c r="F16" s="39"/>
      <c r="G16" s="156"/>
      <c r="H16" s="156"/>
      <c r="I16" s="156"/>
      <c r="J16" s="156"/>
      <c r="K16" s="156"/>
      <c r="L16" s="156"/>
      <c r="M16" s="156"/>
      <c r="N16" s="156"/>
      <c r="O16" s="157"/>
    </row>
    <row r="17" spans="2:39">
      <c r="B17" s="158"/>
      <c r="C17" s="39"/>
      <c r="D17" s="39" t="s">
        <v>530</v>
      </c>
      <c r="E17" s="39"/>
      <c r="F17" s="39"/>
      <c r="G17" s="156"/>
      <c r="H17" s="156"/>
      <c r="I17" s="156"/>
      <c r="J17" s="156"/>
      <c r="K17" s="156"/>
      <c r="L17" s="156"/>
      <c r="M17" s="156"/>
      <c r="N17" s="156"/>
      <c r="O17" s="157"/>
    </row>
    <row r="18" spans="2:39">
      <c r="B18" s="158"/>
      <c r="C18" s="39" t="s">
        <v>183</v>
      </c>
      <c r="D18" s="156"/>
      <c r="E18" s="156"/>
      <c r="F18" s="156"/>
      <c r="G18" s="156"/>
      <c r="H18" s="156"/>
      <c r="I18" s="156"/>
      <c r="J18" s="156"/>
      <c r="K18" s="156"/>
      <c r="L18" s="156"/>
      <c r="M18" s="156"/>
      <c r="N18" s="156"/>
      <c r="O18" s="157"/>
    </row>
    <row r="19" spans="2:39">
      <c r="B19" s="156"/>
      <c r="C19" s="156"/>
      <c r="D19" s="39" t="s">
        <v>182</v>
      </c>
      <c r="E19" s="156"/>
      <c r="F19" s="156"/>
      <c r="G19" s="156"/>
      <c r="H19" s="156"/>
      <c r="I19" s="156"/>
      <c r="J19" s="156"/>
      <c r="K19" s="156"/>
      <c r="L19" s="156"/>
      <c r="M19" s="156"/>
      <c r="N19" s="156"/>
      <c r="O19" s="157"/>
      <c r="R19" s="159"/>
      <c r="S19" s="159"/>
      <c r="T19" s="159"/>
      <c r="U19" s="159"/>
      <c r="V19" s="159"/>
      <c r="W19" s="159"/>
      <c r="X19" s="159"/>
      <c r="Y19" s="160"/>
      <c r="Z19" s="161"/>
      <c r="AA19" s="159"/>
      <c r="AB19" s="159"/>
      <c r="AC19" s="159"/>
      <c r="AD19" s="159"/>
      <c r="AE19" s="159"/>
      <c r="AK19" s="159"/>
      <c r="AL19" s="159"/>
      <c r="AM19" s="159"/>
    </row>
    <row r="20" spans="2:39">
      <c r="B20" s="156"/>
      <c r="C20" s="156"/>
      <c r="D20" s="39" t="s">
        <v>184</v>
      </c>
      <c r="E20" s="156"/>
      <c r="F20" s="156"/>
      <c r="G20" s="156"/>
      <c r="H20" s="156"/>
      <c r="I20" s="156"/>
      <c r="J20" s="156"/>
      <c r="K20" s="156"/>
      <c r="L20" s="156"/>
      <c r="M20" s="156"/>
      <c r="N20" s="156"/>
      <c r="O20" s="157"/>
      <c r="R20" s="159"/>
      <c r="S20" s="159"/>
      <c r="T20" s="159"/>
      <c r="U20" s="159"/>
      <c r="V20" s="159"/>
      <c r="W20" s="159"/>
      <c r="X20" s="159"/>
      <c r="Y20" s="160"/>
      <c r="Z20" s="161"/>
      <c r="AA20" s="159"/>
      <c r="AB20" s="159"/>
      <c r="AC20" s="159"/>
      <c r="AD20" s="159"/>
      <c r="AE20" s="159"/>
      <c r="AK20" s="159"/>
      <c r="AL20" s="159"/>
      <c r="AM20" s="159"/>
    </row>
    <row r="21" spans="2:39">
      <c r="B21" s="156"/>
      <c r="C21" s="39" t="s">
        <v>356</v>
      </c>
      <c r="D21" s="39"/>
      <c r="E21" s="156"/>
      <c r="F21" s="156"/>
      <c r="G21" s="156"/>
      <c r="H21" s="156"/>
      <c r="I21" s="156"/>
      <c r="J21" s="156"/>
      <c r="K21" s="156"/>
      <c r="L21" s="156"/>
      <c r="M21" s="156"/>
      <c r="N21" s="156"/>
      <c r="O21" s="157"/>
      <c r="R21" s="159"/>
      <c r="S21" s="159"/>
      <c r="T21" s="159"/>
      <c r="U21" s="159"/>
      <c r="V21" s="159"/>
      <c r="W21" s="159"/>
      <c r="X21" s="159"/>
      <c r="Y21" s="160"/>
      <c r="Z21" s="161"/>
      <c r="AA21" s="159"/>
      <c r="AB21" s="159"/>
      <c r="AC21" s="159"/>
      <c r="AD21" s="159"/>
      <c r="AE21" s="159"/>
      <c r="AK21" s="159"/>
      <c r="AL21" s="159"/>
      <c r="AM21" s="159"/>
    </row>
    <row r="22" spans="2:39">
      <c r="B22" s="156"/>
      <c r="C22" s="39"/>
      <c r="D22" s="39"/>
      <c r="E22" s="156"/>
      <c r="F22" s="156"/>
      <c r="G22" s="156"/>
      <c r="H22" s="156"/>
      <c r="I22" s="156"/>
      <c r="J22" s="156"/>
      <c r="K22" s="156"/>
      <c r="L22" s="156"/>
      <c r="M22" s="156"/>
      <c r="N22" s="156"/>
      <c r="O22" s="157"/>
      <c r="R22" s="159"/>
      <c r="S22" s="159"/>
      <c r="T22" s="159"/>
      <c r="U22" s="159"/>
      <c r="V22" s="159"/>
      <c r="W22" s="159"/>
      <c r="X22" s="159"/>
      <c r="Y22" s="160"/>
      <c r="Z22" s="161"/>
      <c r="AA22" s="159"/>
      <c r="AB22" s="159"/>
      <c r="AC22" s="159"/>
      <c r="AD22" s="159"/>
      <c r="AE22" s="159"/>
      <c r="AK22" s="159"/>
      <c r="AL22" s="159"/>
      <c r="AM22" s="159"/>
    </row>
    <row r="23" spans="2:39">
      <c r="D23" s="7"/>
      <c r="R23" s="159"/>
      <c r="S23" s="159"/>
      <c r="T23" s="159"/>
      <c r="U23" s="159"/>
      <c r="V23" s="159"/>
      <c r="W23" s="159"/>
      <c r="X23" s="159"/>
      <c r="Y23" s="160"/>
      <c r="Z23" s="161"/>
      <c r="AA23" s="159"/>
      <c r="AB23" s="159"/>
      <c r="AC23" s="159"/>
      <c r="AD23" s="159"/>
      <c r="AE23" s="159"/>
      <c r="AK23" s="159"/>
      <c r="AL23" s="159"/>
      <c r="AM23" s="159"/>
    </row>
    <row r="24" spans="2:39">
      <c r="B24" s="161" t="s">
        <v>2</v>
      </c>
      <c r="C24" s="159"/>
      <c r="D24" s="159"/>
      <c r="E24" s="159"/>
      <c r="F24" s="159"/>
      <c r="G24" s="159"/>
      <c r="H24" s="159"/>
      <c r="I24" s="159"/>
      <c r="Q24" s="161" t="s">
        <v>2</v>
      </c>
      <c r="R24" s="159"/>
      <c r="S24" s="159"/>
      <c r="T24" s="159"/>
      <c r="U24" s="159"/>
      <c r="V24" s="159"/>
      <c r="W24" s="159"/>
      <c r="X24" s="159"/>
      <c r="Y24" s="160"/>
      <c r="Z24" s="159"/>
      <c r="AA24" s="159"/>
      <c r="AB24" s="159"/>
      <c r="AC24" s="159"/>
      <c r="AD24" s="159"/>
      <c r="AE24" s="159"/>
      <c r="AK24" s="159"/>
      <c r="AL24" s="159"/>
      <c r="AM24" s="159"/>
    </row>
    <row r="25" spans="2:39">
      <c r="B25" s="162" t="s">
        <v>3</v>
      </c>
      <c r="C25" s="159"/>
      <c r="D25" s="159"/>
      <c r="E25" s="159"/>
      <c r="F25" s="159"/>
      <c r="G25" s="159"/>
      <c r="H25" s="159"/>
      <c r="I25" s="159"/>
      <c r="Q25" s="162" t="s">
        <v>3</v>
      </c>
      <c r="S25" s="159"/>
      <c r="T25" s="159"/>
      <c r="U25" s="159"/>
      <c r="V25" s="159"/>
      <c r="W25" s="159"/>
      <c r="X25" s="159"/>
      <c r="Y25" s="160"/>
      <c r="Z25" s="163"/>
      <c r="AA25" s="163"/>
      <c r="AB25" s="159"/>
      <c r="AC25" s="159"/>
      <c r="AD25" s="159"/>
      <c r="AE25" s="159"/>
      <c r="AK25" s="159"/>
      <c r="AL25" s="159"/>
      <c r="AM25" s="159"/>
    </row>
    <row r="26" spans="2:39">
      <c r="B26" s="164" t="s">
        <v>30</v>
      </c>
      <c r="C26" s="159"/>
      <c r="D26" s="159"/>
      <c r="E26" s="159"/>
      <c r="F26" s="159"/>
      <c r="G26" s="159"/>
      <c r="H26" s="159"/>
      <c r="I26" s="159"/>
      <c r="Q26" s="164" t="s">
        <v>30</v>
      </c>
      <c r="R26" s="159"/>
      <c r="S26" s="159"/>
      <c r="T26" s="159"/>
      <c r="U26" s="159"/>
      <c r="V26" s="159"/>
      <c r="W26" s="159"/>
      <c r="X26" s="159"/>
      <c r="Y26" s="160"/>
      <c r="Z26" s="159"/>
      <c r="AA26" s="159"/>
      <c r="AB26" s="159"/>
      <c r="AC26" s="159"/>
      <c r="AD26" s="159"/>
      <c r="AE26" s="159"/>
      <c r="AK26" s="159"/>
      <c r="AL26" s="159"/>
      <c r="AM26" s="159"/>
    </row>
    <row r="27" spans="2:39">
      <c r="B27" s="164"/>
      <c r="C27" s="159"/>
      <c r="D27" s="159"/>
      <c r="E27" s="159"/>
      <c r="F27" s="159"/>
      <c r="G27" s="159"/>
      <c r="H27" s="159"/>
      <c r="I27" s="159"/>
      <c r="Q27" s="164"/>
      <c r="R27" s="159"/>
      <c r="S27" s="159"/>
      <c r="T27" s="159"/>
      <c r="U27" s="159"/>
      <c r="V27" s="159"/>
      <c r="W27" s="159"/>
      <c r="X27" s="159"/>
      <c r="Y27" s="160"/>
      <c r="Z27" s="159"/>
      <c r="AA27" s="159"/>
      <c r="AB27" s="159"/>
      <c r="AC27" s="159"/>
      <c r="AD27" s="159"/>
      <c r="AE27" s="159"/>
      <c r="AK27" s="159"/>
      <c r="AL27" s="159"/>
      <c r="AM27" s="159"/>
    </row>
    <row r="28" spans="2:39">
      <c r="B28" s="161" t="s">
        <v>4</v>
      </c>
      <c r="C28" s="159"/>
      <c r="D28" s="159"/>
      <c r="E28" s="159"/>
      <c r="F28" s="159"/>
      <c r="G28" s="159"/>
      <c r="H28" s="159"/>
      <c r="I28" s="159"/>
      <c r="Q28" s="161" t="s">
        <v>4</v>
      </c>
      <c r="R28" s="159"/>
      <c r="S28" s="159"/>
      <c r="T28" s="159"/>
      <c r="U28" s="159"/>
      <c r="V28" s="159"/>
      <c r="W28" s="159"/>
      <c r="X28" s="159"/>
      <c r="Y28" s="160"/>
      <c r="Z28" s="159"/>
      <c r="AA28" s="159"/>
      <c r="AB28" s="159"/>
      <c r="AC28" s="159"/>
      <c r="AD28" s="159"/>
      <c r="AE28" s="159"/>
      <c r="AK28" s="159"/>
      <c r="AL28" s="159"/>
      <c r="AM28" s="159"/>
    </row>
    <row r="29" spans="2:39">
      <c r="B29" s="162" t="s">
        <v>5</v>
      </c>
      <c r="C29" s="159"/>
      <c r="D29" s="159"/>
      <c r="E29" s="159"/>
      <c r="F29" s="159"/>
      <c r="G29" s="159"/>
      <c r="H29" s="159"/>
      <c r="I29" s="159"/>
      <c r="Q29" s="162" t="s">
        <v>5</v>
      </c>
      <c r="R29" s="159"/>
      <c r="S29" s="159"/>
      <c r="T29" s="159"/>
      <c r="U29" s="159"/>
      <c r="V29" s="159"/>
      <c r="W29" s="159"/>
      <c r="X29" s="159"/>
      <c r="Y29" s="160"/>
      <c r="Z29" s="163"/>
      <c r="AA29" s="163"/>
      <c r="AB29" s="159"/>
      <c r="AC29" s="159"/>
      <c r="AD29" s="159"/>
      <c r="AE29" s="159"/>
      <c r="AK29" s="159"/>
      <c r="AL29" s="159"/>
      <c r="AM29" s="159"/>
    </row>
    <row r="30" spans="2:39">
      <c r="B30" s="164" t="s">
        <v>22</v>
      </c>
      <c r="C30" s="159"/>
      <c r="D30" s="159"/>
      <c r="E30" s="159"/>
      <c r="F30" s="159"/>
      <c r="G30" s="159"/>
      <c r="H30" s="159"/>
      <c r="I30" s="159"/>
      <c r="Q30" s="164" t="s">
        <v>22</v>
      </c>
      <c r="R30" s="159"/>
      <c r="S30" s="159"/>
      <c r="T30" s="159"/>
      <c r="U30" s="159"/>
      <c r="V30" s="159"/>
      <c r="W30" s="159"/>
      <c r="X30" s="159"/>
      <c r="Y30" s="160"/>
      <c r="Z30" s="159"/>
      <c r="AA30" s="159"/>
      <c r="AB30" s="159"/>
      <c r="AC30" s="159"/>
      <c r="AD30" s="159"/>
      <c r="AE30" s="159"/>
      <c r="AK30" s="159"/>
      <c r="AL30" s="159"/>
      <c r="AM30" s="159"/>
    </row>
    <row r="31" spans="2:39">
      <c r="B31" s="159"/>
      <c r="C31" s="165" t="s">
        <v>20</v>
      </c>
      <c r="D31" s="1626" t="s">
        <v>13</v>
      </c>
      <c r="E31" s="1627"/>
      <c r="F31" s="1632" t="s">
        <v>354</v>
      </c>
      <c r="G31" s="1633"/>
      <c r="H31" s="1634"/>
      <c r="I31" s="159"/>
      <c r="Q31" s="159"/>
      <c r="R31" s="165" t="s">
        <v>20</v>
      </c>
      <c r="S31" s="1625" t="s">
        <v>13</v>
      </c>
      <c r="T31" s="1625"/>
      <c r="U31" s="166" t="s">
        <v>21</v>
      </c>
      <c r="V31" s="159"/>
      <c r="W31" s="159"/>
      <c r="X31" s="159"/>
      <c r="Y31" s="160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</row>
    <row r="32" spans="2:39" ht="35.25" customHeight="1">
      <c r="B32" s="159"/>
      <c r="C32" s="167"/>
      <c r="D32" s="1628" t="s">
        <v>16</v>
      </c>
      <c r="E32" s="1629"/>
      <c r="F32" s="168" t="s">
        <v>461</v>
      </c>
      <c r="G32" s="489" t="s">
        <v>462</v>
      </c>
      <c r="H32" s="489" t="s">
        <v>463</v>
      </c>
      <c r="I32" s="159"/>
      <c r="Q32" s="159"/>
      <c r="R32" s="167"/>
      <c r="S32" s="1630" t="s">
        <v>16</v>
      </c>
      <c r="T32" s="1630"/>
      <c r="U32" s="169" t="s">
        <v>15</v>
      </c>
      <c r="V32" s="159"/>
      <c r="W32" s="159"/>
      <c r="X32" s="159"/>
      <c r="Y32" s="160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</row>
    <row r="33" spans="2:39">
      <c r="B33" s="159"/>
      <c r="C33" s="170">
        <v>6</v>
      </c>
      <c r="D33" s="1626">
        <v>180</v>
      </c>
      <c r="E33" s="1627"/>
      <c r="F33" s="171">
        <v>0.45</v>
      </c>
      <c r="G33" s="172">
        <v>0.5</v>
      </c>
      <c r="H33" s="172">
        <v>0.55000000000000004</v>
      </c>
      <c r="I33" s="488">
        <f>D33/S33-1</f>
        <v>9.0909090909090828E-2</v>
      </c>
      <c r="Q33" s="159"/>
      <c r="R33" s="170">
        <v>5</v>
      </c>
      <c r="S33" s="1625">
        <v>165</v>
      </c>
      <c r="T33" s="1625"/>
      <c r="U33" s="171">
        <v>0.5</v>
      </c>
      <c r="V33" s="159"/>
      <c r="W33" s="159"/>
      <c r="X33" s="159"/>
      <c r="Y33" s="160"/>
      <c r="AK33" s="159"/>
      <c r="AL33" s="159"/>
      <c r="AM33" s="159"/>
    </row>
    <row r="34" spans="2:39">
      <c r="B34" s="159"/>
      <c r="C34" s="170">
        <v>5</v>
      </c>
      <c r="D34" s="1643">
        <v>130</v>
      </c>
      <c r="E34" s="1644"/>
      <c r="F34" s="171">
        <v>0.35</v>
      </c>
      <c r="G34" s="172">
        <v>0.4</v>
      </c>
      <c r="H34" s="172">
        <v>0.45</v>
      </c>
      <c r="I34" s="488">
        <f t="shared" ref="I34:I36" si="0">D34/S34-1</f>
        <v>8.3333333333333259E-2</v>
      </c>
      <c r="Q34" s="159"/>
      <c r="R34" s="170">
        <v>4</v>
      </c>
      <c r="S34" s="1631">
        <v>120</v>
      </c>
      <c r="T34" s="1631"/>
      <c r="U34" s="171">
        <v>0.4</v>
      </c>
      <c r="V34" s="159"/>
      <c r="W34" s="159"/>
      <c r="X34" s="159"/>
      <c r="Y34" s="160"/>
      <c r="AK34" s="159"/>
      <c r="AL34" s="159"/>
      <c r="AM34" s="159"/>
    </row>
    <row r="35" spans="2:39">
      <c r="B35" s="159"/>
      <c r="C35" s="170">
        <v>4</v>
      </c>
      <c r="D35" s="1643">
        <v>90</v>
      </c>
      <c r="E35" s="1644"/>
      <c r="F35" s="171">
        <v>0.25</v>
      </c>
      <c r="G35" s="172">
        <v>0.3</v>
      </c>
      <c r="H35" s="172">
        <v>0.35</v>
      </c>
      <c r="I35" s="488">
        <f t="shared" si="0"/>
        <v>0.125</v>
      </c>
      <c r="Q35" s="159"/>
      <c r="R35" s="170">
        <v>3</v>
      </c>
      <c r="S35" s="1631">
        <v>80</v>
      </c>
      <c r="T35" s="1631"/>
      <c r="U35" s="171">
        <v>0.3</v>
      </c>
      <c r="V35" s="159"/>
      <c r="W35" s="159"/>
      <c r="X35" s="159"/>
      <c r="Y35" s="160"/>
      <c r="AK35" s="159"/>
      <c r="AL35" s="159"/>
      <c r="AM35" s="159"/>
    </row>
    <row r="36" spans="2:39">
      <c r="B36" s="159"/>
      <c r="C36" s="170">
        <v>3</v>
      </c>
      <c r="D36" s="1643">
        <v>50</v>
      </c>
      <c r="E36" s="1644"/>
      <c r="F36" s="171">
        <v>0.15</v>
      </c>
      <c r="G36" s="172">
        <v>0.2</v>
      </c>
      <c r="H36" s="172">
        <v>0.25</v>
      </c>
      <c r="I36" s="488">
        <f t="shared" si="0"/>
        <v>0.11111111111111116</v>
      </c>
      <c r="Q36" s="159"/>
      <c r="R36" s="170">
        <v>2</v>
      </c>
      <c r="S36" s="1631">
        <v>45</v>
      </c>
      <c r="T36" s="1631"/>
      <c r="U36" s="171">
        <v>0.2</v>
      </c>
      <c r="V36" s="159"/>
      <c r="W36" s="159"/>
      <c r="X36" s="159"/>
      <c r="Y36" s="160"/>
      <c r="AK36" s="159"/>
      <c r="AL36" s="159"/>
      <c r="AM36" s="159"/>
    </row>
    <row r="37" spans="2:39">
      <c r="B37" s="143"/>
      <c r="C37" s="173">
        <v>2</v>
      </c>
      <c r="D37" s="1645">
        <v>30</v>
      </c>
      <c r="E37" s="1646"/>
      <c r="F37" s="171">
        <v>0.1</v>
      </c>
      <c r="G37" s="174">
        <v>0.15</v>
      </c>
      <c r="H37" s="174">
        <v>0.2</v>
      </c>
      <c r="I37" s="487"/>
      <c r="Q37" s="159"/>
      <c r="R37" s="175">
        <v>1</v>
      </c>
      <c r="S37" s="1630">
        <v>15</v>
      </c>
      <c r="T37" s="1630"/>
      <c r="U37" s="176">
        <v>0.1</v>
      </c>
      <c r="V37" s="159"/>
      <c r="W37" s="159"/>
      <c r="X37" s="159"/>
      <c r="Y37" s="160"/>
      <c r="AK37" s="159"/>
      <c r="AL37" s="159"/>
      <c r="AM37" s="159"/>
    </row>
    <row r="38" spans="2:39">
      <c r="B38" s="159"/>
      <c r="C38" s="175">
        <v>1</v>
      </c>
      <c r="D38" s="1628">
        <v>15</v>
      </c>
      <c r="E38" s="1629"/>
      <c r="F38" s="176">
        <v>0.08</v>
      </c>
      <c r="G38" s="177">
        <v>0.1</v>
      </c>
      <c r="H38" s="177">
        <v>0.12</v>
      </c>
      <c r="I38" s="159"/>
      <c r="Q38" s="159"/>
      <c r="R38" s="163" t="s">
        <v>23</v>
      </c>
      <c r="S38" s="159"/>
      <c r="T38" s="159"/>
      <c r="U38" s="159"/>
      <c r="V38" s="159"/>
      <c r="W38" s="159"/>
      <c r="X38" s="159"/>
      <c r="Y38" s="160"/>
      <c r="AK38" s="159"/>
      <c r="AL38" s="159"/>
      <c r="AM38" s="159"/>
    </row>
    <row r="39" spans="2:39">
      <c r="B39" s="159"/>
      <c r="C39" s="163" t="s">
        <v>23</v>
      </c>
      <c r="D39" s="159"/>
      <c r="E39" s="159"/>
      <c r="F39" s="159"/>
      <c r="G39" s="159"/>
      <c r="H39" s="159"/>
      <c r="I39" s="159"/>
      <c r="J39" s="143"/>
      <c r="Q39" s="159"/>
      <c r="R39" s="163" t="s">
        <v>1421</v>
      </c>
      <c r="S39" s="159"/>
      <c r="T39" s="159"/>
      <c r="U39" s="159"/>
      <c r="V39" s="159"/>
      <c r="W39" s="159"/>
      <c r="X39" s="159"/>
      <c r="Y39" s="160"/>
      <c r="Z39" s="159"/>
      <c r="AA39" s="159"/>
      <c r="AB39" s="159"/>
      <c r="AC39" s="159"/>
      <c r="AD39" s="159"/>
      <c r="AE39" s="178"/>
      <c r="AF39" s="159"/>
      <c r="AG39" s="159"/>
      <c r="AH39" s="159"/>
      <c r="AI39" s="159"/>
      <c r="AJ39" s="159"/>
      <c r="AK39" s="159"/>
      <c r="AL39" s="159"/>
      <c r="AM39" s="159"/>
    </row>
    <row r="40" spans="2:39">
      <c r="B40" s="159"/>
      <c r="C40" s="179" t="s">
        <v>24</v>
      </c>
      <c r="D40" s="159"/>
      <c r="E40" s="159"/>
      <c r="F40" s="159"/>
      <c r="G40" s="159"/>
      <c r="H40" s="159"/>
      <c r="I40" s="159"/>
      <c r="Y40" s="160"/>
      <c r="Z40" s="159"/>
      <c r="AA40" s="159"/>
      <c r="AB40" s="159"/>
      <c r="AC40" s="159"/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</row>
    <row r="41" spans="2:39">
      <c r="Q41" s="161" t="s">
        <v>6</v>
      </c>
      <c r="R41" s="159"/>
      <c r="S41" s="159"/>
      <c r="T41" s="159"/>
      <c r="U41" s="159"/>
    </row>
    <row r="42" spans="2:39">
      <c r="Q42" s="159"/>
      <c r="R42" s="159"/>
      <c r="S42" s="159"/>
      <c r="T42" s="159"/>
      <c r="U42" s="159"/>
    </row>
    <row r="43" spans="2:39">
      <c r="Q43" s="163" t="s">
        <v>8</v>
      </c>
      <c r="R43" s="163"/>
      <c r="S43" s="159"/>
      <c r="T43" s="159" t="s">
        <v>9</v>
      </c>
      <c r="U43" s="159"/>
    </row>
    <row r="44" spans="2:39">
      <c r="E44" s="159"/>
      <c r="F44" s="159"/>
      <c r="G44" s="159"/>
      <c r="H44" s="159"/>
      <c r="I44" s="159"/>
      <c r="Q44" s="159"/>
      <c r="R44" s="159"/>
      <c r="S44" s="159"/>
      <c r="T44" s="159" t="s">
        <v>360</v>
      </c>
      <c r="U44" s="159"/>
    </row>
    <row r="45" spans="2:39">
      <c r="E45" s="159"/>
      <c r="F45" s="159"/>
      <c r="G45" s="159"/>
      <c r="H45" s="159"/>
      <c r="I45" s="159"/>
      <c r="Q45" s="159"/>
      <c r="R45" s="159"/>
      <c r="S45" s="159"/>
      <c r="T45" s="159"/>
      <c r="U45" s="159"/>
    </row>
    <row r="46" spans="2:39" ht="16.5" customHeight="1">
      <c r="E46" s="159"/>
      <c r="F46" s="159"/>
      <c r="G46" s="159"/>
      <c r="H46" s="159"/>
      <c r="I46" s="159"/>
      <c r="Q46" s="163" t="s">
        <v>7</v>
      </c>
      <c r="R46" s="163"/>
      <c r="S46" s="159"/>
      <c r="T46" s="159" t="s">
        <v>10</v>
      </c>
      <c r="U46" s="159"/>
    </row>
    <row r="47" spans="2:39">
      <c r="E47" s="159"/>
      <c r="F47" s="159"/>
      <c r="G47" s="159"/>
      <c r="H47" s="159"/>
      <c r="I47" s="159"/>
      <c r="Q47" s="159"/>
      <c r="R47" s="159"/>
      <c r="S47" s="159"/>
      <c r="T47" s="159" t="s">
        <v>361</v>
      </c>
      <c r="U47" s="159"/>
    </row>
    <row r="49" spans="2:22">
      <c r="B49" s="161" t="s">
        <v>31</v>
      </c>
      <c r="Q49" s="161" t="s">
        <v>11</v>
      </c>
      <c r="R49" s="159"/>
      <c r="S49" s="159"/>
      <c r="T49" s="159"/>
      <c r="U49" s="159"/>
      <c r="V49" s="159"/>
    </row>
    <row r="50" spans="2:22">
      <c r="Q50" s="159"/>
      <c r="R50" s="159"/>
      <c r="S50" s="159"/>
      <c r="T50" s="159"/>
      <c r="U50" s="159"/>
      <c r="V50" s="159"/>
    </row>
    <row r="51" spans="2:22">
      <c r="B51" s="161"/>
      <c r="C51" s="180" t="s">
        <v>199</v>
      </c>
      <c r="D51" s="159"/>
      <c r="Q51" s="163" t="s">
        <v>12</v>
      </c>
      <c r="R51" s="163"/>
      <c r="S51" s="159"/>
      <c r="T51" s="159" t="s">
        <v>362</v>
      </c>
      <c r="U51" s="143"/>
      <c r="V51" s="159"/>
    </row>
    <row r="52" spans="2:22">
      <c r="B52" s="159"/>
      <c r="C52" s="159"/>
      <c r="D52" s="159"/>
      <c r="Q52" s="159"/>
      <c r="R52" s="159"/>
      <c r="S52" s="159"/>
      <c r="T52" s="159"/>
      <c r="U52" s="159"/>
      <c r="V52" s="159"/>
    </row>
    <row r="53" spans="2:22">
      <c r="B53" s="159"/>
      <c r="C53" s="181" t="s">
        <v>198</v>
      </c>
      <c r="D53" s="182" t="s">
        <v>14</v>
      </c>
      <c r="Q53" s="159" t="s">
        <v>1</v>
      </c>
      <c r="R53" s="159"/>
      <c r="S53" s="159"/>
      <c r="T53" s="159"/>
      <c r="U53" s="159"/>
      <c r="V53" s="159"/>
    </row>
    <row r="54" spans="2:22">
      <c r="B54" s="159"/>
      <c r="C54" s="183">
        <v>3</v>
      </c>
      <c r="D54" s="184">
        <v>0.08</v>
      </c>
      <c r="Q54" s="159"/>
      <c r="R54" s="159"/>
      <c r="S54" s="178"/>
      <c r="T54" s="159"/>
      <c r="U54" s="159"/>
      <c r="V54" s="159"/>
    </row>
    <row r="55" spans="2:22">
      <c r="C55" s="185">
        <v>5</v>
      </c>
      <c r="D55" s="186">
        <v>0.1</v>
      </c>
    </row>
    <row r="57" spans="2:22">
      <c r="B57" s="154" t="s">
        <v>355</v>
      </c>
    </row>
    <row r="59" spans="2:22">
      <c r="C59" s="140" t="s">
        <v>357</v>
      </c>
    </row>
    <row r="60" spans="2:22">
      <c r="C60" s="140"/>
    </row>
    <row r="61" spans="2:22">
      <c r="C61" s="141" t="s">
        <v>1412</v>
      </c>
    </row>
    <row r="62" spans="2:22">
      <c r="C62" s="140"/>
    </row>
    <row r="63" spans="2:22" ht="40.5" customHeight="1">
      <c r="C63" s="187" t="s">
        <v>202</v>
      </c>
      <c r="D63" s="188" t="s">
        <v>342</v>
      </c>
      <c r="E63" s="187" t="s">
        <v>229</v>
      </c>
      <c r="F63" s="415"/>
      <c r="G63" s="416"/>
    </row>
    <row r="64" spans="2:22" ht="17.100000000000001" customHeight="1">
      <c r="B64" s="442"/>
      <c r="C64" s="189" t="s">
        <v>203</v>
      </c>
      <c r="D64" s="190">
        <v>300</v>
      </c>
      <c r="E64" s="190">
        <v>6</v>
      </c>
      <c r="F64" s="1435"/>
      <c r="G64" s="141" t="s">
        <v>23</v>
      </c>
    </row>
    <row r="65" spans="2:9" ht="17.100000000000001" customHeight="1">
      <c r="B65" s="442"/>
      <c r="C65" s="189" t="s">
        <v>204</v>
      </c>
      <c r="D65" s="190">
        <v>150</v>
      </c>
      <c r="E65" s="190">
        <v>6</v>
      </c>
      <c r="F65" s="417"/>
      <c r="G65" s="141" t="s">
        <v>24</v>
      </c>
    </row>
    <row r="66" spans="2:9" ht="17.100000000000001" customHeight="1">
      <c r="B66" s="442"/>
      <c r="C66" s="191" t="s">
        <v>205</v>
      </c>
      <c r="D66" s="192">
        <v>75</v>
      </c>
      <c r="E66" s="192">
        <v>6</v>
      </c>
      <c r="F66" s="417"/>
      <c r="G66" s="418"/>
    </row>
    <row r="68" spans="2:9">
      <c r="C68" s="193" t="s">
        <v>358</v>
      </c>
    </row>
    <row r="69" spans="2:9">
      <c r="C69" s="434" t="s">
        <v>1413</v>
      </c>
    </row>
    <row r="70" spans="2:9">
      <c r="C70" s="193"/>
    </row>
    <row r="71" spans="2:9">
      <c r="E71" s="1640" t="s">
        <v>521</v>
      </c>
      <c r="F71" s="1641"/>
      <c r="G71" s="1642"/>
    </row>
    <row r="72" spans="2:9">
      <c r="C72" s="419"/>
      <c r="D72" s="253"/>
      <c r="E72" s="628" t="s">
        <v>203</v>
      </c>
      <c r="F72" s="629" t="s">
        <v>204</v>
      </c>
      <c r="G72" s="630" t="s">
        <v>205</v>
      </c>
    </row>
    <row r="73" spans="2:9">
      <c r="C73" s="422" t="s">
        <v>359</v>
      </c>
      <c r="D73" s="143"/>
      <c r="E73" s="430">
        <v>0.2</v>
      </c>
      <c r="F73" s="431">
        <v>0.15</v>
      </c>
      <c r="G73" s="432">
        <v>0.1</v>
      </c>
      <c r="H73" s="141" t="s">
        <v>1414</v>
      </c>
    </row>
    <row r="74" spans="2:9">
      <c r="C74" s="423" t="s">
        <v>375</v>
      </c>
      <c r="D74" s="424"/>
      <c r="E74" s="433">
        <v>0.1</v>
      </c>
      <c r="F74" s="425">
        <v>0.1</v>
      </c>
      <c r="G74" s="426">
        <v>0.1</v>
      </c>
      <c r="H74" s="141" t="s">
        <v>1415</v>
      </c>
    </row>
    <row r="76" spans="2:9">
      <c r="C76" s="141" t="s">
        <v>376</v>
      </c>
    </row>
    <row r="77" spans="2:9">
      <c r="C77" s="141" t="s">
        <v>231</v>
      </c>
    </row>
    <row r="79" spans="2:9">
      <c r="C79" s="435" t="s">
        <v>377</v>
      </c>
      <c r="D79" s="253"/>
      <c r="E79" s="253"/>
      <c r="F79" s="253"/>
      <c r="G79" s="427" t="s">
        <v>203</v>
      </c>
      <c r="H79" s="428" t="s">
        <v>204</v>
      </c>
      <c r="I79" s="429" t="s">
        <v>205</v>
      </c>
    </row>
    <row r="80" spans="2:9">
      <c r="C80" s="422" t="s">
        <v>381</v>
      </c>
      <c r="D80" s="143"/>
      <c r="E80" s="143"/>
      <c r="F80" s="143"/>
      <c r="G80" s="440" t="s">
        <v>290</v>
      </c>
      <c r="H80" s="420" t="s">
        <v>290</v>
      </c>
      <c r="I80" s="421"/>
    </row>
    <row r="81" spans="2:29">
      <c r="C81" s="422" t="s">
        <v>382</v>
      </c>
      <c r="D81" s="143"/>
      <c r="E81" s="143"/>
      <c r="F81" s="143"/>
      <c r="G81" s="173" t="s">
        <v>290</v>
      </c>
      <c r="H81" s="436"/>
      <c r="I81" s="437"/>
    </row>
    <row r="82" spans="2:29">
      <c r="C82" s="422" t="s">
        <v>378</v>
      </c>
      <c r="D82" s="143"/>
      <c r="E82" s="143"/>
      <c r="F82" s="143"/>
      <c r="G82" s="173" t="s">
        <v>384</v>
      </c>
      <c r="H82" s="436" t="s">
        <v>384</v>
      </c>
      <c r="I82" s="437" t="s">
        <v>384</v>
      </c>
    </row>
    <row r="83" spans="2:29">
      <c r="C83" s="422" t="s">
        <v>379</v>
      </c>
      <c r="D83" s="143"/>
      <c r="E83" s="143"/>
      <c r="F83" s="143"/>
      <c r="G83" s="173" t="s">
        <v>290</v>
      </c>
      <c r="H83" s="436" t="s">
        <v>290</v>
      </c>
      <c r="I83" s="437"/>
    </row>
    <row r="84" spans="2:29">
      <c r="C84" s="422" t="s">
        <v>380</v>
      </c>
      <c r="D84" s="143"/>
      <c r="E84" s="143"/>
      <c r="F84" s="143"/>
      <c r="G84" s="173" t="s">
        <v>290</v>
      </c>
      <c r="H84" s="436" t="s">
        <v>290</v>
      </c>
      <c r="I84" s="437"/>
    </row>
    <row r="85" spans="2:29">
      <c r="C85" s="422" t="s">
        <v>385</v>
      </c>
      <c r="D85" s="143"/>
      <c r="E85" s="143"/>
      <c r="F85" s="143"/>
      <c r="G85" s="173" t="s">
        <v>290</v>
      </c>
      <c r="H85" s="436" t="s">
        <v>290</v>
      </c>
      <c r="I85" s="437" t="s">
        <v>290</v>
      </c>
    </row>
    <row r="86" spans="2:29">
      <c r="C86" s="423" t="s">
        <v>383</v>
      </c>
      <c r="D86" s="424"/>
      <c r="E86" s="424"/>
      <c r="F86" s="424"/>
      <c r="G86" s="441" t="s">
        <v>290</v>
      </c>
      <c r="H86" s="438" t="s">
        <v>290</v>
      </c>
      <c r="I86" s="439" t="s">
        <v>290</v>
      </c>
    </row>
    <row r="90" spans="2:29" s="194" customFormat="1" ht="15.75" thickBot="1">
      <c r="O90" s="195"/>
    </row>
    <row r="91" spans="2:29" ht="15.75" thickTop="1"/>
    <row r="92" spans="2:29" s="197" customFormat="1" ht="18.75" customHeight="1">
      <c r="B92" s="196" t="s">
        <v>32</v>
      </c>
      <c r="O92" s="198"/>
      <c r="P92" s="199"/>
    </row>
    <row r="93" spans="2:29">
      <c r="Q93" s="161"/>
      <c r="R93" s="159"/>
      <c r="S93" s="159"/>
      <c r="T93" s="159"/>
      <c r="U93" s="159"/>
      <c r="V93" s="159"/>
      <c r="W93" s="159"/>
      <c r="X93" s="159"/>
      <c r="Y93" s="159"/>
      <c r="Z93" s="159"/>
      <c r="AA93" s="159"/>
      <c r="AB93" s="159"/>
      <c r="AC93" s="159"/>
    </row>
    <row r="94" spans="2:29">
      <c r="B94" s="155" t="s">
        <v>25</v>
      </c>
      <c r="C94" s="156"/>
      <c r="D94" s="156"/>
      <c r="E94" s="156"/>
      <c r="F94" s="156"/>
      <c r="G94" s="156"/>
      <c r="H94" s="156"/>
      <c r="I94" s="156"/>
      <c r="J94" s="156"/>
      <c r="K94" s="156"/>
      <c r="L94" s="156"/>
      <c r="M94" s="156"/>
      <c r="N94" s="156"/>
      <c r="Q94" s="161"/>
      <c r="R94" s="159"/>
      <c r="S94" s="159"/>
      <c r="T94" s="159"/>
      <c r="U94" s="159"/>
      <c r="V94" s="159"/>
      <c r="W94" s="159"/>
      <c r="X94" s="159"/>
      <c r="Y94" s="159"/>
      <c r="Z94" s="159"/>
      <c r="AA94" s="159"/>
      <c r="AB94" s="159"/>
      <c r="AC94" s="159"/>
    </row>
    <row r="95" spans="2:29">
      <c r="B95" s="158"/>
      <c r="C95" s="39" t="s">
        <v>386</v>
      </c>
      <c r="D95" s="39"/>
      <c r="E95" s="39"/>
      <c r="F95" s="39"/>
      <c r="G95" s="156"/>
      <c r="H95" s="156"/>
      <c r="I95" s="156"/>
      <c r="J95" s="156"/>
      <c r="K95" s="156"/>
      <c r="L95" s="156"/>
      <c r="M95" s="156"/>
      <c r="N95" s="156"/>
      <c r="Q95" s="161"/>
      <c r="R95" s="159"/>
      <c r="S95" s="159"/>
      <c r="T95" s="159"/>
      <c r="U95" s="159"/>
      <c r="V95" s="159"/>
      <c r="W95" s="159"/>
      <c r="X95" s="159"/>
      <c r="Y95" s="159"/>
      <c r="Z95" s="159"/>
      <c r="AA95" s="159"/>
      <c r="AB95" s="159"/>
      <c r="AC95" s="159"/>
    </row>
    <row r="96" spans="2:29">
      <c r="B96" s="158"/>
      <c r="C96" s="39" t="s">
        <v>542</v>
      </c>
      <c r="D96" s="156"/>
      <c r="E96" s="156"/>
      <c r="F96" s="156"/>
      <c r="G96" s="156"/>
      <c r="H96" s="156"/>
      <c r="I96" s="156"/>
      <c r="J96" s="156"/>
      <c r="K96" s="156"/>
      <c r="L96" s="156"/>
      <c r="M96" s="156"/>
      <c r="N96" s="156"/>
      <c r="Q96" s="161"/>
      <c r="R96" s="159"/>
      <c r="S96" s="159"/>
      <c r="T96" s="159"/>
      <c r="U96" s="159"/>
      <c r="V96" s="159"/>
      <c r="W96" s="159"/>
      <c r="X96" s="159"/>
      <c r="Y96" s="159"/>
      <c r="Z96" s="159"/>
      <c r="AA96" s="159"/>
      <c r="AB96" s="159"/>
      <c r="AC96" s="159"/>
    </row>
    <row r="97" spans="2:29">
      <c r="B97" s="156"/>
      <c r="C97" s="156"/>
      <c r="D97" s="39" t="s">
        <v>1418</v>
      </c>
      <c r="E97" s="156"/>
      <c r="F97" s="156"/>
      <c r="G97" s="156"/>
      <c r="H97" s="156"/>
      <c r="I97" s="156"/>
      <c r="J97" s="156"/>
      <c r="K97" s="156"/>
      <c r="L97" s="156"/>
      <c r="M97" s="156"/>
      <c r="N97" s="156"/>
      <c r="Q97" s="161"/>
      <c r="R97" s="159"/>
      <c r="S97" s="159"/>
      <c r="T97" s="159"/>
      <c r="U97" s="159"/>
      <c r="V97" s="159"/>
      <c r="W97" s="159"/>
      <c r="X97" s="159"/>
      <c r="Y97" s="159"/>
      <c r="Z97" s="159"/>
      <c r="AA97" s="159"/>
      <c r="AB97" s="159"/>
      <c r="AC97" s="159"/>
    </row>
    <row r="98" spans="2:29">
      <c r="B98" s="156"/>
      <c r="C98" s="156"/>
      <c r="D98" s="39" t="s">
        <v>1419</v>
      </c>
      <c r="E98" s="156"/>
      <c r="F98" s="156"/>
      <c r="G98" s="156"/>
      <c r="H98" s="156"/>
      <c r="I98" s="156"/>
      <c r="J98" s="156"/>
      <c r="K98" s="156"/>
      <c r="L98" s="156"/>
      <c r="M98" s="156"/>
      <c r="N98" s="156"/>
      <c r="Q98" s="161"/>
      <c r="R98" s="159"/>
      <c r="S98" s="159"/>
      <c r="T98" s="159"/>
      <c r="U98" s="159"/>
      <c r="V98" s="159"/>
      <c r="W98" s="159"/>
      <c r="X98" s="159"/>
      <c r="Y98" s="159"/>
      <c r="Z98" s="159"/>
      <c r="AA98" s="159"/>
      <c r="AB98" s="159"/>
      <c r="AC98" s="159"/>
    </row>
    <row r="99" spans="2:29">
      <c r="B99" s="156"/>
      <c r="C99" s="156"/>
      <c r="D99" s="39" t="s">
        <v>538</v>
      </c>
      <c r="E99" s="156"/>
      <c r="F99" s="156"/>
      <c r="G99" s="156"/>
      <c r="H99" s="156"/>
      <c r="I99" s="156"/>
      <c r="J99" s="156"/>
      <c r="K99" s="156"/>
      <c r="L99" s="156"/>
      <c r="M99" s="156"/>
      <c r="N99" s="156"/>
      <c r="Q99" s="161"/>
      <c r="R99" s="159"/>
      <c r="S99" s="159"/>
      <c r="T99" s="159"/>
      <c r="U99" s="159"/>
      <c r="V99" s="159"/>
      <c r="W99" s="159"/>
      <c r="X99" s="159"/>
      <c r="Y99" s="159"/>
      <c r="Z99" s="159"/>
      <c r="AA99" s="159"/>
      <c r="AB99" s="159"/>
      <c r="AC99" s="159"/>
    </row>
    <row r="100" spans="2:29">
      <c r="B100" s="158"/>
      <c r="C100" s="39" t="s">
        <v>543</v>
      </c>
      <c r="D100" s="39"/>
      <c r="E100" s="39"/>
      <c r="F100" s="156"/>
      <c r="G100" s="156"/>
      <c r="H100" s="156"/>
      <c r="I100" s="156"/>
      <c r="J100" s="156"/>
      <c r="K100" s="156"/>
      <c r="L100" s="156"/>
      <c r="M100" s="156"/>
      <c r="N100" s="156"/>
      <c r="Q100" s="161"/>
      <c r="R100" s="159"/>
      <c r="S100" s="159"/>
      <c r="T100" s="159"/>
      <c r="U100" s="159"/>
      <c r="V100" s="159"/>
      <c r="W100" s="159"/>
      <c r="X100" s="159"/>
      <c r="Y100" s="159"/>
      <c r="Z100" s="159"/>
      <c r="AA100" s="159"/>
      <c r="AB100" s="159"/>
      <c r="AC100" s="159"/>
    </row>
    <row r="101" spans="2:29">
      <c r="B101" s="158"/>
      <c r="C101" s="39" t="s">
        <v>544</v>
      </c>
      <c r="D101" s="39"/>
      <c r="E101" s="39"/>
      <c r="F101" s="156"/>
      <c r="G101" s="156"/>
      <c r="H101" s="156"/>
      <c r="I101" s="156"/>
      <c r="J101" s="156"/>
      <c r="K101" s="156"/>
      <c r="L101" s="156"/>
      <c r="M101" s="156"/>
      <c r="N101" s="156"/>
      <c r="Q101" s="161"/>
      <c r="R101" s="159"/>
      <c r="S101" s="159"/>
      <c r="T101" s="159"/>
      <c r="U101" s="159"/>
      <c r="V101" s="159"/>
      <c r="W101" s="159"/>
      <c r="X101" s="159"/>
      <c r="Y101" s="159"/>
      <c r="Z101" s="159"/>
      <c r="AA101" s="159"/>
      <c r="AB101" s="159"/>
      <c r="AC101" s="159"/>
    </row>
    <row r="102" spans="2:29">
      <c r="B102" s="158"/>
      <c r="C102" s="39"/>
      <c r="D102" s="39" t="s">
        <v>387</v>
      </c>
      <c r="E102" s="39"/>
      <c r="F102" s="156"/>
      <c r="G102" s="156"/>
      <c r="H102" s="156"/>
      <c r="I102" s="156"/>
      <c r="J102" s="156"/>
      <c r="K102" s="156"/>
      <c r="L102" s="156"/>
      <c r="M102" s="156"/>
      <c r="N102" s="156"/>
      <c r="Q102" s="161"/>
      <c r="R102" s="159"/>
      <c r="S102" s="159"/>
      <c r="T102" s="159"/>
      <c r="U102" s="159"/>
      <c r="V102" s="159"/>
      <c r="W102" s="159"/>
      <c r="X102" s="159"/>
      <c r="Y102" s="159"/>
      <c r="Z102" s="159"/>
      <c r="AA102" s="159"/>
      <c r="AB102" s="159"/>
      <c r="AC102" s="159"/>
    </row>
    <row r="103" spans="2:29">
      <c r="B103" s="158"/>
      <c r="C103" s="39"/>
      <c r="D103" s="39" t="s">
        <v>353</v>
      </c>
      <c r="E103" s="39"/>
      <c r="F103" s="39"/>
      <c r="G103" s="156"/>
      <c r="H103" s="156"/>
      <c r="I103" s="156"/>
      <c r="J103" s="156"/>
      <c r="K103" s="156"/>
      <c r="L103" s="156"/>
      <c r="M103" s="156"/>
      <c r="N103" s="156"/>
      <c r="Q103" s="161"/>
      <c r="R103" s="159"/>
      <c r="S103" s="159"/>
      <c r="T103" s="159"/>
      <c r="U103" s="159"/>
      <c r="V103" s="159"/>
      <c r="W103" s="159"/>
      <c r="X103" s="159"/>
      <c r="Y103" s="159"/>
      <c r="Z103" s="159"/>
      <c r="AA103" s="159"/>
      <c r="AB103" s="159"/>
      <c r="AC103" s="159"/>
    </row>
    <row r="104" spans="2:29">
      <c r="B104" s="158"/>
      <c r="C104" s="39"/>
      <c r="D104" s="39" t="s">
        <v>536</v>
      </c>
      <c r="E104" s="39"/>
      <c r="F104" s="39"/>
      <c r="G104" s="156"/>
      <c r="H104" s="156"/>
      <c r="I104" s="156"/>
      <c r="J104" s="156"/>
      <c r="K104" s="156"/>
      <c r="L104" s="156"/>
      <c r="M104" s="156"/>
      <c r="N104" s="156"/>
      <c r="Q104" s="161"/>
      <c r="R104" s="159"/>
      <c r="S104" s="159"/>
      <c r="T104" s="159"/>
      <c r="U104" s="159"/>
      <c r="V104" s="159"/>
      <c r="W104" s="159"/>
      <c r="X104" s="159"/>
      <c r="Y104" s="159"/>
      <c r="Z104" s="159"/>
      <c r="AA104" s="159"/>
      <c r="AB104" s="159"/>
      <c r="AC104" s="159"/>
    </row>
    <row r="105" spans="2:29">
      <c r="B105" s="158"/>
      <c r="C105" s="39" t="s">
        <v>545</v>
      </c>
      <c r="D105" s="39"/>
      <c r="E105" s="39"/>
      <c r="F105" s="39"/>
      <c r="G105" s="156"/>
      <c r="H105" s="156"/>
      <c r="I105" s="156"/>
      <c r="J105" s="156"/>
      <c r="K105" s="156"/>
      <c r="L105" s="156"/>
      <c r="M105" s="156"/>
      <c r="N105" s="156"/>
      <c r="Q105" s="161"/>
      <c r="R105" s="159"/>
      <c r="S105" s="159"/>
      <c r="T105" s="159"/>
      <c r="U105" s="159"/>
      <c r="V105" s="159"/>
      <c r="W105" s="159"/>
      <c r="X105" s="159"/>
      <c r="Y105" s="159"/>
      <c r="Z105" s="159"/>
      <c r="AA105" s="159"/>
      <c r="AB105" s="159"/>
      <c r="AC105" s="159"/>
    </row>
    <row r="106" spans="2:29">
      <c r="B106" s="158"/>
      <c r="C106" s="39" t="s">
        <v>546</v>
      </c>
      <c r="D106" s="39"/>
      <c r="E106" s="39"/>
      <c r="F106" s="39"/>
      <c r="G106" s="156"/>
      <c r="H106" s="156"/>
      <c r="I106" s="156"/>
      <c r="J106" s="156"/>
      <c r="K106" s="156"/>
      <c r="L106" s="156"/>
      <c r="M106" s="156"/>
      <c r="N106" s="156"/>
      <c r="Q106" s="161"/>
      <c r="R106" s="159"/>
      <c r="S106" s="159"/>
      <c r="T106" s="159"/>
      <c r="U106" s="159"/>
      <c r="V106" s="159"/>
      <c r="W106" s="159"/>
      <c r="X106" s="159"/>
      <c r="Y106" s="159"/>
      <c r="Z106" s="159"/>
      <c r="AA106" s="159"/>
      <c r="AB106" s="159"/>
      <c r="AC106" s="159"/>
    </row>
    <row r="107" spans="2:29">
      <c r="B107" s="158"/>
      <c r="C107" s="39" t="s">
        <v>547</v>
      </c>
      <c r="D107" s="39"/>
      <c r="E107" s="39"/>
      <c r="F107" s="39"/>
      <c r="G107" s="156"/>
      <c r="H107" s="156"/>
      <c r="I107" s="156"/>
      <c r="J107" s="156"/>
      <c r="K107" s="156"/>
      <c r="L107" s="156"/>
      <c r="M107" s="156"/>
      <c r="N107" s="156"/>
      <c r="Q107" s="161"/>
      <c r="R107" s="159"/>
      <c r="S107" s="159"/>
      <c r="T107" s="159"/>
      <c r="U107" s="159"/>
      <c r="V107" s="159"/>
      <c r="W107" s="159"/>
      <c r="X107" s="159"/>
      <c r="Y107" s="159"/>
      <c r="Z107" s="159"/>
      <c r="AA107" s="159"/>
      <c r="AB107" s="159"/>
      <c r="AC107" s="159"/>
    </row>
    <row r="108" spans="2:29">
      <c r="B108" s="158"/>
      <c r="C108" s="39"/>
      <c r="D108" s="39" t="s">
        <v>539</v>
      </c>
      <c r="E108" s="39"/>
      <c r="F108" s="39"/>
      <c r="G108" s="156"/>
      <c r="H108" s="156"/>
      <c r="I108" s="156"/>
      <c r="J108" s="156"/>
      <c r="K108" s="156"/>
      <c r="L108" s="156"/>
      <c r="M108" s="156"/>
      <c r="N108" s="156"/>
      <c r="Q108" s="161"/>
      <c r="R108" s="159"/>
      <c r="S108" s="159"/>
      <c r="T108" s="159"/>
      <c r="U108" s="159"/>
      <c r="V108" s="159"/>
      <c r="W108" s="159"/>
      <c r="X108" s="159"/>
      <c r="Y108" s="159"/>
      <c r="Z108" s="159"/>
      <c r="AA108" s="159"/>
      <c r="AB108" s="159"/>
      <c r="AC108" s="159"/>
    </row>
    <row r="109" spans="2:29">
      <c r="B109" s="158"/>
      <c r="C109" s="39"/>
      <c r="D109" s="39" t="s">
        <v>540</v>
      </c>
      <c r="E109" s="39"/>
      <c r="F109" s="39"/>
      <c r="G109" s="156"/>
      <c r="H109" s="156"/>
      <c r="I109" s="156"/>
      <c r="J109" s="156"/>
      <c r="K109" s="156"/>
      <c r="L109" s="156"/>
      <c r="M109" s="156"/>
      <c r="N109" s="156"/>
      <c r="Q109" s="161"/>
      <c r="R109" s="159"/>
      <c r="S109" s="159"/>
      <c r="T109" s="159"/>
      <c r="U109" s="159"/>
      <c r="V109" s="159"/>
      <c r="W109" s="159"/>
      <c r="X109" s="159"/>
      <c r="Y109" s="159"/>
      <c r="Z109" s="159"/>
      <c r="AA109" s="159"/>
      <c r="AB109" s="159"/>
      <c r="AC109" s="159"/>
    </row>
    <row r="110" spans="2:29">
      <c r="B110" s="158"/>
      <c r="C110" s="39" t="s">
        <v>548</v>
      </c>
      <c r="D110" s="39"/>
      <c r="E110" s="39"/>
      <c r="F110" s="39"/>
      <c r="G110" s="156"/>
      <c r="H110" s="156"/>
      <c r="I110" s="156"/>
      <c r="J110" s="156"/>
      <c r="K110" s="156"/>
      <c r="L110" s="156"/>
      <c r="M110" s="156"/>
      <c r="N110" s="156"/>
      <c r="Q110" s="161"/>
      <c r="R110" s="159"/>
      <c r="S110" s="159"/>
      <c r="T110" s="159"/>
      <c r="U110" s="159"/>
      <c r="V110" s="159"/>
      <c r="W110" s="159"/>
      <c r="X110" s="159"/>
      <c r="Y110" s="159"/>
      <c r="Z110" s="159"/>
      <c r="AA110" s="159"/>
      <c r="AB110" s="159"/>
      <c r="AC110" s="159"/>
    </row>
    <row r="111" spans="2:29">
      <c r="B111" s="158"/>
      <c r="C111" s="39"/>
      <c r="D111" s="39"/>
      <c r="E111" s="39"/>
      <c r="F111" s="39"/>
      <c r="G111" s="156"/>
      <c r="H111" s="156"/>
      <c r="I111" s="156"/>
      <c r="J111" s="156"/>
      <c r="K111" s="156"/>
      <c r="L111" s="156"/>
      <c r="M111" s="156"/>
      <c r="N111" s="156"/>
      <c r="Q111" s="161"/>
      <c r="R111" s="159"/>
      <c r="S111" s="159"/>
      <c r="T111" s="159"/>
      <c r="U111" s="159"/>
      <c r="V111" s="159"/>
      <c r="W111" s="159"/>
      <c r="X111" s="159"/>
      <c r="Y111" s="159"/>
      <c r="Z111" s="159"/>
      <c r="AA111" s="159"/>
      <c r="AB111" s="159"/>
      <c r="AC111" s="159"/>
    </row>
    <row r="112" spans="2:29">
      <c r="B112" s="156"/>
      <c r="C112" s="39"/>
      <c r="D112" s="39"/>
      <c r="E112" s="156"/>
      <c r="F112" s="156"/>
      <c r="G112" s="156"/>
      <c r="H112" s="156"/>
      <c r="I112" s="156"/>
      <c r="J112" s="156"/>
      <c r="K112" s="156"/>
      <c r="L112" s="156"/>
      <c r="M112" s="156"/>
      <c r="N112" s="156"/>
      <c r="Q112" s="161"/>
      <c r="R112" s="159"/>
      <c r="S112" s="159"/>
      <c r="T112" s="159"/>
      <c r="U112" s="159"/>
      <c r="V112" s="159"/>
      <c r="W112" s="159"/>
      <c r="X112" s="159"/>
      <c r="Y112" s="159"/>
      <c r="Z112" s="159"/>
      <c r="AA112" s="159"/>
      <c r="AB112" s="159"/>
      <c r="AC112" s="159"/>
    </row>
    <row r="113" spans="2:29">
      <c r="Q113" s="161"/>
      <c r="R113" s="159"/>
      <c r="S113" s="159"/>
      <c r="T113" s="159"/>
      <c r="U113" s="159"/>
      <c r="V113" s="159"/>
      <c r="W113" s="159"/>
      <c r="X113" s="159"/>
      <c r="Y113" s="159"/>
      <c r="Z113" s="159"/>
      <c r="AA113" s="159"/>
      <c r="AB113" s="159"/>
      <c r="AC113" s="159"/>
    </row>
    <row r="114" spans="2:29">
      <c r="Q114" s="161"/>
      <c r="R114" s="159"/>
      <c r="S114" s="159"/>
      <c r="T114" s="159"/>
      <c r="U114" s="159"/>
      <c r="V114" s="159"/>
      <c r="W114" s="159"/>
      <c r="X114" s="159"/>
      <c r="Y114" s="159"/>
      <c r="Z114" s="159"/>
      <c r="AA114" s="159"/>
      <c r="AB114" s="159"/>
      <c r="AC114" s="159"/>
    </row>
    <row r="115" spans="2:29">
      <c r="Q115" s="161"/>
      <c r="R115" s="159"/>
      <c r="S115" s="159"/>
      <c r="T115" s="159"/>
      <c r="U115" s="159"/>
      <c r="V115" s="159"/>
      <c r="W115" s="159"/>
      <c r="X115" s="159"/>
      <c r="Y115" s="159"/>
      <c r="Z115" s="159"/>
      <c r="AA115" s="159"/>
      <c r="AB115" s="159"/>
      <c r="AC115" s="159"/>
    </row>
    <row r="116" spans="2:29">
      <c r="Q116" s="161"/>
      <c r="R116" s="159"/>
      <c r="S116" s="159"/>
      <c r="T116" s="159"/>
      <c r="U116" s="159"/>
      <c r="V116" s="159"/>
      <c r="W116" s="159"/>
      <c r="X116" s="159"/>
      <c r="Y116" s="159"/>
      <c r="Z116" s="159"/>
      <c r="AA116" s="159"/>
      <c r="AB116" s="159"/>
      <c r="AC116" s="159"/>
    </row>
    <row r="117" spans="2:29">
      <c r="Q117" s="161"/>
      <c r="R117" s="159"/>
      <c r="S117" s="159"/>
      <c r="T117" s="159"/>
      <c r="U117" s="159"/>
      <c r="V117" s="159"/>
      <c r="W117" s="159"/>
      <c r="X117" s="159"/>
      <c r="Y117" s="159"/>
      <c r="Z117" s="159"/>
      <c r="AA117" s="159"/>
      <c r="AB117" s="159"/>
      <c r="AC117" s="159"/>
    </row>
    <row r="118" spans="2:29" s="201" customFormat="1">
      <c r="B118" s="200" t="s">
        <v>33</v>
      </c>
      <c r="O118" s="202"/>
      <c r="P118" s="203" t="s">
        <v>33</v>
      </c>
      <c r="Q118" s="204"/>
      <c r="R118" s="205"/>
      <c r="S118" s="204"/>
      <c r="T118" s="204"/>
      <c r="U118" s="204"/>
      <c r="V118" s="204"/>
      <c r="W118" s="204"/>
      <c r="X118" s="204"/>
      <c r="Y118" s="204"/>
      <c r="Z118" s="204"/>
      <c r="AA118" s="204"/>
      <c r="AB118" s="204"/>
      <c r="AC118" s="204"/>
    </row>
    <row r="119" spans="2:29">
      <c r="Q119" s="159"/>
      <c r="R119" s="159"/>
      <c r="S119" s="206"/>
      <c r="T119" s="159"/>
      <c r="U119" s="159"/>
      <c r="V119" s="159"/>
      <c r="W119" s="159"/>
      <c r="X119" s="159"/>
      <c r="Y119" s="159"/>
      <c r="Z119" s="159"/>
      <c r="AA119" s="159"/>
      <c r="AB119" s="159"/>
      <c r="AC119" s="159"/>
    </row>
    <row r="120" spans="2:29">
      <c r="B120" s="443"/>
      <c r="C120" s="443"/>
      <c r="D120" s="443"/>
      <c r="E120" s="443"/>
      <c r="F120" s="443"/>
      <c r="G120" s="443"/>
      <c r="H120" s="443"/>
      <c r="I120" s="443"/>
      <c r="J120" s="443"/>
      <c r="K120" s="443"/>
      <c r="L120" s="443"/>
      <c r="M120" s="443"/>
      <c r="N120" s="443"/>
      <c r="Q120" s="207" t="s">
        <v>34</v>
      </c>
      <c r="R120" s="208"/>
      <c r="S120" s="209" t="s">
        <v>35</v>
      </c>
      <c r="T120" s="208"/>
      <c r="U120" s="210"/>
      <c r="V120" s="207" t="s">
        <v>36</v>
      </c>
      <c r="W120" s="211"/>
      <c r="X120" s="211"/>
      <c r="Y120" s="212"/>
      <c r="Z120" s="159"/>
      <c r="AA120" s="159"/>
      <c r="AB120" s="159"/>
      <c r="AC120" s="159"/>
    </row>
    <row r="121" spans="2:29">
      <c r="B121" s="443"/>
      <c r="C121" s="444" t="s">
        <v>388</v>
      </c>
      <c r="D121" s="443"/>
      <c r="E121" s="443"/>
      <c r="F121" s="443"/>
      <c r="G121" s="443"/>
      <c r="H121" s="444" t="s">
        <v>36</v>
      </c>
      <c r="I121" s="443"/>
      <c r="J121" s="443"/>
      <c r="K121" s="443"/>
      <c r="L121" s="443"/>
      <c r="M121" s="443"/>
      <c r="N121" s="443"/>
      <c r="Q121" s="213" t="s">
        <v>37</v>
      </c>
      <c r="R121" s="213"/>
      <c r="S121" s="213" t="s">
        <v>38</v>
      </c>
      <c r="T121" s="213"/>
      <c r="U121" s="213"/>
      <c r="V121" s="213" t="s">
        <v>39</v>
      </c>
      <c r="W121" s="212"/>
      <c r="X121" s="212"/>
      <c r="Y121" s="212"/>
      <c r="Z121" s="159"/>
      <c r="AA121" s="159"/>
      <c r="AB121" s="159"/>
      <c r="AC121" s="159"/>
    </row>
    <row r="122" spans="2:29">
      <c r="B122" s="443"/>
      <c r="C122" s="443"/>
      <c r="D122" s="443"/>
      <c r="E122" s="443"/>
      <c r="F122" s="443"/>
      <c r="G122" s="443"/>
      <c r="H122" s="443"/>
      <c r="I122" s="443"/>
      <c r="J122" s="443"/>
      <c r="K122" s="443"/>
      <c r="L122" s="443"/>
      <c r="M122" s="443"/>
      <c r="N122" s="443"/>
      <c r="Q122" s="213" t="s">
        <v>40</v>
      </c>
      <c r="R122" s="213"/>
      <c r="S122" s="213" t="s">
        <v>38</v>
      </c>
      <c r="T122" s="213"/>
      <c r="U122" s="213"/>
      <c r="V122" s="214"/>
      <c r="W122" s="214"/>
      <c r="X122" s="212"/>
      <c r="Y122" s="212" t="s">
        <v>1</v>
      </c>
      <c r="Z122" s="159"/>
      <c r="AA122" s="159"/>
      <c r="AB122" s="159"/>
      <c r="AC122" s="159"/>
    </row>
    <row r="123" spans="2:29">
      <c r="B123" s="443"/>
      <c r="C123" s="743" t="s">
        <v>616</v>
      </c>
      <c r="D123" s="746" t="s">
        <v>271</v>
      </c>
      <c r="E123" s="1303"/>
      <c r="F123" s="443"/>
      <c r="G123" s="443"/>
      <c r="H123" s="743" t="s">
        <v>616</v>
      </c>
      <c r="I123" s="746" t="s">
        <v>271</v>
      </c>
      <c r="J123" s="1304"/>
      <c r="K123" s="443"/>
      <c r="L123" s="443"/>
      <c r="M123" s="443"/>
      <c r="N123" s="443"/>
      <c r="Q123" s="215" t="s">
        <v>41</v>
      </c>
      <c r="R123" s="213"/>
      <c r="S123" s="216" t="s">
        <v>42</v>
      </c>
      <c r="T123" s="213"/>
      <c r="U123" s="213"/>
      <c r="V123" s="214"/>
      <c r="W123" s="214"/>
      <c r="X123" s="217"/>
      <c r="Y123" s="218"/>
      <c r="Z123" s="219"/>
      <c r="AA123" s="219"/>
      <c r="AB123" s="219"/>
      <c r="AC123" s="219"/>
    </row>
    <row r="124" spans="2:29">
      <c r="B124" s="443"/>
      <c r="C124" s="750" t="s">
        <v>16</v>
      </c>
      <c r="D124" s="747"/>
      <c r="E124" s="1415"/>
      <c r="F124" s="443"/>
      <c r="G124" s="443"/>
      <c r="H124" s="750" t="s">
        <v>16</v>
      </c>
      <c r="I124" s="747"/>
      <c r="J124" s="1417"/>
      <c r="K124" s="443"/>
      <c r="L124" s="443"/>
      <c r="M124" s="443"/>
      <c r="N124" s="443"/>
      <c r="Q124" s="220" t="s">
        <v>43</v>
      </c>
      <c r="R124" s="210"/>
      <c r="S124" s="210"/>
      <c r="T124" s="210"/>
      <c r="U124" s="210"/>
      <c r="V124" s="221" t="s">
        <v>44</v>
      </c>
      <c r="W124" s="31"/>
      <c r="X124" s="212"/>
      <c r="Y124" s="212"/>
      <c r="Z124" s="219"/>
      <c r="AA124" s="219"/>
      <c r="AB124" s="219"/>
      <c r="AC124" s="219"/>
    </row>
    <row r="125" spans="2:29">
      <c r="B125" s="443"/>
      <c r="C125" s="744">
        <v>0</v>
      </c>
      <c r="D125" s="748">
        <v>0.12</v>
      </c>
      <c r="E125" s="1415"/>
      <c r="F125" s="443"/>
      <c r="G125" s="443"/>
      <c r="H125" s="746">
        <v>0</v>
      </c>
      <c r="I125" s="791">
        <v>0.04</v>
      </c>
      <c r="J125" s="1417"/>
      <c r="K125" s="443"/>
      <c r="L125" s="443"/>
      <c r="M125" s="443"/>
      <c r="N125" s="443"/>
      <c r="Q125" s="222" t="s">
        <v>363</v>
      </c>
      <c r="R125" s="223"/>
      <c r="S125" s="224"/>
      <c r="T125" s="224" t="s">
        <v>1</v>
      </c>
      <c r="U125" s="225"/>
      <c r="V125" s="226" t="s">
        <v>45</v>
      </c>
      <c r="W125" s="217"/>
      <c r="X125" s="212"/>
      <c r="Y125" s="227"/>
      <c r="Z125" s="219"/>
      <c r="AA125" s="219"/>
      <c r="AB125" s="219"/>
      <c r="AC125" s="219"/>
    </row>
    <row r="126" spans="2:29">
      <c r="B126" s="443"/>
      <c r="C126" s="744">
        <v>50</v>
      </c>
      <c r="D126" s="748">
        <v>0.15</v>
      </c>
      <c r="E126" s="1415"/>
      <c r="F126" s="443"/>
      <c r="G126" s="443"/>
      <c r="H126" s="789">
        <v>150</v>
      </c>
      <c r="I126" s="748">
        <v>0.05</v>
      </c>
      <c r="J126" s="1416"/>
      <c r="K126" s="443"/>
      <c r="L126" s="443"/>
      <c r="M126" s="443"/>
      <c r="N126" s="443"/>
      <c r="Q126" s="222" t="s">
        <v>364</v>
      </c>
      <c r="R126" s="212"/>
      <c r="S126" s="212"/>
      <c r="T126" s="212"/>
      <c r="U126" s="228"/>
      <c r="V126" s="226" t="s">
        <v>46</v>
      </c>
      <c r="W126" s="212"/>
      <c r="X126" s="31"/>
      <c r="Y126" s="212"/>
      <c r="Z126" s="219"/>
      <c r="AA126" s="219"/>
      <c r="AB126" s="219"/>
      <c r="AC126" s="219"/>
    </row>
    <row r="127" spans="2:29">
      <c r="B127" s="443"/>
      <c r="C127" s="744">
        <v>150</v>
      </c>
      <c r="D127" s="748">
        <v>0.17</v>
      </c>
      <c r="E127" s="443"/>
      <c r="F127" s="443"/>
      <c r="G127" s="443"/>
      <c r="H127" s="789">
        <v>500</v>
      </c>
      <c r="I127" s="748">
        <v>0.06</v>
      </c>
      <c r="J127" s="443"/>
      <c r="K127" s="443"/>
      <c r="L127" s="443"/>
      <c r="M127" s="443"/>
      <c r="N127" s="443"/>
      <c r="Q127" s="222" t="s">
        <v>365</v>
      </c>
      <c r="R127" s="212"/>
      <c r="S127" s="212"/>
      <c r="T127" s="212"/>
      <c r="U127" s="229"/>
      <c r="V127" s="31"/>
      <c r="W127" s="212"/>
      <c r="X127" s="230"/>
      <c r="Y127" s="214"/>
      <c r="Z127" s="219"/>
      <c r="AA127" s="219"/>
      <c r="AB127" s="219"/>
      <c r="AC127" s="219"/>
    </row>
    <row r="128" spans="2:29">
      <c r="B128" s="443"/>
      <c r="C128" s="745">
        <v>300</v>
      </c>
      <c r="D128" s="749">
        <v>0.2</v>
      </c>
      <c r="E128" s="443"/>
      <c r="F128" s="443"/>
      <c r="G128" s="443"/>
      <c r="H128" s="790">
        <v>700</v>
      </c>
      <c r="I128" s="749">
        <v>7.0000000000000007E-2</v>
      </c>
      <c r="J128" s="443"/>
      <c r="K128" s="443"/>
      <c r="L128" s="443"/>
      <c r="M128" s="443"/>
      <c r="N128" s="443"/>
      <c r="Q128" s="222" t="s">
        <v>47</v>
      </c>
      <c r="R128" s="212"/>
      <c r="S128" s="212"/>
      <c r="T128" s="227"/>
      <c r="U128" s="229"/>
      <c r="V128" s="229" t="s">
        <v>48</v>
      </c>
      <c r="W128" s="212"/>
      <c r="X128" s="231"/>
      <c r="Y128" s="214"/>
      <c r="Z128" s="219"/>
      <c r="AA128" s="219"/>
      <c r="AB128" s="219"/>
      <c r="AC128" s="219"/>
    </row>
    <row r="129" spans="2:29">
      <c r="B129" s="443"/>
      <c r="C129" s="443"/>
      <c r="D129" s="443"/>
      <c r="E129" s="443"/>
      <c r="F129" s="443"/>
      <c r="G129" s="443"/>
      <c r="H129" s="443"/>
      <c r="I129" s="443"/>
      <c r="J129" s="443"/>
      <c r="K129" s="443"/>
      <c r="L129" s="443"/>
      <c r="M129" s="443"/>
      <c r="N129" s="443"/>
      <c r="Q129" s="222" t="s">
        <v>49</v>
      </c>
      <c r="R129" s="212"/>
      <c r="S129" s="31"/>
      <c r="T129" s="212"/>
      <c r="U129" s="229"/>
      <c r="V129" s="212"/>
      <c r="W129" s="31"/>
      <c r="X129" s="231"/>
      <c r="Y129" s="214"/>
      <c r="Z129" s="219"/>
      <c r="AA129" s="219"/>
      <c r="AB129" s="219"/>
      <c r="AC129" s="219"/>
    </row>
    <row r="130" spans="2:29">
      <c r="B130" s="443"/>
      <c r="C130" s="443"/>
      <c r="D130" s="443"/>
      <c r="E130" s="443"/>
      <c r="F130" s="443"/>
      <c r="G130" s="443"/>
      <c r="H130" s="443"/>
      <c r="I130" s="443"/>
      <c r="J130" s="443"/>
      <c r="K130" s="443"/>
      <c r="L130" s="443"/>
      <c r="M130" s="443"/>
      <c r="N130" s="443"/>
      <c r="Q130" s="214"/>
      <c r="R130" s="212"/>
      <c r="S130" s="212"/>
      <c r="T130" s="212"/>
      <c r="U130" s="229"/>
      <c r="V130" s="212"/>
      <c r="W130" s="212"/>
      <c r="X130" s="212"/>
      <c r="Y130" s="223"/>
      <c r="Z130" s="143"/>
      <c r="AA130" s="143"/>
      <c r="AB130" s="143"/>
      <c r="AC130" s="143"/>
    </row>
    <row r="131" spans="2:29">
      <c r="B131" s="443"/>
      <c r="C131" s="443"/>
      <c r="D131" s="443"/>
      <c r="E131" s="443"/>
      <c r="F131" s="443"/>
      <c r="G131" s="443"/>
      <c r="H131" s="443"/>
      <c r="I131" s="443"/>
      <c r="J131" s="443"/>
      <c r="K131" s="443"/>
      <c r="L131" s="443"/>
      <c r="M131" s="443"/>
      <c r="N131" s="443"/>
      <c r="Q131" s="232" t="s">
        <v>50</v>
      </c>
      <c r="R131" s="233"/>
      <c r="S131" s="234"/>
      <c r="T131" s="235"/>
      <c r="U131" s="236"/>
      <c r="V131" s="236"/>
      <c r="W131" s="236"/>
      <c r="X131" s="236"/>
      <c r="Y131" s="223"/>
      <c r="Z131" s="219"/>
      <c r="AA131" s="219"/>
      <c r="AB131" s="219"/>
      <c r="AC131" s="219"/>
    </row>
    <row r="132" spans="2:29">
      <c r="B132" s="443"/>
      <c r="C132" s="443"/>
      <c r="D132" s="443"/>
      <c r="E132" s="443"/>
      <c r="F132" s="443"/>
      <c r="G132" s="443"/>
      <c r="H132" s="443"/>
      <c r="I132" s="443"/>
      <c r="J132" s="443"/>
      <c r="K132" s="443"/>
      <c r="L132" s="443"/>
      <c r="M132" s="443"/>
      <c r="N132" s="443"/>
      <c r="Q132" s="237" t="s">
        <v>366</v>
      </c>
      <c r="R132" s="236"/>
      <c r="S132" s="234"/>
      <c r="T132" s="235"/>
      <c r="U132" s="236"/>
      <c r="V132" s="236"/>
      <c r="W132" s="236"/>
      <c r="X132" s="236"/>
      <c r="Y132" s="223"/>
      <c r="Z132" s="219"/>
      <c r="AA132" s="219"/>
      <c r="AB132" s="219"/>
      <c r="AC132" s="219"/>
    </row>
    <row r="133" spans="2:29">
      <c r="Q133" s="237" t="s">
        <v>367</v>
      </c>
      <c r="R133" s="32"/>
      <c r="S133" s="234"/>
      <c r="T133" s="235"/>
      <c r="U133" s="236"/>
      <c r="V133" s="236"/>
      <c r="W133" s="236"/>
      <c r="X133" s="236"/>
      <c r="Y133" s="223"/>
      <c r="Z133" s="219"/>
      <c r="AA133" s="219"/>
      <c r="AB133" s="219"/>
      <c r="AC133" s="219"/>
    </row>
    <row r="134" spans="2:29">
      <c r="Q134" s="219"/>
      <c r="R134" s="159"/>
      <c r="S134" s="219"/>
      <c r="T134" s="219"/>
      <c r="U134" s="219"/>
      <c r="V134" s="219"/>
      <c r="W134" s="219"/>
      <c r="X134" s="219"/>
      <c r="Y134" s="219"/>
      <c r="Z134" s="219"/>
      <c r="AA134" s="219"/>
      <c r="AB134" s="219"/>
      <c r="AC134" s="219"/>
    </row>
    <row r="135" spans="2:29">
      <c r="Q135" s="219"/>
      <c r="R135" s="159"/>
      <c r="S135" s="219"/>
      <c r="T135" s="219"/>
      <c r="U135" s="219"/>
      <c r="V135" s="219"/>
      <c r="W135" s="219"/>
      <c r="X135" s="219"/>
      <c r="Y135" s="219"/>
      <c r="Z135" s="219"/>
      <c r="AA135" s="219"/>
      <c r="AB135" s="219"/>
      <c r="AC135" s="219"/>
    </row>
    <row r="136" spans="2:29" s="201" customFormat="1">
      <c r="B136" s="200" t="s">
        <v>186</v>
      </c>
      <c r="O136" s="202"/>
      <c r="P136" s="203" t="s">
        <v>176</v>
      </c>
      <c r="Q136" s="204"/>
      <c r="R136" s="205"/>
      <c r="S136" s="204"/>
      <c r="T136" s="204"/>
      <c r="U136" s="204"/>
      <c r="V136" s="204"/>
      <c r="W136" s="204"/>
      <c r="X136" s="204"/>
      <c r="Y136" s="204"/>
      <c r="Z136" s="204"/>
      <c r="AA136" s="204"/>
      <c r="AB136" s="204"/>
      <c r="AC136" s="204"/>
    </row>
    <row r="137" spans="2:29">
      <c r="Q137" s="219"/>
      <c r="R137" s="159"/>
      <c r="S137" s="219"/>
      <c r="T137" s="219"/>
      <c r="U137" s="219"/>
      <c r="V137" s="219"/>
      <c r="W137" s="219"/>
      <c r="X137" s="219"/>
      <c r="Y137" s="219"/>
      <c r="Z137" s="219"/>
      <c r="AA137" s="219"/>
      <c r="AB137" s="219"/>
      <c r="AC137" s="219"/>
    </row>
    <row r="138" spans="2:29">
      <c r="C138" s="1418"/>
      <c r="D138" s="143"/>
      <c r="E138" s="143"/>
      <c r="F138" s="143"/>
      <c r="G138" s="143"/>
      <c r="Q138" s="141" t="s">
        <v>185</v>
      </c>
      <c r="V138" s="219"/>
      <c r="W138" s="219"/>
      <c r="X138" s="219"/>
      <c r="Y138" s="219"/>
      <c r="Z138" s="219"/>
      <c r="AA138" s="219"/>
      <c r="AB138" s="219"/>
      <c r="AC138" s="219"/>
    </row>
    <row r="139" spans="2:29">
      <c r="C139" s="1" t="s">
        <v>389</v>
      </c>
      <c r="H139"/>
      <c r="V139" s="219"/>
      <c r="W139" s="219"/>
      <c r="X139" s="219"/>
      <c r="Y139" s="219"/>
      <c r="Z139" s="219"/>
      <c r="AA139" s="219"/>
      <c r="AB139" s="219"/>
      <c r="AC139" s="219"/>
    </row>
    <row r="140" spans="2:29">
      <c r="H140"/>
      <c r="Q140" s="238" t="s">
        <v>177</v>
      </c>
      <c r="R140" s="239"/>
      <c r="S140" s="239"/>
      <c r="T140" s="239"/>
      <c r="U140" s="219"/>
      <c r="V140" s="219"/>
      <c r="W140" s="219"/>
      <c r="X140" s="219"/>
      <c r="Y140" s="219"/>
      <c r="Z140" s="219"/>
      <c r="AA140" s="219"/>
      <c r="AB140" s="219"/>
      <c r="AC140" s="219"/>
    </row>
    <row r="141" spans="2:29">
      <c r="C141" s="140" t="s">
        <v>391</v>
      </c>
      <c r="F141" s="891">
        <v>2</v>
      </c>
      <c r="G141" s="141" t="s">
        <v>714</v>
      </c>
      <c r="H141"/>
      <c r="Q141" s="1651" t="s">
        <v>178</v>
      </c>
      <c r="R141" s="1652"/>
      <c r="S141" s="240" t="s">
        <v>179</v>
      </c>
      <c r="T141" s="241" t="s">
        <v>116</v>
      </c>
      <c r="U141" s="242" t="s">
        <v>118</v>
      </c>
      <c r="V141" s="219"/>
      <c r="W141" s="219"/>
      <c r="X141" s="219"/>
      <c r="Y141" s="219"/>
      <c r="Z141" s="219"/>
      <c r="AA141" s="219"/>
      <c r="AB141" s="219"/>
      <c r="AC141" s="219"/>
    </row>
    <row r="142" spans="2:29">
      <c r="C142" s="140"/>
      <c r="H142"/>
      <c r="Q142" s="243" t="s">
        <v>119</v>
      </c>
      <c r="S142" s="244">
        <v>10</v>
      </c>
      <c r="T142" s="245">
        <v>1</v>
      </c>
      <c r="U142" s="246">
        <v>5</v>
      </c>
      <c r="V142" s="219"/>
      <c r="W142" s="219"/>
      <c r="X142" s="219"/>
      <c r="Y142" s="219"/>
      <c r="Z142" s="219"/>
      <c r="AA142" s="219"/>
      <c r="AB142" s="219"/>
      <c r="AC142" s="219"/>
    </row>
    <row r="143" spans="2:29">
      <c r="C143" s="140" t="s">
        <v>390</v>
      </c>
      <c r="H143"/>
      <c r="Q143" s="243" t="s">
        <v>120</v>
      </c>
      <c r="S143" s="244">
        <v>20</v>
      </c>
      <c r="T143" s="245">
        <v>1</v>
      </c>
      <c r="U143" s="246">
        <v>5</v>
      </c>
      <c r="V143" s="219"/>
      <c r="W143" s="219"/>
      <c r="X143" s="219"/>
      <c r="Y143" s="219"/>
      <c r="Z143" s="219"/>
      <c r="AA143" s="219"/>
      <c r="AB143" s="219"/>
      <c r="AC143" s="219"/>
    </row>
    <row r="144" spans="2:29">
      <c r="C144" s="243"/>
      <c r="D144" s="243"/>
      <c r="E144" s="884"/>
      <c r="F144" s="885"/>
      <c r="G144" s="886"/>
      <c r="H144"/>
      <c r="Q144" s="243" t="s">
        <v>121</v>
      </c>
      <c r="S144" s="244">
        <v>25</v>
      </c>
      <c r="T144" s="245">
        <v>2</v>
      </c>
      <c r="U144" s="246">
        <v>5</v>
      </c>
      <c r="V144" s="219"/>
      <c r="W144" s="219"/>
      <c r="X144" s="219"/>
      <c r="Y144" s="219"/>
      <c r="Z144" s="219"/>
      <c r="AA144" s="219"/>
      <c r="AB144" s="219"/>
      <c r="AC144" s="219"/>
    </row>
    <row r="145" spans="2:29">
      <c r="C145" s="243"/>
      <c r="D145" s="143" t="s">
        <v>709</v>
      </c>
      <c r="E145" s="887"/>
      <c r="F145" s="892">
        <v>1.5</v>
      </c>
      <c r="G145" s="890" t="s">
        <v>715</v>
      </c>
      <c r="H145"/>
      <c r="Q145" s="243" t="s">
        <v>122</v>
      </c>
      <c r="S145" s="244">
        <v>30</v>
      </c>
      <c r="T145" s="245">
        <v>2</v>
      </c>
      <c r="U145" s="246">
        <v>5</v>
      </c>
      <c r="V145" s="219"/>
      <c r="W145" s="219"/>
      <c r="X145" s="219"/>
      <c r="Y145" s="219"/>
      <c r="Z145" s="219"/>
      <c r="AA145" s="219"/>
      <c r="AB145" s="219"/>
      <c r="AC145" s="219"/>
    </row>
    <row r="146" spans="2:29">
      <c r="C146" s="243"/>
      <c r="D146" s="143"/>
      <c r="E146" s="887"/>
      <c r="F146" s="887"/>
      <c r="G146" s="888"/>
      <c r="H146"/>
      <c r="Q146" s="243" t="s">
        <v>123</v>
      </c>
      <c r="S146" s="244">
        <v>35</v>
      </c>
      <c r="T146" s="245">
        <v>3</v>
      </c>
      <c r="U146" s="246">
        <v>5</v>
      </c>
      <c r="V146" s="219"/>
      <c r="W146" s="219"/>
      <c r="X146" s="219"/>
      <c r="Y146" s="219"/>
      <c r="Z146" s="219"/>
      <c r="AA146" s="219"/>
      <c r="AB146" s="219"/>
      <c r="AC146" s="219"/>
    </row>
    <row r="147" spans="2:29">
      <c r="C147" s="243"/>
      <c r="D147" s="143" t="s">
        <v>710</v>
      </c>
      <c r="E147" s="887"/>
      <c r="F147" s="887"/>
      <c r="G147" s="888"/>
      <c r="H147"/>
      <c r="Q147" s="247" t="s">
        <v>124</v>
      </c>
      <c r="R147" s="248"/>
      <c r="S147" s="249">
        <v>40</v>
      </c>
      <c r="T147" s="250">
        <v>3</v>
      </c>
      <c r="U147" s="251">
        <v>5</v>
      </c>
      <c r="V147" s="219"/>
      <c r="W147" s="219"/>
      <c r="X147" s="219"/>
      <c r="Y147" s="219"/>
      <c r="Z147" s="219"/>
      <c r="AA147" s="219"/>
      <c r="AB147" s="219"/>
      <c r="AC147" s="219"/>
    </row>
    <row r="148" spans="2:29">
      <c r="C148" s="243"/>
      <c r="D148" s="143"/>
      <c r="E148" s="887"/>
      <c r="F148" s="887">
        <f>18/1.5</f>
        <v>12</v>
      </c>
      <c r="G148" s="888"/>
      <c r="H148"/>
      <c r="Q148" s="252"/>
      <c r="R148" s="253"/>
      <c r="S148" s="254">
        <f t="shared" ref="S148:U148" si="1">SUM(S142:S147)</f>
        <v>160</v>
      </c>
      <c r="T148" s="254">
        <f t="shared" si="1"/>
        <v>12</v>
      </c>
      <c r="U148" s="255">
        <f t="shared" si="1"/>
        <v>30</v>
      </c>
      <c r="V148" s="219"/>
      <c r="W148" s="219"/>
      <c r="X148" s="219"/>
      <c r="Y148" s="219"/>
      <c r="Z148" s="219"/>
      <c r="AA148" s="219"/>
      <c r="AB148" s="219"/>
      <c r="AC148" s="219"/>
    </row>
    <row r="149" spans="2:29">
      <c r="C149" s="243"/>
      <c r="D149" s="143"/>
      <c r="E149" s="887"/>
      <c r="F149" s="887"/>
      <c r="G149" s="888"/>
      <c r="H149"/>
      <c r="Q149" s="239" t="s">
        <v>180</v>
      </c>
      <c r="R149" s="239"/>
      <c r="S149" s="256"/>
      <c r="T149" s="257"/>
      <c r="U149" s="219"/>
      <c r="V149" s="219"/>
      <c r="W149" s="219"/>
      <c r="X149" s="219"/>
      <c r="Y149" s="219"/>
      <c r="Z149" s="219"/>
      <c r="AA149" s="219"/>
      <c r="AB149" s="219"/>
      <c r="AC149" s="219"/>
    </row>
    <row r="150" spans="2:29">
      <c r="C150" s="140" t="s">
        <v>531</v>
      </c>
      <c r="G150" s="888"/>
      <c r="H150"/>
      <c r="Q150" s="219"/>
      <c r="R150" s="159"/>
      <c r="S150" s="219"/>
      <c r="T150" s="219"/>
      <c r="U150" s="219"/>
      <c r="V150" s="219"/>
      <c r="W150" s="219"/>
      <c r="X150" s="219"/>
      <c r="Y150" s="219"/>
      <c r="Z150" s="219"/>
      <c r="AA150" s="219"/>
      <c r="AB150" s="219"/>
      <c r="AC150" s="219"/>
    </row>
    <row r="151" spans="2:29">
      <c r="G151" s="889"/>
      <c r="H151"/>
      <c r="Q151" s="219"/>
      <c r="R151" s="159"/>
      <c r="S151" s="219"/>
      <c r="T151" s="219"/>
      <c r="U151" s="219"/>
      <c r="V151" s="219"/>
      <c r="W151" s="219"/>
      <c r="X151" s="219"/>
      <c r="Y151" s="219"/>
      <c r="Z151" s="219"/>
      <c r="AA151" s="219"/>
      <c r="AB151" s="219"/>
      <c r="AC151" s="219"/>
    </row>
    <row r="152" spans="2:29">
      <c r="C152" s="141" t="s">
        <v>532</v>
      </c>
      <c r="F152" s="639" t="s">
        <v>535</v>
      </c>
      <c r="G152" s="219"/>
      <c r="H152"/>
      <c r="Q152" s="219"/>
      <c r="R152" s="159"/>
      <c r="S152" s="219"/>
      <c r="T152" s="219"/>
      <c r="U152" s="219"/>
      <c r="V152" s="219"/>
      <c r="W152" s="219"/>
      <c r="X152" s="219"/>
      <c r="Y152" s="219"/>
      <c r="Z152" s="219"/>
      <c r="AA152" s="219"/>
      <c r="AB152" s="219"/>
      <c r="AC152" s="219"/>
    </row>
    <row r="153" spans="2:29">
      <c r="C153" s="141" t="s">
        <v>533</v>
      </c>
      <c r="F153" s="639" t="s">
        <v>534</v>
      </c>
      <c r="H153"/>
      <c r="Q153" s="219"/>
      <c r="R153" s="159"/>
      <c r="S153" s="219"/>
      <c r="T153" s="219"/>
      <c r="U153" s="219"/>
      <c r="V153" s="219"/>
      <c r="W153" s="219"/>
      <c r="X153" s="219"/>
      <c r="Y153" s="219"/>
      <c r="Z153" s="219"/>
      <c r="AA153" s="219"/>
      <c r="AB153" s="219"/>
      <c r="AC153" s="219"/>
    </row>
    <row r="154" spans="2:29">
      <c r="C154" s="143"/>
      <c r="D154" s="143"/>
      <c r="E154" s="143"/>
      <c r="F154" s="1419"/>
      <c r="G154" s="143"/>
      <c r="Q154" s="219"/>
      <c r="R154" s="159"/>
      <c r="S154" s="219"/>
      <c r="T154" s="219"/>
      <c r="U154" s="219"/>
      <c r="V154" s="219"/>
      <c r="W154" s="219"/>
      <c r="X154" s="219"/>
      <c r="Y154" s="219"/>
      <c r="Z154" s="219"/>
      <c r="AA154" s="219"/>
      <c r="AB154" s="219"/>
      <c r="AC154" s="219"/>
    </row>
    <row r="155" spans="2:29">
      <c r="C155" s="143"/>
      <c r="D155" s="143"/>
      <c r="E155" s="143"/>
      <c r="F155" s="1419"/>
      <c r="G155" s="143"/>
      <c r="Q155" s="219"/>
      <c r="R155" s="159"/>
      <c r="S155" s="219"/>
      <c r="T155" s="219"/>
      <c r="U155" s="219"/>
      <c r="V155" s="219"/>
      <c r="W155" s="219"/>
      <c r="X155" s="219"/>
      <c r="Y155" s="219"/>
      <c r="Z155" s="219"/>
      <c r="AA155" s="219"/>
      <c r="AB155" s="219"/>
      <c r="AC155" s="219"/>
    </row>
    <row r="156" spans="2:29">
      <c r="Q156" s="219"/>
      <c r="R156" s="159"/>
      <c r="S156" s="219"/>
      <c r="T156" s="219"/>
      <c r="U156" s="219"/>
      <c r="V156" s="219"/>
      <c r="W156" s="219"/>
      <c r="X156" s="219"/>
      <c r="Y156" s="219"/>
      <c r="Z156" s="219"/>
      <c r="AA156" s="219"/>
      <c r="AB156" s="219"/>
      <c r="AC156" s="219"/>
    </row>
    <row r="157" spans="2:29">
      <c r="Q157" s="219"/>
      <c r="R157" s="159"/>
      <c r="S157" s="219"/>
      <c r="T157" s="219"/>
      <c r="U157" s="219"/>
      <c r="V157" s="219"/>
      <c r="W157" s="219"/>
      <c r="X157" s="219"/>
      <c r="Y157" s="219"/>
      <c r="Z157" s="219"/>
      <c r="AA157" s="219"/>
      <c r="AB157" s="219"/>
      <c r="AC157" s="219"/>
    </row>
    <row r="158" spans="2:29">
      <c r="Q158" s="219"/>
      <c r="R158" s="219"/>
      <c r="S158" s="219"/>
      <c r="T158" s="159"/>
      <c r="U158" s="159"/>
      <c r="V158" s="159"/>
      <c r="W158" s="159"/>
      <c r="X158" s="159"/>
      <c r="Y158" s="159"/>
      <c r="Z158" s="159"/>
      <c r="AA158" s="159"/>
      <c r="AB158" s="159"/>
      <c r="AC158" s="159"/>
    </row>
    <row r="159" spans="2:29" s="201" customFormat="1">
      <c r="B159" s="200" t="s">
        <v>74</v>
      </c>
      <c r="O159" s="202"/>
      <c r="P159" s="203" t="s">
        <v>74</v>
      </c>
      <c r="Q159" s="204"/>
      <c r="R159" s="205"/>
      <c r="S159" s="204"/>
      <c r="T159" s="204"/>
      <c r="U159" s="204"/>
      <c r="V159" s="204"/>
      <c r="W159" s="204"/>
      <c r="X159" s="204"/>
      <c r="Y159" s="204"/>
      <c r="Z159" s="204"/>
      <c r="AA159" s="204"/>
      <c r="AB159" s="204"/>
      <c r="AC159" s="204"/>
    </row>
    <row r="160" spans="2:29">
      <c r="Q160" s="159"/>
      <c r="R160" s="159"/>
      <c r="S160" s="159"/>
      <c r="T160" s="159"/>
      <c r="U160" s="159"/>
      <c r="V160" s="159"/>
      <c r="W160" s="159"/>
      <c r="X160" s="159"/>
      <c r="Y160" s="159"/>
      <c r="Z160" s="159"/>
      <c r="AA160" s="159"/>
      <c r="AB160" s="159"/>
      <c r="AC160" s="159"/>
    </row>
    <row r="161" spans="2:29">
      <c r="C161" s="258" t="s">
        <v>51</v>
      </c>
      <c r="Q161" s="258" t="s">
        <v>51</v>
      </c>
      <c r="R161" s="259"/>
      <c r="S161" s="260"/>
      <c r="T161" s="231"/>
      <c r="U161" s="231"/>
      <c r="V161" s="159"/>
      <c r="W161" s="159"/>
      <c r="X161" s="159"/>
      <c r="Y161" s="159"/>
      <c r="Z161" s="159"/>
      <c r="AA161" s="159"/>
      <c r="AB161" s="159"/>
      <c r="AC161" s="159"/>
    </row>
    <row r="162" spans="2:29">
      <c r="C162" s="261" t="s">
        <v>52</v>
      </c>
      <c r="D162" s="231"/>
      <c r="E162" s="231"/>
      <c r="F162" s="231"/>
      <c r="G162" s="231"/>
      <c r="Q162" s="261" t="s">
        <v>52</v>
      </c>
      <c r="R162" s="231"/>
      <c r="S162" s="231"/>
      <c r="T162" s="231"/>
      <c r="U162" s="231"/>
      <c r="V162" s="159"/>
      <c r="W162" s="159"/>
      <c r="X162" s="159"/>
      <c r="Y162" s="159"/>
      <c r="Z162" s="159"/>
      <c r="AA162" s="159"/>
      <c r="AB162" s="159"/>
      <c r="AC162" s="159"/>
    </row>
    <row r="163" spans="2:29">
      <c r="C163" s="231"/>
      <c r="D163" s="231"/>
      <c r="E163" s="231"/>
      <c r="F163" s="231"/>
      <c r="G163" s="231"/>
      <c r="Q163" s="231"/>
      <c r="R163" s="231"/>
      <c r="S163" s="231"/>
      <c r="T163" s="231"/>
      <c r="U163" s="231"/>
      <c r="V163" s="159"/>
      <c r="W163" s="159"/>
      <c r="X163" s="159"/>
      <c r="Y163" s="159"/>
      <c r="Z163" s="159"/>
      <c r="AA163" s="159"/>
      <c r="AB163" s="159"/>
      <c r="AC163" s="159"/>
    </row>
    <row r="164" spans="2:29">
      <c r="C164" s="261" t="s">
        <v>53</v>
      </c>
      <c r="D164" s="262"/>
      <c r="E164" s="262"/>
      <c r="F164" s="262"/>
      <c r="G164" s="262"/>
      <c r="Q164" s="261" t="s">
        <v>53</v>
      </c>
      <c r="R164" s="262"/>
      <c r="S164" s="262"/>
      <c r="T164" s="262"/>
      <c r="U164" s="262"/>
      <c r="V164" s="159"/>
      <c r="W164" s="159"/>
      <c r="X164" s="159"/>
      <c r="Y164" s="159"/>
      <c r="Z164" s="159"/>
      <c r="AA164" s="159"/>
      <c r="AB164" s="159"/>
      <c r="AC164" s="159"/>
    </row>
    <row r="165" spans="2:29" ht="14.25" customHeight="1">
      <c r="C165" s="1635" t="s">
        <v>54</v>
      </c>
      <c r="D165" s="1636"/>
      <c r="E165" s="1637" t="s">
        <v>55</v>
      </c>
      <c r="F165" s="1638"/>
      <c r="G165" s="1638"/>
      <c r="H165" s="1639"/>
      <c r="Q165" s="1635" t="s">
        <v>54</v>
      </c>
      <c r="R165" s="1636"/>
      <c r="S165" s="1648" t="s">
        <v>55</v>
      </c>
      <c r="T165" s="1649"/>
      <c r="U165" s="1650"/>
      <c r="V165" s="159"/>
      <c r="W165" s="159"/>
      <c r="X165" s="159"/>
      <c r="Y165" s="159"/>
      <c r="Z165" s="159"/>
      <c r="AA165" s="159"/>
      <c r="AB165" s="159"/>
      <c r="AC165" s="159"/>
    </row>
    <row r="166" spans="2:29" ht="29.25">
      <c r="C166" s="263" t="s">
        <v>56</v>
      </c>
      <c r="D166" s="264"/>
      <c r="E166" s="265">
        <v>6</v>
      </c>
      <c r="F166" s="468">
        <v>10</v>
      </c>
      <c r="G166" s="267">
        <v>18</v>
      </c>
      <c r="H166" s="267">
        <v>24</v>
      </c>
      <c r="J166" s="141" t="s">
        <v>428</v>
      </c>
      <c r="Q166" s="263" t="s">
        <v>56</v>
      </c>
      <c r="R166" s="264"/>
      <c r="S166" s="265">
        <v>6</v>
      </c>
      <c r="T166" s="266">
        <v>12</v>
      </c>
      <c r="U166" s="267">
        <v>24</v>
      </c>
      <c r="V166" s="159"/>
      <c r="W166" s="159"/>
      <c r="X166" s="159"/>
      <c r="Y166" s="159"/>
      <c r="Z166" s="159"/>
      <c r="AA166" s="159"/>
      <c r="AB166" s="159"/>
      <c r="AC166" s="159"/>
    </row>
    <row r="167" spans="2:29">
      <c r="B167" s="141">
        <f t="shared" ref="B167:B169" si="2">D167/3</f>
        <v>200</v>
      </c>
      <c r="C167" s="268" t="s">
        <v>57</v>
      </c>
      <c r="D167" s="269">
        <v>600</v>
      </c>
      <c r="E167" s="270">
        <v>0.2</v>
      </c>
      <c r="F167" s="270">
        <v>0.23</v>
      </c>
      <c r="G167" s="270">
        <v>0.26</v>
      </c>
      <c r="H167" s="270">
        <v>0.3</v>
      </c>
      <c r="J167" s="464">
        <f>D167/R167-1</f>
        <v>9.0909090909090828E-2</v>
      </c>
      <c r="L167" s="464"/>
      <c r="Q167" s="268" t="s">
        <v>57</v>
      </c>
      <c r="R167" s="269">
        <v>550</v>
      </c>
      <c r="S167" s="270">
        <v>0.2</v>
      </c>
      <c r="T167" s="270">
        <v>0.25</v>
      </c>
      <c r="U167" s="270">
        <v>0.3</v>
      </c>
      <c r="V167" s="159"/>
      <c r="W167" s="159"/>
      <c r="X167" s="159"/>
      <c r="Y167" s="159"/>
      <c r="Z167" s="159"/>
      <c r="AA167" s="159"/>
      <c r="AB167" s="159"/>
      <c r="AC167" s="159"/>
    </row>
    <row r="168" spans="2:29">
      <c r="B168" s="141">
        <f t="shared" si="2"/>
        <v>120</v>
      </c>
      <c r="C168" s="271" t="s">
        <v>17</v>
      </c>
      <c r="D168" s="272">
        <v>360</v>
      </c>
      <c r="E168" s="270">
        <v>0.15</v>
      </c>
      <c r="F168" s="270">
        <v>0.18</v>
      </c>
      <c r="G168" s="270">
        <v>0.21</v>
      </c>
      <c r="H168" s="270">
        <v>0.25</v>
      </c>
      <c r="J168" s="464">
        <f t="shared" ref="J168:J170" si="3">D168/R168-1</f>
        <v>9.0909090909090828E-2</v>
      </c>
      <c r="L168" s="464"/>
      <c r="Q168" s="271" t="s">
        <v>17</v>
      </c>
      <c r="R168" s="272">
        <v>330</v>
      </c>
      <c r="S168" s="270">
        <v>0.15</v>
      </c>
      <c r="T168" s="270">
        <v>0.2</v>
      </c>
      <c r="U168" s="270">
        <v>0.25</v>
      </c>
      <c r="V168" s="159"/>
      <c r="W168" s="159"/>
      <c r="X168" s="159"/>
      <c r="Y168" s="159"/>
      <c r="Z168" s="159"/>
      <c r="AA168" s="159"/>
      <c r="AB168" s="159"/>
      <c r="AC168" s="159"/>
    </row>
    <row r="169" spans="2:29">
      <c r="B169" s="141">
        <f t="shared" si="2"/>
        <v>80</v>
      </c>
      <c r="C169" s="271" t="s">
        <v>18</v>
      </c>
      <c r="D169" s="273">
        <v>240</v>
      </c>
      <c r="E169" s="270">
        <v>0.1</v>
      </c>
      <c r="F169" s="270">
        <v>0.13</v>
      </c>
      <c r="G169" s="270">
        <v>0.16</v>
      </c>
      <c r="H169" s="270">
        <v>0.2</v>
      </c>
      <c r="J169" s="464">
        <f>D169/R169-1</f>
        <v>9.0909090909090828E-2</v>
      </c>
      <c r="L169" s="464"/>
      <c r="Q169" s="271" t="s">
        <v>18</v>
      </c>
      <c r="R169" s="273">
        <v>220</v>
      </c>
      <c r="S169" s="270">
        <v>0.1</v>
      </c>
      <c r="T169" s="270">
        <v>0.15</v>
      </c>
      <c r="U169" s="270">
        <v>0.2</v>
      </c>
      <c r="V169" s="159"/>
      <c r="W169" s="159"/>
      <c r="X169" s="159"/>
      <c r="Y169" s="159"/>
      <c r="Z169" s="159"/>
      <c r="AA169" s="159"/>
      <c r="AB169" s="159"/>
      <c r="AC169" s="159"/>
    </row>
    <row r="170" spans="2:29">
      <c r="B170" s="141">
        <f>D170/3</f>
        <v>40</v>
      </c>
      <c r="C170" s="274" t="s">
        <v>19</v>
      </c>
      <c r="D170" s="275">
        <v>120</v>
      </c>
      <c r="E170" s="276">
        <v>0.05</v>
      </c>
      <c r="F170" s="276">
        <v>0.05</v>
      </c>
      <c r="G170" s="276">
        <v>0.05</v>
      </c>
      <c r="H170" s="276">
        <v>0.05</v>
      </c>
      <c r="J170" s="464">
        <f t="shared" si="3"/>
        <v>9.0909090909090828E-2</v>
      </c>
      <c r="L170" s="464"/>
      <c r="Q170" s="274" t="s">
        <v>19</v>
      </c>
      <c r="R170" s="275">
        <v>110</v>
      </c>
      <c r="S170" s="276">
        <v>0.05</v>
      </c>
      <c r="T170" s="276">
        <v>0.05</v>
      </c>
      <c r="U170" s="276">
        <v>0.05</v>
      </c>
      <c r="V170" s="159"/>
      <c r="W170" s="159"/>
      <c r="X170" s="159"/>
      <c r="Y170" s="159"/>
      <c r="Z170" s="159"/>
      <c r="AA170" s="159"/>
      <c r="AB170" s="159"/>
      <c r="AC170" s="159"/>
    </row>
    <row r="171" spans="2:29">
      <c r="C171" s="262"/>
      <c r="D171" s="262"/>
      <c r="E171" s="262"/>
      <c r="F171" s="262"/>
      <c r="G171" s="262"/>
      <c r="Q171" s="262"/>
      <c r="R171" s="262"/>
      <c r="S171" s="262"/>
      <c r="T171" s="262"/>
      <c r="U171" s="262"/>
      <c r="V171" s="159"/>
      <c r="W171" s="159"/>
      <c r="X171" s="159"/>
      <c r="Y171" s="159"/>
      <c r="Z171" s="159"/>
      <c r="AA171" s="159"/>
      <c r="AB171" s="159"/>
      <c r="AC171" s="159"/>
    </row>
    <row r="172" spans="2:29">
      <c r="E172" s="278"/>
      <c r="F172" s="278"/>
      <c r="G172" s="278"/>
      <c r="I172" s="465"/>
      <c r="J172" s="466"/>
      <c r="K172" s="466"/>
      <c r="Q172" s="277" t="s">
        <v>58</v>
      </c>
      <c r="R172" s="262"/>
      <c r="S172" s="278"/>
      <c r="T172" s="278"/>
      <c r="U172" s="278"/>
      <c r="V172" s="159"/>
      <c r="W172" s="159"/>
      <c r="X172" s="159"/>
      <c r="Y172" s="159"/>
      <c r="Z172" s="159"/>
      <c r="AA172" s="159"/>
      <c r="AB172" s="159"/>
      <c r="AC172" s="159"/>
    </row>
    <row r="173" spans="2:29">
      <c r="C173" s="329"/>
      <c r="D173" s="262"/>
      <c r="E173" s="278"/>
      <c r="F173" s="278"/>
      <c r="G173" s="278"/>
      <c r="I173" s="465"/>
      <c r="J173" s="466"/>
      <c r="K173" s="466"/>
      <c r="Q173" s="277" t="s">
        <v>59</v>
      </c>
      <c r="R173" s="262"/>
      <c r="S173" s="278"/>
      <c r="T173" s="278"/>
      <c r="U173" s="278"/>
      <c r="V173" s="159"/>
      <c r="W173" s="159"/>
      <c r="X173" s="159"/>
      <c r="Y173" s="159"/>
      <c r="Z173" s="159"/>
      <c r="AA173" s="159"/>
      <c r="AB173" s="159"/>
      <c r="AC173" s="159"/>
    </row>
    <row r="174" spans="2:29">
      <c r="C174" s="277" t="s">
        <v>392</v>
      </c>
      <c r="D174" s="262"/>
      <c r="E174" s="262"/>
      <c r="F174" s="279"/>
      <c r="G174" s="278"/>
      <c r="I174" s="465"/>
      <c r="J174" s="466"/>
      <c r="K174" s="466"/>
      <c r="Q174" s="277" t="s">
        <v>60</v>
      </c>
      <c r="R174" s="262"/>
      <c r="S174" s="262"/>
      <c r="T174" s="279"/>
      <c r="U174" s="278"/>
      <c r="V174" s="159"/>
      <c r="W174" s="159"/>
      <c r="X174" s="159"/>
      <c r="Y174" s="159"/>
      <c r="Z174" s="159"/>
      <c r="AA174" s="159"/>
      <c r="AB174" s="159"/>
      <c r="AC174" s="159"/>
    </row>
    <row r="175" spans="2:29">
      <c r="C175" s="277" t="s">
        <v>59</v>
      </c>
      <c r="I175" s="465"/>
      <c r="J175" s="466"/>
      <c r="K175" s="466"/>
      <c r="Q175" s="280" t="s">
        <v>61</v>
      </c>
      <c r="R175" s="262"/>
      <c r="S175" s="262"/>
      <c r="T175" s="281"/>
      <c r="U175" s="278"/>
      <c r="V175" s="159"/>
      <c r="W175" s="159"/>
      <c r="X175" s="159"/>
      <c r="Y175" s="159"/>
      <c r="Z175" s="159"/>
      <c r="AA175" s="159"/>
      <c r="AB175" s="159"/>
      <c r="AC175" s="159"/>
    </row>
    <row r="176" spans="2:29">
      <c r="C176" s="277" t="s">
        <v>393</v>
      </c>
      <c r="I176" s="467"/>
      <c r="J176" s="467"/>
      <c r="K176" s="467"/>
      <c r="Q176" s="261" t="s">
        <v>62</v>
      </c>
      <c r="R176" s="262"/>
      <c r="S176" s="262"/>
      <c r="T176" s="282"/>
      <c r="U176" s="278"/>
      <c r="V176" s="159"/>
      <c r="W176" s="159"/>
      <c r="X176" s="159"/>
      <c r="Y176" s="159"/>
      <c r="Z176" s="159"/>
      <c r="AA176" s="159"/>
      <c r="AB176" s="159"/>
      <c r="AC176" s="159"/>
    </row>
    <row r="177" spans="2:29">
      <c r="I177" s="465"/>
      <c r="J177" s="466"/>
      <c r="K177" s="466"/>
      <c r="Q177" s="283" t="s">
        <v>63</v>
      </c>
      <c r="R177" s="284"/>
      <c r="S177" s="285" t="s">
        <v>64</v>
      </c>
      <c r="T177" s="282"/>
      <c r="U177" s="278"/>
      <c r="V177" s="159"/>
      <c r="W177" s="159"/>
      <c r="X177" s="159"/>
      <c r="Y177" s="159"/>
      <c r="Z177" s="159"/>
      <c r="AA177" s="159"/>
      <c r="AB177" s="159"/>
      <c r="AC177" s="159"/>
    </row>
    <row r="178" spans="2:29">
      <c r="I178" s="465"/>
      <c r="J178" s="466"/>
      <c r="K178" s="466"/>
      <c r="Q178" s="240" t="s">
        <v>56</v>
      </c>
      <c r="R178" s="286"/>
      <c r="S178" s="287"/>
      <c r="T178" s="282"/>
      <c r="U178" s="282"/>
      <c r="V178" s="159"/>
      <c r="W178" s="159"/>
      <c r="X178" s="159"/>
      <c r="Y178" s="159"/>
      <c r="Z178" s="159"/>
      <c r="AA178" s="159"/>
      <c r="AB178" s="159"/>
      <c r="AC178" s="159"/>
    </row>
    <row r="179" spans="2:29">
      <c r="I179" s="465"/>
      <c r="J179" s="466"/>
      <c r="K179" s="466"/>
      <c r="Q179" s="288" t="s">
        <v>57</v>
      </c>
      <c r="R179" s="289">
        <v>300</v>
      </c>
      <c r="S179" s="290">
        <v>0.2</v>
      </c>
      <c r="T179" s="282"/>
      <c r="U179" s="282"/>
      <c r="V179" s="159"/>
      <c r="W179" s="159"/>
      <c r="X179" s="159"/>
      <c r="Y179" s="159"/>
      <c r="Z179" s="159"/>
      <c r="AA179" s="159"/>
      <c r="AB179" s="159"/>
      <c r="AC179" s="159"/>
    </row>
    <row r="180" spans="2:29">
      <c r="I180" s="465"/>
      <c r="J180" s="466"/>
      <c r="K180" s="466"/>
      <c r="Q180" s="271" t="s">
        <v>17</v>
      </c>
      <c r="R180" s="273">
        <v>200</v>
      </c>
      <c r="S180" s="291">
        <v>0.15</v>
      </c>
      <c r="T180" s="262"/>
      <c r="U180" s="262"/>
      <c r="V180" s="159"/>
      <c r="W180" s="159"/>
      <c r="X180" s="159"/>
      <c r="Y180" s="159"/>
      <c r="Z180" s="159"/>
      <c r="AA180" s="159"/>
      <c r="AB180" s="159"/>
      <c r="AC180" s="159"/>
    </row>
    <row r="181" spans="2:29">
      <c r="Q181" s="271" t="s">
        <v>18</v>
      </c>
      <c r="R181" s="273">
        <v>120</v>
      </c>
      <c r="S181" s="291">
        <v>0.1</v>
      </c>
      <c r="T181" s="262"/>
      <c r="U181" s="262"/>
      <c r="V181" s="159"/>
      <c r="W181" s="159"/>
      <c r="X181" s="159"/>
      <c r="Y181" s="159"/>
      <c r="Z181" s="159"/>
      <c r="AA181" s="159"/>
      <c r="AB181" s="159"/>
      <c r="AC181" s="159"/>
    </row>
    <row r="182" spans="2:29">
      <c r="Q182" s="274" t="s">
        <v>19</v>
      </c>
      <c r="R182" s="292">
        <v>60</v>
      </c>
      <c r="S182" s="293">
        <v>0.05</v>
      </c>
      <c r="T182" s="262"/>
      <c r="U182" s="262"/>
      <c r="V182" s="159"/>
      <c r="W182" s="159"/>
      <c r="X182" s="159"/>
      <c r="Y182" s="159"/>
      <c r="Z182" s="159"/>
      <c r="AA182" s="159"/>
      <c r="AB182" s="159"/>
      <c r="AC182" s="159"/>
    </row>
    <row r="183" spans="2:29">
      <c r="Q183" s="277" t="s">
        <v>58</v>
      </c>
      <c r="R183" s="262"/>
      <c r="S183" s="278"/>
      <c r="T183" s="262"/>
      <c r="U183" s="262"/>
      <c r="V183" s="159"/>
      <c r="W183" s="159"/>
      <c r="X183" s="159"/>
      <c r="Y183" s="159"/>
      <c r="Z183" s="159"/>
      <c r="AA183" s="159"/>
      <c r="AB183" s="159"/>
      <c r="AC183" s="159"/>
    </row>
    <row r="184" spans="2:29">
      <c r="Q184" s="277" t="s">
        <v>59</v>
      </c>
      <c r="R184" s="262"/>
      <c r="S184" s="278"/>
      <c r="T184" s="262"/>
      <c r="U184" s="262"/>
      <c r="V184" s="143"/>
      <c r="W184" s="143"/>
      <c r="X184" s="143"/>
      <c r="Y184" s="143"/>
      <c r="Z184" s="143"/>
      <c r="AA184" s="143"/>
      <c r="AB184" s="143"/>
      <c r="AC184" s="143"/>
    </row>
    <row r="185" spans="2:29">
      <c r="Q185" s="277" t="s">
        <v>60</v>
      </c>
      <c r="R185" s="262"/>
      <c r="S185" s="278"/>
      <c r="T185" s="262"/>
      <c r="U185" s="262"/>
      <c r="V185" s="159"/>
      <c r="W185" s="159"/>
      <c r="X185" s="159"/>
      <c r="Y185" s="159"/>
      <c r="Z185" s="159"/>
      <c r="AA185" s="159"/>
      <c r="AB185" s="159"/>
      <c r="AC185" s="159"/>
    </row>
    <row r="186" spans="2:29">
      <c r="Q186" s="212" t="s">
        <v>65</v>
      </c>
      <c r="R186" s="231"/>
      <c r="S186" s="231"/>
      <c r="T186" s="231"/>
      <c r="U186" s="231"/>
      <c r="V186" s="219"/>
      <c r="W186" s="219"/>
      <c r="X186" s="219"/>
      <c r="Y186" s="219"/>
      <c r="Z186" s="159"/>
      <c r="AA186" s="159"/>
      <c r="AB186" s="159"/>
      <c r="AC186" s="159"/>
    </row>
    <row r="187" spans="2:29">
      <c r="Q187" s="212" t="s">
        <v>66</v>
      </c>
      <c r="R187" s="294"/>
      <c r="S187" s="260"/>
      <c r="T187" s="231"/>
      <c r="U187" s="231"/>
      <c r="V187" s="159"/>
      <c r="W187" s="159"/>
      <c r="X187" s="159"/>
      <c r="Y187" s="159"/>
      <c r="Z187" s="159"/>
      <c r="AA187" s="159"/>
      <c r="AB187" s="159"/>
      <c r="AC187" s="159"/>
    </row>
    <row r="188" spans="2:29">
      <c r="C188" s="258" t="s">
        <v>67</v>
      </c>
      <c r="D188" s="259"/>
      <c r="E188" s="231"/>
      <c r="F188" s="231"/>
      <c r="Q188" s="258" t="s">
        <v>67</v>
      </c>
      <c r="R188" s="259"/>
      <c r="S188" s="231"/>
      <c r="T188" s="231"/>
      <c r="U188" s="231"/>
      <c r="V188" s="295"/>
      <c r="W188" s="295"/>
      <c r="X188" s="295"/>
      <c r="Y188" s="295"/>
      <c r="Z188" s="295"/>
      <c r="AA188" s="295"/>
      <c r="AB188" s="295"/>
      <c r="AC188" s="295"/>
    </row>
    <row r="189" spans="2:29">
      <c r="C189" s="261" t="s">
        <v>68</v>
      </c>
      <c r="D189" s="231"/>
      <c r="E189" s="231"/>
      <c r="F189" s="231"/>
      <c r="Q189" s="261" t="s">
        <v>68</v>
      </c>
      <c r="R189" s="231"/>
      <c r="S189" s="231"/>
      <c r="T189" s="231"/>
      <c r="U189" s="231"/>
      <c r="V189" s="159"/>
      <c r="W189" s="159"/>
      <c r="X189" s="159"/>
      <c r="Y189" s="159"/>
      <c r="Z189" s="159"/>
      <c r="AA189" s="159"/>
      <c r="AB189" s="159"/>
      <c r="AC189" s="159"/>
    </row>
    <row r="190" spans="2:29" ht="60">
      <c r="C190" s="296" t="s">
        <v>69</v>
      </c>
      <c r="D190" s="297"/>
      <c r="E190" s="1422" t="s">
        <v>429</v>
      </c>
      <c r="F190" s="1420"/>
      <c r="Q190" s="296" t="s">
        <v>69</v>
      </c>
      <c r="R190" s="297"/>
      <c r="S190" s="298" t="s">
        <v>70</v>
      </c>
      <c r="T190" s="231" t="s">
        <v>71</v>
      </c>
      <c r="U190" s="299"/>
      <c r="V190" s="219"/>
      <c r="W190" s="219"/>
      <c r="X190" s="219"/>
      <c r="Y190" s="219"/>
      <c r="Z190" s="219"/>
      <c r="AA190" s="219"/>
      <c r="AB190" s="219"/>
      <c r="AC190" s="219"/>
    </row>
    <row r="191" spans="2:29" ht="21" customHeight="1">
      <c r="C191" s="263" t="s">
        <v>56</v>
      </c>
      <c r="D191" s="264"/>
      <c r="E191" s="471" t="s">
        <v>430</v>
      </c>
      <c r="F191" s="834"/>
      <c r="H191" s="470" t="s">
        <v>428</v>
      </c>
      <c r="Q191" s="263" t="s">
        <v>56</v>
      </c>
      <c r="R191" s="264"/>
      <c r="S191" s="300" t="s">
        <v>64</v>
      </c>
      <c r="T191" s="301"/>
      <c r="U191" s="302"/>
      <c r="V191" s="159"/>
      <c r="W191" s="159"/>
      <c r="X191" s="159"/>
      <c r="Y191" s="159"/>
      <c r="Z191" s="159"/>
      <c r="AA191" s="159"/>
      <c r="AB191" s="159"/>
      <c r="AC191" s="159"/>
    </row>
    <row r="192" spans="2:29">
      <c r="B192" s="442"/>
      <c r="C192" s="268" t="s">
        <v>57</v>
      </c>
      <c r="D192" s="269">
        <v>2300</v>
      </c>
      <c r="E192" s="303">
        <v>0.1</v>
      </c>
      <c r="F192" s="1421"/>
      <c r="H192" s="469">
        <f>D192/R192-1</f>
        <v>4.5454545454545414E-2</v>
      </c>
      <c r="Q192" s="268" t="s">
        <v>57</v>
      </c>
      <c r="R192" s="269">
        <v>2200</v>
      </c>
      <c r="S192" s="303">
        <v>0.1</v>
      </c>
      <c r="T192" s="304">
        <f>[3]Sheet2!$F$7</f>
        <v>9.0122718418783387E-2</v>
      </c>
      <c r="U192" s="305"/>
      <c r="V192" s="159"/>
      <c r="W192" s="219"/>
      <c r="X192" s="159"/>
      <c r="Y192" s="159"/>
      <c r="Z192" s="159"/>
      <c r="AA192" s="159"/>
      <c r="AB192" s="159"/>
      <c r="AC192" s="159"/>
    </row>
    <row r="193" spans="2:29">
      <c r="B193" s="442"/>
      <c r="C193" s="271" t="s">
        <v>17</v>
      </c>
      <c r="D193" s="272">
        <v>1500</v>
      </c>
      <c r="E193" s="306">
        <v>0.08</v>
      </c>
      <c r="F193" s="1421"/>
      <c r="H193" s="469">
        <f t="shared" ref="H193:H195" si="4">D193/R193-1</f>
        <v>8.6956521739130377E-2</v>
      </c>
      <c r="Q193" s="271" t="s">
        <v>17</v>
      </c>
      <c r="R193" s="272">
        <v>1380</v>
      </c>
      <c r="S193" s="306">
        <v>0.08</v>
      </c>
      <c r="T193" s="304">
        <f>[3]Sheet2!$F$10</f>
        <v>6.2266651800769401E-2</v>
      </c>
      <c r="U193" s="305"/>
      <c r="V193" s="159"/>
      <c r="W193" s="159"/>
      <c r="X193" s="159"/>
      <c r="Y193" s="159"/>
      <c r="Z193" s="159"/>
      <c r="AA193" s="159"/>
      <c r="AB193" s="159"/>
      <c r="AC193" s="159"/>
    </row>
    <row r="194" spans="2:29">
      <c r="B194" s="442"/>
      <c r="C194" s="271" t="s">
        <v>18</v>
      </c>
      <c r="D194" s="272">
        <v>960</v>
      </c>
      <c r="E194" s="306">
        <v>0.06</v>
      </c>
      <c r="F194" s="1421"/>
      <c r="H194" s="469">
        <f t="shared" si="4"/>
        <v>9.0909090909090828E-2</v>
      </c>
      <c r="Q194" s="271" t="s">
        <v>18</v>
      </c>
      <c r="R194" s="272">
        <v>880</v>
      </c>
      <c r="S194" s="306">
        <v>0.06</v>
      </c>
      <c r="T194" s="304">
        <f>[3]Sheet2!$F$9</f>
        <v>5.0344042647680491E-2</v>
      </c>
      <c r="U194" s="305"/>
      <c r="V194" s="159"/>
      <c r="W194" s="159"/>
      <c r="X194" s="159"/>
      <c r="Y194" s="159"/>
      <c r="Z194" s="159"/>
      <c r="AA194" s="159"/>
      <c r="AB194" s="159"/>
      <c r="AC194" s="159"/>
    </row>
    <row r="195" spans="2:29">
      <c r="B195" s="442"/>
      <c r="C195" s="274" t="s">
        <v>19</v>
      </c>
      <c r="D195" s="307">
        <v>440</v>
      </c>
      <c r="E195" s="308">
        <v>0.04</v>
      </c>
      <c r="F195" s="1421"/>
      <c r="H195" s="469">
        <f t="shared" si="4"/>
        <v>0</v>
      </c>
      <c r="Q195" s="274" t="s">
        <v>19</v>
      </c>
      <c r="R195" s="307">
        <v>440</v>
      </c>
      <c r="S195" s="308">
        <v>0.04</v>
      </c>
      <c r="T195" s="304">
        <f>[3]Sheet2!$F$8</f>
        <v>2.1657661218910444E-2</v>
      </c>
      <c r="U195" s="305"/>
      <c r="V195" s="159"/>
      <c r="W195" s="159"/>
      <c r="X195" s="159"/>
      <c r="Y195" s="159"/>
      <c r="Z195" s="159"/>
      <c r="AA195" s="159"/>
      <c r="AB195" s="159"/>
      <c r="AC195" s="159"/>
    </row>
    <row r="196" spans="2:29">
      <c r="C196" s="294"/>
      <c r="D196" s="294"/>
      <c r="E196" s="294"/>
      <c r="F196" s="231"/>
      <c r="I196" s="467">
        <v>4100</v>
      </c>
      <c r="J196" s="466">
        <v>3.5000000000000003E-2</v>
      </c>
      <c r="K196" s="466">
        <v>0.05</v>
      </c>
      <c r="Q196" s="294"/>
      <c r="R196" s="294"/>
      <c r="S196" s="294"/>
      <c r="T196" s="231"/>
      <c r="U196" s="309"/>
      <c r="V196" s="159"/>
      <c r="W196" s="159"/>
      <c r="X196" s="159"/>
      <c r="Y196" s="159"/>
      <c r="Z196" s="159"/>
      <c r="AA196" s="159"/>
      <c r="AB196" s="159"/>
      <c r="AC196" s="159"/>
    </row>
    <row r="197" spans="2:29">
      <c r="C197" s="224" t="s">
        <v>395</v>
      </c>
      <c r="D197" s="231"/>
      <c r="E197" s="310"/>
      <c r="F197" s="310"/>
      <c r="I197" s="467">
        <v>3400</v>
      </c>
      <c r="J197" s="466">
        <v>0.03</v>
      </c>
      <c r="K197" s="466">
        <v>0.04</v>
      </c>
      <c r="Q197" s="277" t="s">
        <v>72</v>
      </c>
      <c r="R197" s="231"/>
      <c r="S197" s="310"/>
      <c r="T197" s="310"/>
      <c r="U197" s="310"/>
      <c r="V197" s="159"/>
      <c r="W197" s="159"/>
      <c r="X197" s="159"/>
      <c r="Y197" s="159"/>
      <c r="Z197" s="159"/>
      <c r="AA197" s="159"/>
      <c r="AB197" s="159"/>
      <c r="AC197" s="159"/>
    </row>
    <row r="198" spans="2:29">
      <c r="C198" s="141" t="s">
        <v>394</v>
      </c>
      <c r="D198" s="231"/>
      <c r="E198" s="239"/>
      <c r="F198" s="239"/>
      <c r="I198" s="467">
        <v>2900</v>
      </c>
      <c r="J198" s="466">
        <v>2.5000000000000001E-2</v>
      </c>
      <c r="K198" s="466">
        <v>3.5000000000000003E-2</v>
      </c>
      <c r="Q198" s="224" t="s">
        <v>368</v>
      </c>
      <c r="R198" s="231"/>
      <c r="S198" s="239"/>
      <c r="T198" s="239"/>
      <c r="U198" s="239"/>
      <c r="V198" s="143"/>
      <c r="W198" s="143"/>
      <c r="X198" s="143"/>
      <c r="Y198" s="143"/>
      <c r="Z198" s="143"/>
      <c r="AA198" s="143"/>
      <c r="AB198" s="143"/>
      <c r="AC198" s="143"/>
    </row>
    <row r="199" spans="2:29">
      <c r="C199" s="277" t="s">
        <v>392</v>
      </c>
      <c r="I199" s="467">
        <v>2200</v>
      </c>
      <c r="J199" s="466">
        <v>0.02</v>
      </c>
      <c r="K199" s="466">
        <v>0.03</v>
      </c>
      <c r="Q199" s="280" t="s">
        <v>73</v>
      </c>
      <c r="R199" s="239"/>
      <c r="S199" s="305"/>
      <c r="T199" s="239"/>
      <c r="U199" s="239"/>
      <c r="V199" s="159"/>
      <c r="W199" s="159"/>
      <c r="X199" s="159"/>
      <c r="Y199" s="159"/>
      <c r="Z199" s="159"/>
      <c r="AA199" s="159"/>
      <c r="AB199" s="159"/>
      <c r="AC199" s="143"/>
    </row>
    <row r="200" spans="2:29">
      <c r="C200" s="277" t="s">
        <v>59</v>
      </c>
      <c r="I200" s="467">
        <v>1400</v>
      </c>
      <c r="J200" s="466">
        <v>1.4999999999999999E-2</v>
      </c>
      <c r="K200" s="466">
        <v>2.5000000000000001E-2</v>
      </c>
      <c r="Q200" s="280"/>
      <c r="R200" s="239"/>
      <c r="S200" s="305"/>
      <c r="T200" s="239"/>
      <c r="U200" s="239"/>
      <c r="V200" s="159"/>
      <c r="W200" s="159"/>
      <c r="X200" s="159"/>
      <c r="Y200" s="159"/>
      <c r="Z200" s="159"/>
      <c r="AA200" s="159"/>
      <c r="AB200" s="159"/>
      <c r="AC200" s="143"/>
    </row>
    <row r="201" spans="2:29">
      <c r="C201" s="277" t="s">
        <v>60</v>
      </c>
      <c r="I201" s="467"/>
      <c r="J201" s="467"/>
      <c r="K201" s="467"/>
      <c r="Q201" s="280"/>
      <c r="R201" s="239"/>
      <c r="S201" s="305"/>
      <c r="T201" s="239"/>
      <c r="U201" s="239"/>
      <c r="V201" s="159"/>
      <c r="W201" s="159"/>
      <c r="X201" s="159"/>
      <c r="Y201" s="159"/>
      <c r="Z201" s="159"/>
      <c r="AA201" s="159"/>
      <c r="AB201" s="159"/>
      <c r="AC201" s="143"/>
    </row>
    <row r="202" spans="2:29">
      <c r="Q202" s="280"/>
      <c r="R202" s="239"/>
      <c r="S202" s="305"/>
      <c r="T202" s="239"/>
      <c r="U202" s="239"/>
      <c r="V202" s="159"/>
      <c r="W202" s="159"/>
      <c r="X202" s="159"/>
      <c r="Y202" s="159"/>
      <c r="Z202" s="159"/>
      <c r="AA202" s="159"/>
      <c r="AB202" s="159"/>
      <c r="AC202" s="143"/>
    </row>
    <row r="203" spans="2:29">
      <c r="Q203" s="280"/>
      <c r="R203" s="239"/>
      <c r="S203" s="305"/>
      <c r="T203" s="239"/>
      <c r="U203" s="239"/>
      <c r="V203" s="159"/>
      <c r="W203" s="159"/>
      <c r="X203" s="159"/>
      <c r="Y203" s="159"/>
      <c r="Z203" s="159"/>
      <c r="AA203" s="159"/>
      <c r="AB203" s="159"/>
      <c r="AC203" s="143"/>
    </row>
    <row r="204" spans="2:29" s="201" customFormat="1">
      <c r="B204" s="200"/>
      <c r="O204" s="202"/>
      <c r="P204" s="203" t="s">
        <v>191</v>
      </c>
      <c r="Q204" s="204"/>
      <c r="R204" s="205"/>
      <c r="S204" s="204"/>
      <c r="T204" s="204"/>
      <c r="U204" s="204"/>
      <c r="V204" s="204"/>
      <c r="W204" s="204"/>
      <c r="X204" s="204"/>
      <c r="Y204" s="204"/>
      <c r="Z204" s="204"/>
      <c r="AA204" s="204"/>
      <c r="AB204" s="204"/>
      <c r="AC204" s="204"/>
    </row>
    <row r="205" spans="2:29">
      <c r="Q205" s="280"/>
      <c r="R205" s="239"/>
      <c r="S205" s="305"/>
      <c r="T205" s="239"/>
      <c r="U205" s="239"/>
      <c r="V205" s="159"/>
      <c r="W205" s="159"/>
      <c r="X205" s="159"/>
      <c r="Y205" s="159"/>
      <c r="Z205" s="159"/>
      <c r="AA205" s="159"/>
      <c r="AB205" s="159"/>
      <c r="AC205" s="143"/>
    </row>
    <row r="206" spans="2:29">
      <c r="C206" s="7" t="s">
        <v>396</v>
      </c>
      <c r="Q206" s="239" t="s">
        <v>192</v>
      </c>
      <c r="R206" s="239"/>
      <c r="S206" s="239"/>
      <c r="T206" s="239"/>
      <c r="U206" s="239"/>
      <c r="V206" s="159"/>
      <c r="W206" s="159"/>
      <c r="X206" s="159"/>
      <c r="Y206" s="159"/>
      <c r="Z206" s="159"/>
      <c r="AA206" s="159"/>
      <c r="AB206" s="159"/>
      <c r="AC206" s="143"/>
    </row>
    <row r="207" spans="2:29">
      <c r="C207" s="7"/>
      <c r="Q207" s="239" t="s">
        <v>193</v>
      </c>
      <c r="R207" s="239"/>
      <c r="S207" s="239"/>
      <c r="T207" s="239"/>
      <c r="U207" s="239"/>
      <c r="V207" s="159"/>
      <c r="W207" s="159"/>
      <c r="X207" s="159"/>
      <c r="Y207" s="159"/>
      <c r="Z207" s="159"/>
      <c r="AA207" s="159"/>
      <c r="AB207" s="159"/>
      <c r="AC207" s="143"/>
    </row>
    <row r="208" spans="2:29">
      <c r="C208" s="7" t="s">
        <v>397</v>
      </c>
      <c r="Q208" s="239"/>
      <c r="R208" s="311" t="s">
        <v>194</v>
      </c>
      <c r="S208" s="239"/>
      <c r="T208" s="239"/>
      <c r="U208" s="312"/>
      <c r="V208" s="313"/>
      <c r="W208" s="159"/>
      <c r="X208" s="159"/>
      <c r="Y208" s="159"/>
      <c r="Z208" s="159"/>
      <c r="AA208" s="159"/>
      <c r="AB208" s="159"/>
      <c r="AC208" s="143"/>
    </row>
    <row r="209" spans="2:29">
      <c r="Q209" s="314"/>
      <c r="R209" s="315" t="s">
        <v>195</v>
      </c>
      <c r="S209" s="316" t="s">
        <v>196</v>
      </c>
      <c r="T209" s="317"/>
      <c r="U209" s="312" t="s">
        <v>197</v>
      </c>
      <c r="V209" s="313"/>
      <c r="W209" s="159"/>
      <c r="X209" s="159"/>
      <c r="Y209" s="159"/>
      <c r="Z209" s="159"/>
      <c r="AA209" s="159"/>
      <c r="AB209" s="159"/>
      <c r="AC209" s="143"/>
    </row>
    <row r="210" spans="2:29">
      <c r="Q210" s="318" t="s">
        <v>19</v>
      </c>
      <c r="R210" s="318" t="s">
        <v>603</v>
      </c>
      <c r="S210" s="239">
        <v>30</v>
      </c>
      <c r="T210" s="319"/>
      <c r="U210" s="320">
        <v>3.2</v>
      </c>
      <c r="V210" s="159"/>
      <c r="W210" s="159"/>
      <c r="X210" s="159"/>
      <c r="Y210" s="159"/>
      <c r="Z210" s="159"/>
      <c r="AA210" s="159"/>
      <c r="AB210" s="159"/>
      <c r="AC210" s="143"/>
    </row>
    <row r="211" spans="2:29">
      <c r="Q211" s="318" t="s">
        <v>18</v>
      </c>
      <c r="R211" s="318" t="s">
        <v>604</v>
      </c>
      <c r="S211" s="239">
        <v>30</v>
      </c>
      <c r="T211" s="319"/>
      <c r="U211" s="320">
        <v>2</v>
      </c>
      <c r="V211" s="159"/>
      <c r="W211" s="159"/>
      <c r="X211" s="159"/>
      <c r="Y211" s="159"/>
      <c r="Z211" s="159"/>
      <c r="AA211" s="159"/>
      <c r="AB211" s="159"/>
      <c r="AC211" s="143"/>
    </row>
    <row r="212" spans="2:29">
      <c r="Q212" s="280"/>
      <c r="R212" s="239"/>
      <c r="S212" s="305"/>
      <c r="T212" s="239"/>
      <c r="U212" s="239"/>
      <c r="V212" s="159"/>
      <c r="W212" s="159"/>
      <c r="X212" s="159"/>
      <c r="Y212" s="159"/>
      <c r="Z212" s="159"/>
      <c r="AA212" s="159"/>
      <c r="AB212" s="159"/>
      <c r="AC212" s="143"/>
    </row>
    <row r="213" spans="2:29">
      <c r="Q213" s="280"/>
      <c r="R213" s="239"/>
      <c r="S213" s="305"/>
      <c r="T213" s="239"/>
      <c r="U213" s="239"/>
      <c r="V213" s="159"/>
      <c r="W213" s="159"/>
      <c r="X213" s="159"/>
      <c r="Y213" s="159"/>
      <c r="Z213" s="159"/>
      <c r="AA213" s="159"/>
      <c r="AB213" s="159"/>
      <c r="AC213" s="143"/>
    </row>
    <row r="214" spans="2:29">
      <c r="Q214" s="280"/>
      <c r="R214" s="239"/>
      <c r="S214" s="305"/>
      <c r="T214" s="239"/>
      <c r="U214" s="239"/>
      <c r="V214" s="159"/>
      <c r="W214" s="159"/>
      <c r="X214" s="159"/>
      <c r="Y214" s="159"/>
      <c r="Z214" s="159"/>
      <c r="AA214" s="159"/>
      <c r="AB214" s="159"/>
      <c r="AC214" s="143"/>
    </row>
    <row r="215" spans="2:29" s="201" customFormat="1">
      <c r="B215" s="200" t="s">
        <v>188</v>
      </c>
      <c r="O215" s="202"/>
      <c r="P215" s="203"/>
      <c r="Q215" s="204"/>
      <c r="R215" s="205"/>
      <c r="S215" s="204"/>
      <c r="T215" s="204"/>
      <c r="U215" s="204"/>
      <c r="V215" s="204"/>
      <c r="W215" s="204"/>
      <c r="X215" s="204"/>
      <c r="Y215" s="204"/>
      <c r="Z215" s="204"/>
      <c r="AA215" s="204"/>
      <c r="AB215" s="204"/>
      <c r="AC215" s="204"/>
    </row>
    <row r="216" spans="2:29">
      <c r="Q216" s="161"/>
      <c r="R216" s="159"/>
      <c r="S216" s="159"/>
      <c r="T216" s="159"/>
      <c r="U216" s="159"/>
      <c r="V216" s="159"/>
      <c r="W216" s="159"/>
      <c r="X216" s="159"/>
      <c r="Y216" s="159"/>
      <c r="Z216" s="159"/>
      <c r="AA216" s="159"/>
      <c r="AB216" s="159"/>
      <c r="AC216" s="143"/>
    </row>
    <row r="217" spans="2:29">
      <c r="C217" s="140" t="s">
        <v>357</v>
      </c>
      <c r="Q217" s="161"/>
      <c r="R217" s="159"/>
      <c r="S217" s="159"/>
      <c r="T217" s="159"/>
      <c r="U217" s="159"/>
      <c r="V217" s="159"/>
      <c r="W217" s="159"/>
      <c r="X217" s="159"/>
      <c r="Y217" s="159"/>
      <c r="Z217" s="159"/>
      <c r="AA217" s="159"/>
      <c r="AB217" s="159"/>
      <c r="AC217" s="143"/>
    </row>
    <row r="218" spans="2:29">
      <c r="Q218" s="161"/>
      <c r="R218" s="159"/>
      <c r="S218" s="159"/>
      <c r="T218" s="159"/>
      <c r="U218" s="159"/>
      <c r="V218" s="159"/>
      <c r="W218" s="159"/>
      <c r="X218" s="159"/>
      <c r="Y218" s="159"/>
      <c r="Z218" s="159"/>
      <c r="AA218" s="159"/>
      <c r="AB218" s="159"/>
      <c r="AC218" s="143"/>
    </row>
    <row r="219" spans="2:29">
      <c r="C219" s="141" t="s">
        <v>1416</v>
      </c>
      <c r="Q219" s="161"/>
      <c r="R219" s="159"/>
      <c r="S219" s="159"/>
      <c r="T219" s="159"/>
      <c r="U219" s="159"/>
      <c r="V219" s="159"/>
      <c r="W219" s="159"/>
      <c r="X219" s="159"/>
      <c r="Y219" s="159"/>
      <c r="Z219" s="159"/>
      <c r="AA219" s="159"/>
      <c r="AB219" s="159"/>
      <c r="AC219" s="143"/>
    </row>
    <row r="220" spans="2:29">
      <c r="C220" s="7" t="s">
        <v>405</v>
      </c>
      <c r="Q220" s="161"/>
      <c r="R220" s="159"/>
      <c r="S220" s="159"/>
      <c r="T220" s="159"/>
      <c r="U220" s="159"/>
      <c r="V220" s="159"/>
      <c r="W220" s="159"/>
      <c r="X220" s="159"/>
      <c r="Y220" s="159"/>
      <c r="Z220" s="159"/>
      <c r="AA220" s="159"/>
      <c r="AB220" s="159"/>
      <c r="AC220" s="143"/>
    </row>
    <row r="221" spans="2:29" ht="75">
      <c r="C221" s="445" t="s">
        <v>202</v>
      </c>
      <c r="D221" s="446" t="s">
        <v>398</v>
      </c>
      <c r="E221" s="446" t="s">
        <v>399</v>
      </c>
      <c r="Q221" s="161"/>
      <c r="R221" s="159"/>
      <c r="S221" s="159"/>
      <c r="T221" s="159"/>
      <c r="U221" s="159"/>
      <c r="V221" s="159"/>
      <c r="W221" s="159"/>
      <c r="X221" s="159"/>
      <c r="Y221" s="159"/>
      <c r="Z221" s="159"/>
      <c r="AA221" s="159"/>
      <c r="AB221" s="159"/>
      <c r="AC221" s="143"/>
    </row>
    <row r="222" spans="2:29">
      <c r="C222" s="447" t="s">
        <v>203</v>
      </c>
      <c r="D222" s="448">
        <v>1000</v>
      </c>
      <c r="E222" s="449">
        <v>6</v>
      </c>
      <c r="Q222" s="161"/>
      <c r="R222" s="159"/>
      <c r="S222" s="159"/>
      <c r="T222" s="159"/>
      <c r="U222" s="159"/>
      <c r="V222" s="159"/>
      <c r="W222" s="159"/>
      <c r="X222" s="159"/>
      <c r="Y222" s="159"/>
      <c r="Z222" s="159"/>
      <c r="AA222" s="159"/>
      <c r="AB222" s="159"/>
      <c r="AC222" s="143"/>
    </row>
    <row r="223" spans="2:29">
      <c r="C223" s="450" t="s">
        <v>204</v>
      </c>
      <c r="D223" s="451">
        <v>600</v>
      </c>
      <c r="E223" s="452">
        <v>3</v>
      </c>
      <c r="Q223" s="161"/>
      <c r="R223" s="159"/>
      <c r="S223" s="159"/>
      <c r="T223" s="159"/>
      <c r="U223" s="159"/>
      <c r="V223" s="159"/>
      <c r="W223" s="159"/>
      <c r="X223" s="159"/>
      <c r="Y223" s="159"/>
      <c r="Z223" s="159"/>
      <c r="AA223" s="159"/>
      <c r="AB223" s="159"/>
      <c r="AC223" s="143"/>
    </row>
    <row r="224" spans="2:29">
      <c r="C224" s="453" t="s">
        <v>205</v>
      </c>
      <c r="D224" s="454">
        <v>300</v>
      </c>
      <c r="E224" s="455">
        <v>2</v>
      </c>
      <c r="Q224" s="161"/>
      <c r="R224" s="159"/>
      <c r="S224" s="159"/>
      <c r="T224" s="159"/>
      <c r="U224" s="159"/>
      <c r="V224" s="159"/>
      <c r="W224" s="159"/>
      <c r="X224" s="159"/>
      <c r="Y224" s="159"/>
      <c r="Z224" s="159"/>
      <c r="AA224" s="159"/>
      <c r="AB224" s="159"/>
      <c r="AC224" s="143"/>
    </row>
    <row r="225" spans="3:29">
      <c r="Q225" s="161"/>
      <c r="R225" s="159"/>
      <c r="S225" s="159"/>
      <c r="T225" s="159"/>
      <c r="U225" s="159"/>
      <c r="V225" s="159"/>
      <c r="W225" s="159"/>
      <c r="X225" s="159"/>
      <c r="Y225" s="159"/>
      <c r="Z225" s="159"/>
      <c r="AA225" s="159"/>
      <c r="AB225" s="159"/>
      <c r="AC225" s="143"/>
    </row>
    <row r="226" spans="3:29">
      <c r="C226" s="459" t="s">
        <v>403</v>
      </c>
      <c r="Q226" s="161"/>
      <c r="R226" s="159"/>
      <c r="S226" s="159"/>
      <c r="T226" s="159"/>
      <c r="U226" s="159"/>
      <c r="V226" s="159"/>
      <c r="W226" s="159"/>
      <c r="X226" s="159"/>
      <c r="Y226" s="159"/>
      <c r="Z226" s="159"/>
      <c r="AA226" s="159"/>
      <c r="AB226" s="159"/>
      <c r="AC226" s="143"/>
    </row>
    <row r="227" spans="3:29">
      <c r="C227" s="456" t="s">
        <v>400</v>
      </c>
      <c r="Q227" s="161"/>
      <c r="R227" s="159"/>
      <c r="S227" s="159"/>
      <c r="T227" s="159"/>
      <c r="U227" s="159"/>
      <c r="V227" s="159"/>
      <c r="W227" s="159"/>
      <c r="X227" s="159"/>
      <c r="Y227" s="159"/>
      <c r="Z227" s="159"/>
      <c r="AA227" s="159"/>
      <c r="AB227" s="159"/>
      <c r="AC227" s="143"/>
    </row>
    <row r="228" spans="3:29">
      <c r="C228" s="457" t="s">
        <v>392</v>
      </c>
      <c r="Q228" s="161"/>
      <c r="R228" s="159"/>
      <c r="S228" s="159"/>
      <c r="T228" s="159"/>
      <c r="U228" s="159"/>
      <c r="V228" s="159"/>
      <c r="W228" s="159"/>
      <c r="X228" s="159"/>
      <c r="Y228" s="159"/>
      <c r="Z228" s="159"/>
      <c r="AA228" s="159"/>
      <c r="AB228" s="159"/>
      <c r="AC228" s="143"/>
    </row>
    <row r="229" spans="3:29">
      <c r="C229" s="457" t="s">
        <v>59</v>
      </c>
      <c r="Q229" s="161"/>
      <c r="R229" s="159"/>
      <c r="S229" s="159"/>
      <c r="T229" s="159"/>
      <c r="U229" s="159"/>
      <c r="V229" s="159"/>
      <c r="W229" s="159"/>
      <c r="X229" s="159"/>
      <c r="Y229" s="159"/>
      <c r="Z229" s="159"/>
      <c r="AA229" s="159"/>
      <c r="AB229" s="159"/>
      <c r="AC229" s="143"/>
    </row>
    <row r="230" spans="3:29">
      <c r="C230" s="457" t="s">
        <v>393</v>
      </c>
      <c r="Q230" s="161"/>
      <c r="R230" s="159"/>
      <c r="S230" s="159"/>
      <c r="T230" s="159"/>
      <c r="U230" s="159"/>
      <c r="V230" s="159"/>
      <c r="W230" s="159"/>
      <c r="X230" s="159"/>
      <c r="Y230" s="159"/>
      <c r="Z230" s="159"/>
      <c r="AA230" s="159"/>
      <c r="AB230" s="159"/>
      <c r="AC230" s="143"/>
    </row>
    <row r="231" spans="3:29">
      <c r="Q231" s="161"/>
      <c r="R231" s="159"/>
      <c r="S231" s="159"/>
      <c r="T231" s="159"/>
      <c r="U231" s="159"/>
      <c r="V231" s="159"/>
      <c r="W231" s="159"/>
      <c r="X231" s="159"/>
      <c r="Y231" s="159"/>
      <c r="Z231" s="159"/>
      <c r="AA231" s="159"/>
      <c r="AB231" s="159"/>
      <c r="AC231" s="143"/>
    </row>
    <row r="232" spans="3:29">
      <c r="C232" s="458" t="s">
        <v>287</v>
      </c>
      <c r="Q232" s="161"/>
      <c r="R232" s="159"/>
      <c r="S232" s="159"/>
      <c r="T232" s="159"/>
      <c r="U232" s="159"/>
      <c r="V232" s="159"/>
      <c r="W232" s="159"/>
      <c r="X232" s="159"/>
      <c r="Y232" s="159"/>
      <c r="Z232" s="159"/>
      <c r="AA232" s="159"/>
      <c r="AB232" s="159"/>
      <c r="AC232" s="143"/>
    </row>
    <row r="233" spans="3:29">
      <c r="Q233" s="161"/>
      <c r="R233" s="159"/>
      <c r="S233" s="159"/>
      <c r="T233" s="159"/>
      <c r="U233" s="159"/>
      <c r="V233" s="159"/>
      <c r="W233" s="159"/>
      <c r="X233" s="159"/>
      <c r="Y233" s="159"/>
      <c r="Z233" s="159"/>
      <c r="AA233" s="159"/>
      <c r="AB233" s="159"/>
      <c r="AC233" s="143"/>
    </row>
    <row r="234" spans="3:29" ht="60">
      <c r="C234" s="445" t="s">
        <v>202</v>
      </c>
      <c r="D234" s="446" t="s">
        <v>291</v>
      </c>
      <c r="E234" s="446" t="s">
        <v>289</v>
      </c>
      <c r="Q234" s="161"/>
      <c r="R234" s="159"/>
      <c r="S234" s="159"/>
      <c r="T234" s="159"/>
      <c r="U234" s="159"/>
      <c r="V234" s="159"/>
      <c r="W234" s="159"/>
      <c r="X234" s="159"/>
      <c r="Y234" s="159"/>
      <c r="Z234" s="159"/>
      <c r="AA234" s="159"/>
      <c r="AB234" s="159"/>
      <c r="AC234" s="143"/>
    </row>
    <row r="235" spans="3:29">
      <c r="C235" s="447" t="s">
        <v>203</v>
      </c>
      <c r="D235" s="848">
        <v>0.2</v>
      </c>
      <c r="E235" s="449" t="s">
        <v>401</v>
      </c>
      <c r="Q235" s="161"/>
      <c r="R235" s="159"/>
      <c r="S235" s="159"/>
      <c r="T235" s="159"/>
      <c r="U235" s="159"/>
      <c r="V235" s="159"/>
      <c r="W235" s="159"/>
      <c r="X235" s="159"/>
      <c r="Y235" s="159"/>
      <c r="Z235" s="159"/>
      <c r="AA235" s="159"/>
      <c r="AB235" s="159"/>
      <c r="AC235" s="143"/>
    </row>
    <row r="236" spans="3:29">
      <c r="C236" s="450" t="s">
        <v>204</v>
      </c>
      <c r="D236" s="849">
        <v>0.15</v>
      </c>
      <c r="E236" s="452" t="s">
        <v>402</v>
      </c>
      <c r="Q236" s="161"/>
      <c r="R236" s="159"/>
      <c r="S236" s="159"/>
      <c r="T236" s="159"/>
      <c r="U236" s="159"/>
      <c r="V236" s="159"/>
      <c r="W236" s="159"/>
      <c r="X236" s="159"/>
      <c r="Y236" s="159"/>
      <c r="Z236" s="159"/>
      <c r="AA236" s="159"/>
      <c r="AB236" s="159"/>
      <c r="AC236" s="143"/>
    </row>
    <row r="237" spans="3:29">
      <c r="C237" s="453" t="s">
        <v>205</v>
      </c>
      <c r="D237" s="850">
        <v>0.12</v>
      </c>
      <c r="E237" s="455" t="s">
        <v>325</v>
      </c>
      <c r="Q237" s="161"/>
      <c r="R237" s="159"/>
      <c r="S237" s="159"/>
      <c r="T237" s="159"/>
      <c r="U237" s="159"/>
      <c r="V237" s="159"/>
      <c r="W237" s="159"/>
      <c r="X237" s="159"/>
      <c r="Y237" s="159"/>
      <c r="Z237" s="159"/>
      <c r="AA237" s="159"/>
      <c r="AB237" s="159"/>
      <c r="AC237" s="143"/>
    </row>
    <row r="238" spans="3:29">
      <c r="Q238" s="161"/>
      <c r="R238" s="159"/>
      <c r="S238" s="159"/>
      <c r="T238" s="159"/>
      <c r="U238" s="159"/>
      <c r="V238" s="159"/>
      <c r="W238" s="159"/>
      <c r="X238" s="159"/>
      <c r="Y238" s="159"/>
      <c r="Z238" s="159"/>
      <c r="AA238" s="159"/>
      <c r="AB238" s="159"/>
      <c r="AC238" s="143"/>
    </row>
    <row r="239" spans="3:29">
      <c r="C239" s="435" t="s">
        <v>377</v>
      </c>
      <c r="D239" s="253"/>
      <c r="E239" s="253"/>
      <c r="F239" s="253"/>
      <c r="G239" s="427" t="s">
        <v>203</v>
      </c>
      <c r="H239" s="428" t="s">
        <v>204</v>
      </c>
      <c r="I239" s="429" t="s">
        <v>205</v>
      </c>
    </row>
    <row r="240" spans="3:29">
      <c r="C240" s="422" t="s">
        <v>381</v>
      </c>
      <c r="D240" s="143"/>
      <c r="E240" s="143"/>
      <c r="F240" s="143"/>
      <c r="G240" s="440" t="s">
        <v>290</v>
      </c>
      <c r="H240" s="420" t="s">
        <v>290</v>
      </c>
      <c r="I240" s="421"/>
    </row>
    <row r="241" spans="3:29">
      <c r="C241" s="422" t="s">
        <v>382</v>
      </c>
      <c r="D241" s="143"/>
      <c r="E241" s="143"/>
      <c r="F241" s="143"/>
      <c r="G241" s="173" t="s">
        <v>290</v>
      </c>
      <c r="H241" s="436"/>
      <c r="I241" s="437"/>
    </row>
    <row r="242" spans="3:29">
      <c r="C242" s="422" t="s">
        <v>378</v>
      </c>
      <c r="D242" s="143"/>
      <c r="E242" s="143"/>
      <c r="F242" s="143"/>
      <c r="G242" s="173" t="s">
        <v>404</v>
      </c>
      <c r="H242" s="436" t="s">
        <v>384</v>
      </c>
      <c r="I242" s="437" t="s">
        <v>384</v>
      </c>
    </row>
    <row r="243" spans="3:29">
      <c r="C243" s="422" t="s">
        <v>379</v>
      </c>
      <c r="D243" s="143"/>
      <c r="E243" s="143"/>
      <c r="F243" s="143"/>
      <c r="G243" s="173" t="s">
        <v>290</v>
      </c>
      <c r="H243" s="436" t="s">
        <v>290</v>
      </c>
      <c r="I243" s="437"/>
    </row>
    <row r="244" spans="3:29">
      <c r="C244" s="422" t="s">
        <v>380</v>
      </c>
      <c r="D244" s="143"/>
      <c r="E244" s="143"/>
      <c r="F244" s="143"/>
      <c r="G244" s="173" t="s">
        <v>290</v>
      </c>
      <c r="H244" s="436" t="s">
        <v>290</v>
      </c>
      <c r="I244" s="437"/>
    </row>
    <row r="245" spans="3:29">
      <c r="C245" s="422" t="s">
        <v>385</v>
      </c>
      <c r="D245" s="143"/>
      <c r="E245" s="143"/>
      <c r="F245" s="143"/>
      <c r="G245" s="173" t="s">
        <v>290</v>
      </c>
      <c r="H245" s="436" t="s">
        <v>290</v>
      </c>
      <c r="I245" s="437" t="s">
        <v>290</v>
      </c>
    </row>
    <row r="246" spans="3:29">
      <c r="C246" s="423" t="s">
        <v>383</v>
      </c>
      <c r="D246" s="424"/>
      <c r="E246" s="424"/>
      <c r="F246" s="424"/>
      <c r="G246" s="441" t="s">
        <v>290</v>
      </c>
      <c r="H246" s="438" t="s">
        <v>290</v>
      </c>
      <c r="I246" s="439" t="s">
        <v>290</v>
      </c>
    </row>
    <row r="247" spans="3:29">
      <c r="Q247" s="161"/>
      <c r="R247" s="159"/>
      <c r="S247" s="159"/>
      <c r="T247" s="159"/>
      <c r="U247" s="159"/>
      <c r="V247" s="159"/>
      <c r="W247" s="159"/>
      <c r="X247" s="159"/>
      <c r="Y247" s="159"/>
      <c r="Z247" s="159"/>
      <c r="AA247" s="159"/>
      <c r="AB247" s="159"/>
      <c r="AC247" s="143"/>
    </row>
    <row r="248" spans="3:29">
      <c r="C248" s="460" t="s">
        <v>406</v>
      </c>
      <c r="Q248" s="161"/>
      <c r="R248" s="159"/>
      <c r="S248" s="159"/>
      <c r="T248" s="159"/>
      <c r="U248" s="159"/>
      <c r="V248" s="159"/>
      <c r="W248" s="159"/>
      <c r="X248" s="159"/>
      <c r="Y248" s="159"/>
      <c r="Z248" s="159"/>
      <c r="AA248" s="159"/>
      <c r="AB248" s="159"/>
      <c r="AC248" s="143"/>
    </row>
    <row r="249" spans="3:29">
      <c r="Q249" s="161"/>
      <c r="R249" s="159"/>
      <c r="S249" s="159"/>
      <c r="T249" s="159"/>
      <c r="U249" s="159"/>
      <c r="V249" s="159"/>
      <c r="W249" s="159"/>
      <c r="X249" s="159"/>
      <c r="Y249" s="159"/>
      <c r="Z249" s="159"/>
      <c r="AA249" s="159"/>
      <c r="AB249" s="159"/>
      <c r="AC249" s="143"/>
    </row>
    <row r="250" spans="3:29">
      <c r="C250" s="434" t="s">
        <v>407</v>
      </c>
      <c r="Q250" s="161"/>
      <c r="R250" s="159"/>
      <c r="S250" s="159"/>
      <c r="T250" s="159"/>
      <c r="U250" s="159"/>
      <c r="V250" s="159"/>
      <c r="W250" s="159"/>
      <c r="X250" s="159"/>
      <c r="Y250" s="159"/>
      <c r="Z250" s="159"/>
      <c r="AA250" s="159"/>
      <c r="AB250" s="159"/>
      <c r="AC250" s="143"/>
    </row>
    <row r="251" spans="3:29">
      <c r="C251" s="434" t="s">
        <v>408</v>
      </c>
      <c r="Q251" s="161"/>
      <c r="R251" s="159"/>
      <c r="S251" s="159"/>
      <c r="T251" s="159"/>
      <c r="U251" s="159"/>
      <c r="V251" s="159"/>
      <c r="W251" s="159"/>
      <c r="X251" s="159"/>
      <c r="Y251" s="159"/>
      <c r="Z251" s="159"/>
      <c r="AA251" s="159"/>
      <c r="AB251" s="159"/>
      <c r="AC251" s="143"/>
    </row>
    <row r="252" spans="3:29">
      <c r="C252" s="434" t="s">
        <v>409</v>
      </c>
      <c r="Q252" s="161"/>
      <c r="R252" s="159"/>
      <c r="S252" s="159"/>
      <c r="T252" s="159"/>
      <c r="U252" s="159"/>
      <c r="V252" s="159"/>
      <c r="W252" s="159"/>
      <c r="X252" s="159"/>
      <c r="Y252" s="159"/>
      <c r="Z252" s="159"/>
      <c r="AA252" s="159"/>
      <c r="AB252" s="159"/>
      <c r="AC252" s="143"/>
    </row>
    <row r="253" spans="3:29">
      <c r="C253" s="434"/>
      <c r="Q253" s="161"/>
      <c r="R253" s="159"/>
      <c r="S253" s="159"/>
      <c r="T253" s="159"/>
      <c r="U253" s="159"/>
      <c r="V253" s="159"/>
      <c r="W253" s="159"/>
      <c r="X253" s="159"/>
      <c r="Y253" s="159"/>
      <c r="Z253" s="159"/>
      <c r="AA253" s="159"/>
      <c r="AB253" s="159"/>
      <c r="AC253" s="143"/>
    </row>
    <row r="254" spans="3:29">
      <c r="C254" s="434" t="s">
        <v>410</v>
      </c>
      <c r="D254" s="141" t="s">
        <v>411</v>
      </c>
      <c r="E254" s="141" t="s">
        <v>412</v>
      </c>
      <c r="F254" s="141" t="s">
        <v>413</v>
      </c>
      <c r="G254" s="141" t="s">
        <v>414</v>
      </c>
      <c r="H254" s="141" t="s">
        <v>418</v>
      </c>
      <c r="Q254" s="161"/>
      <c r="R254" s="159"/>
      <c r="S254" s="159"/>
      <c r="T254" s="159"/>
      <c r="U254" s="159"/>
      <c r="V254" s="159"/>
      <c r="W254" s="159"/>
      <c r="X254" s="159"/>
      <c r="Y254" s="159"/>
      <c r="Z254" s="159"/>
      <c r="AA254" s="159"/>
      <c r="AB254" s="159"/>
      <c r="AC254" s="143"/>
    </row>
    <row r="255" spans="3:29">
      <c r="C255" s="461"/>
      <c r="D255" s="461"/>
      <c r="E255" s="461"/>
      <c r="F255" s="461"/>
      <c r="G255" s="462"/>
      <c r="H255" s="462"/>
      <c r="Q255" s="161"/>
      <c r="R255" s="159"/>
      <c r="S255" s="159"/>
      <c r="T255" s="159"/>
      <c r="U255" s="159"/>
      <c r="V255" s="159"/>
      <c r="W255" s="159"/>
      <c r="X255" s="159"/>
      <c r="Y255" s="159"/>
      <c r="Z255" s="159"/>
      <c r="AA255" s="159"/>
      <c r="AB255" s="159"/>
      <c r="AC255" s="143"/>
    </row>
    <row r="256" spans="3:29">
      <c r="C256" s="434" t="s">
        <v>415</v>
      </c>
      <c r="E256" s="141" t="s">
        <v>416</v>
      </c>
      <c r="F256" s="141" t="s">
        <v>417</v>
      </c>
      <c r="G256" s="141" t="s">
        <v>417</v>
      </c>
      <c r="H256" s="141" t="s">
        <v>417</v>
      </c>
      <c r="Q256" s="161"/>
      <c r="R256" s="159"/>
      <c r="S256" s="159"/>
      <c r="T256" s="159"/>
      <c r="U256" s="159"/>
      <c r="V256" s="159"/>
      <c r="W256" s="159"/>
      <c r="X256" s="159"/>
      <c r="Y256" s="159"/>
      <c r="Z256" s="159"/>
      <c r="AA256" s="159"/>
      <c r="AB256" s="159"/>
      <c r="AC256" s="143"/>
    </row>
    <row r="257" spans="2:29">
      <c r="Q257" s="161"/>
      <c r="R257" s="159"/>
      <c r="S257" s="159"/>
      <c r="T257" s="159"/>
      <c r="U257" s="159"/>
      <c r="V257" s="159"/>
      <c r="W257" s="159"/>
      <c r="X257" s="159"/>
      <c r="Y257" s="159"/>
      <c r="Z257" s="159"/>
      <c r="AA257" s="159"/>
      <c r="AB257" s="159"/>
      <c r="AC257" s="143"/>
    </row>
    <row r="258" spans="2:29">
      <c r="Q258" s="161"/>
      <c r="R258" s="159"/>
      <c r="S258" s="159"/>
      <c r="T258" s="159"/>
      <c r="U258" s="159"/>
      <c r="V258" s="159"/>
      <c r="W258" s="159"/>
      <c r="X258" s="159"/>
      <c r="Y258" s="159"/>
      <c r="Z258" s="159"/>
      <c r="AA258" s="159"/>
      <c r="AB258" s="159"/>
      <c r="AC258" s="143"/>
    </row>
    <row r="259" spans="2:29" s="201" customFormat="1">
      <c r="B259" s="200" t="s">
        <v>419</v>
      </c>
      <c r="O259" s="202"/>
      <c r="P259" s="203"/>
      <c r="Q259" s="204"/>
      <c r="R259" s="205"/>
      <c r="S259" s="204"/>
      <c r="T259" s="204"/>
      <c r="U259" s="204"/>
      <c r="V259" s="204"/>
      <c r="W259" s="204"/>
      <c r="X259" s="204"/>
      <c r="Y259" s="204"/>
      <c r="Z259" s="204"/>
      <c r="AA259" s="204"/>
      <c r="AB259" s="204"/>
      <c r="AC259" s="204"/>
    </row>
    <row r="260" spans="2:29">
      <c r="Q260" s="161"/>
      <c r="R260" s="159"/>
      <c r="S260" s="159"/>
      <c r="T260" s="159"/>
      <c r="U260" s="159"/>
      <c r="V260" s="159"/>
      <c r="W260" s="159"/>
      <c r="X260" s="159"/>
      <c r="Y260" s="159"/>
      <c r="Z260" s="159"/>
      <c r="AA260" s="159"/>
      <c r="AB260" s="159"/>
      <c r="AC260" s="143"/>
    </row>
    <row r="261" spans="2:29">
      <c r="C261" s="141" t="s">
        <v>1417</v>
      </c>
      <c r="Q261" s="161"/>
      <c r="R261" s="159"/>
      <c r="S261" s="159"/>
      <c r="T261" s="159"/>
      <c r="U261" s="159"/>
      <c r="V261" s="159"/>
      <c r="W261" s="159"/>
      <c r="X261" s="159"/>
      <c r="Y261" s="159"/>
      <c r="Z261" s="159"/>
      <c r="AA261" s="159"/>
      <c r="AB261" s="159"/>
      <c r="AC261" s="143"/>
    </row>
    <row r="262" spans="2:29">
      <c r="C262" s="140" t="s">
        <v>421</v>
      </c>
      <c r="Q262" s="161"/>
      <c r="R262" s="159"/>
      <c r="S262" s="159"/>
      <c r="T262" s="159"/>
      <c r="U262" s="159"/>
      <c r="V262" s="159"/>
      <c r="W262" s="159"/>
      <c r="X262" s="159"/>
      <c r="Y262" s="159"/>
      <c r="Z262" s="159"/>
      <c r="AA262" s="159"/>
      <c r="AB262" s="159"/>
      <c r="AC262" s="143"/>
    </row>
    <row r="263" spans="2:29">
      <c r="C263" s="141" t="s">
        <v>422</v>
      </c>
      <c r="Q263" s="161"/>
      <c r="R263" s="159"/>
      <c r="S263" s="159"/>
      <c r="T263" s="159"/>
      <c r="U263" s="159"/>
      <c r="V263" s="159"/>
      <c r="W263" s="159"/>
      <c r="X263" s="159"/>
      <c r="Y263" s="159"/>
      <c r="Z263" s="159"/>
      <c r="AA263" s="159"/>
      <c r="AB263" s="159"/>
      <c r="AC263" s="143"/>
    </row>
    <row r="264" spans="2:29">
      <c r="C264" s="141" t="s">
        <v>303</v>
      </c>
      <c r="Q264" s="161"/>
      <c r="R264" s="159"/>
      <c r="S264" s="159"/>
      <c r="T264" s="159"/>
      <c r="U264" s="159"/>
      <c r="V264" s="159"/>
      <c r="W264" s="159"/>
      <c r="X264" s="159"/>
      <c r="Y264" s="159"/>
      <c r="Z264" s="159"/>
      <c r="AA264" s="159"/>
      <c r="AB264" s="159"/>
      <c r="AC264" s="143"/>
    </row>
    <row r="265" spans="2:29">
      <c r="C265" s="463" t="s">
        <v>703</v>
      </c>
      <c r="Q265" s="161"/>
      <c r="R265" s="159"/>
      <c r="S265" s="159"/>
      <c r="T265" s="159"/>
      <c r="U265" s="159"/>
      <c r="V265" s="159"/>
      <c r="W265" s="159"/>
      <c r="X265" s="159"/>
      <c r="Y265" s="159"/>
      <c r="Z265" s="159"/>
      <c r="AA265" s="159"/>
      <c r="AB265" s="159"/>
      <c r="AC265" s="143"/>
    </row>
    <row r="266" spans="2:29">
      <c r="C266" s="463" t="s">
        <v>423</v>
      </c>
      <c r="Q266" s="161"/>
      <c r="R266" s="159"/>
      <c r="S266" s="159"/>
      <c r="T266" s="159"/>
      <c r="U266" s="159"/>
      <c r="V266" s="159"/>
      <c r="W266" s="159"/>
      <c r="X266" s="159"/>
      <c r="Y266" s="159"/>
      <c r="Z266" s="159"/>
      <c r="AA266" s="159"/>
      <c r="AB266" s="159"/>
      <c r="AC266" s="143"/>
    </row>
    <row r="267" spans="2:29">
      <c r="C267" s="463" t="s">
        <v>424</v>
      </c>
      <c r="Q267" s="161"/>
      <c r="R267" s="159"/>
      <c r="S267" s="159"/>
      <c r="T267" s="159"/>
      <c r="U267" s="159"/>
      <c r="V267" s="159"/>
      <c r="W267" s="159"/>
      <c r="X267" s="159"/>
      <c r="Y267" s="159"/>
      <c r="Z267" s="159"/>
      <c r="AA267" s="159"/>
      <c r="AB267" s="159"/>
      <c r="AC267" s="143"/>
    </row>
    <row r="268" spans="2:29">
      <c r="Q268" s="161"/>
      <c r="R268" s="159"/>
      <c r="S268" s="159"/>
      <c r="T268" s="159"/>
      <c r="U268" s="159"/>
      <c r="V268" s="159"/>
      <c r="W268" s="159"/>
      <c r="X268" s="159"/>
      <c r="Y268" s="159"/>
      <c r="Z268" s="159"/>
      <c r="AA268" s="159"/>
      <c r="AB268" s="159"/>
      <c r="AC268" s="143"/>
    </row>
    <row r="269" spans="2:29">
      <c r="C269" s="140" t="s">
        <v>287</v>
      </c>
      <c r="Q269" s="161"/>
      <c r="R269" s="159"/>
      <c r="S269" s="159"/>
      <c r="T269" s="159"/>
      <c r="U269" s="159"/>
      <c r="V269" s="159"/>
      <c r="W269" s="159"/>
      <c r="X269" s="159"/>
      <c r="Y269" s="159"/>
      <c r="Z269" s="159"/>
      <c r="AA269" s="159"/>
      <c r="AB269" s="159"/>
      <c r="AC269" s="143"/>
    </row>
    <row r="270" spans="2:29">
      <c r="C270" s="141" t="s">
        <v>694</v>
      </c>
      <c r="E270" s="141">
        <v>15</v>
      </c>
      <c r="F270" s="141" t="s">
        <v>1422</v>
      </c>
      <c r="Q270" s="161"/>
      <c r="R270" s="159"/>
      <c r="S270" s="159"/>
      <c r="T270" s="159"/>
      <c r="U270" s="159"/>
      <c r="V270" s="159"/>
      <c r="W270" s="159"/>
      <c r="X270" s="159"/>
      <c r="Y270" s="159"/>
      <c r="Z270" s="159"/>
      <c r="AA270" s="159"/>
      <c r="AB270" s="159"/>
      <c r="AC270" s="143"/>
    </row>
    <row r="271" spans="2:29">
      <c r="Q271" s="161"/>
      <c r="R271" s="159"/>
      <c r="S271" s="159"/>
      <c r="T271" s="159"/>
      <c r="U271" s="159"/>
      <c r="V271" s="159"/>
      <c r="W271" s="159"/>
      <c r="X271" s="159"/>
      <c r="Y271" s="159"/>
      <c r="Z271" s="159"/>
      <c r="AA271" s="159"/>
      <c r="AB271" s="159"/>
      <c r="AC271" s="143"/>
    </row>
    <row r="272" spans="2:29">
      <c r="Q272" s="159"/>
      <c r="R272" s="161"/>
      <c r="S272" s="159"/>
      <c r="T272" s="159"/>
      <c r="U272" s="159"/>
      <c r="V272" s="159"/>
      <c r="W272" s="159"/>
      <c r="X272" s="159"/>
      <c r="Y272" s="159"/>
      <c r="Z272" s="159"/>
      <c r="AA272" s="159"/>
      <c r="AB272" s="159"/>
      <c r="AC272" s="143"/>
    </row>
    <row r="273" spans="2:29" s="201" customFormat="1">
      <c r="B273" s="200" t="s">
        <v>420</v>
      </c>
      <c r="O273" s="202"/>
      <c r="P273" s="203" t="s">
        <v>187</v>
      </c>
      <c r="Q273" s="204"/>
      <c r="R273" s="205"/>
      <c r="S273" s="204"/>
      <c r="T273" s="204"/>
      <c r="U273" s="204"/>
      <c r="V273" s="204"/>
      <c r="W273" s="204"/>
      <c r="X273" s="204"/>
      <c r="Y273" s="204"/>
      <c r="Z273" s="204"/>
      <c r="AA273" s="204"/>
      <c r="AB273" s="204"/>
      <c r="AC273" s="204"/>
    </row>
    <row r="274" spans="2:29">
      <c r="Q274" s="159"/>
      <c r="R274" s="163"/>
      <c r="S274" s="163"/>
      <c r="T274" s="159"/>
      <c r="U274" s="159"/>
      <c r="V274" s="159"/>
      <c r="W274" s="159"/>
      <c r="X274" s="159"/>
      <c r="Y274" s="159"/>
      <c r="Z274" s="159"/>
      <c r="AA274" s="159"/>
      <c r="AB274" s="159"/>
      <c r="AC274" s="143"/>
    </row>
    <row r="275" spans="2:29">
      <c r="Q275" s="321" t="s">
        <v>75</v>
      </c>
      <c r="R275" s="322"/>
      <c r="S275" s="322"/>
      <c r="T275" s="322"/>
      <c r="U275" s="231"/>
      <c r="V275" s="231"/>
      <c r="W275" s="231"/>
      <c r="X275" s="239"/>
      <c r="Y275" s="223"/>
      <c r="Z275" s="159"/>
      <c r="AA275" s="159"/>
      <c r="AB275" s="159"/>
      <c r="AC275" s="143"/>
    </row>
    <row r="276" spans="2:29">
      <c r="C276" s="7" t="s">
        <v>425</v>
      </c>
      <c r="Q276" s="323">
        <v>5</v>
      </c>
      <c r="R276" s="231" t="s">
        <v>76</v>
      </c>
      <c r="S276" s="231"/>
      <c r="T276" s="231"/>
      <c r="U276" s="231"/>
      <c r="V276" s="231"/>
      <c r="W276" s="231"/>
      <c r="X276" s="239"/>
      <c r="Y276" s="223"/>
      <c r="Z276" s="159"/>
      <c r="AA276" s="159"/>
      <c r="AB276" s="159"/>
      <c r="AC276" s="143"/>
    </row>
    <row r="277" spans="2:29">
      <c r="Q277" s="323">
        <v>8</v>
      </c>
      <c r="R277" s="231" t="s">
        <v>77</v>
      </c>
      <c r="S277" s="231"/>
      <c r="T277" s="231"/>
      <c r="U277" s="231"/>
      <c r="V277" s="324"/>
      <c r="W277" s="231"/>
      <c r="X277" s="239"/>
      <c r="Y277" s="223"/>
      <c r="Z277" s="143"/>
      <c r="AA277" s="143"/>
      <c r="AB277" s="143"/>
      <c r="AC277" s="143"/>
    </row>
    <row r="278" spans="2:29">
      <c r="Q278" s="258"/>
      <c r="R278" s="231"/>
      <c r="S278" s="231"/>
      <c r="T278" s="231"/>
      <c r="U278" s="231"/>
      <c r="V278" s="231"/>
      <c r="W278" s="231"/>
      <c r="X278" s="239"/>
      <c r="Y278" s="223"/>
      <c r="Z278" s="143"/>
      <c r="AA278" s="143"/>
      <c r="AB278" s="143"/>
      <c r="AC278" s="143"/>
    </row>
    <row r="279" spans="2:29">
      <c r="Q279" s="323"/>
      <c r="R279" s="231"/>
      <c r="S279" s="239"/>
      <c r="T279" s="231"/>
      <c r="U279" s="231"/>
      <c r="V279" s="231"/>
      <c r="W279" s="231"/>
      <c r="X279" s="239"/>
      <c r="Y279" s="223"/>
      <c r="Z279" s="143"/>
      <c r="AA279" s="143"/>
      <c r="AB279" s="143"/>
      <c r="AC279" s="143"/>
    </row>
    <row r="280" spans="2:29">
      <c r="Q280" s="239"/>
      <c r="R280" s="239"/>
      <c r="S280" s="239"/>
      <c r="T280" s="239"/>
      <c r="U280" s="231"/>
      <c r="V280" s="231"/>
      <c r="W280" s="231"/>
      <c r="X280" s="239"/>
      <c r="Y280" s="223"/>
      <c r="Z280" s="143"/>
      <c r="AA280" s="143"/>
      <c r="AB280" s="143"/>
      <c r="AC280" s="143"/>
    </row>
    <row r="281" spans="2:29">
      <c r="Q281" s="258" t="s">
        <v>78</v>
      </c>
      <c r="R281" s="231"/>
      <c r="S281" s="231"/>
      <c r="T281" s="231"/>
      <c r="U281" s="231"/>
      <c r="V281" s="231"/>
      <c r="W281" s="231"/>
      <c r="X281" s="239"/>
      <c r="Y281" s="223"/>
      <c r="Z281" s="143"/>
      <c r="AA281" s="143"/>
      <c r="AB281" s="143"/>
      <c r="AC281" s="143"/>
    </row>
    <row r="282" spans="2:29">
      <c r="Q282" s="325" t="s">
        <v>369</v>
      </c>
      <c r="R282" s="231"/>
      <c r="S282" s="231"/>
      <c r="T282" s="231"/>
      <c r="U282" s="231"/>
      <c r="V282" s="231"/>
      <c r="W282" s="231"/>
      <c r="X282" s="239"/>
      <c r="Y282" s="223"/>
      <c r="Z282" s="143"/>
      <c r="AA282" s="143"/>
      <c r="AB282" s="143"/>
      <c r="AC282" s="143"/>
    </row>
    <row r="283" spans="2:29">
      <c r="Q283" s="325" t="s">
        <v>370</v>
      </c>
      <c r="R283" s="231"/>
      <c r="S283" s="231"/>
      <c r="T283" s="231"/>
      <c r="U283" s="231"/>
      <c r="V283" s="231"/>
      <c r="W283" s="231"/>
      <c r="X283" s="239"/>
      <c r="Y283" s="223"/>
      <c r="Z283" s="143"/>
      <c r="AA283" s="143"/>
      <c r="AB283" s="143"/>
      <c r="AC283" s="143"/>
    </row>
    <row r="284" spans="2:29">
      <c r="Q284" s="239"/>
      <c r="R284" s="239"/>
      <c r="S284" s="239"/>
      <c r="T284" s="239"/>
      <c r="U284" s="239"/>
      <c r="V284" s="239"/>
      <c r="W284" s="231"/>
      <c r="X284" s="239"/>
      <c r="Y284" s="223"/>
      <c r="Z284" s="143"/>
      <c r="AA284" s="143"/>
      <c r="AB284" s="143"/>
      <c r="AC284" s="143"/>
    </row>
    <row r="285" spans="2:29">
      <c r="Q285" s="212" t="s">
        <v>79</v>
      </c>
      <c r="R285" s="239"/>
      <c r="S285" s="239"/>
      <c r="T285" s="239"/>
      <c r="U285" s="239"/>
      <c r="V285" s="239"/>
      <c r="W285" s="231"/>
      <c r="X285" s="239"/>
      <c r="Y285" s="223"/>
      <c r="Z285" s="143"/>
      <c r="AA285" s="143"/>
      <c r="AB285" s="143"/>
      <c r="AC285" s="143"/>
    </row>
    <row r="286" spans="2:29">
      <c r="Q286" s="280" t="s">
        <v>80</v>
      </c>
      <c r="R286" s="231"/>
      <c r="S286" s="231"/>
      <c r="T286" s="231"/>
      <c r="U286" s="231"/>
      <c r="V286" s="231"/>
      <c r="W286" s="231"/>
      <c r="X286" s="239"/>
      <c r="Y286" s="223"/>
      <c r="Z286" s="143"/>
      <c r="AA286" s="143"/>
      <c r="AB286" s="143"/>
      <c r="AC286" s="143"/>
    </row>
    <row r="287" spans="2:29">
      <c r="Q287" s="31" t="s">
        <v>81</v>
      </c>
      <c r="R287" s="262"/>
      <c r="S287" s="231"/>
      <c r="T287" s="231"/>
      <c r="U287" s="231"/>
      <c r="V287" s="231"/>
      <c r="W287" s="231"/>
      <c r="X287" s="239"/>
      <c r="Y287" s="223"/>
      <c r="Z287" s="143"/>
      <c r="AA287" s="143"/>
      <c r="AB287" s="143"/>
      <c r="AC287" s="143"/>
    </row>
    <row r="288" spans="2:29">
      <c r="Q288" s="31" t="s">
        <v>82</v>
      </c>
      <c r="R288" s="262"/>
      <c r="S288" s="231"/>
      <c r="T288" s="231"/>
      <c r="U288" s="231"/>
      <c r="V288" s="231"/>
      <c r="W288" s="231"/>
      <c r="X288" s="239"/>
      <c r="Y288" s="223"/>
      <c r="Z288" s="143"/>
      <c r="AA288" s="143"/>
      <c r="AB288" s="143"/>
      <c r="AC288" s="143"/>
    </row>
    <row r="289" spans="2:29">
      <c r="Q289" s="31" t="s">
        <v>83</v>
      </c>
      <c r="R289" s="262"/>
      <c r="S289" s="231"/>
      <c r="T289" s="231"/>
      <c r="U289" s="231"/>
      <c r="V289" s="231"/>
      <c r="W289" s="231"/>
      <c r="X289" s="239"/>
      <c r="Y289" s="223"/>
      <c r="Z289" s="143"/>
      <c r="AA289" s="143"/>
      <c r="AB289" s="143"/>
      <c r="AC289" s="143"/>
    </row>
    <row r="290" spans="2:29">
      <c r="Q290" s="326"/>
      <c r="R290" s="262"/>
      <c r="S290" s="231"/>
      <c r="T290" s="231"/>
      <c r="U290" s="231"/>
      <c r="V290" s="231"/>
      <c r="W290" s="231"/>
      <c r="X290" s="239"/>
      <c r="Y290" s="223"/>
      <c r="Z290" s="143"/>
      <c r="AA290" s="143"/>
      <c r="AB290" s="143"/>
      <c r="AC290" s="143"/>
    </row>
    <row r="291" spans="2:29">
      <c r="Q291" s="258" t="s">
        <v>84</v>
      </c>
      <c r="R291" s="231"/>
      <c r="S291" s="231"/>
      <c r="T291" s="231"/>
      <c r="U291" s="231"/>
      <c r="V291" s="231"/>
      <c r="W291" s="231"/>
      <c r="X291" s="239"/>
      <c r="Y291" s="223"/>
      <c r="Z291" s="143"/>
      <c r="AA291" s="143"/>
      <c r="AB291" s="143"/>
      <c r="AC291" s="143"/>
    </row>
    <row r="292" spans="2:29">
      <c r="Q292" s="239"/>
      <c r="R292" s="239"/>
      <c r="S292" s="239"/>
      <c r="T292" s="231"/>
      <c r="U292" s="231"/>
      <c r="V292" s="231"/>
      <c r="W292" s="231"/>
      <c r="X292" s="239"/>
      <c r="Y292" s="223"/>
      <c r="Z292" s="143"/>
      <c r="AA292" s="143"/>
      <c r="AB292" s="143"/>
      <c r="AC292" s="143"/>
    </row>
    <row r="293" spans="2:29">
      <c r="Q293" s="327" t="s">
        <v>85</v>
      </c>
      <c r="R293" s="328" t="s">
        <v>86</v>
      </c>
      <c r="S293" s="239"/>
      <c r="T293" s="231"/>
      <c r="U293" s="329"/>
      <c r="V293" s="231"/>
      <c r="W293" s="231"/>
      <c r="X293" s="239"/>
      <c r="Y293" s="223"/>
      <c r="Z293" s="143"/>
      <c r="AA293" s="143"/>
      <c r="AB293" s="143"/>
      <c r="AC293" s="143"/>
    </row>
    <row r="294" spans="2:29">
      <c r="Q294" s="330" t="s">
        <v>87</v>
      </c>
      <c r="R294" s="331">
        <v>3.5000000000000003E-2</v>
      </c>
      <c r="S294" s="239"/>
      <c r="T294" s="231"/>
      <c r="U294" s="231"/>
      <c r="V294" s="231"/>
      <c r="W294" s="231"/>
      <c r="X294" s="239"/>
      <c r="Y294" s="223"/>
      <c r="Z294" s="143"/>
      <c r="AA294" s="143"/>
      <c r="AB294" s="143"/>
      <c r="AC294" s="143"/>
    </row>
    <row r="295" spans="2:29">
      <c r="Q295" s="330" t="s">
        <v>88</v>
      </c>
      <c r="R295" s="332">
        <v>2.5000000000000001E-2</v>
      </c>
      <c r="S295" s="239"/>
      <c r="T295" s="231"/>
      <c r="U295" s="231"/>
      <c r="V295" s="231"/>
      <c r="W295" s="231"/>
      <c r="X295" s="239"/>
      <c r="Y295" s="223"/>
      <c r="Z295" s="143"/>
      <c r="AA295" s="143"/>
      <c r="AB295" s="143"/>
      <c r="AC295" s="143"/>
    </row>
    <row r="296" spans="2:29">
      <c r="Q296" s="330" t="s">
        <v>89</v>
      </c>
      <c r="R296" s="331">
        <v>0.01</v>
      </c>
      <c r="S296" s="239"/>
      <c r="T296" s="231"/>
      <c r="U296" s="231"/>
      <c r="V296" s="231"/>
      <c r="W296" s="231"/>
      <c r="X296" s="239"/>
      <c r="Y296" s="223"/>
      <c r="Z296" s="143"/>
      <c r="AA296" s="143"/>
      <c r="AB296" s="143"/>
      <c r="AC296" s="143"/>
    </row>
    <row r="297" spans="2:29">
      <c r="Q297" s="326"/>
      <c r="R297" s="262"/>
      <c r="S297" s="231"/>
      <c r="T297" s="231"/>
      <c r="U297" s="231"/>
      <c r="V297" s="231"/>
      <c r="W297" s="231"/>
      <c r="X297" s="239"/>
      <c r="Y297" s="223"/>
      <c r="Z297" s="143"/>
      <c r="AA297" s="143"/>
      <c r="AB297" s="143"/>
      <c r="AC297" s="143"/>
    </row>
    <row r="298" spans="2:29">
      <c r="Q298" s="31" t="s">
        <v>90</v>
      </c>
      <c r="R298" s="262"/>
      <c r="S298" s="231"/>
      <c r="T298" s="231"/>
      <c r="U298" s="231"/>
      <c r="V298" s="231"/>
      <c r="W298" s="231"/>
      <c r="X298" s="239"/>
      <c r="Y298" s="223"/>
      <c r="Z298" s="143"/>
      <c r="AA298" s="143"/>
      <c r="AB298" s="143"/>
      <c r="AC298" s="143"/>
    </row>
    <row r="299" spans="2:29">
      <c r="Q299" s="280" t="s">
        <v>91</v>
      </c>
      <c r="R299" s="239"/>
      <c r="S299" s="239"/>
      <c r="T299" s="231"/>
      <c r="U299" s="231"/>
      <c r="V299" s="231"/>
      <c r="W299" s="231"/>
      <c r="X299" s="239"/>
      <c r="Y299" s="223"/>
      <c r="Z299" s="143"/>
      <c r="AA299" s="143"/>
      <c r="AB299" s="143"/>
      <c r="AC299" s="143"/>
    </row>
    <row r="300" spans="2:29">
      <c r="Q300" s="333" t="s">
        <v>92</v>
      </c>
      <c r="R300" s="239"/>
      <c r="S300" s="239"/>
      <c r="T300" s="231"/>
      <c r="U300" s="231"/>
      <c r="V300" s="231"/>
      <c r="W300" s="231"/>
      <c r="X300" s="239"/>
      <c r="Y300" s="223"/>
      <c r="Z300" s="143"/>
      <c r="AA300" s="143"/>
      <c r="AB300" s="143"/>
      <c r="AC300" s="143"/>
    </row>
    <row r="301" spans="2:29">
      <c r="Q301" s="326"/>
      <c r="R301" s="262"/>
      <c r="S301" s="231"/>
      <c r="T301" s="231"/>
      <c r="U301" s="231"/>
      <c r="V301" s="231"/>
      <c r="W301" s="231"/>
      <c r="X301" s="239"/>
      <c r="Y301" s="223"/>
      <c r="Z301" s="143"/>
      <c r="AA301" s="143"/>
      <c r="AB301" s="143"/>
      <c r="AC301" s="143"/>
    </row>
    <row r="302" spans="2:29">
      <c r="Q302" s="143"/>
      <c r="R302" s="143"/>
      <c r="S302" s="143"/>
      <c r="T302" s="143"/>
      <c r="U302" s="143"/>
      <c r="V302" s="143"/>
      <c r="W302" s="143"/>
      <c r="X302" s="143"/>
      <c r="Y302" s="143"/>
      <c r="Z302" s="143"/>
      <c r="AA302" s="143"/>
      <c r="AB302" s="143"/>
      <c r="AC302" s="143"/>
    </row>
    <row r="303" spans="2:29" s="197" customFormat="1" ht="16.5" customHeight="1">
      <c r="B303" s="196" t="s">
        <v>93</v>
      </c>
      <c r="O303" s="198"/>
      <c r="P303" s="334" t="s">
        <v>93</v>
      </c>
      <c r="Q303" s="335"/>
      <c r="R303" s="336"/>
      <c r="S303" s="335"/>
      <c r="T303" s="335"/>
      <c r="U303" s="335"/>
      <c r="V303" s="335"/>
      <c r="W303" s="335"/>
      <c r="X303" s="335"/>
      <c r="Y303" s="335"/>
      <c r="Z303" s="335"/>
      <c r="AA303" s="335"/>
      <c r="AB303" s="335"/>
      <c r="AC303" s="335"/>
    </row>
    <row r="304" spans="2:29">
      <c r="Q304" s="143"/>
      <c r="R304" s="143"/>
      <c r="S304" s="143"/>
      <c r="T304" s="143"/>
      <c r="U304" s="143"/>
      <c r="V304" s="143"/>
      <c r="W304" s="143"/>
      <c r="X304" s="143"/>
      <c r="Y304" s="143"/>
      <c r="Z304" s="143"/>
      <c r="AA304" s="143"/>
      <c r="AB304" s="143"/>
      <c r="AC304" s="143"/>
    </row>
    <row r="305" spans="2:29" s="338" customFormat="1">
      <c r="B305" s="337" t="s">
        <v>94</v>
      </c>
      <c r="O305" s="339"/>
      <c r="P305" s="340" t="s">
        <v>94</v>
      </c>
      <c r="Q305" s="341"/>
      <c r="R305" s="342"/>
      <c r="S305" s="341"/>
      <c r="T305" s="341"/>
      <c r="U305" s="341"/>
      <c r="V305" s="341"/>
      <c r="W305" s="341"/>
      <c r="X305" s="341"/>
      <c r="Y305" s="341"/>
      <c r="Z305" s="341"/>
      <c r="AA305" s="341"/>
      <c r="AB305" s="341"/>
      <c r="AC305" s="341"/>
    </row>
    <row r="306" spans="2:29">
      <c r="Q306" s="143"/>
      <c r="R306" s="143"/>
      <c r="S306" s="143"/>
      <c r="T306" s="143"/>
      <c r="U306" s="143"/>
      <c r="V306" s="143"/>
      <c r="W306" s="143"/>
      <c r="X306" s="143"/>
      <c r="Y306" s="143"/>
      <c r="Z306" s="143"/>
      <c r="AA306" s="143"/>
      <c r="AB306" s="143"/>
      <c r="AC306" s="143"/>
    </row>
    <row r="307" spans="2:29">
      <c r="C307" s="742" t="s">
        <v>426</v>
      </c>
      <c r="D307"/>
      <c r="E307"/>
      <c r="F307"/>
      <c r="G307"/>
      <c r="H307" s="143"/>
      <c r="Q307" s="143" t="s">
        <v>95</v>
      </c>
      <c r="R307" s="143"/>
      <c r="S307" s="143"/>
      <c r="T307" s="143"/>
      <c r="U307" s="143"/>
      <c r="V307" s="143"/>
      <c r="W307" s="143"/>
      <c r="X307" s="143"/>
      <c r="Y307" s="143"/>
      <c r="Z307" s="143"/>
      <c r="AA307" s="143"/>
      <c r="AB307" s="143"/>
      <c r="AC307" s="143"/>
    </row>
    <row r="308" spans="2:29">
      <c r="C308"/>
      <c r="D308"/>
      <c r="E308"/>
      <c r="F308"/>
      <c r="G308"/>
      <c r="H308" s="143"/>
      <c r="Q308" s="143" t="s">
        <v>96</v>
      </c>
      <c r="R308" s="143" t="s">
        <v>97</v>
      </c>
      <c r="S308" s="143"/>
      <c r="T308" s="143"/>
      <c r="U308" s="143"/>
      <c r="V308" s="143"/>
      <c r="W308" s="143"/>
      <c r="X308" s="143"/>
      <c r="Y308" s="143"/>
      <c r="Z308" s="143"/>
      <c r="AA308" s="143"/>
      <c r="AB308" s="143"/>
      <c r="AC308" s="143"/>
    </row>
    <row r="309" spans="2:29">
      <c r="C309"/>
      <c r="D309" s="140" t="s">
        <v>721</v>
      </c>
      <c r="E309"/>
      <c r="F309"/>
      <c r="G309"/>
      <c r="H309" s="143"/>
      <c r="Q309" s="143" t="s">
        <v>98</v>
      </c>
      <c r="R309" s="143" t="s">
        <v>99</v>
      </c>
      <c r="S309" s="143"/>
      <c r="T309" s="143"/>
      <c r="U309" s="143"/>
      <c r="V309" s="143"/>
      <c r="W309" s="143"/>
      <c r="X309" s="143"/>
      <c r="Y309" s="143"/>
      <c r="Z309" s="143"/>
      <c r="AA309" s="143"/>
      <c r="AB309" s="143"/>
      <c r="AC309" s="143"/>
    </row>
    <row r="310" spans="2:29">
      <c r="C310"/>
      <c r="D310"/>
      <c r="E310"/>
      <c r="F310"/>
      <c r="G310"/>
      <c r="H310" s="143"/>
      <c r="Q310" s="143"/>
      <c r="R310" s="143"/>
      <c r="S310" s="143"/>
      <c r="T310" s="143"/>
      <c r="U310" s="143"/>
      <c r="V310" s="143"/>
      <c r="W310" s="143"/>
      <c r="X310" s="143"/>
      <c r="Y310" s="143"/>
      <c r="Z310" s="143"/>
      <c r="AA310" s="143"/>
      <c r="AB310" s="143"/>
      <c r="AC310" s="143"/>
    </row>
    <row r="311" spans="2:29">
      <c r="C311"/>
      <c r="D311" t="s">
        <v>717</v>
      </c>
      <c r="E311" s="1647" t="s">
        <v>357</v>
      </c>
      <c r="F311" s="1647"/>
      <c r="G311" s="1305" t="s">
        <v>21</v>
      </c>
      <c r="H311" s="143"/>
      <c r="Q311" s="143" t="s">
        <v>100</v>
      </c>
      <c r="R311" s="143"/>
      <c r="S311" s="143"/>
      <c r="T311" s="143"/>
      <c r="U311" s="143"/>
      <c r="V311" s="143"/>
      <c r="W311" s="143"/>
      <c r="X311" s="143"/>
      <c r="Y311" s="143"/>
      <c r="Z311" s="143"/>
      <c r="AA311" s="143"/>
      <c r="AB311" s="143"/>
      <c r="AC311" s="143"/>
    </row>
    <row r="312" spans="2:29">
      <c r="C312"/>
      <c r="D312" s="714"/>
      <c r="E312" s="893" t="s">
        <v>207</v>
      </c>
      <c r="F312" s="893" t="s">
        <v>718</v>
      </c>
      <c r="G312" s="893" t="s">
        <v>719</v>
      </c>
      <c r="H312" s="143"/>
      <c r="Q312" s="143" t="s">
        <v>96</v>
      </c>
      <c r="R312" s="143" t="s">
        <v>101</v>
      </c>
      <c r="S312" s="143"/>
      <c r="T312" s="143"/>
      <c r="U312" s="143"/>
      <c r="V312" s="143"/>
      <c r="W312" s="143"/>
      <c r="X312" s="143"/>
      <c r="Y312" s="143"/>
      <c r="Z312" s="143"/>
      <c r="AA312" s="143"/>
      <c r="AB312" s="143"/>
      <c r="AC312" s="143"/>
    </row>
    <row r="313" spans="2:29">
      <c r="C313"/>
      <c r="D313" t="s">
        <v>119</v>
      </c>
      <c r="E313" s="1305">
        <v>1</v>
      </c>
      <c r="F313" s="1305">
        <v>12</v>
      </c>
      <c r="G313" s="895">
        <v>1</v>
      </c>
      <c r="H313" s="143"/>
      <c r="Q313" s="143" t="s">
        <v>98</v>
      </c>
      <c r="R313" s="143" t="s">
        <v>99</v>
      </c>
      <c r="S313" s="143"/>
      <c r="T313" s="143"/>
      <c r="U313" s="143"/>
      <c r="V313" s="143"/>
      <c r="W313" s="143"/>
      <c r="X313" s="143"/>
      <c r="Y313" s="143"/>
      <c r="Z313" s="143"/>
      <c r="AA313" s="143"/>
      <c r="AB313" s="143"/>
      <c r="AC313" s="143"/>
    </row>
    <row r="314" spans="2:29">
      <c r="C314"/>
      <c r="D314"/>
      <c r="E314" s="1305"/>
      <c r="F314" s="1305"/>
      <c r="G314" s="1298"/>
      <c r="H314" s="143"/>
      <c r="Q314" s="143"/>
      <c r="R314" s="143"/>
      <c r="S314" s="143"/>
      <c r="T314" s="143"/>
      <c r="U314" s="143"/>
      <c r="V314" s="143"/>
      <c r="W314" s="143"/>
      <c r="X314" s="143"/>
      <c r="Y314" s="143"/>
      <c r="Z314" s="143"/>
      <c r="AA314" s="143"/>
      <c r="AB314" s="143"/>
      <c r="AC314" s="143"/>
    </row>
    <row r="315" spans="2:29">
      <c r="C315"/>
      <c r="D315"/>
      <c r="E315" s="1305"/>
      <c r="F315" s="1305"/>
      <c r="G315" s="1298"/>
      <c r="H315" s="143"/>
    </row>
    <row r="316" spans="2:29">
      <c r="C316"/>
      <c r="D316"/>
      <c r="E316" s="1305"/>
      <c r="F316" s="1305"/>
      <c r="G316" s="1305"/>
      <c r="H316" s="143"/>
      <c r="Q316" s="141" t="s">
        <v>102</v>
      </c>
    </row>
    <row r="317" spans="2:29">
      <c r="C317"/>
      <c r="D317" s="140" t="s">
        <v>722</v>
      </c>
      <c r="E317"/>
      <c r="F317"/>
      <c r="G317"/>
      <c r="H317" s="143"/>
      <c r="Q317" s="141" t="s">
        <v>103</v>
      </c>
      <c r="R317" s="141" t="s">
        <v>104</v>
      </c>
      <c r="T317" s="141" t="s">
        <v>105</v>
      </c>
    </row>
    <row r="318" spans="2:29">
      <c r="C318"/>
      <c r="D318"/>
      <c r="E318"/>
      <c r="F318"/>
      <c r="G318"/>
      <c r="H318" s="143"/>
      <c r="Q318" s="141" t="s">
        <v>106</v>
      </c>
      <c r="R318" s="141" t="s">
        <v>107</v>
      </c>
      <c r="T318" s="141" t="s">
        <v>108</v>
      </c>
    </row>
    <row r="319" spans="2:29">
      <c r="C319"/>
      <c r="D319" s="1647" t="s">
        <v>357</v>
      </c>
      <c r="E319" s="1647"/>
      <c r="F319" s="1305" t="s">
        <v>720</v>
      </c>
      <c r="G319" t="s">
        <v>723</v>
      </c>
      <c r="H319" s="143"/>
    </row>
    <row r="320" spans="2:29">
      <c r="C320"/>
      <c r="D320" s="893" t="s">
        <v>207</v>
      </c>
      <c r="E320" s="893" t="s">
        <v>718</v>
      </c>
      <c r="F320" s="714"/>
      <c r="G320" s="714"/>
      <c r="H320" s="143"/>
    </row>
    <row r="321" spans="2:29">
      <c r="C321"/>
      <c r="D321" s="1305">
        <v>5</v>
      </c>
      <c r="E321" s="1305">
        <v>100</v>
      </c>
      <c r="F321" s="896" t="s">
        <v>427</v>
      </c>
      <c r="G321" s="897">
        <v>13</v>
      </c>
      <c r="H321" s="143"/>
      <c r="Q321" s="141" t="s">
        <v>109</v>
      </c>
    </row>
    <row r="322" spans="2:29">
      <c r="C322" s="1418"/>
      <c r="D322" s="143"/>
      <c r="E322" s="143"/>
      <c r="F322" s="143"/>
      <c r="G322" s="143"/>
      <c r="H322" s="143"/>
      <c r="Q322" s="141" t="s">
        <v>110</v>
      </c>
    </row>
    <row r="323" spans="2:29">
      <c r="C323" s="143"/>
      <c r="D323" s="143"/>
      <c r="E323" s="143"/>
      <c r="F323" s="143"/>
      <c r="G323" s="143"/>
      <c r="H323" s="143"/>
    </row>
    <row r="324" spans="2:29">
      <c r="C324" s="1624"/>
      <c r="D324" s="1624"/>
      <c r="E324" s="143"/>
      <c r="F324" s="143"/>
      <c r="G324" s="143"/>
      <c r="H324" s="143"/>
    </row>
    <row r="325" spans="2:29">
      <c r="C325" s="1624"/>
      <c r="D325" s="1624"/>
      <c r="E325" s="143"/>
      <c r="F325" s="143"/>
      <c r="G325" s="143"/>
      <c r="H325" s="143"/>
      <c r="I325" s="143"/>
      <c r="J325" s="143"/>
    </row>
    <row r="326" spans="2:29">
      <c r="C326" s="143"/>
      <c r="D326" s="143"/>
      <c r="E326" s="1302"/>
      <c r="F326" s="143"/>
      <c r="G326" s="143"/>
      <c r="H326" s="143"/>
      <c r="I326" s="143"/>
      <c r="J326" s="143"/>
    </row>
    <row r="327" spans="2:29">
      <c r="C327" s="143"/>
      <c r="D327" s="143"/>
      <c r="E327" s="1302"/>
      <c r="F327" s="143"/>
      <c r="G327" s="143"/>
      <c r="H327" s="143"/>
      <c r="I327" s="143"/>
      <c r="J327" s="143"/>
    </row>
    <row r="328" spans="2:29">
      <c r="C328" s="143"/>
      <c r="D328" s="143"/>
      <c r="E328" s="1302"/>
      <c r="F328" s="143"/>
      <c r="G328" s="143"/>
      <c r="H328" s="143"/>
    </row>
    <row r="331" spans="2:29" s="201" customFormat="1">
      <c r="B331" s="200" t="s">
        <v>111</v>
      </c>
      <c r="O331" s="202"/>
      <c r="P331" s="203" t="s">
        <v>111</v>
      </c>
      <c r="Q331" s="204"/>
      <c r="R331" s="205"/>
      <c r="S331" s="204"/>
      <c r="T331" s="204"/>
      <c r="U331" s="204"/>
      <c r="V331" s="204"/>
      <c r="W331" s="204"/>
      <c r="X331" s="204"/>
      <c r="Y331" s="204"/>
      <c r="Z331" s="204"/>
      <c r="AA331" s="204"/>
      <c r="AB331" s="204"/>
      <c r="AC331" s="204"/>
    </row>
    <row r="333" spans="2:29">
      <c r="Q333" s="258" t="s">
        <v>112</v>
      </c>
      <c r="R333" s="223"/>
      <c r="S333" s="239"/>
      <c r="T333" s="239"/>
      <c r="U333" s="239"/>
      <c r="V333" s="239"/>
      <c r="W333" s="239"/>
    </row>
    <row r="334" spans="2:29">
      <c r="C334" s="669">
        <v>1</v>
      </c>
      <c r="D334" t="s">
        <v>1233</v>
      </c>
      <c r="E334"/>
      <c r="F334"/>
      <c r="G334"/>
      <c r="Q334" s="243" t="s">
        <v>113</v>
      </c>
      <c r="R334" s="343"/>
      <c r="S334" s="344"/>
      <c r="T334" s="230"/>
      <c r="U334" s="239"/>
      <c r="V334" s="239"/>
      <c r="W334" s="239"/>
    </row>
    <row r="335" spans="2:29">
      <c r="C335" s="669"/>
      <c r="D335" t="s">
        <v>1234</v>
      </c>
      <c r="E335"/>
      <c r="F335"/>
      <c r="G335" s="894">
        <v>1</v>
      </c>
      <c r="Q335" s="247" t="s">
        <v>114</v>
      </c>
      <c r="R335" s="345" t="s">
        <v>115</v>
      </c>
      <c r="S335" s="241" t="s">
        <v>116</v>
      </c>
      <c r="T335" s="318" t="s">
        <v>117</v>
      </c>
      <c r="U335" s="242" t="s">
        <v>118</v>
      </c>
      <c r="V335" s="346"/>
      <c r="W335" s="347"/>
    </row>
    <row r="336" spans="2:29">
      <c r="C336" s="669">
        <v>2</v>
      </c>
      <c r="D336" s="143" t="s">
        <v>724</v>
      </c>
      <c r="E336"/>
      <c r="F336"/>
      <c r="G336" s="788">
        <v>13</v>
      </c>
      <c r="Q336" s="243" t="s">
        <v>119</v>
      </c>
      <c r="R336" s="348">
        <v>10</v>
      </c>
      <c r="S336" s="349">
        <v>1</v>
      </c>
      <c r="T336" s="350">
        <v>3</v>
      </c>
      <c r="U336" s="351">
        <v>10</v>
      </c>
      <c r="V336" s="352"/>
      <c r="W336" s="353"/>
    </row>
    <row r="337" spans="3:23">
      <c r="C337"/>
      <c r="D337" t="s">
        <v>725</v>
      </c>
      <c r="E337"/>
      <c r="F337"/>
      <c r="G337"/>
      <c r="Q337" s="243" t="s">
        <v>120</v>
      </c>
      <c r="R337" s="348">
        <v>20</v>
      </c>
      <c r="S337" s="349">
        <v>1</v>
      </c>
      <c r="T337" s="354">
        <v>4</v>
      </c>
      <c r="U337" s="351">
        <v>10</v>
      </c>
      <c r="V337" s="352"/>
      <c r="W337" s="353"/>
    </row>
    <row r="338" spans="3:23">
      <c r="C338"/>
      <c r="D338" s="898" t="s">
        <v>726</v>
      </c>
      <c r="E338"/>
      <c r="F338"/>
      <c r="G338"/>
      <c r="Q338" s="243" t="s">
        <v>121</v>
      </c>
      <c r="R338" s="348">
        <v>25</v>
      </c>
      <c r="S338" s="349">
        <v>2</v>
      </c>
      <c r="T338" s="354">
        <v>5</v>
      </c>
      <c r="U338" s="351">
        <v>10</v>
      </c>
      <c r="V338" s="352"/>
      <c r="W338" s="355"/>
    </row>
    <row r="339" spans="3:23">
      <c r="Q339" s="243" t="s">
        <v>122</v>
      </c>
      <c r="R339" s="348">
        <v>30</v>
      </c>
      <c r="S339" s="356">
        <v>2</v>
      </c>
      <c r="T339" s="354"/>
      <c r="U339" s="351">
        <v>7</v>
      </c>
      <c r="V339" s="357"/>
      <c r="W339" s="353"/>
    </row>
    <row r="340" spans="3:23">
      <c r="Q340" s="243" t="s">
        <v>123</v>
      </c>
      <c r="R340" s="348">
        <v>35</v>
      </c>
      <c r="S340" s="356">
        <v>3</v>
      </c>
      <c r="T340" s="354"/>
      <c r="U340" s="351">
        <v>7</v>
      </c>
      <c r="V340" s="357"/>
      <c r="W340" s="353"/>
    </row>
    <row r="341" spans="3:23">
      <c r="Q341" s="243" t="s">
        <v>124</v>
      </c>
      <c r="R341" s="348">
        <v>40</v>
      </c>
      <c r="S341" s="356">
        <v>3</v>
      </c>
      <c r="T341" s="354"/>
      <c r="U341" s="351">
        <v>7</v>
      </c>
      <c r="V341" s="357"/>
      <c r="W341" s="355"/>
    </row>
    <row r="342" spans="3:23">
      <c r="Q342" s="243" t="s">
        <v>125</v>
      </c>
      <c r="R342" s="348">
        <v>45</v>
      </c>
      <c r="S342" s="356">
        <v>4</v>
      </c>
      <c r="T342" s="354"/>
      <c r="U342" s="358">
        <v>6</v>
      </c>
      <c r="V342" s="357"/>
      <c r="W342" s="239"/>
    </row>
    <row r="343" spans="3:23">
      <c r="Q343" s="243" t="s">
        <v>126</v>
      </c>
      <c r="R343" s="348">
        <v>45</v>
      </c>
      <c r="S343" s="356">
        <v>4</v>
      </c>
      <c r="T343" s="354"/>
      <c r="U343" s="358">
        <v>6</v>
      </c>
      <c r="V343" s="357"/>
      <c r="W343" s="239"/>
    </row>
    <row r="344" spans="3:23">
      <c r="Q344" s="247" t="s">
        <v>127</v>
      </c>
      <c r="R344" s="359">
        <v>50</v>
      </c>
      <c r="S344" s="360">
        <v>4</v>
      </c>
      <c r="T344" s="361"/>
      <c r="U344" s="362">
        <v>6</v>
      </c>
      <c r="V344" s="363"/>
      <c r="W344" s="239"/>
    </row>
    <row r="345" spans="3:23">
      <c r="Q345" s="256" t="s">
        <v>128</v>
      </c>
      <c r="R345" s="364">
        <f t="shared" ref="R345:S345" si="5">SUM(R336:R344)</f>
        <v>300</v>
      </c>
      <c r="S345" s="365">
        <f t="shared" si="5"/>
        <v>24</v>
      </c>
      <c r="T345" s="223"/>
      <c r="U345" s="255">
        <f>SUM(U336:U344)</f>
        <v>69</v>
      </c>
      <c r="V345" s="366"/>
      <c r="W345" s="355"/>
    </row>
    <row r="346" spans="3:23">
      <c r="Q346" s="367" t="s">
        <v>371</v>
      </c>
      <c r="R346" s="31"/>
      <c r="S346" s="31"/>
      <c r="T346" s="31"/>
      <c r="U346" s="31"/>
      <c r="V346" s="368"/>
      <c r="W346" s="31"/>
    </row>
    <row r="347" spans="3:23">
      <c r="Q347" s="367" t="s">
        <v>129</v>
      </c>
      <c r="R347" s="32"/>
      <c r="S347" s="32"/>
      <c r="T347" s="32"/>
      <c r="U347" s="32"/>
      <c r="V347" s="369"/>
      <c r="W347" s="32"/>
    </row>
    <row r="348" spans="3:23">
      <c r="Q348" s="370" t="s">
        <v>130</v>
      </c>
      <c r="R348" s="370"/>
      <c r="S348" s="370"/>
      <c r="T348" s="370"/>
      <c r="U348" s="370"/>
      <c r="V348" s="370"/>
      <c r="W348" s="370"/>
    </row>
    <row r="349" spans="3:23">
      <c r="Q349" s="371" t="s">
        <v>131</v>
      </c>
      <c r="R349" s="370"/>
      <c r="S349" s="370"/>
      <c r="T349" s="370"/>
      <c r="U349" s="372"/>
      <c r="V349" s="370"/>
      <c r="W349" s="370"/>
    </row>
    <row r="350" spans="3:23">
      <c r="Q350" s="371" t="s">
        <v>132</v>
      </c>
      <c r="R350" s="373"/>
      <c r="S350" s="373"/>
      <c r="T350" s="373"/>
      <c r="U350" s="374"/>
      <c r="V350" s="373"/>
      <c r="W350" s="373"/>
    </row>
    <row r="351" spans="3:23">
      <c r="Q351" s="375" t="s">
        <v>133</v>
      </c>
      <c r="R351" s="376"/>
      <c r="S351" s="376"/>
      <c r="T351" s="376"/>
      <c r="U351" s="376"/>
      <c r="V351" s="377"/>
      <c r="W351" s="376"/>
    </row>
    <row r="352" spans="3:23">
      <c r="Q352" s="378"/>
      <c r="R352" s="379"/>
      <c r="S352" s="379"/>
      <c r="T352" s="379"/>
      <c r="U352" s="379"/>
      <c r="V352" s="379"/>
      <c r="W352" s="379"/>
    </row>
    <row r="353" spans="17:23">
      <c r="Q353" s="378"/>
      <c r="R353" s="379"/>
      <c r="S353" s="379"/>
      <c r="T353" s="379"/>
      <c r="U353" s="379"/>
      <c r="V353" s="379"/>
      <c r="W353" s="379"/>
    </row>
    <row r="354" spans="17:23">
      <c r="Q354" s="380" t="s">
        <v>134</v>
      </c>
      <c r="R354" s="379"/>
      <c r="S354" s="379"/>
      <c r="T354" s="379"/>
      <c r="U354" s="379"/>
      <c r="V354" s="379"/>
      <c r="W354" s="379"/>
    </row>
    <row r="355" spans="17:23">
      <c r="Q355" s="381">
        <v>25</v>
      </c>
      <c r="R355" s="382" t="s">
        <v>372</v>
      </c>
      <c r="S355" s="379"/>
      <c r="T355" s="379"/>
      <c r="U355" s="379"/>
      <c r="V355" s="379"/>
      <c r="W355" s="379"/>
    </row>
    <row r="356" spans="17:23">
      <c r="Q356" s="383"/>
      <c r="R356" s="277" t="s">
        <v>135</v>
      </c>
      <c r="S356" s="239"/>
      <c r="T356" s="239"/>
      <c r="U356" s="239"/>
      <c r="V356" s="239"/>
      <c r="W356" s="239"/>
    </row>
    <row r="357" spans="17:23">
      <c r="Q357" s="384" t="s">
        <v>136</v>
      </c>
      <c r="R357" s="385"/>
      <c r="S357" s="239"/>
      <c r="T357" s="239"/>
      <c r="U357" s="319"/>
      <c r="V357" s="239"/>
      <c r="W357" s="239"/>
    </row>
    <row r="358" spans="17:23">
      <c r="Q358" s="220" t="s">
        <v>137</v>
      </c>
      <c r="R358" s="386">
        <f>ROUND(R359*R360*R361,0)</f>
        <v>11</v>
      </c>
      <c r="S358" s="239"/>
      <c r="T358" s="239"/>
      <c r="U358" s="239"/>
      <c r="V358" s="239"/>
      <c r="W358" s="239"/>
    </row>
    <row r="359" spans="17:23">
      <c r="Q359" s="220" t="s">
        <v>138</v>
      </c>
      <c r="R359" s="239">
        <v>1.3</v>
      </c>
      <c r="S359" s="239"/>
      <c r="T359" s="239"/>
      <c r="U359" s="239"/>
      <c r="V359" s="239"/>
      <c r="W359" s="239"/>
    </row>
    <row r="360" spans="17:23">
      <c r="Q360" s="311" t="s">
        <v>139</v>
      </c>
      <c r="R360" s="239">
        <v>11</v>
      </c>
      <c r="S360" s="239"/>
      <c r="T360" s="239"/>
      <c r="U360" s="239"/>
      <c r="V360" s="239"/>
      <c r="W360" s="239"/>
    </row>
    <row r="361" spans="17:23">
      <c r="Q361" s="311" t="s">
        <v>140</v>
      </c>
      <c r="R361" s="319">
        <v>0.75</v>
      </c>
      <c r="S361" s="239"/>
      <c r="T361" s="239"/>
      <c r="U361" s="239"/>
      <c r="V361" s="239"/>
      <c r="W361" s="239"/>
    </row>
    <row r="362" spans="17:23">
      <c r="Q362" s="239"/>
      <c r="R362" s="239"/>
      <c r="S362" s="239"/>
      <c r="T362" s="239"/>
      <c r="U362" s="239"/>
      <c r="V362" s="239"/>
      <c r="W362" s="239"/>
    </row>
    <row r="363" spans="17:23">
      <c r="Q363" s="258" t="s">
        <v>141</v>
      </c>
      <c r="R363" s="223"/>
      <c r="S363" s="239"/>
      <c r="T363" s="239"/>
      <c r="U363" s="239"/>
      <c r="V363" s="239"/>
      <c r="W363" s="387"/>
    </row>
    <row r="364" spans="17:23" ht="28.5">
      <c r="Q364" s="388" t="s">
        <v>114</v>
      </c>
      <c r="R364" s="389" t="s">
        <v>142</v>
      </c>
      <c r="S364" s="390" t="s">
        <v>143</v>
      </c>
      <c r="T364" s="391" t="s">
        <v>144</v>
      </c>
      <c r="U364" s="391" t="s">
        <v>145</v>
      </c>
      <c r="V364" s="390" t="s">
        <v>118</v>
      </c>
      <c r="W364" s="392"/>
    </row>
    <row r="365" spans="17:23">
      <c r="Q365" s="243" t="s">
        <v>119</v>
      </c>
      <c r="R365" s="393">
        <v>15</v>
      </c>
      <c r="S365" s="349">
        <v>1</v>
      </c>
      <c r="T365" s="350">
        <v>1</v>
      </c>
      <c r="U365" s="350">
        <v>5</v>
      </c>
      <c r="V365" s="351">
        <v>13</v>
      </c>
      <c r="W365" s="352"/>
    </row>
    <row r="366" spans="17:23">
      <c r="Q366" s="243" t="s">
        <v>120</v>
      </c>
      <c r="R366" s="393">
        <v>30</v>
      </c>
      <c r="S366" s="349">
        <v>2</v>
      </c>
      <c r="T366" s="354">
        <v>1</v>
      </c>
      <c r="U366" s="354">
        <v>6</v>
      </c>
      <c r="V366" s="351">
        <v>13</v>
      </c>
      <c r="W366" s="352"/>
    </row>
    <row r="367" spans="17:23">
      <c r="Q367" s="243" t="s">
        <v>121</v>
      </c>
      <c r="R367" s="393">
        <v>35</v>
      </c>
      <c r="S367" s="349">
        <v>3</v>
      </c>
      <c r="T367" s="354">
        <v>2</v>
      </c>
      <c r="U367" s="354">
        <v>9</v>
      </c>
      <c r="V367" s="351">
        <v>13</v>
      </c>
      <c r="W367" s="352"/>
    </row>
    <row r="368" spans="17:23">
      <c r="Q368" s="243" t="s">
        <v>122</v>
      </c>
      <c r="R368" s="393">
        <v>45</v>
      </c>
      <c r="S368" s="356">
        <v>5</v>
      </c>
      <c r="T368" s="354">
        <v>2</v>
      </c>
      <c r="U368" s="354"/>
      <c r="V368" s="351">
        <v>9</v>
      </c>
      <c r="W368" s="357"/>
    </row>
    <row r="369" spans="17:23">
      <c r="Q369" s="243" t="s">
        <v>123</v>
      </c>
      <c r="R369" s="393">
        <v>55</v>
      </c>
      <c r="S369" s="356">
        <v>6</v>
      </c>
      <c r="T369" s="354">
        <v>2</v>
      </c>
      <c r="U369" s="354"/>
      <c r="V369" s="351">
        <v>9</v>
      </c>
      <c r="W369" s="357"/>
    </row>
    <row r="370" spans="17:23">
      <c r="Q370" s="243" t="s">
        <v>124</v>
      </c>
      <c r="R370" s="393">
        <v>65</v>
      </c>
      <c r="S370" s="356">
        <v>8</v>
      </c>
      <c r="T370" s="354">
        <v>2</v>
      </c>
      <c r="U370" s="354"/>
      <c r="V370" s="351">
        <v>9</v>
      </c>
      <c r="W370" s="357"/>
    </row>
    <row r="371" spans="17:23">
      <c r="Q371" s="243" t="s">
        <v>125</v>
      </c>
      <c r="R371" s="393">
        <v>75</v>
      </c>
      <c r="S371" s="356">
        <v>9</v>
      </c>
      <c r="T371" s="354">
        <v>2</v>
      </c>
      <c r="U371" s="354"/>
      <c r="V371" s="351">
        <v>7</v>
      </c>
      <c r="W371" s="357"/>
    </row>
    <row r="372" spans="17:23">
      <c r="Q372" s="243" t="s">
        <v>126</v>
      </c>
      <c r="R372" s="393">
        <v>80</v>
      </c>
      <c r="S372" s="356">
        <v>10</v>
      </c>
      <c r="T372" s="354">
        <v>2</v>
      </c>
      <c r="U372" s="354"/>
      <c r="V372" s="351">
        <v>7</v>
      </c>
      <c r="W372" s="357"/>
    </row>
    <row r="373" spans="17:23">
      <c r="Q373" s="247" t="s">
        <v>127</v>
      </c>
      <c r="R373" s="394">
        <v>85</v>
      </c>
      <c r="S373" s="360">
        <v>10</v>
      </c>
      <c r="T373" s="361">
        <v>2</v>
      </c>
      <c r="U373" s="361"/>
      <c r="V373" s="395">
        <v>7</v>
      </c>
      <c r="W373" s="363"/>
    </row>
    <row r="374" spans="17:23">
      <c r="Q374" s="256" t="s">
        <v>146</v>
      </c>
      <c r="R374" s="396">
        <f>SUM(R365:R373)</f>
        <v>485</v>
      </c>
      <c r="S374" s="397">
        <f>SUM(S365:S373)</f>
        <v>54</v>
      </c>
      <c r="T374" s="318">
        <v>2</v>
      </c>
      <c r="U374" s="318"/>
      <c r="V374" s="255">
        <f>SUM(V365:V373)</f>
        <v>87</v>
      </c>
      <c r="W374" s="366"/>
    </row>
    <row r="375" spans="17:23">
      <c r="Q375" s="239"/>
      <c r="R375" s="212" t="s">
        <v>147</v>
      </c>
      <c r="S375" s="239"/>
      <c r="T375" s="239"/>
      <c r="U375" s="239"/>
      <c r="V375" s="239"/>
      <c r="W375" s="239"/>
    </row>
    <row r="376" spans="17:23">
      <c r="Q376" s="239"/>
      <c r="R376" s="212" t="s">
        <v>148</v>
      </c>
      <c r="S376" s="239"/>
      <c r="T376" s="239"/>
      <c r="U376" s="239"/>
      <c r="V376" s="239"/>
      <c r="W376" s="239"/>
    </row>
    <row r="377" spans="17:23">
      <c r="Q377" s="220"/>
      <c r="R377" s="212" t="s">
        <v>149</v>
      </c>
      <c r="S377" s="239"/>
      <c r="T377" s="239"/>
      <c r="U377" s="239"/>
      <c r="V377" s="239"/>
      <c r="W377" s="239"/>
    </row>
    <row r="378" spans="17:23">
      <c r="Q378" s="256"/>
      <c r="R378" s="367" t="s">
        <v>150</v>
      </c>
      <c r="S378" s="239"/>
      <c r="T378" s="239"/>
      <c r="U378" s="239"/>
      <c r="V378" s="239"/>
      <c r="W378" s="239"/>
    </row>
    <row r="379" spans="17:23">
      <c r="Q379" s="212" t="s">
        <v>151</v>
      </c>
      <c r="R379" s="220"/>
      <c r="S379" s="239"/>
      <c r="T379" s="239"/>
      <c r="U379" s="239"/>
      <c r="V379" s="239"/>
      <c r="W379" s="398"/>
    </row>
    <row r="380" spans="17:23">
      <c r="Q380" s="399" t="s">
        <v>152</v>
      </c>
      <c r="R380" s="220" t="s">
        <v>153</v>
      </c>
      <c r="S380" s="239"/>
      <c r="T380" s="385"/>
      <c r="U380" s="385"/>
      <c r="V380" s="385"/>
      <c r="W380" s="385"/>
    </row>
    <row r="381" spans="17:23">
      <c r="Q381" s="399" t="s">
        <v>373</v>
      </c>
      <c r="R381" s="239"/>
      <c r="S381" s="256"/>
      <c r="T381" s="239"/>
      <c r="U381" s="239"/>
      <c r="V381" s="239"/>
      <c r="W381" s="239"/>
    </row>
    <row r="382" spans="17:23">
      <c r="Q382" s="367" t="s">
        <v>154</v>
      </c>
      <c r="R382" s="239"/>
      <c r="S382" s="256"/>
      <c r="T382" s="239"/>
      <c r="U382" s="239"/>
      <c r="V382" s="239"/>
      <c r="W382" s="239"/>
    </row>
    <row r="383" spans="17:23">
      <c r="Q383" s="280" t="s">
        <v>155</v>
      </c>
      <c r="R383" s="239"/>
      <c r="S383" s="256"/>
      <c r="T383" s="239"/>
      <c r="U383" s="239"/>
      <c r="V383" s="239"/>
      <c r="W383" s="239"/>
    </row>
    <row r="384" spans="17:23">
      <c r="Q384" s="239"/>
      <c r="R384" s="239"/>
      <c r="S384" s="239"/>
      <c r="T384" s="239"/>
      <c r="U384" s="239"/>
      <c r="V384" s="239"/>
      <c r="W384" s="239"/>
    </row>
    <row r="385" spans="17:23">
      <c r="Q385" s="380" t="s">
        <v>134</v>
      </c>
      <c r="R385" s="400"/>
      <c r="S385" s="400"/>
      <c r="T385" s="401"/>
      <c r="U385" s="401"/>
      <c r="V385" s="402"/>
      <c r="W385" s="401"/>
    </row>
    <row r="386" spans="17:23">
      <c r="Q386" s="381">
        <v>30</v>
      </c>
      <c r="R386" s="382" t="s">
        <v>374</v>
      </c>
      <c r="S386" s="382"/>
      <c r="T386" s="382"/>
      <c r="U386" s="382"/>
      <c r="V386" s="382"/>
      <c r="W386" s="382"/>
    </row>
    <row r="387" spans="17:23">
      <c r="Q387" s="383"/>
      <c r="R387" s="277" t="s">
        <v>156</v>
      </c>
      <c r="S387" s="31"/>
      <c r="T387" s="403"/>
      <c r="U387" s="404"/>
      <c r="V387" s="405"/>
      <c r="W387" s="31"/>
    </row>
    <row r="388" spans="17:23">
      <c r="Q388" s="380"/>
      <c r="R388" s="400"/>
      <c r="S388" s="400"/>
      <c r="T388" s="401"/>
      <c r="U388" s="401"/>
      <c r="V388" s="402"/>
      <c r="W388" s="401"/>
    </row>
    <row r="389" spans="17:23">
      <c r="Q389" s="378"/>
      <c r="R389" s="379"/>
      <c r="S389" s="379"/>
      <c r="T389" s="379"/>
      <c r="U389" s="379"/>
      <c r="V389" s="379"/>
      <c r="W389" s="379"/>
    </row>
    <row r="390" spans="17:23">
      <c r="Q390" s="239"/>
      <c r="R390" s="239"/>
      <c r="S390" s="239"/>
      <c r="T390" s="239"/>
      <c r="U390" s="239"/>
      <c r="V390" s="239"/>
      <c r="W390" s="239"/>
    </row>
    <row r="391" spans="17:23">
      <c r="Q391" s="239"/>
      <c r="R391" s="239"/>
      <c r="S391" s="239"/>
      <c r="T391" s="239"/>
      <c r="U391" s="239"/>
      <c r="V391" s="239"/>
      <c r="W391" s="239"/>
    </row>
    <row r="392" spans="17:23">
      <c r="Q392" s="258" t="s">
        <v>157</v>
      </c>
      <c r="R392" s="223"/>
      <c r="S392" s="239"/>
      <c r="T392" s="239"/>
      <c r="U392" s="239"/>
      <c r="V392" s="239"/>
      <c r="W392" s="239"/>
    </row>
    <row r="393" spans="17:23" ht="43.5">
      <c r="Q393" s="247" t="s">
        <v>114</v>
      </c>
      <c r="R393" s="263" t="s">
        <v>158</v>
      </c>
      <c r="S393" s="406" t="s">
        <v>159</v>
      </c>
      <c r="T393" s="407" t="s">
        <v>160</v>
      </c>
      <c r="U393" s="406" t="s">
        <v>161</v>
      </c>
      <c r="V393" s="318" t="s">
        <v>162</v>
      </c>
      <c r="W393" s="408" t="s">
        <v>118</v>
      </c>
    </row>
    <row r="394" spans="17:23">
      <c r="Q394" s="243" t="s">
        <v>119</v>
      </c>
      <c r="R394" s="393">
        <v>20</v>
      </c>
      <c r="S394" s="350">
        <v>10</v>
      </c>
      <c r="T394" s="349">
        <v>2</v>
      </c>
      <c r="U394" s="350">
        <v>1</v>
      </c>
      <c r="V394" s="350">
        <v>5</v>
      </c>
      <c r="W394" s="409">
        <v>18</v>
      </c>
    </row>
    <row r="395" spans="17:23">
      <c r="Q395" s="243" t="s">
        <v>120</v>
      </c>
      <c r="R395" s="393">
        <v>40</v>
      </c>
      <c r="S395" s="354">
        <v>10</v>
      </c>
      <c r="T395" s="349">
        <v>3</v>
      </c>
      <c r="U395" s="354">
        <v>2</v>
      </c>
      <c r="V395" s="354">
        <v>9</v>
      </c>
      <c r="W395" s="409">
        <v>18</v>
      </c>
    </row>
    <row r="396" spans="17:23">
      <c r="Q396" s="243" t="s">
        <v>121</v>
      </c>
      <c r="R396" s="393">
        <v>60</v>
      </c>
      <c r="S396" s="354">
        <v>10</v>
      </c>
      <c r="T396" s="349">
        <v>4</v>
      </c>
      <c r="U396" s="354">
        <v>2</v>
      </c>
      <c r="V396" s="354">
        <v>10</v>
      </c>
      <c r="W396" s="409">
        <v>18</v>
      </c>
    </row>
    <row r="397" spans="17:23">
      <c r="Q397" s="243" t="s">
        <v>122</v>
      </c>
      <c r="R397" s="393">
        <v>90</v>
      </c>
      <c r="S397" s="354">
        <v>20</v>
      </c>
      <c r="T397" s="356">
        <v>6</v>
      </c>
      <c r="U397" s="354">
        <v>2</v>
      </c>
      <c r="V397" s="354"/>
      <c r="W397" s="409">
        <v>15</v>
      </c>
    </row>
    <row r="398" spans="17:23">
      <c r="Q398" s="243" t="s">
        <v>123</v>
      </c>
      <c r="R398" s="393">
        <v>100</v>
      </c>
      <c r="S398" s="354">
        <v>20</v>
      </c>
      <c r="T398" s="356">
        <v>8</v>
      </c>
      <c r="U398" s="354">
        <v>3</v>
      </c>
      <c r="V398" s="354"/>
      <c r="W398" s="409">
        <v>15</v>
      </c>
    </row>
    <row r="399" spans="17:23">
      <c r="Q399" s="243" t="s">
        <v>124</v>
      </c>
      <c r="R399" s="393">
        <v>100</v>
      </c>
      <c r="S399" s="354">
        <v>20</v>
      </c>
      <c r="T399" s="356">
        <v>8</v>
      </c>
      <c r="U399" s="354">
        <v>3</v>
      </c>
      <c r="V399" s="354"/>
      <c r="W399" s="409">
        <v>15</v>
      </c>
    </row>
    <row r="400" spans="17:23">
      <c r="Q400" s="243" t="s">
        <v>125</v>
      </c>
      <c r="R400" s="393">
        <v>125</v>
      </c>
      <c r="S400" s="354">
        <v>20</v>
      </c>
      <c r="T400" s="356">
        <v>10</v>
      </c>
      <c r="U400" s="354">
        <v>4</v>
      </c>
      <c r="V400" s="354"/>
      <c r="W400" s="409">
        <v>12</v>
      </c>
    </row>
    <row r="401" spans="17:23">
      <c r="Q401" s="243" t="s">
        <v>126</v>
      </c>
      <c r="R401" s="393">
        <v>125</v>
      </c>
      <c r="S401" s="354">
        <v>20</v>
      </c>
      <c r="T401" s="356">
        <v>10</v>
      </c>
      <c r="U401" s="354">
        <v>4</v>
      </c>
      <c r="V401" s="354"/>
      <c r="W401" s="409">
        <v>12</v>
      </c>
    </row>
    <row r="402" spans="17:23">
      <c r="Q402" s="243" t="s">
        <v>127</v>
      </c>
      <c r="R402" s="393">
        <v>150</v>
      </c>
      <c r="S402" s="354">
        <v>20</v>
      </c>
      <c r="T402" s="356">
        <v>12</v>
      </c>
      <c r="U402" s="354">
        <v>5</v>
      </c>
      <c r="V402" s="354"/>
      <c r="W402" s="409">
        <v>12</v>
      </c>
    </row>
    <row r="403" spans="17:23">
      <c r="Q403" s="243" t="s">
        <v>163</v>
      </c>
      <c r="R403" s="393">
        <v>150</v>
      </c>
      <c r="S403" s="354">
        <v>20</v>
      </c>
      <c r="T403" s="356">
        <v>12</v>
      </c>
      <c r="U403" s="354">
        <v>5</v>
      </c>
      <c r="V403" s="354"/>
      <c r="W403" s="409">
        <v>12</v>
      </c>
    </row>
    <row r="404" spans="17:23">
      <c r="Q404" s="243" t="s">
        <v>164</v>
      </c>
      <c r="R404" s="393">
        <v>170</v>
      </c>
      <c r="S404" s="410">
        <v>20</v>
      </c>
      <c r="T404" s="356">
        <v>12</v>
      </c>
      <c r="U404" s="354" t="s">
        <v>165</v>
      </c>
      <c r="V404" s="354"/>
      <c r="W404" s="409">
        <v>12</v>
      </c>
    </row>
    <row r="405" spans="17:23">
      <c r="Q405" s="247" t="s">
        <v>166</v>
      </c>
      <c r="R405" s="394">
        <v>170</v>
      </c>
      <c r="S405" s="361">
        <v>20</v>
      </c>
      <c r="T405" s="360">
        <v>12</v>
      </c>
      <c r="U405" s="361" t="s">
        <v>165</v>
      </c>
      <c r="V405" s="361"/>
      <c r="W405" s="411">
        <v>12</v>
      </c>
    </row>
    <row r="406" spans="17:23">
      <c r="Q406" s="256" t="s">
        <v>167</v>
      </c>
      <c r="R406" s="396">
        <f>SUM(R394:R405)</f>
        <v>1300</v>
      </c>
      <c r="S406" s="412">
        <f>SUM(S394:S405)</f>
        <v>210</v>
      </c>
      <c r="T406" s="397">
        <f>SUM(T394:T405)</f>
        <v>99</v>
      </c>
      <c r="U406" s="413">
        <v>6</v>
      </c>
      <c r="V406" s="318"/>
      <c r="W406" s="414">
        <f>SUM(W394:W405)</f>
        <v>171</v>
      </c>
    </row>
    <row r="407" spans="17:23">
      <c r="Q407" s="239"/>
      <c r="R407" s="239" t="s">
        <v>168</v>
      </c>
      <c r="S407" s="239"/>
      <c r="T407" s="239" t="s">
        <v>169</v>
      </c>
      <c r="U407" s="239"/>
      <c r="V407" s="318"/>
      <c r="W407" s="239"/>
    </row>
    <row r="408" spans="17:23">
      <c r="Q408" s="220" t="s">
        <v>170</v>
      </c>
      <c r="R408" s="239"/>
      <c r="S408" s="239"/>
      <c r="T408" s="239"/>
      <c r="U408" s="239"/>
      <c r="V408" s="318"/>
      <c r="W408" s="239"/>
    </row>
    <row r="409" spans="17:23">
      <c r="Q409" s="256" t="s">
        <v>171</v>
      </c>
      <c r="R409" s="220" t="s">
        <v>172</v>
      </c>
      <c r="S409" s="239"/>
      <c r="T409" s="239"/>
      <c r="U409" s="239"/>
      <c r="V409" s="318"/>
      <c r="W409" s="239"/>
    </row>
    <row r="410" spans="17:23">
      <c r="Q410" s="239"/>
      <c r="R410" s="220" t="s">
        <v>173</v>
      </c>
      <c r="S410" s="239"/>
      <c r="T410" s="239"/>
      <c r="U410" s="239"/>
      <c r="V410" s="318"/>
      <c r="W410" s="398"/>
    </row>
    <row r="411" spans="17:23">
      <c r="Q411" s="239"/>
      <c r="R411" s="220" t="s">
        <v>174</v>
      </c>
      <c r="S411" s="239"/>
      <c r="T411" s="239"/>
      <c r="U411" s="239"/>
      <c r="V411" s="239"/>
      <c r="W411" s="239"/>
    </row>
    <row r="412" spans="17:23">
      <c r="Q412" s="220" t="s">
        <v>175</v>
      </c>
      <c r="R412" s="239"/>
      <c r="S412" s="231"/>
      <c r="T412" s="231"/>
      <c r="U412" s="231"/>
      <c r="V412" s="231"/>
      <c r="W412" s="231"/>
    </row>
    <row r="413" spans="17:23">
      <c r="Q413" s="220"/>
      <c r="R413" s="239"/>
      <c r="S413" s="231"/>
      <c r="T413" s="231"/>
      <c r="U413" s="231"/>
      <c r="V413" s="231"/>
      <c r="W413" s="231"/>
    </row>
    <row r="414" spans="17:23">
      <c r="Q414" s="380" t="s">
        <v>134</v>
      </c>
      <c r="R414" s="400"/>
      <c r="S414" s="400"/>
      <c r="T414" s="401"/>
      <c r="U414" s="401"/>
      <c r="V414" s="402"/>
      <c r="W414" s="401"/>
    </row>
    <row r="415" spans="17:23">
      <c r="Q415" s="381">
        <v>30</v>
      </c>
      <c r="R415" s="382" t="s">
        <v>374</v>
      </c>
      <c r="S415" s="379"/>
      <c r="T415" s="379"/>
      <c r="U415" s="379"/>
      <c r="V415" s="379"/>
      <c r="W415" s="379"/>
    </row>
    <row r="416" spans="17:23">
      <c r="Q416" s="383"/>
      <c r="R416" s="277" t="s">
        <v>156</v>
      </c>
      <c r="S416" s="210"/>
      <c r="T416" s="210"/>
      <c r="U416" s="210"/>
      <c r="V416" s="210"/>
      <c r="W416" s="210"/>
    </row>
    <row r="417" spans="17:23">
      <c r="Q417" s="380"/>
      <c r="R417" s="400"/>
      <c r="S417" s="400"/>
      <c r="T417" s="401"/>
      <c r="U417" s="401"/>
      <c r="V417" s="402"/>
      <c r="W417" s="401"/>
    </row>
    <row r="418" spans="17:23">
      <c r="Q418" s="378"/>
      <c r="R418" s="379"/>
      <c r="S418" s="379"/>
      <c r="T418" s="379"/>
      <c r="U418" s="379"/>
      <c r="V418" s="379"/>
      <c r="W418" s="379"/>
    </row>
  </sheetData>
  <mergeCells count="26">
    <mergeCell ref="E311:F311"/>
    <mergeCell ref="D319:E319"/>
    <mergeCell ref="Q165:R165"/>
    <mergeCell ref="S165:U165"/>
    <mergeCell ref="Q141:R141"/>
    <mergeCell ref="D33:E33"/>
    <mergeCell ref="D34:E34"/>
    <mergeCell ref="D35:E35"/>
    <mergeCell ref="D36:E36"/>
    <mergeCell ref="D37:E37"/>
    <mergeCell ref="C324:D324"/>
    <mergeCell ref="C325:D325"/>
    <mergeCell ref="S31:T31"/>
    <mergeCell ref="D31:E31"/>
    <mergeCell ref="D32:E32"/>
    <mergeCell ref="S32:T32"/>
    <mergeCell ref="S36:T36"/>
    <mergeCell ref="F31:H31"/>
    <mergeCell ref="D38:E38"/>
    <mergeCell ref="S33:T33"/>
    <mergeCell ref="S34:T34"/>
    <mergeCell ref="S35:T35"/>
    <mergeCell ref="C165:D165"/>
    <mergeCell ref="E165:H165"/>
    <mergeCell ref="S37:T37"/>
    <mergeCell ref="E71:G71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6"/>
  <sheetViews>
    <sheetView topLeftCell="A178" workbookViewId="0">
      <selection activeCell="F183" sqref="F183"/>
    </sheetView>
  </sheetViews>
  <sheetFormatPr defaultColWidth="9" defaultRowHeight="12.75"/>
  <cols>
    <col min="1" max="1" width="9" style="67"/>
    <col min="2" max="2" width="14.42578125" style="67" customWidth="1"/>
    <col min="3" max="3" width="13.42578125" style="67" customWidth="1"/>
    <col min="4" max="4" width="10.85546875" style="67" customWidth="1"/>
    <col min="5" max="5" width="10.7109375" style="67" customWidth="1"/>
    <col min="6" max="6" width="20.42578125" style="67" customWidth="1"/>
    <col min="7" max="7" width="17" style="67" customWidth="1"/>
    <col min="8" max="8" width="9" style="67"/>
    <col min="9" max="9" width="13.28515625" style="67" customWidth="1"/>
    <col min="10" max="10" width="14.42578125" style="67" customWidth="1"/>
    <col min="11" max="16384" width="9" style="67"/>
  </cols>
  <sheetData>
    <row r="2" spans="1:7" ht="15.75">
      <c r="A2" s="137" t="s">
        <v>348</v>
      </c>
    </row>
    <row r="4" spans="1:7">
      <c r="B4" s="93" t="s">
        <v>225</v>
      </c>
    </row>
    <row r="5" spans="1:7">
      <c r="B5" s="93" t="s">
        <v>226</v>
      </c>
    </row>
    <row r="6" spans="1:7">
      <c r="C6" s="67" t="s">
        <v>227</v>
      </c>
    </row>
    <row r="8" spans="1:7">
      <c r="C8" s="54" t="s">
        <v>198</v>
      </c>
      <c r="D8" s="55" t="s">
        <v>14</v>
      </c>
    </row>
    <row r="9" spans="1:7">
      <c r="C9" s="64">
        <v>3</v>
      </c>
      <c r="D9" s="87">
        <v>0.08</v>
      </c>
    </row>
    <row r="10" spans="1:7">
      <c r="C10" s="88">
        <v>5</v>
      </c>
      <c r="D10" s="89">
        <v>0.1</v>
      </c>
    </row>
    <row r="12" spans="1:7">
      <c r="B12" s="93" t="s">
        <v>228</v>
      </c>
    </row>
    <row r="13" spans="1:7">
      <c r="C13" s="61" t="s">
        <v>20</v>
      </c>
      <c r="D13" s="1657" t="s">
        <v>13</v>
      </c>
      <c r="E13" s="1658"/>
      <c r="F13" s="98" t="s">
        <v>21</v>
      </c>
      <c r="G13" s="98" t="s">
        <v>21</v>
      </c>
    </row>
    <row r="14" spans="1:7">
      <c r="C14" s="5"/>
      <c r="D14" s="1655" t="s">
        <v>16</v>
      </c>
      <c r="E14" s="1656"/>
      <c r="F14" s="99" t="s">
        <v>347</v>
      </c>
      <c r="G14" s="99" t="s">
        <v>241</v>
      </c>
    </row>
    <row r="15" spans="1:7">
      <c r="C15" s="63">
        <v>6</v>
      </c>
      <c r="D15" s="1657">
        <v>180</v>
      </c>
      <c r="E15" s="1658"/>
      <c r="F15" s="90">
        <v>0.45</v>
      </c>
      <c r="G15" s="135">
        <v>0.55000000000000004</v>
      </c>
    </row>
    <row r="16" spans="1:7">
      <c r="C16" s="63">
        <v>5</v>
      </c>
      <c r="D16" s="1666">
        <v>130</v>
      </c>
      <c r="E16" s="1667"/>
      <c r="F16" s="90">
        <v>0.35</v>
      </c>
      <c r="G16" s="135">
        <v>0.45</v>
      </c>
    </row>
    <row r="17" spans="2:8">
      <c r="C17" s="63">
        <v>4</v>
      </c>
      <c r="D17" s="1666">
        <v>90</v>
      </c>
      <c r="E17" s="1667"/>
      <c r="F17" s="90">
        <v>0.25</v>
      </c>
      <c r="G17" s="135">
        <v>0.35</v>
      </c>
    </row>
    <row r="18" spans="2:8">
      <c r="C18" s="63">
        <v>3</v>
      </c>
      <c r="D18" s="1666">
        <v>50</v>
      </c>
      <c r="E18" s="1667"/>
      <c r="F18" s="90">
        <v>0.15</v>
      </c>
      <c r="G18" s="135">
        <v>0.25</v>
      </c>
    </row>
    <row r="19" spans="2:8">
      <c r="C19" s="66">
        <v>2</v>
      </c>
      <c r="D19" s="1668">
        <v>30</v>
      </c>
      <c r="E19" s="1669"/>
      <c r="F19" s="90">
        <v>0.1</v>
      </c>
      <c r="G19" s="135">
        <v>0.2</v>
      </c>
    </row>
    <row r="20" spans="2:8">
      <c r="C20" s="62">
        <v>1</v>
      </c>
      <c r="D20" s="1655">
        <v>15</v>
      </c>
      <c r="E20" s="1656"/>
      <c r="F20" s="91">
        <v>0.08</v>
      </c>
      <c r="G20" s="136">
        <v>0.15</v>
      </c>
    </row>
    <row r="21" spans="2:8">
      <c r="C21" s="60"/>
      <c r="D21" s="60"/>
      <c r="E21" s="60"/>
      <c r="F21" s="97"/>
    </row>
    <row r="22" spans="2:8">
      <c r="C22" s="6" t="s">
        <v>23</v>
      </c>
      <c r="D22" s="4"/>
      <c r="E22" s="4"/>
      <c r="F22" s="4"/>
    </row>
    <row r="23" spans="2:8">
      <c r="C23" s="6" t="s">
        <v>24</v>
      </c>
      <c r="D23" s="4"/>
      <c r="E23" s="4"/>
      <c r="F23" s="4"/>
    </row>
    <row r="25" spans="2:8">
      <c r="B25" s="93" t="s">
        <v>230</v>
      </c>
    </row>
    <row r="27" spans="2:8" s="119" customFormat="1" ht="25.5">
      <c r="B27" s="133" t="s">
        <v>202</v>
      </c>
      <c r="C27" s="134" t="s">
        <v>342</v>
      </c>
      <c r="D27" s="133" t="s">
        <v>229</v>
      </c>
      <c r="E27" s="134" t="s">
        <v>343</v>
      </c>
      <c r="F27" s="134" t="s">
        <v>344</v>
      </c>
    </row>
    <row r="28" spans="2:8">
      <c r="B28" s="92" t="s">
        <v>203</v>
      </c>
      <c r="C28" s="94">
        <v>300</v>
      </c>
      <c r="D28" s="94">
        <v>6</v>
      </c>
      <c r="E28" s="95">
        <v>0.2</v>
      </c>
      <c r="F28" s="95">
        <v>0.1</v>
      </c>
      <c r="G28" s="96"/>
    </row>
    <row r="29" spans="2:8">
      <c r="B29" s="92" t="s">
        <v>204</v>
      </c>
      <c r="C29" s="94">
        <v>200</v>
      </c>
      <c r="D29" s="94">
        <v>6</v>
      </c>
      <c r="E29" s="95">
        <v>0.15</v>
      </c>
      <c r="F29" s="95">
        <v>0.1</v>
      </c>
      <c r="G29" s="96"/>
      <c r="H29" s="96"/>
    </row>
    <row r="30" spans="2:8">
      <c r="B30" s="92" t="s">
        <v>205</v>
      </c>
      <c r="C30" s="94">
        <v>120</v>
      </c>
      <c r="D30" s="94">
        <v>6</v>
      </c>
      <c r="E30" s="95">
        <v>0.1</v>
      </c>
      <c r="F30" s="95">
        <v>0.1</v>
      </c>
      <c r="G30" s="96"/>
      <c r="H30" s="96"/>
    </row>
    <row r="31" spans="2:8" ht="25.5">
      <c r="E31" s="102" t="s">
        <v>345</v>
      </c>
      <c r="F31" s="102" t="s">
        <v>346</v>
      </c>
    </row>
    <row r="34" spans="2:2">
      <c r="B34" s="67" t="s">
        <v>232</v>
      </c>
    </row>
    <row r="35" spans="2:2">
      <c r="B35" s="67" t="s">
        <v>231</v>
      </c>
    </row>
    <row r="36" spans="2:2">
      <c r="B36" s="67" t="s">
        <v>23</v>
      </c>
    </row>
    <row r="37" spans="2:2">
      <c r="B37" s="67" t="s">
        <v>24</v>
      </c>
    </row>
    <row r="39" spans="2:2">
      <c r="B39" s="100" t="s">
        <v>233</v>
      </c>
    </row>
    <row r="41" spans="2:2">
      <c r="B41" s="67" t="s">
        <v>234</v>
      </c>
    </row>
    <row r="42" spans="2:2">
      <c r="B42" s="67" t="s">
        <v>235</v>
      </c>
    </row>
    <row r="44" spans="2:2">
      <c r="B44" s="67" t="s">
        <v>236</v>
      </c>
    </row>
    <row r="45" spans="2:2">
      <c r="B45" s="67" t="s">
        <v>237</v>
      </c>
    </row>
    <row r="46" spans="2:2">
      <c r="B46" s="67" t="s">
        <v>238</v>
      </c>
    </row>
    <row r="48" spans="2:2">
      <c r="B48" s="67" t="s">
        <v>239</v>
      </c>
    </row>
    <row r="49" spans="1:9">
      <c r="B49" s="67" t="s">
        <v>240</v>
      </c>
    </row>
    <row r="51" spans="1:9">
      <c r="A51" s="100" t="s">
        <v>242</v>
      </c>
    </row>
    <row r="53" spans="1:9">
      <c r="A53" s="93">
        <v>1</v>
      </c>
      <c r="B53" s="100" t="s">
        <v>243</v>
      </c>
    </row>
    <row r="55" spans="1:9">
      <c r="B55" s="67" t="s">
        <v>244</v>
      </c>
    </row>
    <row r="56" spans="1:9">
      <c r="B56" s="67" t="s">
        <v>245</v>
      </c>
    </row>
    <row r="58" spans="1:9">
      <c r="B58" s="100" t="s">
        <v>262</v>
      </c>
      <c r="D58" s="67" t="s">
        <v>263</v>
      </c>
    </row>
    <row r="59" spans="1:9">
      <c r="B59" s="112" t="s">
        <v>246</v>
      </c>
      <c r="C59" s="68"/>
      <c r="D59" s="67" t="s">
        <v>267</v>
      </c>
    </row>
    <row r="60" spans="1:9">
      <c r="B60" s="112" t="s">
        <v>247</v>
      </c>
      <c r="C60" s="68"/>
    </row>
    <row r="61" spans="1:9">
      <c r="B61" s="68"/>
      <c r="C61" s="101"/>
    </row>
    <row r="62" spans="1:9">
      <c r="B62" s="103" t="s">
        <v>256</v>
      </c>
      <c r="C62" s="104" t="s">
        <v>248</v>
      </c>
      <c r="D62" s="105" t="s">
        <v>249</v>
      </c>
      <c r="E62" s="105" t="s">
        <v>250</v>
      </c>
      <c r="F62" s="105" t="s">
        <v>251</v>
      </c>
      <c r="G62" s="105" t="s">
        <v>252</v>
      </c>
      <c r="H62" s="105" t="s">
        <v>253</v>
      </c>
      <c r="I62" s="106" t="s">
        <v>254</v>
      </c>
    </row>
    <row r="63" spans="1:9" s="119" customFormat="1" ht="27.75" customHeight="1">
      <c r="B63" s="120" t="s">
        <v>264</v>
      </c>
      <c r="C63" s="121">
        <v>1</v>
      </c>
      <c r="D63" s="121">
        <v>1</v>
      </c>
      <c r="E63" s="121">
        <v>2</v>
      </c>
      <c r="F63" s="121">
        <v>2</v>
      </c>
      <c r="G63" s="121">
        <v>3</v>
      </c>
      <c r="H63" s="121">
        <v>3</v>
      </c>
      <c r="I63" s="122"/>
    </row>
    <row r="64" spans="1:9" s="119" customFormat="1">
      <c r="B64" s="123" t="s">
        <v>255</v>
      </c>
      <c r="C64" s="124">
        <v>1</v>
      </c>
      <c r="D64" s="124">
        <v>1</v>
      </c>
      <c r="E64" s="124">
        <v>1</v>
      </c>
      <c r="F64" s="124">
        <v>1</v>
      </c>
      <c r="G64" s="124">
        <v>1</v>
      </c>
      <c r="H64" s="124">
        <v>1</v>
      </c>
      <c r="I64" s="125"/>
    </row>
    <row r="65" spans="1:9">
      <c r="B65" s="110" t="s">
        <v>21</v>
      </c>
      <c r="C65" s="111">
        <v>5</v>
      </c>
      <c r="D65" s="111">
        <v>5</v>
      </c>
      <c r="E65" s="111">
        <v>5</v>
      </c>
      <c r="F65" s="111">
        <v>5</v>
      </c>
      <c r="G65" s="111">
        <v>5</v>
      </c>
      <c r="H65" s="111">
        <v>5</v>
      </c>
      <c r="I65" s="108">
        <f>SUM(C65:H65)</f>
        <v>30</v>
      </c>
    </row>
    <row r="67" spans="1:9">
      <c r="B67" s="67" t="s">
        <v>265</v>
      </c>
    </row>
    <row r="70" spans="1:9">
      <c r="B70" s="100" t="s">
        <v>257</v>
      </c>
    </row>
    <row r="72" spans="1:9">
      <c r="B72" s="113" t="s">
        <v>260</v>
      </c>
      <c r="C72" s="114"/>
      <c r="D72" s="118" t="s">
        <v>21</v>
      </c>
    </row>
    <row r="73" spans="1:9">
      <c r="B73" s="115" t="s">
        <v>258</v>
      </c>
      <c r="C73" s="116"/>
      <c r="D73" s="98" t="s">
        <v>261</v>
      </c>
    </row>
    <row r="74" spans="1:9">
      <c r="B74" s="107" t="s">
        <v>259</v>
      </c>
      <c r="C74" s="117"/>
      <c r="D74" s="99" t="s">
        <v>266</v>
      </c>
    </row>
    <row r="76" spans="1:9">
      <c r="A76" s="93">
        <v>2</v>
      </c>
      <c r="B76" s="100" t="s">
        <v>268</v>
      </c>
    </row>
    <row r="78" spans="1:9">
      <c r="B78" s="100" t="s">
        <v>275</v>
      </c>
    </row>
    <row r="80" spans="1:9">
      <c r="B80" s="118" t="s">
        <v>270</v>
      </c>
      <c r="C80" s="118" t="s">
        <v>271</v>
      </c>
    </row>
    <row r="81" spans="1:6">
      <c r="B81" s="94" t="s">
        <v>274</v>
      </c>
      <c r="C81" s="95">
        <v>0.2</v>
      </c>
    </row>
    <row r="82" spans="1:6">
      <c r="B82" s="94" t="s">
        <v>273</v>
      </c>
      <c r="C82" s="95">
        <v>0.16</v>
      </c>
    </row>
    <row r="83" spans="1:6">
      <c r="B83" s="94" t="s">
        <v>272</v>
      </c>
      <c r="C83" s="95">
        <v>0.12</v>
      </c>
    </row>
    <row r="84" spans="1:6">
      <c r="B84" s="68"/>
      <c r="C84" s="68"/>
    </row>
    <row r="86" spans="1:6">
      <c r="B86" s="100" t="s">
        <v>269</v>
      </c>
      <c r="D86" s="68"/>
      <c r="E86" s="68"/>
      <c r="F86" s="68"/>
    </row>
    <row r="88" spans="1:6">
      <c r="B88" s="1659" t="s">
        <v>54</v>
      </c>
      <c r="C88" s="1660"/>
      <c r="D88" s="1661" t="s">
        <v>55</v>
      </c>
      <c r="E88" s="1662"/>
      <c r="F88" s="1663"/>
    </row>
    <row r="89" spans="1:6">
      <c r="B89" s="1653" t="s">
        <v>56</v>
      </c>
      <c r="C89" s="1654"/>
      <c r="D89" s="13">
        <v>6</v>
      </c>
      <c r="E89" s="14">
        <v>12</v>
      </c>
      <c r="F89" s="15">
        <v>24</v>
      </c>
    </row>
    <row r="90" spans="1:6">
      <c r="B90" s="16" t="s">
        <v>57</v>
      </c>
      <c r="C90" s="17">
        <v>550</v>
      </c>
      <c r="D90" s="18">
        <v>0.2</v>
      </c>
      <c r="E90" s="18">
        <v>0.25</v>
      </c>
      <c r="F90" s="18">
        <v>0.3</v>
      </c>
    </row>
    <row r="91" spans="1:6">
      <c r="B91" s="19" t="s">
        <v>17</v>
      </c>
      <c r="C91" s="20">
        <v>330</v>
      </c>
      <c r="D91" s="18">
        <v>0.15</v>
      </c>
      <c r="E91" s="18">
        <v>0.2</v>
      </c>
      <c r="F91" s="18">
        <v>0.25</v>
      </c>
    </row>
    <row r="92" spans="1:6">
      <c r="B92" s="19" t="s">
        <v>18</v>
      </c>
      <c r="C92" s="21">
        <v>220</v>
      </c>
      <c r="D92" s="18">
        <v>0.1</v>
      </c>
      <c r="E92" s="18">
        <v>0.15</v>
      </c>
      <c r="F92" s="18">
        <v>0.2</v>
      </c>
    </row>
    <row r="93" spans="1:6">
      <c r="B93" s="22" t="s">
        <v>19</v>
      </c>
      <c r="C93" s="23">
        <v>110</v>
      </c>
      <c r="D93" s="24">
        <v>0.05</v>
      </c>
      <c r="E93" s="24">
        <v>0.05</v>
      </c>
      <c r="F93" s="24">
        <v>0.05</v>
      </c>
    </row>
    <row r="96" spans="1:6">
      <c r="A96" s="93">
        <v>3</v>
      </c>
      <c r="B96" s="100" t="s">
        <v>276</v>
      </c>
    </row>
    <row r="98" spans="2:4">
      <c r="B98" s="100" t="s">
        <v>277</v>
      </c>
    </row>
    <row r="100" spans="2:4">
      <c r="B100" s="118" t="s">
        <v>278</v>
      </c>
      <c r="C100" s="118" t="s">
        <v>271</v>
      </c>
    </row>
    <row r="101" spans="2:4">
      <c r="B101" s="94" t="s">
        <v>279</v>
      </c>
      <c r="C101" s="95">
        <v>0.06</v>
      </c>
    </row>
    <row r="102" spans="2:4">
      <c r="B102" s="94" t="s">
        <v>280</v>
      </c>
      <c r="C102" s="95">
        <v>0.04</v>
      </c>
    </row>
    <row r="104" spans="2:4">
      <c r="B104" s="100" t="s">
        <v>269</v>
      </c>
    </row>
    <row r="106" spans="2:4">
      <c r="B106" s="1664" t="s">
        <v>69</v>
      </c>
      <c r="C106" s="1665"/>
      <c r="D106" s="25" t="s">
        <v>70</v>
      </c>
    </row>
    <row r="107" spans="2:4">
      <c r="B107" s="1653" t="s">
        <v>56</v>
      </c>
      <c r="C107" s="1654"/>
      <c r="D107" s="26" t="s">
        <v>64</v>
      </c>
    </row>
    <row r="108" spans="2:4">
      <c r="B108" s="16" t="s">
        <v>57</v>
      </c>
      <c r="C108" s="17">
        <v>2200</v>
      </c>
      <c r="D108" s="27">
        <v>0.1</v>
      </c>
    </row>
    <row r="109" spans="2:4">
      <c r="B109" s="19" t="s">
        <v>17</v>
      </c>
      <c r="C109" s="20">
        <v>1380</v>
      </c>
      <c r="D109" s="28">
        <v>0.08</v>
      </c>
    </row>
    <row r="110" spans="2:4">
      <c r="B110" s="19" t="s">
        <v>18</v>
      </c>
      <c r="C110" s="20">
        <v>880</v>
      </c>
      <c r="D110" s="28">
        <v>0.06</v>
      </c>
    </row>
    <row r="111" spans="2:4">
      <c r="B111" s="22" t="s">
        <v>19</v>
      </c>
      <c r="C111" s="29">
        <v>440</v>
      </c>
      <c r="D111" s="30">
        <v>0.04</v>
      </c>
    </row>
    <row r="113" spans="1:4">
      <c r="B113" s="67" t="s">
        <v>281</v>
      </c>
    </row>
    <row r="114" spans="1:4">
      <c r="B114" s="67" t="s">
        <v>282</v>
      </c>
    </row>
    <row r="116" spans="1:4">
      <c r="A116" s="93">
        <v>4</v>
      </c>
      <c r="B116" s="100" t="s">
        <v>283</v>
      </c>
    </row>
    <row r="118" spans="1:4">
      <c r="B118" s="93" t="s">
        <v>295</v>
      </c>
    </row>
    <row r="119" spans="1:4">
      <c r="B119" s="93" t="s">
        <v>286</v>
      </c>
    </row>
    <row r="121" spans="1:4" s="119" customFormat="1" ht="63.75">
      <c r="B121" s="128" t="s">
        <v>202</v>
      </c>
      <c r="C121" s="129" t="s">
        <v>284</v>
      </c>
      <c r="D121" s="129" t="s">
        <v>285</v>
      </c>
    </row>
    <row r="122" spans="1:4">
      <c r="B122" s="92" t="s">
        <v>203</v>
      </c>
      <c r="C122" s="127">
        <v>1200</v>
      </c>
      <c r="D122" s="94">
        <v>8</v>
      </c>
    </row>
    <row r="123" spans="1:4">
      <c r="B123" s="92" t="s">
        <v>204</v>
      </c>
      <c r="C123" s="127">
        <v>900</v>
      </c>
      <c r="D123" s="94">
        <v>6</v>
      </c>
    </row>
    <row r="124" spans="1:4">
      <c r="B124" s="92" t="s">
        <v>205</v>
      </c>
      <c r="C124" s="127">
        <v>600</v>
      </c>
      <c r="D124" s="94">
        <v>4</v>
      </c>
    </row>
    <row r="126" spans="1:4">
      <c r="B126" s="67" t="s">
        <v>311</v>
      </c>
    </row>
    <row r="127" spans="1:4">
      <c r="B127" s="67" t="s">
        <v>312</v>
      </c>
    </row>
    <row r="128" spans="1:4">
      <c r="B128" s="67" t="s">
        <v>313</v>
      </c>
    </row>
    <row r="130" spans="2:4">
      <c r="B130" s="100" t="s">
        <v>287</v>
      </c>
    </row>
    <row r="131" spans="2:4">
      <c r="B131" s="67" t="s">
        <v>288</v>
      </c>
    </row>
    <row r="133" spans="2:4" ht="38.25">
      <c r="B133" s="128" t="s">
        <v>202</v>
      </c>
      <c r="C133" s="129" t="s">
        <v>291</v>
      </c>
      <c r="D133" s="129" t="s">
        <v>289</v>
      </c>
    </row>
    <row r="134" spans="2:4">
      <c r="B134" s="92" t="s">
        <v>203</v>
      </c>
      <c r="C134" s="127" t="s">
        <v>290</v>
      </c>
      <c r="D134" s="94">
        <v>4</v>
      </c>
    </row>
    <row r="135" spans="2:4">
      <c r="B135" s="92" t="s">
        <v>204</v>
      </c>
      <c r="C135" s="127" t="s">
        <v>290</v>
      </c>
      <c r="D135" s="94">
        <v>2</v>
      </c>
    </row>
    <row r="136" spans="2:4">
      <c r="B136" s="92" t="s">
        <v>205</v>
      </c>
      <c r="C136" s="127" t="s">
        <v>290</v>
      </c>
      <c r="D136" s="94">
        <v>1</v>
      </c>
    </row>
    <row r="138" spans="2:4">
      <c r="B138" s="100" t="s">
        <v>233</v>
      </c>
    </row>
    <row r="140" spans="2:4">
      <c r="B140" s="67" t="s">
        <v>292</v>
      </c>
    </row>
    <row r="141" spans="2:4">
      <c r="B141" s="67" t="s">
        <v>293</v>
      </c>
    </row>
    <row r="143" spans="2:4">
      <c r="B143" s="67" t="s">
        <v>236</v>
      </c>
    </row>
    <row r="144" spans="2:4">
      <c r="B144" s="67" t="s">
        <v>237</v>
      </c>
    </row>
    <row r="145" spans="1:2">
      <c r="B145" s="67" t="s">
        <v>238</v>
      </c>
    </row>
    <row r="147" spans="1:2">
      <c r="B147" s="67" t="s">
        <v>294</v>
      </c>
    </row>
    <row r="148" spans="1:2">
      <c r="B148" s="67" t="s">
        <v>240</v>
      </c>
    </row>
    <row r="150" spans="1:2">
      <c r="A150" s="93">
        <v>5</v>
      </c>
      <c r="B150" s="93" t="s">
        <v>296</v>
      </c>
    </row>
    <row r="151" spans="1:2">
      <c r="B151" s="100" t="s">
        <v>297</v>
      </c>
    </row>
    <row r="153" spans="1:2">
      <c r="B153" s="67" t="s">
        <v>298</v>
      </c>
    </row>
    <row r="155" spans="1:2">
      <c r="B155" s="100" t="s">
        <v>299</v>
      </c>
    </row>
    <row r="156" spans="1:2">
      <c r="B156" s="130" t="s">
        <v>302</v>
      </c>
    </row>
    <row r="157" spans="1:2">
      <c r="B157" s="130" t="s">
        <v>303</v>
      </c>
    </row>
    <row r="158" spans="1:2">
      <c r="B158" s="130" t="s">
        <v>304</v>
      </c>
    </row>
    <row r="159" spans="1:2">
      <c r="B159" s="130" t="s">
        <v>300</v>
      </c>
    </row>
    <row r="160" spans="1:2">
      <c r="B160" s="130" t="s">
        <v>301</v>
      </c>
    </row>
    <row r="162" spans="1:9">
      <c r="B162" s="67" t="s">
        <v>307</v>
      </c>
    </row>
    <row r="163" spans="1:9">
      <c r="B163" s="67" t="s">
        <v>308</v>
      </c>
    </row>
    <row r="165" spans="1:9">
      <c r="B165" s="100" t="s">
        <v>305</v>
      </c>
    </row>
    <row r="166" spans="1:9">
      <c r="B166" s="67" t="s">
        <v>306</v>
      </c>
    </row>
    <row r="168" spans="1:9" s="139" customFormat="1" ht="15.75">
      <c r="A168" s="138" t="s">
        <v>309</v>
      </c>
      <c r="B168" s="137" t="s">
        <v>310</v>
      </c>
    </row>
    <row r="170" spans="1:9">
      <c r="B170" s="67" t="s">
        <v>314</v>
      </c>
    </row>
    <row r="171" spans="1:9">
      <c r="B171" s="67" t="s">
        <v>315</v>
      </c>
    </row>
    <row r="174" spans="1:9" s="139" customFormat="1" ht="15.75">
      <c r="A174" s="138" t="s">
        <v>316</v>
      </c>
      <c r="B174" s="137" t="s">
        <v>317</v>
      </c>
      <c r="H174" s="138" t="s">
        <v>318</v>
      </c>
      <c r="I174" s="137" t="s">
        <v>319</v>
      </c>
    </row>
    <row r="176" spans="1:9">
      <c r="B176" s="100" t="s">
        <v>320</v>
      </c>
    </row>
    <row r="177" spans="2:11">
      <c r="B177" s="67" t="s">
        <v>321</v>
      </c>
    </row>
    <row r="178" spans="2:11">
      <c r="B178" s="67" t="s">
        <v>322</v>
      </c>
    </row>
    <row r="180" spans="2:11">
      <c r="B180" s="100" t="s">
        <v>323</v>
      </c>
      <c r="I180" s="100" t="s">
        <v>334</v>
      </c>
    </row>
    <row r="182" spans="2:11">
      <c r="F182" s="131"/>
      <c r="I182" s="67" t="s">
        <v>335</v>
      </c>
    </row>
    <row r="183" spans="2:11">
      <c r="B183" s="115" t="s">
        <v>326</v>
      </c>
      <c r="C183" s="118" t="s">
        <v>260</v>
      </c>
      <c r="D183" s="109" t="s">
        <v>324</v>
      </c>
      <c r="I183" s="115" t="s">
        <v>326</v>
      </c>
      <c r="J183" s="118" t="s">
        <v>260</v>
      </c>
      <c r="K183" s="109" t="s">
        <v>324</v>
      </c>
    </row>
    <row r="184" spans="2:11">
      <c r="B184" s="107" t="s">
        <v>327</v>
      </c>
      <c r="C184" s="99" t="s">
        <v>341</v>
      </c>
      <c r="D184" s="78" t="s">
        <v>325</v>
      </c>
      <c r="I184" s="107" t="s">
        <v>327</v>
      </c>
      <c r="J184" s="99" t="s">
        <v>341</v>
      </c>
      <c r="K184" s="78" t="s">
        <v>336</v>
      </c>
    </row>
    <row r="186" spans="2:11">
      <c r="B186" s="100" t="s">
        <v>332</v>
      </c>
      <c r="I186" s="100" t="s">
        <v>337</v>
      </c>
    </row>
    <row r="188" spans="2:11" ht="51">
      <c r="B188" s="67" t="s">
        <v>329</v>
      </c>
      <c r="I188" s="126" t="s">
        <v>339</v>
      </c>
      <c r="J188" s="126" t="s">
        <v>338</v>
      </c>
    </row>
    <row r="189" spans="2:11">
      <c r="B189" s="67" t="s">
        <v>330</v>
      </c>
      <c r="I189" s="94">
        <v>2</v>
      </c>
      <c r="J189" s="95">
        <v>0.05</v>
      </c>
    </row>
    <row r="190" spans="2:11">
      <c r="B190" s="67" t="s">
        <v>333</v>
      </c>
      <c r="I190" s="94">
        <v>3</v>
      </c>
      <c r="J190" s="95">
        <v>0.08</v>
      </c>
    </row>
    <row r="191" spans="2:11">
      <c r="B191" s="67" t="s">
        <v>331</v>
      </c>
    </row>
    <row r="192" spans="2:11">
      <c r="I192" s="67" t="s">
        <v>340</v>
      </c>
    </row>
    <row r="193" spans="6:9">
      <c r="F193" s="132"/>
      <c r="G193" s="132"/>
      <c r="H193" s="132"/>
    </row>
    <row r="194" spans="6:9">
      <c r="F194" s="132"/>
      <c r="G194" s="132"/>
      <c r="H194" s="132"/>
      <c r="I194" s="100" t="s">
        <v>328</v>
      </c>
    </row>
    <row r="195" spans="6:9">
      <c r="F195" s="132"/>
      <c r="G195" s="132"/>
      <c r="H195" s="132"/>
      <c r="I195" s="130" t="s">
        <v>349</v>
      </c>
    </row>
    <row r="196" spans="6:9">
      <c r="F196" s="132"/>
      <c r="G196" s="132"/>
      <c r="H196" s="132"/>
      <c r="I196" s="130" t="s">
        <v>350</v>
      </c>
    </row>
  </sheetData>
  <mergeCells count="13">
    <mergeCell ref="B107:C107"/>
    <mergeCell ref="D20:E20"/>
    <mergeCell ref="D13:E13"/>
    <mergeCell ref="B88:C88"/>
    <mergeCell ref="D88:F88"/>
    <mergeCell ref="B89:C89"/>
    <mergeCell ref="B106:C106"/>
    <mergeCell ref="D14:E14"/>
    <mergeCell ref="D15:E15"/>
    <mergeCell ref="D16:E16"/>
    <mergeCell ref="D17:E17"/>
    <mergeCell ref="D18:E18"/>
    <mergeCell ref="D19:E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Cost projection summary (2)</vt:lpstr>
      <vt:lpstr>Summary Changes</vt:lpstr>
      <vt:lpstr>Cost projection summary</vt:lpstr>
      <vt:lpstr>GA Cost Projection</vt:lpstr>
      <vt:lpstr>Cost Projection</vt:lpstr>
      <vt:lpstr>Contest Plan</vt:lpstr>
      <vt:lpstr>Sale Plan &amp; KPIs</vt:lpstr>
      <vt:lpstr>2017 Comp Scheme</vt:lpstr>
      <vt:lpstr>Draft Scheme</vt:lpstr>
      <vt:lpstr>Validation Promotion 2017</vt:lpstr>
      <vt:lpstr>Validation Promotion 2016</vt:lpstr>
      <vt:lpstr>2017 Scheme &amp; cost projection</vt:lpstr>
      <vt:lpstr>Long term projection</vt:lpstr>
      <vt:lpstr>MDRT Recruitment</vt:lpstr>
      <vt:lpstr>Leader RSP</vt:lpstr>
      <vt:lpstr>Sheet2</vt:lpstr>
      <vt:lpstr>2017 Validation &amp; Promotion</vt:lpstr>
      <vt:lpstr>Income Impact 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 Huynh</dc:creator>
  <cp:lastModifiedBy>Tung Nguyen</cp:lastModifiedBy>
  <dcterms:created xsi:type="dcterms:W3CDTF">2016-09-04T11:35:09Z</dcterms:created>
  <dcterms:modified xsi:type="dcterms:W3CDTF">2017-07-18T09:28:28Z</dcterms:modified>
</cp:coreProperties>
</file>