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siness Planning\Compensation scheme 2017\Compensation SP18-20_July 2017\"/>
    </mc:Choice>
  </mc:AlternateContent>
  <bookViews>
    <workbookView xWindow="0" yWindow="0" windowWidth="15120" windowHeight="6435" tabRatio="802" firstSheet="1" activeTab="2"/>
  </bookViews>
  <sheets>
    <sheet name="Cost projection summary (2)" sheetId="22" state="hidden" r:id="rId1"/>
    <sheet name="Summary Changes" sheetId="25" r:id="rId2"/>
    <sheet name="Cost projection summary" sheetId="18" r:id="rId3"/>
    <sheet name="GA Cost Projection" sheetId="20" r:id="rId4"/>
    <sheet name="GA Cost Projection_2017" sheetId="27" r:id="rId5"/>
    <sheet name="Cost Projection" sheetId="2" state="hidden" r:id="rId6"/>
    <sheet name="Contest Plan" sheetId="21" state="hidden" r:id="rId7"/>
    <sheet name="Sale Plan &amp; KPIs" sheetId="13" r:id="rId8"/>
    <sheet name="2017 Comp Scheme" sheetId="1" r:id="rId9"/>
    <sheet name="Draft Scheme" sheetId="9" state="hidden" r:id="rId10"/>
    <sheet name="Validation Promotion 2017" sheetId="24" r:id="rId11"/>
    <sheet name="Validation Promotion 2016" sheetId="23" state="hidden" r:id="rId12"/>
    <sheet name="2017 Scheme &amp; cost projection" sheetId="8" r:id="rId13"/>
    <sheet name="Long term projection" sheetId="26" r:id="rId14"/>
    <sheet name="MDRT Recruitment" sheetId="17" r:id="rId15"/>
    <sheet name="Leader RSP" sheetId="19" r:id="rId16"/>
    <sheet name="Sheet2" sheetId="14" state="hidden" r:id="rId17"/>
    <sheet name="2017 Validation &amp; Promotion" sheetId="6" state="hidden" r:id="rId18"/>
    <sheet name="Income Impact Analysis" sheetId="12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4" hidden="1">'MDRT Recruitment'!$A$1:$BD$130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8" l="1"/>
  <c r="F66" i="18"/>
  <c r="F65" i="18"/>
  <c r="F64" i="18"/>
  <c r="F61" i="18"/>
  <c r="F60" i="18"/>
  <c r="F47" i="18"/>
  <c r="F46" i="18"/>
  <c r="F45" i="18"/>
  <c r="F44" i="18"/>
  <c r="F43" i="18"/>
  <c r="F42" i="18"/>
  <c r="F37" i="18"/>
  <c r="F36" i="18"/>
  <c r="F33" i="18"/>
  <c r="F32" i="18"/>
  <c r="F31" i="18"/>
  <c r="F30" i="18"/>
  <c r="F29" i="18"/>
  <c r="F28" i="18"/>
  <c r="F27" i="18"/>
  <c r="F26" i="18"/>
  <c r="F23" i="18"/>
  <c r="F21" i="18"/>
  <c r="AC49" i="18"/>
  <c r="AB49" i="18"/>
  <c r="F18" i="18"/>
  <c r="AE18" i="18" l="1"/>
  <c r="AE13" i="18" s="1"/>
  <c r="T781" i="8" l="1"/>
  <c r="S781" i="8"/>
  <c r="T780" i="8"/>
  <c r="S780" i="8"/>
  <c r="R781" i="8"/>
  <c r="R780" i="8"/>
  <c r="F50" i="18"/>
  <c r="AF18" i="18"/>
  <c r="AF54" i="18"/>
  <c r="AE54" i="18"/>
  <c r="AE67" i="18"/>
  <c r="AE66" i="18"/>
  <c r="AE65" i="18"/>
  <c r="AE64" i="18"/>
  <c r="AE61" i="18"/>
  <c r="AE60" i="18"/>
  <c r="AE51" i="18"/>
  <c r="AE52" i="18"/>
  <c r="AE50" i="18"/>
  <c r="AF50" i="18" s="1"/>
  <c r="AE47" i="18"/>
  <c r="AE46" i="18"/>
  <c r="P141" i="17"/>
  <c r="O141" i="17"/>
  <c r="AE45" i="18"/>
  <c r="AF45" i="18" s="1"/>
  <c r="AE44" i="18"/>
  <c r="AE43" i="18"/>
  <c r="AE42" i="18"/>
  <c r="AE37" i="18"/>
  <c r="AF37" i="18" s="1"/>
  <c r="Y603" i="8"/>
  <c r="Q603" i="8"/>
  <c r="AE36" i="18"/>
  <c r="AE33" i="18"/>
  <c r="Y505" i="8"/>
  <c r="AE32" i="18"/>
  <c r="Y163" i="8"/>
  <c r="AE31" i="18" s="1"/>
  <c r="AE30" i="18"/>
  <c r="AE29" i="18"/>
  <c r="AE28" i="18"/>
  <c r="AE27" i="18"/>
  <c r="AE26" i="18"/>
  <c r="AE23" i="18"/>
  <c r="AF23" i="18" s="1"/>
  <c r="AE21" i="18"/>
  <c r="Y766" i="8"/>
  <c r="Y744" i="8"/>
  <c r="Y712" i="8"/>
  <c r="Y584" i="8"/>
  <c r="Y415" i="8"/>
  <c r="Y326" i="8"/>
  <c r="Y295" i="8"/>
  <c r="Y264" i="8"/>
  <c r="Y234" i="8"/>
  <c r="Y130" i="8"/>
  <c r="Y113" i="8"/>
  <c r="Z41" i="8"/>
  <c r="Y37" i="8"/>
  <c r="AF51" i="18"/>
  <c r="AF67" i="18"/>
  <c r="AF66" i="18"/>
  <c r="AF65" i="18"/>
  <c r="AF64" i="18"/>
  <c r="AF61" i="18"/>
  <c r="AF60" i="18"/>
  <c r="AF53" i="18"/>
  <c r="AF52" i="18"/>
  <c r="AF47" i="18"/>
  <c r="AF46" i="18"/>
  <c r="AF44" i="18"/>
  <c r="AF43" i="18"/>
  <c r="AF42" i="18"/>
  <c r="AF36" i="18"/>
  <c r="AF33" i="18"/>
  <c r="AF32" i="18"/>
  <c r="AF30" i="18"/>
  <c r="AF29" i="18"/>
  <c r="AF28" i="18"/>
  <c r="AF27" i="18"/>
  <c r="AF26" i="18"/>
  <c r="AF22" i="18"/>
  <c r="AF21" i="18"/>
  <c r="AE63" i="18"/>
  <c r="AF63" i="18" s="1"/>
  <c r="AE59" i="18"/>
  <c r="AE35" i="18"/>
  <c r="AF35" i="18" s="1"/>
  <c r="AE20" i="18"/>
  <c r="AF20" i="18" s="1"/>
  <c r="P52" i="18"/>
  <c r="AE58" i="18" l="1"/>
  <c r="AF58" i="18" s="1"/>
  <c r="AF59" i="18"/>
  <c r="AE41" i="18"/>
  <c r="AE40" i="18" s="1"/>
  <c r="AF40" i="18" s="1"/>
  <c r="AE25" i="18"/>
  <c r="AF25" i="18" s="1"/>
  <c r="AF31" i="18"/>
  <c r="AE49" i="18"/>
  <c r="AF49" i="18" s="1"/>
  <c r="AF41" i="18" l="1"/>
  <c r="AE14" i="18" l="1"/>
  <c r="AE12" i="18"/>
  <c r="AE11" i="18"/>
  <c r="F5" i="18"/>
  <c r="AE5" i="18" s="1"/>
  <c r="H202" i="27" l="1"/>
  <c r="O207" i="27"/>
  <c r="N207" i="27"/>
  <c r="M207" i="27"/>
  <c r="L207" i="27"/>
  <c r="K207" i="27"/>
  <c r="J207" i="27"/>
  <c r="I207" i="27"/>
  <c r="H207" i="27"/>
  <c r="G207" i="27"/>
  <c r="F207" i="27"/>
  <c r="E207" i="27"/>
  <c r="D207" i="27"/>
  <c r="C207" i="27"/>
  <c r="N206" i="27"/>
  <c r="M206" i="27"/>
  <c r="L206" i="27"/>
  <c r="K206" i="27"/>
  <c r="J206" i="27"/>
  <c r="I206" i="27"/>
  <c r="H206" i="27"/>
  <c r="G206" i="27"/>
  <c r="F206" i="27"/>
  <c r="E206" i="27"/>
  <c r="D206" i="27"/>
  <c r="C206" i="27"/>
  <c r="I43" i="27"/>
  <c r="I32" i="27" s="1"/>
  <c r="N42" i="27"/>
  <c r="N43" i="27" s="1"/>
  <c r="N32" i="27" s="1"/>
  <c r="M42" i="27"/>
  <c r="M43" i="27" s="1"/>
  <c r="M32" i="27" s="1"/>
  <c r="L42" i="27"/>
  <c r="L43" i="27" s="1"/>
  <c r="L32" i="27" s="1"/>
  <c r="K42" i="27"/>
  <c r="K43" i="27" s="1"/>
  <c r="K32" i="27" s="1"/>
  <c r="J42" i="27"/>
  <c r="J43" i="27" s="1"/>
  <c r="J32" i="27" s="1"/>
  <c r="I42" i="27"/>
  <c r="H42" i="27"/>
  <c r="G42" i="27"/>
  <c r="F42" i="27"/>
  <c r="E42" i="27"/>
  <c r="D42" i="27"/>
  <c r="C42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O206" i="27" l="1"/>
  <c r="L202" i="27"/>
  <c r="L28" i="27"/>
  <c r="G202" i="27" l="1"/>
  <c r="O32" i="27" l="1"/>
  <c r="L20" i="27"/>
  <c r="G28" i="27" l="1"/>
  <c r="O24" i="27" l="1"/>
  <c r="G20" i="27" s="1"/>
  <c r="AK193" i="27"/>
  <c r="AG189" i="27"/>
  <c r="AF189" i="27"/>
  <c r="AE189" i="27"/>
  <c r="AH188" i="27"/>
  <c r="AH187" i="27"/>
  <c r="AH186" i="27"/>
  <c r="AJ170" i="27"/>
  <c r="AI170" i="27"/>
  <c r="AH170" i="27"/>
  <c r="AG170" i="27"/>
  <c r="AF170" i="27"/>
  <c r="AE170" i="27"/>
  <c r="AK169" i="27"/>
  <c r="AK168" i="27"/>
  <c r="AK167" i="27"/>
  <c r="AK166" i="27"/>
  <c r="AJ149" i="27"/>
  <c r="AI149" i="27"/>
  <c r="AH149" i="27"/>
  <c r="AG149" i="27"/>
  <c r="AF149" i="27"/>
  <c r="AE149" i="27"/>
  <c r="AK148" i="27"/>
  <c r="AK147" i="27"/>
  <c r="AK146" i="27"/>
  <c r="AK145" i="27"/>
  <c r="Q199" i="27"/>
  <c r="P199" i="27"/>
  <c r="O199" i="27"/>
  <c r="N199" i="27"/>
  <c r="M199" i="27"/>
  <c r="L199" i="27"/>
  <c r="H199" i="27"/>
  <c r="G199" i="27"/>
  <c r="F199" i="27"/>
  <c r="E199" i="27"/>
  <c r="D199" i="27"/>
  <c r="C199" i="27"/>
  <c r="R198" i="27"/>
  <c r="I198" i="27"/>
  <c r="R197" i="27"/>
  <c r="I197" i="27"/>
  <c r="R196" i="27"/>
  <c r="I196" i="27"/>
  <c r="R195" i="27"/>
  <c r="I195" i="27"/>
  <c r="AA193" i="27"/>
  <c r="E189" i="27"/>
  <c r="D189" i="27"/>
  <c r="C189" i="27"/>
  <c r="F188" i="27"/>
  <c r="F187" i="27"/>
  <c r="F186" i="27"/>
  <c r="G179" i="27"/>
  <c r="D179" i="27"/>
  <c r="C179" i="27"/>
  <c r="I179" i="27" s="1"/>
  <c r="H179" i="27"/>
  <c r="H178" i="27"/>
  <c r="H177" i="27"/>
  <c r="H176" i="27"/>
  <c r="I176" i="27" s="1"/>
  <c r="H160" i="27"/>
  <c r="G160" i="27"/>
  <c r="F160" i="27"/>
  <c r="E160" i="27"/>
  <c r="D160" i="27"/>
  <c r="C160" i="27"/>
  <c r="H139" i="27"/>
  <c r="G139" i="27"/>
  <c r="F139" i="27"/>
  <c r="E139" i="27"/>
  <c r="D139" i="27"/>
  <c r="C139" i="27"/>
  <c r="W189" i="27"/>
  <c r="V189" i="27"/>
  <c r="U189" i="27"/>
  <c r="X188" i="27"/>
  <c r="X187" i="27"/>
  <c r="X186" i="27"/>
  <c r="X170" i="27"/>
  <c r="V170" i="27"/>
  <c r="Y170" i="27"/>
  <c r="W170" i="27"/>
  <c r="AA167" i="27"/>
  <c r="AA166" i="27"/>
  <c r="Y149" i="27"/>
  <c r="X149" i="27"/>
  <c r="V149" i="27"/>
  <c r="W149" i="27"/>
  <c r="AA146" i="27"/>
  <c r="AA145" i="27"/>
  <c r="Z149" i="27"/>
  <c r="O188" i="27"/>
  <c r="O187" i="27"/>
  <c r="O186" i="27"/>
  <c r="N189" i="27"/>
  <c r="M189" i="27"/>
  <c r="L189" i="27"/>
  <c r="P178" i="27"/>
  <c r="N179" i="27"/>
  <c r="N178" i="27"/>
  <c r="L179" i="27"/>
  <c r="L178" i="27"/>
  <c r="Q179" i="27"/>
  <c r="Q178" i="27"/>
  <c r="Q177" i="27"/>
  <c r="Q176" i="27"/>
  <c r="I178" i="27"/>
  <c r="I177" i="27"/>
  <c r="O170" i="27"/>
  <c r="M170" i="27"/>
  <c r="F170" i="27"/>
  <c r="E170" i="27"/>
  <c r="Q160" i="27"/>
  <c r="P160" i="27"/>
  <c r="O160" i="27"/>
  <c r="N160" i="27"/>
  <c r="M160" i="27"/>
  <c r="L160" i="27"/>
  <c r="R159" i="27"/>
  <c r="I159" i="27"/>
  <c r="R158" i="27"/>
  <c r="I158" i="27"/>
  <c r="R157" i="27"/>
  <c r="I157" i="27"/>
  <c r="R156" i="27"/>
  <c r="I156" i="27"/>
  <c r="F149" i="27"/>
  <c r="E149" i="27"/>
  <c r="I138" i="27"/>
  <c r="I137" i="27"/>
  <c r="I136" i="27"/>
  <c r="I135" i="27"/>
  <c r="R138" i="27"/>
  <c r="R137" i="27"/>
  <c r="R136" i="27"/>
  <c r="R135" i="27"/>
  <c r="O149" i="27"/>
  <c r="M149" i="27"/>
  <c r="Q139" i="27"/>
  <c r="P139" i="27"/>
  <c r="O139" i="27"/>
  <c r="N139" i="27"/>
  <c r="M139" i="27"/>
  <c r="L139" i="27"/>
  <c r="AK170" i="27" l="1"/>
  <c r="AH189" i="27"/>
  <c r="X189" i="27"/>
  <c r="I199" i="27"/>
  <c r="F189" i="27"/>
  <c r="G189" i="27" s="1"/>
  <c r="R199" i="27"/>
  <c r="AK149" i="27"/>
  <c r="AA168" i="27"/>
  <c r="AA169" i="27"/>
  <c r="AA147" i="27"/>
  <c r="U149" i="27"/>
  <c r="Z170" i="27"/>
  <c r="AA148" i="27"/>
  <c r="U170" i="27"/>
  <c r="O189" i="27"/>
  <c r="Q189" i="27" s="1"/>
  <c r="R139" i="27"/>
  <c r="N147" i="27" s="1"/>
  <c r="I139" i="27"/>
  <c r="I160" i="27"/>
  <c r="R160" i="27"/>
  <c r="N148" i="27" l="1"/>
  <c r="L148" i="27"/>
  <c r="Q146" i="27"/>
  <c r="R146" i="27" s="1"/>
  <c r="Q148" i="27"/>
  <c r="R148" i="27" s="1"/>
  <c r="Q147" i="27"/>
  <c r="AK189" i="27"/>
  <c r="AJ189" i="27"/>
  <c r="AA189" i="27"/>
  <c r="D169" i="27"/>
  <c r="D170" i="27" s="1"/>
  <c r="H168" i="27"/>
  <c r="I168" i="27" s="1"/>
  <c r="C169" i="27"/>
  <c r="H167" i="27"/>
  <c r="I167" i="27" s="1"/>
  <c r="H169" i="27"/>
  <c r="G169" i="27"/>
  <c r="G170" i="27" s="1"/>
  <c r="H166" i="27"/>
  <c r="Z189" i="27"/>
  <c r="AJ188" i="27"/>
  <c r="AJ187" i="27"/>
  <c r="AA186" i="27"/>
  <c r="Q188" i="27"/>
  <c r="R187" i="27"/>
  <c r="Y188" i="27"/>
  <c r="R188" i="27"/>
  <c r="AI188" i="27"/>
  <c r="AA188" i="27"/>
  <c r="AA187" i="27"/>
  <c r="P188" i="27"/>
  <c r="R186" i="27"/>
  <c r="AK187" i="27"/>
  <c r="AK186" i="27"/>
  <c r="Z188" i="27"/>
  <c r="Z187" i="27"/>
  <c r="Q187" i="27"/>
  <c r="AK188" i="27"/>
  <c r="H148" i="27"/>
  <c r="G148" i="27"/>
  <c r="G149" i="27" s="1"/>
  <c r="H147" i="27"/>
  <c r="I147" i="27" s="1"/>
  <c r="C148" i="27"/>
  <c r="D148" i="27"/>
  <c r="D149" i="27" s="1"/>
  <c r="H146" i="27"/>
  <c r="I146" i="27" s="1"/>
  <c r="H145" i="27"/>
  <c r="G188" i="27"/>
  <c r="H188" i="27"/>
  <c r="I187" i="27"/>
  <c r="I188" i="27"/>
  <c r="G187" i="27"/>
  <c r="H189" i="27"/>
  <c r="R189" i="27"/>
  <c r="Y189" i="27"/>
  <c r="AI189" i="27"/>
  <c r="P189" i="27"/>
  <c r="I189" i="27"/>
  <c r="AA170" i="27"/>
  <c r="AA149" i="27"/>
  <c r="L147" i="27"/>
  <c r="L149" i="27" s="1"/>
  <c r="Q145" i="27"/>
  <c r="R145" i="27" s="1"/>
  <c r="P147" i="27"/>
  <c r="P149" i="27" s="1"/>
  <c r="N168" i="27"/>
  <c r="Q168" i="27"/>
  <c r="N169" i="27"/>
  <c r="Q169" i="27"/>
  <c r="L169" i="27"/>
  <c r="Q167" i="27"/>
  <c r="P168" i="27"/>
  <c r="P170" i="27" s="1"/>
  <c r="L168" i="27"/>
  <c r="Q166" i="27"/>
  <c r="N149" i="27"/>
  <c r="Q149" i="27" l="1"/>
  <c r="R147" i="27"/>
  <c r="R149" i="27" s="1"/>
  <c r="C149" i="27"/>
  <c r="I148" i="27"/>
  <c r="I166" i="27"/>
  <c r="H170" i="27"/>
  <c r="C170" i="27"/>
  <c r="I169" i="27"/>
  <c r="I145" i="27"/>
  <c r="H149" i="27"/>
  <c r="N170" i="27"/>
  <c r="R167" i="27"/>
  <c r="L170" i="27"/>
  <c r="R168" i="27"/>
  <c r="R166" i="27"/>
  <c r="Q170" i="27"/>
  <c r="R169" i="27"/>
  <c r="I149" i="27" l="1"/>
  <c r="I170" i="27"/>
  <c r="R170" i="27"/>
  <c r="N80" i="27" l="1"/>
  <c r="M80" i="27"/>
  <c r="L80" i="27"/>
  <c r="K80" i="27"/>
  <c r="J80" i="27"/>
  <c r="I80" i="27"/>
  <c r="H107" i="27"/>
  <c r="I107" i="27" s="1"/>
  <c r="G107" i="27"/>
  <c r="F107" i="27"/>
  <c r="E107" i="27"/>
  <c r="D107" i="27"/>
  <c r="C107" i="27"/>
  <c r="H106" i="27"/>
  <c r="I106" i="27" s="1"/>
  <c r="G106" i="27"/>
  <c r="F106" i="27"/>
  <c r="E106" i="27"/>
  <c r="D106" i="27"/>
  <c r="H105" i="27"/>
  <c r="I105" i="27" s="1"/>
  <c r="F105" i="27"/>
  <c r="E105" i="27"/>
  <c r="C105" i="27"/>
  <c r="H104" i="27"/>
  <c r="I104" i="27" s="1"/>
  <c r="G104" i="27"/>
  <c r="F104" i="27"/>
  <c r="E104" i="27"/>
  <c r="H103" i="27"/>
  <c r="I103" i="27" s="1"/>
  <c r="G103" i="27"/>
  <c r="F103" i="27"/>
  <c r="E103" i="27"/>
  <c r="D103" i="27"/>
  <c r="C103" i="27"/>
  <c r="H90" i="27"/>
  <c r="H98" i="27" s="1"/>
  <c r="G90" i="27"/>
  <c r="G95" i="27" s="1"/>
  <c r="F90" i="27"/>
  <c r="F96" i="27" s="1"/>
  <c r="E90" i="27"/>
  <c r="E97" i="27" s="1"/>
  <c r="D90" i="27"/>
  <c r="D98" i="27" s="1"/>
  <c r="C90" i="27"/>
  <c r="C95" i="27" s="1"/>
  <c r="H72" i="27"/>
  <c r="H79" i="27" s="1"/>
  <c r="G72" i="27"/>
  <c r="G79" i="27" s="1"/>
  <c r="F72" i="27"/>
  <c r="F80" i="27" s="1"/>
  <c r="E72" i="27"/>
  <c r="E80" i="27" s="1"/>
  <c r="D72" i="27"/>
  <c r="D79" i="27" s="1"/>
  <c r="C72" i="27"/>
  <c r="C79" i="27" s="1"/>
  <c r="G78" i="27" l="1"/>
  <c r="C76" i="27"/>
  <c r="G96" i="27"/>
  <c r="J104" i="27"/>
  <c r="J107" i="27"/>
  <c r="J103" i="27"/>
  <c r="J105" i="27"/>
  <c r="J106" i="27"/>
  <c r="D108" i="27"/>
  <c r="H108" i="27"/>
  <c r="F76" i="27"/>
  <c r="C80" i="27"/>
  <c r="C96" i="27"/>
  <c r="F97" i="27"/>
  <c r="E108" i="27"/>
  <c r="G76" i="27"/>
  <c r="G80" i="27"/>
  <c r="D95" i="27"/>
  <c r="F108" i="27"/>
  <c r="C78" i="27"/>
  <c r="H95" i="27"/>
  <c r="C108" i="27"/>
  <c r="G108" i="27"/>
  <c r="E94" i="27"/>
  <c r="D76" i="27"/>
  <c r="H76" i="27"/>
  <c r="F77" i="27"/>
  <c r="D78" i="27"/>
  <c r="H78" i="27"/>
  <c r="F79" i="27"/>
  <c r="D80" i="27"/>
  <c r="H80" i="27"/>
  <c r="C97" i="27"/>
  <c r="F94" i="27"/>
  <c r="E95" i="27"/>
  <c r="D96" i="27"/>
  <c r="H96" i="27"/>
  <c r="G97" i="27"/>
  <c r="F98" i="27"/>
  <c r="E77" i="27"/>
  <c r="E79" i="27"/>
  <c r="E98" i="27"/>
  <c r="E76" i="27"/>
  <c r="C77" i="27"/>
  <c r="C81" i="27" s="1"/>
  <c r="G77" i="27"/>
  <c r="E78" i="27"/>
  <c r="C94" i="27"/>
  <c r="C98" i="27"/>
  <c r="G94" i="27"/>
  <c r="F95" i="27"/>
  <c r="E96" i="27"/>
  <c r="D97" i="27"/>
  <c r="H97" i="27"/>
  <c r="G98" i="27"/>
  <c r="D77" i="27"/>
  <c r="H77" i="27"/>
  <c r="F78" i="27"/>
  <c r="D94" i="27"/>
  <c r="H94" i="27"/>
  <c r="C99" i="27" l="1"/>
  <c r="G99" i="27"/>
  <c r="F81" i="27"/>
  <c r="K105" i="27"/>
  <c r="K107" i="27"/>
  <c r="D99" i="27"/>
  <c r="K106" i="27"/>
  <c r="K103" i="27"/>
  <c r="K104" i="27"/>
  <c r="F99" i="27"/>
  <c r="H99" i="27"/>
  <c r="G81" i="27"/>
  <c r="H81" i="27"/>
  <c r="E99" i="27"/>
  <c r="E81" i="27"/>
  <c r="D81" i="27"/>
  <c r="L107" i="27" l="1"/>
  <c r="L106" i="27"/>
  <c r="L105" i="27"/>
  <c r="L104" i="27"/>
  <c r="L103" i="27"/>
  <c r="I51" i="27"/>
  <c r="J51" i="27" s="1"/>
  <c r="K51" i="27" s="1"/>
  <c r="L51" i="27" s="1"/>
  <c r="M51" i="27" s="1"/>
  <c r="N51" i="27" s="1"/>
  <c r="I10" i="27"/>
  <c r="H10" i="27"/>
  <c r="G10" i="27"/>
  <c r="F10" i="27"/>
  <c r="E10" i="27"/>
  <c r="D10" i="27"/>
  <c r="C10" i="27"/>
  <c r="H53" i="27"/>
  <c r="G53" i="27"/>
  <c r="F53" i="27"/>
  <c r="E53" i="27"/>
  <c r="D53" i="27"/>
  <c r="C53" i="27"/>
  <c r="M106" i="27" l="1"/>
  <c r="M103" i="27"/>
  <c r="M105" i="27"/>
  <c r="M107" i="27"/>
  <c r="M104" i="27"/>
  <c r="J10" i="27"/>
  <c r="I72" i="27"/>
  <c r="N103" i="27" l="1"/>
  <c r="N104" i="27"/>
  <c r="N106" i="27"/>
  <c r="N107" i="27"/>
  <c r="N105" i="27"/>
  <c r="I69" i="27"/>
  <c r="I67" i="27"/>
  <c r="I70" i="27"/>
  <c r="I68" i="27"/>
  <c r="I71" i="27"/>
  <c r="K10" i="27"/>
  <c r="J72" i="27"/>
  <c r="AA133" i="27" l="1"/>
  <c r="Z135" i="27" s="1"/>
  <c r="Z136" i="27"/>
  <c r="AA136" i="27" s="1"/>
  <c r="I89" i="27"/>
  <c r="I116" i="27"/>
  <c r="I87" i="27"/>
  <c r="I114" i="27"/>
  <c r="I86" i="27"/>
  <c r="I113" i="27"/>
  <c r="I85" i="27"/>
  <c r="I112" i="27"/>
  <c r="I88" i="27"/>
  <c r="I115" i="27"/>
  <c r="J69" i="27"/>
  <c r="J67" i="27"/>
  <c r="J70" i="27"/>
  <c r="J68" i="27"/>
  <c r="J71" i="27"/>
  <c r="L10" i="27"/>
  <c r="K72" i="27"/>
  <c r="Z137" i="27" l="1"/>
  <c r="Y137" i="27"/>
  <c r="V137" i="27"/>
  <c r="U138" i="27"/>
  <c r="Y138" i="27"/>
  <c r="Y139" i="27" s="1"/>
  <c r="X137" i="27"/>
  <c r="X138" i="27"/>
  <c r="W138" i="27"/>
  <c r="V138" i="27"/>
  <c r="W137" i="27"/>
  <c r="W139" i="27" s="1"/>
  <c r="Z138" i="27"/>
  <c r="AA135" i="27"/>
  <c r="U139" i="27"/>
  <c r="AA137" i="27"/>
  <c r="J87" i="27"/>
  <c r="J114" i="27"/>
  <c r="J86" i="27"/>
  <c r="J113" i="27"/>
  <c r="I117" i="27"/>
  <c r="I61" i="27" s="1"/>
  <c r="J88" i="27"/>
  <c r="J115" i="27"/>
  <c r="J89" i="27"/>
  <c r="J116" i="27"/>
  <c r="I90" i="27"/>
  <c r="I96" i="27" s="1"/>
  <c r="J85" i="27"/>
  <c r="J112" i="27"/>
  <c r="K70" i="27"/>
  <c r="K68" i="27"/>
  <c r="K69" i="27"/>
  <c r="K67" i="27"/>
  <c r="K71" i="27"/>
  <c r="M10" i="27"/>
  <c r="L72" i="27"/>
  <c r="Z139" i="27" l="1"/>
  <c r="AA138" i="27"/>
  <c r="V139" i="27"/>
  <c r="X139" i="27"/>
  <c r="J117" i="27"/>
  <c r="J61" i="27" s="1"/>
  <c r="AA139" i="27"/>
  <c r="I94" i="27"/>
  <c r="I97" i="27"/>
  <c r="J90" i="27"/>
  <c r="J98" i="27" s="1"/>
  <c r="K87" i="27"/>
  <c r="K114" i="27"/>
  <c r="K86" i="27"/>
  <c r="K113" i="27"/>
  <c r="I98" i="27"/>
  <c r="I95" i="27"/>
  <c r="K89" i="27"/>
  <c r="K116" i="27"/>
  <c r="K88" i="27"/>
  <c r="K115" i="27"/>
  <c r="K85" i="27"/>
  <c r="K112" i="27"/>
  <c r="L70" i="27"/>
  <c r="L68" i="27"/>
  <c r="L69" i="27"/>
  <c r="L67" i="27"/>
  <c r="L71" i="27"/>
  <c r="N10" i="27"/>
  <c r="M72" i="27"/>
  <c r="N72" i="27" l="1"/>
  <c r="N69" i="27" s="1"/>
  <c r="AK133" i="27"/>
  <c r="J97" i="27"/>
  <c r="J94" i="27"/>
  <c r="K117" i="27"/>
  <c r="K61" i="27" s="1"/>
  <c r="K90" i="27"/>
  <c r="K97" i="27" s="1"/>
  <c r="J95" i="27"/>
  <c r="J96" i="27"/>
  <c r="I99" i="27"/>
  <c r="L87" i="27"/>
  <c r="L114" i="27"/>
  <c r="L86" i="27"/>
  <c r="L113" i="27"/>
  <c r="L89" i="27"/>
  <c r="L116" i="27"/>
  <c r="L88" i="27"/>
  <c r="L115" i="27"/>
  <c r="L85" i="27"/>
  <c r="L112" i="27"/>
  <c r="M69" i="27"/>
  <c r="M67" i="27"/>
  <c r="M70" i="27"/>
  <c r="M68" i="27"/>
  <c r="M71" i="27"/>
  <c r="N67" i="27"/>
  <c r="N68" i="27"/>
  <c r="K95" i="27" l="1"/>
  <c r="N70" i="27"/>
  <c r="N71" i="27"/>
  <c r="N89" i="27" s="1"/>
  <c r="AI136" i="27"/>
  <c r="AE138" i="27"/>
  <c r="AI138" i="27"/>
  <c r="AJ136" i="27"/>
  <c r="AF137" i="27"/>
  <c r="AH138" i="27"/>
  <c r="AH137" i="27"/>
  <c r="AI137" i="27"/>
  <c r="AJ135" i="27"/>
  <c r="AF138" i="27"/>
  <c r="AG138" i="27"/>
  <c r="AG137" i="27"/>
  <c r="AJ138" i="27"/>
  <c r="AE137" i="27"/>
  <c r="AJ137" i="27"/>
  <c r="K98" i="27"/>
  <c r="K96" i="27"/>
  <c r="K94" i="27"/>
  <c r="J99" i="27"/>
  <c r="L90" i="27"/>
  <c r="L94" i="27" s="1"/>
  <c r="N85" i="27"/>
  <c r="N112" i="27"/>
  <c r="N116" i="27"/>
  <c r="M88" i="27"/>
  <c r="M115" i="27"/>
  <c r="N86" i="27"/>
  <c r="N113" i="27"/>
  <c r="M85" i="27"/>
  <c r="M112" i="27"/>
  <c r="L117" i="27"/>
  <c r="L61" i="27" s="1"/>
  <c r="M86" i="27"/>
  <c r="M113" i="27"/>
  <c r="N87" i="27"/>
  <c r="N114" i="27"/>
  <c r="N88" i="27"/>
  <c r="N115" i="27"/>
  <c r="M89" i="27"/>
  <c r="M116" i="27"/>
  <c r="M87" i="27"/>
  <c r="M114" i="27"/>
  <c r="AH139" i="27" l="1"/>
  <c r="K99" i="27"/>
  <c r="AG139" i="27"/>
  <c r="AK136" i="27"/>
  <c r="AF139" i="27"/>
  <c r="AI139" i="27"/>
  <c r="AE139" i="27"/>
  <c r="AK137" i="27"/>
  <c r="AK138" i="27"/>
  <c r="AJ139" i="27"/>
  <c r="AK135" i="27"/>
  <c r="L97" i="27"/>
  <c r="N90" i="27"/>
  <c r="N94" i="27" s="1"/>
  <c r="M90" i="27"/>
  <c r="M94" i="27" s="1"/>
  <c r="L96" i="27"/>
  <c r="L95" i="27"/>
  <c r="L98" i="27"/>
  <c r="M117" i="27"/>
  <c r="M61" i="27" s="1"/>
  <c r="N117" i="27"/>
  <c r="N61" i="27" s="1"/>
  <c r="AK139" i="27" l="1"/>
  <c r="N98" i="27"/>
  <c r="N96" i="27"/>
  <c r="M95" i="27"/>
  <c r="N95" i="27"/>
  <c r="M96" i="27"/>
  <c r="N97" i="27"/>
  <c r="M98" i="27"/>
  <c r="M97" i="27"/>
  <c r="L99" i="27"/>
  <c r="L57" i="27"/>
  <c r="O61" i="27"/>
  <c r="N99" i="27" l="1"/>
  <c r="M99" i="27"/>
  <c r="G57" i="27"/>
  <c r="N6" i="27"/>
  <c r="N33" i="27" s="1"/>
  <c r="M6" i="27"/>
  <c r="M33" i="27" s="1"/>
  <c r="L6" i="27"/>
  <c r="K6" i="27"/>
  <c r="K33" i="27" s="1"/>
  <c r="J6" i="27"/>
  <c r="J33" i="27" s="1"/>
  <c r="I6" i="27"/>
  <c r="H6" i="27"/>
  <c r="G6" i="27"/>
  <c r="F6" i="27"/>
  <c r="E6" i="27"/>
  <c r="D6" i="27"/>
  <c r="C6" i="27"/>
  <c r="F25" i="27" l="1"/>
  <c r="F33" i="27"/>
  <c r="C25" i="27"/>
  <c r="C33" i="27"/>
  <c r="G25" i="27"/>
  <c r="G33" i="27"/>
  <c r="D25" i="27"/>
  <c r="D33" i="27"/>
  <c r="H25" i="27"/>
  <c r="H33" i="27"/>
  <c r="L25" i="27"/>
  <c r="L33" i="27"/>
  <c r="E25" i="27"/>
  <c r="E33" i="27"/>
  <c r="I25" i="27"/>
  <c r="I33" i="27"/>
  <c r="N62" i="27"/>
  <c r="N25" i="27"/>
  <c r="K62" i="27"/>
  <c r="K25" i="27"/>
  <c r="J62" i="27"/>
  <c r="J25" i="27"/>
  <c r="M62" i="27"/>
  <c r="M25" i="27"/>
  <c r="D125" i="27"/>
  <c r="C125" i="27"/>
  <c r="L62" i="27"/>
  <c r="I62" i="27"/>
  <c r="E8" i="27"/>
  <c r="E62" i="27"/>
  <c r="F8" i="27"/>
  <c r="F62" i="27"/>
  <c r="C8" i="27"/>
  <c r="C62" i="27"/>
  <c r="G8" i="27"/>
  <c r="G62" i="27"/>
  <c r="D62" i="27"/>
  <c r="D8" i="27"/>
  <c r="H62" i="27"/>
  <c r="H8" i="27"/>
  <c r="K7" i="27"/>
  <c r="L7" i="27"/>
  <c r="I7" i="27"/>
  <c r="M7" i="27"/>
  <c r="J7" i="27"/>
  <c r="N7" i="27"/>
  <c r="O6" i="27"/>
  <c r="O33" i="27" l="1"/>
  <c r="H28" i="27"/>
  <c r="AK154" i="27"/>
  <c r="AI159" i="27" s="1"/>
  <c r="O62" i="27"/>
  <c r="H20" i="27"/>
  <c r="O25" i="27"/>
  <c r="H57" i="27"/>
  <c r="I52" i="27"/>
  <c r="I54" i="27" s="1"/>
  <c r="AA154" i="27"/>
  <c r="AF159" i="27"/>
  <c r="AJ158" i="27"/>
  <c r="AH158" i="27"/>
  <c r="AE159" i="27"/>
  <c r="AI158" i="27"/>
  <c r="AJ159" i="27"/>
  <c r="N52" i="27"/>
  <c r="N54" i="27" s="1"/>
  <c r="M52" i="27"/>
  <c r="M54" i="27" s="1"/>
  <c r="L52" i="27"/>
  <c r="L54" i="27" s="1"/>
  <c r="K52" i="27"/>
  <c r="K54" i="27" s="1"/>
  <c r="O7" i="27"/>
  <c r="P7" i="27" s="1"/>
  <c r="J52" i="27"/>
  <c r="J54" i="27" s="1"/>
  <c r="AD760" i="8"/>
  <c r="AC749" i="8"/>
  <c r="AG158" i="27" l="1"/>
  <c r="AG178" i="27" s="1"/>
  <c r="AH159" i="27"/>
  <c r="AJ157" i="27"/>
  <c r="AF158" i="27"/>
  <c r="AG159" i="27"/>
  <c r="AG198" i="27" s="1"/>
  <c r="AE158" i="27"/>
  <c r="AJ156" i="27"/>
  <c r="AJ176" i="27" s="1"/>
  <c r="AI157" i="27"/>
  <c r="AH198" i="27"/>
  <c r="AH179" i="27"/>
  <c r="AF160" i="27"/>
  <c r="AF197" i="27"/>
  <c r="AF178" i="27"/>
  <c r="AI197" i="27"/>
  <c r="AI178" i="27"/>
  <c r="AH197" i="27"/>
  <c r="AH160" i="27"/>
  <c r="AH178" i="27"/>
  <c r="AF198" i="27"/>
  <c r="AF179" i="27"/>
  <c r="AE160" i="27"/>
  <c r="AE197" i="27"/>
  <c r="AE178" i="27"/>
  <c r="AI160" i="27"/>
  <c r="AI196" i="27"/>
  <c r="AI177" i="27"/>
  <c r="AK157" i="27"/>
  <c r="U159" i="27"/>
  <c r="V159" i="27"/>
  <c r="V158" i="27"/>
  <c r="Z156" i="27"/>
  <c r="Y159" i="27"/>
  <c r="Y158" i="27"/>
  <c r="Z159" i="27"/>
  <c r="Z157" i="27"/>
  <c r="X159" i="27"/>
  <c r="X158" i="27"/>
  <c r="Z158" i="27"/>
  <c r="W159" i="27"/>
  <c r="W158" i="27"/>
  <c r="AJ196" i="27"/>
  <c r="AJ177" i="27"/>
  <c r="AJ198" i="27"/>
  <c r="AJ179" i="27"/>
  <c r="AE198" i="27"/>
  <c r="AE179" i="27"/>
  <c r="AK159" i="27"/>
  <c r="AJ197" i="27"/>
  <c r="AJ178" i="27"/>
  <c r="AI198" i="27"/>
  <c r="AI179" i="27"/>
  <c r="L47" i="27"/>
  <c r="O54" i="27"/>
  <c r="G47" i="27" s="1"/>
  <c r="H47" i="27" s="1"/>
  <c r="AF738" i="8"/>
  <c r="AG738" i="8" s="1"/>
  <c r="AH738" i="8" s="1"/>
  <c r="AI738" i="8" s="1"/>
  <c r="AJ738" i="8" s="1"/>
  <c r="AK738" i="8" s="1"/>
  <c r="AL738" i="8" s="1"/>
  <c r="AM738" i="8" s="1"/>
  <c r="AE738" i="8"/>
  <c r="AD738" i="8"/>
  <c r="AC738" i="8"/>
  <c r="AB738" i="8"/>
  <c r="AB734" i="8"/>
  <c r="AC734" i="8"/>
  <c r="AD734" i="8"/>
  <c r="AK156" i="27" l="1"/>
  <c r="AH199" i="27"/>
  <c r="AJ195" i="27"/>
  <c r="AJ199" i="27" s="1"/>
  <c r="AG179" i="27"/>
  <c r="AG197" i="27"/>
  <c r="AK197" i="27" s="1"/>
  <c r="AJ160" i="27"/>
  <c r="AK158" i="27"/>
  <c r="AK160" i="27" s="1"/>
  <c r="AG160" i="27"/>
  <c r="AF199" i="27"/>
  <c r="V178" i="27"/>
  <c r="V197" i="27"/>
  <c r="AA158" i="27"/>
  <c r="V160" i="27"/>
  <c r="AK198" i="27"/>
  <c r="X197" i="27"/>
  <c r="X178" i="27"/>
  <c r="X160" i="27"/>
  <c r="Y178" i="27"/>
  <c r="Y197" i="27"/>
  <c r="Y160" i="27"/>
  <c r="V198" i="27"/>
  <c r="V179" i="27"/>
  <c r="AI199" i="27"/>
  <c r="AK196" i="27"/>
  <c r="AK195" i="27"/>
  <c r="AE199" i="27"/>
  <c r="AG199" i="27"/>
  <c r="Z197" i="27"/>
  <c r="Z178" i="27"/>
  <c r="W160" i="27"/>
  <c r="W197" i="27"/>
  <c r="W178" i="27"/>
  <c r="X179" i="27"/>
  <c r="X198" i="27"/>
  <c r="Y179" i="27"/>
  <c r="Y198" i="27"/>
  <c r="U179" i="27"/>
  <c r="U198" i="27"/>
  <c r="U160" i="27"/>
  <c r="AA159" i="27"/>
  <c r="Z179" i="27"/>
  <c r="Z198" i="27"/>
  <c r="W179" i="27"/>
  <c r="W198" i="27"/>
  <c r="Z196" i="27"/>
  <c r="AA196" i="27" s="1"/>
  <c r="Z177" i="27"/>
  <c r="AA157" i="27"/>
  <c r="Z176" i="27"/>
  <c r="Z160" i="27"/>
  <c r="AA156" i="27"/>
  <c r="Z195" i="27"/>
  <c r="AA195" i="27" s="1"/>
  <c r="AM724" i="8"/>
  <c r="AL724" i="8"/>
  <c r="AK724" i="8"/>
  <c r="AJ724" i="8"/>
  <c r="AH724" i="8"/>
  <c r="AG724" i="8"/>
  <c r="AC609" i="8"/>
  <c r="AB609" i="8"/>
  <c r="AA609" i="8"/>
  <c r="Z609" i="8"/>
  <c r="Y609" i="8"/>
  <c r="X609" i="8"/>
  <c r="Y590" i="8"/>
  <c r="Y589" i="8"/>
  <c r="X304" i="8"/>
  <c r="W304" i="8"/>
  <c r="V304" i="8"/>
  <c r="U304" i="8"/>
  <c r="T304" i="8"/>
  <c r="S304" i="8"/>
  <c r="W199" i="27" l="1"/>
  <c r="X199" i="27"/>
  <c r="AA160" i="27"/>
  <c r="U199" i="27"/>
  <c r="AA198" i="27"/>
  <c r="Y199" i="27"/>
  <c r="V199" i="27"/>
  <c r="AA197" i="27"/>
  <c r="Z199" i="27"/>
  <c r="AK199" i="27"/>
  <c r="AL199" i="27" s="1"/>
  <c r="F124" i="27" s="1"/>
  <c r="F125" i="27" s="1"/>
  <c r="S303" i="8"/>
  <c r="AA199" i="27" l="1"/>
  <c r="AB199" i="27" s="1"/>
  <c r="E124" i="27" s="1"/>
  <c r="L120" i="27" s="1"/>
  <c r="AE276" i="8"/>
  <c r="AE277" i="8"/>
  <c r="AE278" i="8"/>
  <c r="AE279" i="8"/>
  <c r="AA279" i="8"/>
  <c r="G4" i="13"/>
  <c r="F4" i="13"/>
  <c r="E4" i="13"/>
  <c r="D4" i="13"/>
  <c r="C4" i="13"/>
  <c r="B4" i="13"/>
  <c r="E125" i="27" l="1"/>
  <c r="G124" i="27"/>
  <c r="G125" i="27" s="1"/>
  <c r="AA240" i="8"/>
  <c r="Z240" i="8"/>
  <c r="AE184" i="8"/>
  <c r="AF184" i="8" s="1"/>
  <c r="AF183" i="8"/>
  <c r="AE183" i="8"/>
  <c r="AE182" i="8"/>
  <c r="AF182" i="8" s="1"/>
  <c r="AD184" i="8"/>
  <c r="AD183" i="8"/>
  <c r="AD182" i="8"/>
  <c r="AG186" i="8"/>
  <c r="G120" i="27" l="1"/>
  <c r="H120" i="27" s="1"/>
  <c r="AE173" i="8"/>
  <c r="AE174" i="8"/>
  <c r="AE175" i="8"/>
  <c r="X184" i="8"/>
  <c r="X183" i="8"/>
  <c r="X182" i="8"/>
  <c r="Q153" i="8" l="1"/>
  <c r="P153" i="8"/>
  <c r="O153" i="8"/>
  <c r="P160" i="8"/>
  <c r="O160" i="8"/>
  <c r="O133" i="8" l="1"/>
  <c r="P134" i="8" s="1"/>
  <c r="R159" i="8"/>
  <c r="AC135" i="8"/>
  <c r="AC136" i="8" s="1"/>
  <c r="Q136" i="8"/>
  <c r="P138" i="8"/>
  <c r="O138" i="8"/>
  <c r="AC137" i="8" l="1"/>
  <c r="AB143" i="8" s="1"/>
  <c r="AC150" i="8"/>
  <c r="AB151" i="8"/>
  <c r="AB150" i="8"/>
  <c r="AB149" i="8"/>
  <c r="AC151" i="8"/>
  <c r="AC149" i="8"/>
  <c r="AC143" i="8"/>
  <c r="AB142" i="8"/>
  <c r="AB144" i="8"/>
  <c r="AC142" i="8"/>
  <c r="AC144" i="8"/>
  <c r="AB135" i="8" l="1"/>
  <c r="AB137" i="8" l="1"/>
  <c r="AB136" i="8"/>
  <c r="AC157" i="8"/>
  <c r="AB156" i="8"/>
  <c r="AC158" i="8"/>
  <c r="AB157" i="8"/>
  <c r="AC156" i="8"/>
  <c r="AB158" i="8"/>
  <c r="AB133" i="8" l="1"/>
  <c r="AA159" i="8" l="1"/>
  <c r="AD158" i="8"/>
  <c r="AD157" i="8"/>
  <c r="AC159" i="8"/>
  <c r="AC160" i="8" s="1"/>
  <c r="AI152" i="8"/>
  <c r="AH152" i="8"/>
  <c r="AG152" i="8"/>
  <c r="AC152" i="8"/>
  <c r="AC153" i="8" s="1"/>
  <c r="AB152" i="8"/>
  <c r="AJ151" i="8"/>
  <c r="AD151" i="8"/>
  <c r="AJ150" i="8"/>
  <c r="AD150" i="8"/>
  <c r="AJ149" i="8"/>
  <c r="AD149" i="8"/>
  <c r="AI145" i="8"/>
  <c r="AH145" i="8"/>
  <c r="AC145" i="8"/>
  <c r="AB145" i="8"/>
  <c r="AJ144" i="8"/>
  <c r="AD144" i="8"/>
  <c r="AJ143" i="8"/>
  <c r="AD143" i="8"/>
  <c r="AJ142" i="8"/>
  <c r="AD142" i="8"/>
  <c r="P158" i="8"/>
  <c r="O158" i="8"/>
  <c r="Q158" i="8" s="1"/>
  <c r="P157" i="8"/>
  <c r="O157" i="8"/>
  <c r="Q157" i="8" s="1"/>
  <c r="P156" i="8"/>
  <c r="P159" i="8" s="1"/>
  <c r="O156" i="8"/>
  <c r="N159" i="8"/>
  <c r="V152" i="8"/>
  <c r="U152" i="8"/>
  <c r="T152" i="8"/>
  <c r="P152" i="8"/>
  <c r="O152" i="8"/>
  <c r="N152" i="8"/>
  <c r="W151" i="8"/>
  <c r="Q151" i="8"/>
  <c r="W150" i="8"/>
  <c r="Q150" i="8"/>
  <c r="W149" i="8"/>
  <c r="W152" i="8" s="1"/>
  <c r="Q149" i="8"/>
  <c r="Q152" i="8" s="1"/>
  <c r="V145" i="8"/>
  <c r="U145" i="8"/>
  <c r="T145" i="8"/>
  <c r="W144" i="8"/>
  <c r="W143" i="8"/>
  <c r="W142" i="8"/>
  <c r="Q144" i="8"/>
  <c r="Q143" i="8"/>
  <c r="Q142" i="8"/>
  <c r="Q145" i="8" s="1"/>
  <c r="P145" i="8"/>
  <c r="O145" i="8"/>
  <c r="N145" i="8"/>
  <c r="AB153" i="8" l="1"/>
  <c r="AD152" i="8"/>
  <c r="AD145" i="8"/>
  <c r="O159" i="8"/>
  <c r="AJ152" i="8"/>
  <c r="AJ145" i="8"/>
  <c r="AD156" i="8"/>
  <c r="AD159" i="8" s="1"/>
  <c r="AB159" i="8"/>
  <c r="AB160" i="8" s="1"/>
  <c r="Q156" i="8"/>
  <c r="Q159" i="8" s="1"/>
  <c r="W145" i="8"/>
  <c r="AD153" i="8" l="1"/>
  <c r="AE159" i="8"/>
  <c r="Q130" i="8"/>
  <c r="O134" i="8"/>
  <c r="AM123" i="8" l="1"/>
  <c r="AM122" i="8"/>
  <c r="AP116" i="8" l="1"/>
  <c r="AP118" i="8" s="1"/>
  <c r="AP120" i="8" s="1"/>
  <c r="AL123" i="8"/>
  <c r="AL122" i="8"/>
  <c r="AQ123" i="8" l="1"/>
  <c r="AR123" i="8" s="1"/>
  <c r="AS123" i="8" s="1"/>
  <c r="AT123" i="8" s="1"/>
  <c r="AQ122" i="8"/>
  <c r="AR122" i="8" s="1"/>
  <c r="AS122" i="8" s="1"/>
  <c r="AT122" i="8" s="1"/>
  <c r="AT124" i="8" s="1"/>
  <c r="Q113" i="8" s="1"/>
  <c r="AH116" i="8" l="1"/>
  <c r="AL124" i="8" l="1"/>
  <c r="AI78" i="8" l="1"/>
  <c r="AI77" i="8"/>
  <c r="AI76" i="8"/>
  <c r="AI75" i="8"/>
  <c r="AI74" i="8"/>
  <c r="AI73" i="8"/>
  <c r="AF78" i="8"/>
  <c r="AF77" i="8"/>
  <c r="AF76" i="8"/>
  <c r="AF75" i="8"/>
  <c r="AF74" i="8"/>
  <c r="AF73" i="8"/>
  <c r="AA68" i="8"/>
  <c r="Z68" i="8"/>
  <c r="H3" i="13"/>
  <c r="I3" i="13" s="1"/>
  <c r="J3" i="13" l="1"/>
  <c r="K3" i="13" l="1"/>
  <c r="L3" i="13" l="1"/>
  <c r="M3" i="13" l="1"/>
  <c r="M7" i="13" l="1"/>
  <c r="L7" i="13"/>
  <c r="K7" i="13"/>
  <c r="J7" i="13"/>
  <c r="I7" i="13"/>
  <c r="H7" i="13"/>
  <c r="AM720" i="8" l="1"/>
  <c r="AL720" i="8"/>
  <c r="AK720" i="8"/>
  <c r="AJ720" i="8"/>
  <c r="AI720" i="8"/>
  <c r="AH720" i="8"/>
  <c r="AG720" i="8"/>
  <c r="AF720" i="8"/>
  <c r="AE720" i="8"/>
  <c r="AD720" i="8"/>
  <c r="AC720" i="8"/>
  <c r="AB720" i="8"/>
  <c r="W673" i="8" l="1"/>
  <c r="V673" i="8"/>
  <c r="U673" i="8"/>
  <c r="T673" i="8"/>
  <c r="S673" i="8"/>
  <c r="W672" i="8"/>
  <c r="V672" i="8"/>
  <c r="U672" i="8"/>
  <c r="T672" i="8"/>
  <c r="S672" i="8"/>
  <c r="W671" i="8"/>
  <c r="V671" i="8"/>
  <c r="U671" i="8"/>
  <c r="T671" i="8"/>
  <c r="S671" i="8"/>
  <c r="W670" i="8"/>
  <c r="V670" i="8"/>
  <c r="U670" i="8"/>
  <c r="T670" i="8"/>
  <c r="S670" i="8"/>
  <c r="R673" i="8"/>
  <c r="R672" i="8"/>
  <c r="R671" i="8"/>
  <c r="R670" i="8"/>
  <c r="T667" i="8"/>
  <c r="U667" i="8" s="1"/>
  <c r="V667" i="8" s="1"/>
  <c r="W667" i="8" s="1"/>
  <c r="S667" i="8"/>
  <c r="R667" i="8"/>
  <c r="W628" i="8"/>
  <c r="V628" i="8"/>
  <c r="U628" i="8"/>
  <c r="T628" i="8"/>
  <c r="S628" i="8"/>
  <c r="W627" i="8"/>
  <c r="V627" i="8"/>
  <c r="U627" i="8"/>
  <c r="T627" i="8"/>
  <c r="S627" i="8"/>
  <c r="W626" i="8"/>
  <c r="V626" i="8"/>
  <c r="U626" i="8"/>
  <c r="T626" i="8"/>
  <c r="S626" i="8"/>
  <c r="W625" i="8"/>
  <c r="V625" i="8"/>
  <c r="U625" i="8"/>
  <c r="T625" i="8"/>
  <c r="S625" i="8"/>
  <c r="R628" i="8"/>
  <c r="R627" i="8"/>
  <c r="R626" i="8"/>
  <c r="R625" i="8"/>
  <c r="T610" i="8"/>
  <c r="U610" i="8" s="1"/>
  <c r="V610" i="8" s="1"/>
  <c r="W610" i="8" s="1"/>
  <c r="S610" i="8"/>
  <c r="R610" i="8"/>
  <c r="X591" i="8" l="1"/>
  <c r="Z530" i="8" l="1"/>
  <c r="Z529" i="8"/>
  <c r="Z528" i="8"/>
  <c r="W303" i="8" l="1"/>
  <c r="V303" i="8"/>
  <c r="U303" i="8"/>
  <c r="T303" i="8" l="1"/>
  <c r="X303" i="8"/>
  <c r="M300" i="8"/>
  <c r="N300" i="8" s="1"/>
  <c r="O300" i="8" s="1"/>
  <c r="P300" i="8" s="1"/>
  <c r="Q300" i="8" s="1"/>
  <c r="R300" i="8" s="1"/>
  <c r="S300" i="8" s="1"/>
  <c r="T300" i="8" s="1"/>
  <c r="U300" i="8" s="1"/>
  <c r="V300" i="8" s="1"/>
  <c r="W300" i="8" s="1"/>
  <c r="X300" i="8" s="1"/>
  <c r="AC279" i="8" l="1"/>
  <c r="AD279" i="8" s="1"/>
  <c r="AC278" i="8"/>
  <c r="AD278" i="8" s="1"/>
  <c r="AC277" i="8"/>
  <c r="AD277" i="8" s="1"/>
  <c r="AC276" i="8"/>
  <c r="AD276" i="8" s="1"/>
  <c r="AB279" i="8"/>
  <c r="AB278" i="8"/>
  <c r="AB277" i="8"/>
  <c r="AB276" i="8"/>
  <c r="AG281" i="8"/>
  <c r="AF281" i="8"/>
  <c r="AG251" i="8" l="1"/>
  <c r="AF251" i="8"/>
  <c r="Y240" i="8" l="1"/>
  <c r="X240" i="8"/>
  <c r="AC247" i="8" l="1"/>
  <c r="AC246" i="8"/>
  <c r="AC249" i="8"/>
  <c r="AC248" i="8"/>
  <c r="AB246" i="8"/>
  <c r="AB247" i="8"/>
  <c r="AB248" i="8"/>
  <c r="AB249" i="8"/>
  <c r="AK68" i="8"/>
  <c r="AK67" i="8"/>
  <c r="AK66" i="8"/>
  <c r="AK65" i="8"/>
  <c r="AK64" i="8"/>
  <c r="AK63" i="8"/>
  <c r="AJ68" i="8"/>
  <c r="AJ67" i="8"/>
  <c r="AJ66" i="8"/>
  <c r="AJ65" i="8"/>
  <c r="AJ64" i="8"/>
  <c r="AJ63" i="8"/>
  <c r="AD175" i="8" l="1"/>
  <c r="AD174" i="8"/>
  <c r="AD173" i="8"/>
  <c r="AH173" i="8" l="1"/>
  <c r="AH174" i="8"/>
  <c r="AH175" i="8"/>
  <c r="AC78" i="8" l="1"/>
  <c r="AB78" i="8"/>
  <c r="AA78" i="8"/>
  <c r="AC77" i="8"/>
  <c r="AB77" i="8"/>
  <c r="AA77" i="8"/>
  <c r="AC76" i="8"/>
  <c r="AB76" i="8"/>
  <c r="AA76" i="8"/>
  <c r="AC75" i="8"/>
  <c r="AB75" i="8"/>
  <c r="AA75" i="8"/>
  <c r="AC74" i="8"/>
  <c r="AB74" i="8"/>
  <c r="AA74" i="8"/>
  <c r="AC73" i="8"/>
  <c r="AB73" i="8"/>
  <c r="AA73" i="8"/>
  <c r="Z78" i="8"/>
  <c r="Y78" i="8"/>
  <c r="X78" i="8"/>
  <c r="Z77" i="8"/>
  <c r="Y77" i="8"/>
  <c r="X77" i="8"/>
  <c r="Z76" i="8"/>
  <c r="Y76" i="8"/>
  <c r="X76" i="8"/>
  <c r="Z75" i="8"/>
  <c r="Y75" i="8"/>
  <c r="X75" i="8"/>
  <c r="Z74" i="8"/>
  <c r="Y74" i="8"/>
  <c r="X74" i="8"/>
  <c r="Z73" i="8"/>
  <c r="Y73" i="8"/>
  <c r="X73" i="8"/>
  <c r="Y68" i="8"/>
  <c r="Y67" i="8"/>
  <c r="Y66" i="8"/>
  <c r="Y65" i="8"/>
  <c r="Y64" i="8"/>
  <c r="Y63" i="8"/>
  <c r="X68" i="8"/>
  <c r="X67" i="8"/>
  <c r="X66" i="8"/>
  <c r="X65" i="8"/>
  <c r="X64" i="8"/>
  <c r="X63" i="8"/>
  <c r="ED144" i="19" l="1"/>
  <c r="EC144" i="19"/>
  <c r="EB144" i="19"/>
  <c r="EA144" i="19"/>
  <c r="ED143" i="19"/>
  <c r="EC143" i="19"/>
  <c r="EB143" i="19"/>
  <c r="EA143" i="19"/>
  <c r="DZ144" i="19"/>
  <c r="DZ143" i="19"/>
  <c r="ED98" i="19"/>
  <c r="EC98" i="19"/>
  <c r="EB98" i="19"/>
  <c r="EA98" i="19"/>
  <c r="ED97" i="19"/>
  <c r="EC97" i="19"/>
  <c r="EB97" i="19"/>
  <c r="EA97" i="19"/>
  <c r="DZ98" i="19"/>
  <c r="DZ97" i="19"/>
  <c r="ED51" i="19"/>
  <c r="EC51" i="19"/>
  <c r="EB51" i="19"/>
  <c r="EA51" i="19"/>
  <c r="ED50" i="19"/>
  <c r="EC50" i="19"/>
  <c r="EB50" i="19"/>
  <c r="EA50" i="19"/>
  <c r="DZ51" i="19"/>
  <c r="DZ50" i="19"/>
  <c r="EK8" i="19" l="1"/>
  <c r="EJ8" i="19"/>
  <c r="EI8" i="19"/>
  <c r="EH8" i="19"/>
  <c r="EG8" i="19"/>
  <c r="EF8" i="19"/>
  <c r="G14" i="13" l="1"/>
  <c r="F14" i="13"/>
  <c r="E14" i="13"/>
  <c r="D14" i="13"/>
  <c r="C14" i="13"/>
  <c r="B14" i="13"/>
  <c r="G13" i="13"/>
  <c r="F13" i="13"/>
  <c r="E13" i="13"/>
  <c r="D13" i="13"/>
  <c r="C13" i="13"/>
  <c r="B13" i="13"/>
  <c r="K50" i="18" l="1"/>
  <c r="J50" i="18"/>
  <c r="I50" i="18"/>
  <c r="H50" i="18"/>
  <c r="G50" i="18"/>
  <c r="M18" i="18" l="1"/>
  <c r="G71" i="18"/>
  <c r="H71" i="18"/>
  <c r="I71" i="18"/>
  <c r="J71" i="18"/>
  <c r="K71" i="18"/>
  <c r="Q70" i="18"/>
  <c r="Q72" i="18" s="1"/>
  <c r="G72" i="18" s="1"/>
  <c r="R70" i="18"/>
  <c r="R72" i="18" s="1"/>
  <c r="H72" i="18" s="1"/>
  <c r="S70" i="18"/>
  <c r="S72" i="18" s="1"/>
  <c r="I72" i="18" s="1"/>
  <c r="T70" i="18"/>
  <c r="T72" i="18" s="1"/>
  <c r="J72" i="18" s="1"/>
  <c r="U70" i="18"/>
  <c r="U72" i="18" s="1"/>
  <c r="K72" i="18" s="1"/>
  <c r="K176" i="26" l="1"/>
  <c r="L176" i="26"/>
  <c r="M176" i="26"/>
  <c r="N176" i="26"/>
  <c r="K140" i="26"/>
  <c r="L140" i="26"/>
  <c r="M140" i="26"/>
  <c r="N140" i="26"/>
  <c r="H18" i="18"/>
  <c r="I18" i="18"/>
  <c r="J18" i="18"/>
  <c r="K18" i="18"/>
  <c r="G18" i="18"/>
  <c r="M95" i="26"/>
  <c r="N95" i="26" s="1"/>
  <c r="O95" i="26" s="1"/>
  <c r="M96" i="26"/>
  <c r="N96" i="26" s="1"/>
  <c r="O96" i="26" s="1"/>
  <c r="M97" i="26"/>
  <c r="N97" i="26"/>
  <c r="O97" i="26" s="1"/>
  <c r="L96" i="26"/>
  <c r="L97" i="26"/>
  <c r="L95" i="26"/>
  <c r="M254" i="26"/>
  <c r="N254" i="26" s="1"/>
  <c r="O254" i="26" s="1"/>
  <c r="M255" i="26"/>
  <c r="N255" i="26" s="1"/>
  <c r="O255" i="26" s="1"/>
  <c r="M256" i="26"/>
  <c r="N256" i="26"/>
  <c r="O256" i="26" s="1"/>
  <c r="L255" i="26"/>
  <c r="L256" i="26"/>
  <c r="L254" i="26"/>
  <c r="H29" i="18"/>
  <c r="I29" i="18"/>
  <c r="J29" i="18"/>
  <c r="K29" i="18"/>
  <c r="H30" i="18"/>
  <c r="I30" i="18"/>
  <c r="J30" i="18"/>
  <c r="K30" i="18"/>
  <c r="G30" i="18"/>
  <c r="G29" i="18"/>
  <c r="H36" i="18"/>
  <c r="I36" i="18"/>
  <c r="J36" i="18"/>
  <c r="K36" i="18"/>
  <c r="G36" i="18"/>
  <c r="AF337" i="8" l="1"/>
  <c r="D346" i="8"/>
  <c r="M90" i="26"/>
  <c r="N90" i="26" s="1"/>
  <c r="O90" i="26" s="1"/>
  <c r="L90" i="26"/>
  <c r="L91" i="26"/>
  <c r="M91" i="26" s="1"/>
  <c r="N91" i="26" s="1"/>
  <c r="O91" i="26" s="1"/>
  <c r="L89" i="26"/>
  <c r="M89" i="26" s="1"/>
  <c r="N89" i="26" s="1"/>
  <c r="O89" i="26" s="1"/>
  <c r="L45" i="26"/>
  <c r="M45" i="26" s="1"/>
  <c r="N45" i="26" s="1"/>
  <c r="O45" i="26" s="1"/>
  <c r="L46" i="26"/>
  <c r="M46" i="26" s="1"/>
  <c r="N46" i="26" s="1"/>
  <c r="O46" i="26" s="1"/>
  <c r="L47" i="26"/>
  <c r="M47" i="26" s="1"/>
  <c r="N47" i="26" s="1"/>
  <c r="O47" i="26" s="1"/>
  <c r="L48" i="26"/>
  <c r="M48" i="26" s="1"/>
  <c r="N48" i="26" s="1"/>
  <c r="O48" i="26" s="1"/>
  <c r="L49" i="26"/>
  <c r="M49" i="26" s="1"/>
  <c r="N49" i="26" s="1"/>
  <c r="O49" i="26" s="1"/>
  <c r="L44" i="26"/>
  <c r="M44" i="26" s="1"/>
  <c r="N44" i="26" s="1"/>
  <c r="O44" i="26" s="1"/>
  <c r="K184" i="26"/>
  <c r="L184" i="26" s="1"/>
  <c r="M184" i="26" s="1"/>
  <c r="N184" i="26" s="1"/>
  <c r="K185" i="26"/>
  <c r="L185" i="26" s="1"/>
  <c r="M185" i="26" s="1"/>
  <c r="N185" i="26" s="1"/>
  <c r="K186" i="26"/>
  <c r="L186" i="26" s="1"/>
  <c r="M186" i="26" s="1"/>
  <c r="N186" i="26" s="1"/>
  <c r="K183" i="26"/>
  <c r="L183" i="26" s="1"/>
  <c r="M183" i="26" s="1"/>
  <c r="N183" i="26" s="1"/>
  <c r="J176" i="26"/>
  <c r="K148" i="26"/>
  <c r="L148" i="26" s="1"/>
  <c r="M148" i="26" s="1"/>
  <c r="N148" i="26" s="1"/>
  <c r="K149" i="26"/>
  <c r="L149" i="26" s="1"/>
  <c r="M149" i="26" s="1"/>
  <c r="N149" i="26" s="1"/>
  <c r="K150" i="26"/>
  <c r="L150" i="26" s="1"/>
  <c r="M150" i="26" s="1"/>
  <c r="N150" i="26" s="1"/>
  <c r="L147" i="26"/>
  <c r="M147" i="26" s="1"/>
  <c r="N147" i="26" s="1"/>
  <c r="K147" i="26"/>
  <c r="N32" i="26" l="1"/>
  <c r="K50" i="26"/>
  <c r="L40" i="26"/>
  <c r="M40" i="26"/>
  <c r="N40" i="26"/>
  <c r="O40" i="26"/>
  <c r="K40" i="26"/>
  <c r="L54" i="26"/>
  <c r="M54" i="26" s="1"/>
  <c r="N54" i="26" s="1"/>
  <c r="O54" i="26" s="1"/>
  <c r="L55" i="26"/>
  <c r="M55" i="26" s="1"/>
  <c r="N55" i="26" s="1"/>
  <c r="O55" i="26" s="1"/>
  <c r="L56" i="26"/>
  <c r="M56" i="26" s="1"/>
  <c r="N56" i="26" s="1"/>
  <c r="O56" i="26" s="1"/>
  <c r="L57" i="26"/>
  <c r="M57" i="26" s="1"/>
  <c r="N57" i="26" s="1"/>
  <c r="O57" i="26" s="1"/>
  <c r="L58" i="26"/>
  <c r="M58" i="26" s="1"/>
  <c r="N58" i="26" s="1"/>
  <c r="O58" i="26" s="1"/>
  <c r="L53" i="26"/>
  <c r="O68" i="18"/>
  <c r="N68" i="18"/>
  <c r="M68" i="18"/>
  <c r="L231" i="26"/>
  <c r="M231" i="26" s="1"/>
  <c r="N231" i="26" s="1"/>
  <c r="O231" i="26" s="1"/>
  <c r="M211" i="26"/>
  <c r="M217" i="26" s="1"/>
  <c r="L211" i="26"/>
  <c r="L217" i="26" s="1"/>
  <c r="K211" i="26"/>
  <c r="K218" i="26" s="1"/>
  <c r="M210" i="26"/>
  <c r="M213" i="26" s="1"/>
  <c r="L210" i="26"/>
  <c r="L212" i="26" s="1"/>
  <c r="K210" i="26"/>
  <c r="K212" i="26" s="1"/>
  <c r="L213" i="26" l="1"/>
  <c r="L50" i="26"/>
  <c r="N50" i="26"/>
  <c r="O50" i="26"/>
  <c r="M50" i="26"/>
  <c r="M53" i="26"/>
  <c r="K213" i="26"/>
  <c r="J37" i="18"/>
  <c r="M212" i="26"/>
  <c r="K217" i="26"/>
  <c r="K219" i="26" s="1"/>
  <c r="M218" i="26"/>
  <c r="M219" i="26" s="1"/>
  <c r="M221" i="26" s="1"/>
  <c r="I37" i="18" s="1"/>
  <c r="L218" i="26"/>
  <c r="L219" i="26" s="1"/>
  <c r="K287" i="26"/>
  <c r="K251" i="26"/>
  <c r="K349" i="26"/>
  <c r="L349" i="26"/>
  <c r="M349" i="26"/>
  <c r="N349" i="26"/>
  <c r="J349" i="26"/>
  <c r="L221" i="26" l="1"/>
  <c r="H37" i="18" s="1"/>
  <c r="N53" i="26"/>
  <c r="K221" i="26"/>
  <c r="G37" i="18" s="1"/>
  <c r="K37" i="18"/>
  <c r="M251" i="26"/>
  <c r="L251" i="26"/>
  <c r="N251" i="26" l="1"/>
  <c r="O53" i="26"/>
  <c r="O251" i="26"/>
  <c r="L32" i="26" l="1"/>
  <c r="K32" i="26"/>
  <c r="HD175" i="19" l="1"/>
  <c r="HC175" i="19"/>
  <c r="HB175" i="19"/>
  <c r="HA175" i="19"/>
  <c r="GZ175" i="19"/>
  <c r="GY175" i="19"/>
  <c r="GX175" i="19"/>
  <c r="GW175" i="19"/>
  <c r="GV175" i="19"/>
  <c r="GU175" i="19"/>
  <c r="GT175" i="19"/>
  <c r="HD174" i="19"/>
  <c r="HC174" i="19"/>
  <c r="HB174" i="19"/>
  <c r="HA174" i="19"/>
  <c r="GZ174" i="19"/>
  <c r="GY174" i="19"/>
  <c r="GX174" i="19"/>
  <c r="GW174" i="19"/>
  <c r="GV174" i="19"/>
  <c r="GU174" i="19"/>
  <c r="GT174" i="19"/>
  <c r="GS175" i="19"/>
  <c r="GS174" i="19"/>
  <c r="HD147" i="19"/>
  <c r="HC147" i="19"/>
  <c r="HB147" i="19"/>
  <c r="HA147" i="19"/>
  <c r="GZ147" i="19"/>
  <c r="GY147" i="19"/>
  <c r="GZ151" i="19" s="1"/>
  <c r="GX147" i="19"/>
  <c r="GW147" i="19"/>
  <c r="GV147" i="19"/>
  <c r="GU147" i="19"/>
  <c r="GT147" i="19"/>
  <c r="GS147" i="19"/>
  <c r="HD129" i="19"/>
  <c r="HC129" i="19"/>
  <c r="HB129" i="19"/>
  <c r="HA129" i="19"/>
  <c r="GZ129" i="19"/>
  <c r="GY129" i="19"/>
  <c r="GX129" i="19"/>
  <c r="GW129" i="19"/>
  <c r="GV129" i="19"/>
  <c r="GU129" i="19"/>
  <c r="GT129" i="19"/>
  <c r="HD128" i="19"/>
  <c r="HC128" i="19"/>
  <c r="HB128" i="19"/>
  <c r="HA128" i="19"/>
  <c r="GZ128" i="19"/>
  <c r="GY128" i="19"/>
  <c r="GX128" i="19"/>
  <c r="GW128" i="19"/>
  <c r="GV128" i="19"/>
  <c r="GU128" i="19"/>
  <c r="GT128" i="19"/>
  <c r="GS129" i="19"/>
  <c r="GS128" i="19"/>
  <c r="HD101" i="19"/>
  <c r="HC101" i="19"/>
  <c r="HB101" i="19"/>
  <c r="HA101" i="19"/>
  <c r="HB105" i="19" s="1"/>
  <c r="HC106" i="19" s="1"/>
  <c r="HD107" i="19" s="1"/>
  <c r="GZ101" i="19"/>
  <c r="GY101" i="19"/>
  <c r="GX101" i="19"/>
  <c r="GW101" i="19"/>
  <c r="GV101" i="19"/>
  <c r="GU101" i="19"/>
  <c r="GT101" i="19"/>
  <c r="GS101" i="19"/>
  <c r="GT105" i="19" s="1"/>
  <c r="GU106" i="19" s="1"/>
  <c r="GV107" i="19" s="1"/>
  <c r="GW108" i="19" s="1"/>
  <c r="GW119" i="19" s="1"/>
  <c r="HD78" i="19"/>
  <c r="HC78" i="19"/>
  <c r="HB78" i="19"/>
  <c r="HA78" i="19"/>
  <c r="GZ78" i="19"/>
  <c r="GY78" i="19"/>
  <c r="GX78" i="19"/>
  <c r="GW78" i="19"/>
  <c r="GV78" i="19"/>
  <c r="GU78" i="19"/>
  <c r="GT78" i="19"/>
  <c r="GS78" i="19"/>
  <c r="HD54" i="19"/>
  <c r="HC54" i="19"/>
  <c r="HB54" i="19"/>
  <c r="HA54" i="19"/>
  <c r="GZ54" i="19"/>
  <c r="GY54" i="19"/>
  <c r="GX54" i="19"/>
  <c r="GW54" i="19"/>
  <c r="GV54" i="19"/>
  <c r="GU54" i="19"/>
  <c r="GT54" i="19"/>
  <c r="GS54" i="19"/>
  <c r="HD11" i="19"/>
  <c r="HC11" i="19"/>
  <c r="HB11" i="19"/>
  <c r="HA11" i="19"/>
  <c r="GZ11" i="19"/>
  <c r="GY11" i="19"/>
  <c r="GX11" i="19"/>
  <c r="GW11" i="19"/>
  <c r="GV11" i="19"/>
  <c r="GU11" i="19"/>
  <c r="GT11" i="19"/>
  <c r="GS11" i="19"/>
  <c r="HD7" i="19"/>
  <c r="HD50" i="19" s="1"/>
  <c r="HD97" i="19" s="1"/>
  <c r="HD143" i="19" s="1"/>
  <c r="HC7" i="19"/>
  <c r="HC50" i="19" s="1"/>
  <c r="HC97" i="19" s="1"/>
  <c r="HC143" i="19" s="1"/>
  <c r="HB7" i="19"/>
  <c r="HB50" i="19" s="1"/>
  <c r="HB97" i="19" s="1"/>
  <c r="HB143" i="19" s="1"/>
  <c r="HA7" i="19"/>
  <c r="HA50" i="19" s="1"/>
  <c r="HA97" i="19" s="1"/>
  <c r="HA143" i="19" s="1"/>
  <c r="GZ7" i="19"/>
  <c r="GZ50" i="19" s="1"/>
  <c r="GZ97" i="19" s="1"/>
  <c r="GZ143" i="19" s="1"/>
  <c r="GY7" i="19"/>
  <c r="GY50" i="19" s="1"/>
  <c r="GY97" i="19" s="1"/>
  <c r="GY143" i="19" s="1"/>
  <c r="GX7" i="19"/>
  <c r="GX50" i="19" s="1"/>
  <c r="GX97" i="19" s="1"/>
  <c r="GX143" i="19" s="1"/>
  <c r="GW7" i="19"/>
  <c r="GW50" i="19" s="1"/>
  <c r="GW97" i="19" s="1"/>
  <c r="GW143" i="19" s="1"/>
  <c r="GV7" i="19"/>
  <c r="GU7" i="19"/>
  <c r="GU50" i="19" s="1"/>
  <c r="GU97" i="19" s="1"/>
  <c r="GU143" i="19" s="1"/>
  <c r="GT7" i="19"/>
  <c r="GT50" i="19" s="1"/>
  <c r="GT97" i="19" s="1"/>
  <c r="GT143" i="19" s="1"/>
  <c r="GS7" i="19"/>
  <c r="GS50" i="19" s="1"/>
  <c r="GS97" i="19" s="1"/>
  <c r="GS143" i="19" s="1"/>
  <c r="GQ175" i="19"/>
  <c r="GP175" i="19"/>
  <c r="GO175" i="19"/>
  <c r="GN175" i="19"/>
  <c r="GM175" i="19"/>
  <c r="GL175" i="19"/>
  <c r="GK175" i="19"/>
  <c r="GJ175" i="19"/>
  <c r="GI175" i="19"/>
  <c r="GH175" i="19"/>
  <c r="GG175" i="19"/>
  <c r="GQ174" i="19"/>
  <c r="GP174" i="19"/>
  <c r="GO174" i="19"/>
  <c r="GN174" i="19"/>
  <c r="GM174" i="19"/>
  <c r="GL174" i="19"/>
  <c r="GK174" i="19"/>
  <c r="GJ174" i="19"/>
  <c r="GI174" i="19"/>
  <c r="GH174" i="19"/>
  <c r="GG174" i="19"/>
  <c r="GF175" i="19"/>
  <c r="GF174" i="19"/>
  <c r="GQ147" i="19"/>
  <c r="GP147" i="19"/>
  <c r="GO147" i="19"/>
  <c r="GN147" i="19"/>
  <c r="GM147" i="19"/>
  <c r="GL147" i="19"/>
  <c r="GK147" i="19"/>
  <c r="GJ147" i="19"/>
  <c r="GI147" i="19"/>
  <c r="GH147" i="19"/>
  <c r="GG147" i="19"/>
  <c r="GF147" i="19"/>
  <c r="GQ129" i="19"/>
  <c r="GP129" i="19"/>
  <c r="GO129" i="19"/>
  <c r="GN129" i="19"/>
  <c r="GM129" i="19"/>
  <c r="GL129" i="19"/>
  <c r="GK129" i="19"/>
  <c r="GJ129" i="19"/>
  <c r="GI129" i="19"/>
  <c r="GH129" i="19"/>
  <c r="GG129" i="19"/>
  <c r="GQ128" i="19"/>
  <c r="GP128" i="19"/>
  <c r="GO128" i="19"/>
  <c r="GN128" i="19"/>
  <c r="GM128" i="19"/>
  <c r="GL128" i="19"/>
  <c r="GK128" i="19"/>
  <c r="GJ128" i="19"/>
  <c r="GI128" i="19"/>
  <c r="GH128" i="19"/>
  <c r="GG128" i="19"/>
  <c r="GF129" i="19"/>
  <c r="GF128" i="19"/>
  <c r="GQ101" i="19"/>
  <c r="GP101" i="19"/>
  <c r="GO101" i="19"/>
  <c r="GN101" i="19"/>
  <c r="GM101" i="19"/>
  <c r="GL101" i="19"/>
  <c r="GK101" i="19"/>
  <c r="GJ101" i="19"/>
  <c r="GI101" i="19"/>
  <c r="GH101" i="19"/>
  <c r="GG101" i="19"/>
  <c r="GF101" i="19"/>
  <c r="GQ78" i="19"/>
  <c r="GP78" i="19"/>
  <c r="GO78" i="19"/>
  <c r="GN78" i="19"/>
  <c r="GM78" i="19"/>
  <c r="GL78" i="19"/>
  <c r="GK78" i="19"/>
  <c r="GJ78" i="19"/>
  <c r="GI78" i="19"/>
  <c r="GH78" i="19"/>
  <c r="GG78" i="19"/>
  <c r="GF78" i="19"/>
  <c r="GZ105" i="19" l="1"/>
  <c r="GV105" i="19"/>
  <c r="HD105" i="19"/>
  <c r="GV151" i="19"/>
  <c r="GW152" i="19" s="1"/>
  <c r="GX153" i="19" s="1"/>
  <c r="GY154" i="19" s="1"/>
  <c r="GY165" i="19" s="1"/>
  <c r="GY176" i="19" s="1"/>
  <c r="HD151" i="19"/>
  <c r="HD15" i="19"/>
  <c r="HD26" i="19" s="1"/>
  <c r="GW130" i="19"/>
  <c r="GY58" i="19"/>
  <c r="GY69" i="19" s="1"/>
  <c r="GU151" i="19"/>
  <c r="GV152" i="19" s="1"/>
  <c r="GW153" i="19" s="1"/>
  <c r="GX154" i="19" s="1"/>
  <c r="GX165" i="19" s="1"/>
  <c r="GW15" i="19"/>
  <c r="GX16" i="19" s="1"/>
  <c r="GX27" i="19" s="1"/>
  <c r="HA15" i="19"/>
  <c r="HA26" i="19" s="1"/>
  <c r="GW58" i="19"/>
  <c r="GW69" i="19" s="1"/>
  <c r="HA58" i="19"/>
  <c r="HA69" i="19" s="1"/>
  <c r="GW105" i="19"/>
  <c r="GX106" i="19" s="1"/>
  <c r="GY107" i="19" s="1"/>
  <c r="GZ108" i="19" s="1"/>
  <c r="GZ119" i="19" s="1"/>
  <c r="GU15" i="19"/>
  <c r="GU26" i="19" s="1"/>
  <c r="GY15" i="19"/>
  <c r="GY26" i="19" s="1"/>
  <c r="HC15" i="19"/>
  <c r="HC26" i="19" s="1"/>
  <c r="GU58" i="19"/>
  <c r="GU69" i="19" s="1"/>
  <c r="HC58" i="19"/>
  <c r="HC69" i="19" s="1"/>
  <c r="GU105" i="19"/>
  <c r="GV106" i="19" s="1"/>
  <c r="GW107" i="19" s="1"/>
  <c r="GX108" i="19" s="1"/>
  <c r="GX119" i="19" s="1"/>
  <c r="HC105" i="19"/>
  <c r="HD106" i="19" s="1"/>
  <c r="GY151" i="19"/>
  <c r="GZ152" i="19" s="1"/>
  <c r="HA153" i="19" s="1"/>
  <c r="HB154" i="19" s="1"/>
  <c r="HB165" i="19" s="1"/>
  <c r="HC151" i="19"/>
  <c r="HD152" i="19" s="1"/>
  <c r="GT151" i="19"/>
  <c r="GU152" i="19" s="1"/>
  <c r="GV153" i="19" s="1"/>
  <c r="GW154" i="19" s="1"/>
  <c r="GW165" i="19" s="1"/>
  <c r="GX105" i="19"/>
  <c r="GY106" i="19" s="1"/>
  <c r="GZ107" i="19" s="1"/>
  <c r="HA108" i="19" s="1"/>
  <c r="HA119" i="19" s="1"/>
  <c r="GS151" i="19"/>
  <c r="GT152" i="19" s="1"/>
  <c r="GU153" i="19" s="1"/>
  <c r="GV154" i="19" s="1"/>
  <c r="GV165" i="19" s="1"/>
  <c r="GX151" i="19"/>
  <c r="GY152" i="19" s="1"/>
  <c r="GZ153" i="19" s="1"/>
  <c r="HA154" i="19" s="1"/>
  <c r="HA165" i="19" s="1"/>
  <c r="HB151" i="19"/>
  <c r="HC152" i="19" s="1"/>
  <c r="HD153" i="19" s="1"/>
  <c r="HA151" i="19"/>
  <c r="HB152" i="19" s="1"/>
  <c r="HC153" i="19" s="1"/>
  <c r="HD154" i="19" s="1"/>
  <c r="HD165" i="19" s="1"/>
  <c r="HA105" i="19"/>
  <c r="HB106" i="19" s="1"/>
  <c r="HC107" i="19" s="1"/>
  <c r="HB15" i="19"/>
  <c r="HB26" i="19" s="1"/>
  <c r="GT15" i="19"/>
  <c r="GT26" i="19" s="1"/>
  <c r="GX15" i="19"/>
  <c r="GX26" i="19" s="1"/>
  <c r="GV58" i="19"/>
  <c r="GV69" i="19" s="1"/>
  <c r="GZ58" i="19"/>
  <c r="GZ69" i="19" s="1"/>
  <c r="HD58" i="19"/>
  <c r="HD69" i="19" s="1"/>
  <c r="GV15" i="19"/>
  <c r="GV26" i="19" s="1"/>
  <c r="GZ15" i="19"/>
  <c r="GZ26" i="19" s="1"/>
  <c r="GV50" i="19"/>
  <c r="GV97" i="19" s="1"/>
  <c r="GV143" i="19" s="1"/>
  <c r="GX109" i="19"/>
  <c r="GX120" i="19" s="1"/>
  <c r="GT58" i="19"/>
  <c r="GT69" i="19" s="1"/>
  <c r="GX58" i="19"/>
  <c r="GX69" i="19" s="1"/>
  <c r="HB58" i="19"/>
  <c r="HB69" i="19" s="1"/>
  <c r="GW106" i="19"/>
  <c r="GX107" i="19" s="1"/>
  <c r="GY108" i="19" s="1"/>
  <c r="GY119" i="19" s="1"/>
  <c r="HA106" i="19"/>
  <c r="HB107" i="19" s="1"/>
  <c r="HC108" i="19" s="1"/>
  <c r="HC119" i="19" s="1"/>
  <c r="GY105" i="19"/>
  <c r="GS105" i="19"/>
  <c r="GZ155" i="19"/>
  <c r="GZ166" i="19" s="1"/>
  <c r="GW151" i="19"/>
  <c r="HA152" i="19"/>
  <c r="GQ54" i="19"/>
  <c r="GS58" i="19" s="1"/>
  <c r="GS69" i="19" s="1"/>
  <c r="GP54" i="19"/>
  <c r="GO54" i="19"/>
  <c r="GN54" i="19"/>
  <c r="GM54" i="19"/>
  <c r="GL54" i="19"/>
  <c r="GK54" i="19"/>
  <c r="GJ54" i="19"/>
  <c r="GI54" i="19"/>
  <c r="GH54" i="19"/>
  <c r="GG54" i="19"/>
  <c r="GF54" i="19"/>
  <c r="GQ11" i="19"/>
  <c r="GS15" i="19" s="1"/>
  <c r="GP11" i="19"/>
  <c r="GO11" i="19"/>
  <c r="GN11" i="19"/>
  <c r="GM11" i="19"/>
  <c r="GL11" i="19"/>
  <c r="GK11" i="19"/>
  <c r="GJ11" i="19"/>
  <c r="GI11" i="19"/>
  <c r="GH11" i="19"/>
  <c r="GG11" i="19"/>
  <c r="GF11" i="19"/>
  <c r="GQ7" i="19"/>
  <c r="GQ50" i="19" s="1"/>
  <c r="GQ97" i="19" s="1"/>
  <c r="GQ143" i="19" s="1"/>
  <c r="GP7" i="19"/>
  <c r="GP50" i="19" s="1"/>
  <c r="GP97" i="19" s="1"/>
  <c r="GP143" i="19" s="1"/>
  <c r="GO7" i="19"/>
  <c r="GO50" i="19" s="1"/>
  <c r="GO97" i="19" s="1"/>
  <c r="GO143" i="19" s="1"/>
  <c r="GN7" i="19"/>
  <c r="GN50" i="19" s="1"/>
  <c r="GN97" i="19" s="1"/>
  <c r="GN143" i="19" s="1"/>
  <c r="GM7" i="19"/>
  <c r="GL7" i="19"/>
  <c r="GL50" i="19" s="1"/>
  <c r="GL97" i="19" s="1"/>
  <c r="GL143" i="19" s="1"/>
  <c r="GK7" i="19"/>
  <c r="GK50" i="19" s="1"/>
  <c r="GK97" i="19" s="1"/>
  <c r="GK143" i="19" s="1"/>
  <c r="GJ7" i="19"/>
  <c r="GJ50" i="19" s="1"/>
  <c r="GJ97" i="19" s="1"/>
  <c r="GJ143" i="19" s="1"/>
  <c r="GI7" i="19"/>
  <c r="GH7" i="19"/>
  <c r="GH50" i="19" s="1"/>
  <c r="GH97" i="19" s="1"/>
  <c r="GH143" i="19" s="1"/>
  <c r="GG7" i="19"/>
  <c r="GG50" i="19" s="1"/>
  <c r="GG97" i="19" s="1"/>
  <c r="GG143" i="19" s="1"/>
  <c r="GF7" i="19"/>
  <c r="GF50" i="19" s="1"/>
  <c r="GF97" i="19" s="1"/>
  <c r="GF143" i="19" s="1"/>
  <c r="GQ151" i="19"/>
  <c r="GS152" i="19" s="1"/>
  <c r="GP151" i="19"/>
  <c r="GO151" i="19"/>
  <c r="GN151" i="19"/>
  <c r="GL151" i="19"/>
  <c r="GK151" i="19"/>
  <c r="GJ151" i="19"/>
  <c r="GH151" i="19"/>
  <c r="GG151" i="19"/>
  <c r="GL105" i="19"/>
  <c r="GM106" i="19" s="1"/>
  <c r="GN107" i="19" s="1"/>
  <c r="GO108" i="19" s="1"/>
  <c r="GO119" i="19" s="1"/>
  <c r="GQ105" i="19"/>
  <c r="GS106" i="19" s="1"/>
  <c r="GT107" i="19" s="1"/>
  <c r="GU108" i="19" s="1"/>
  <c r="GO105" i="19"/>
  <c r="GN105" i="19"/>
  <c r="GM105" i="19"/>
  <c r="GK105" i="19"/>
  <c r="GJ105" i="19"/>
  <c r="GI105" i="19"/>
  <c r="GG105" i="19"/>
  <c r="GD175" i="19"/>
  <c r="GC175" i="19"/>
  <c r="GB175" i="19"/>
  <c r="GA175" i="19"/>
  <c r="FZ175" i="19"/>
  <c r="FY175" i="19"/>
  <c r="FX175" i="19"/>
  <c r="FW175" i="19"/>
  <c r="FV175" i="19"/>
  <c r="FU175" i="19"/>
  <c r="FT175" i="19"/>
  <c r="GD174" i="19"/>
  <c r="GC174" i="19"/>
  <c r="GB174" i="19"/>
  <c r="GA174" i="19"/>
  <c r="FZ174" i="19"/>
  <c r="FY174" i="19"/>
  <c r="FX174" i="19"/>
  <c r="FW174" i="19"/>
  <c r="FV174" i="19"/>
  <c r="FU174" i="19"/>
  <c r="FT174" i="19"/>
  <c r="FS175" i="19"/>
  <c r="FS174" i="19"/>
  <c r="GD147" i="19"/>
  <c r="GC147" i="19"/>
  <c r="GB147" i="19"/>
  <c r="GA147" i="19"/>
  <c r="FZ147" i="19"/>
  <c r="FY147" i="19"/>
  <c r="FX147" i="19"/>
  <c r="FW147" i="19"/>
  <c r="FV147" i="19"/>
  <c r="FU147" i="19"/>
  <c r="FT147" i="19"/>
  <c r="FS147" i="19"/>
  <c r="GD129" i="19"/>
  <c r="GC129" i="19"/>
  <c r="GB129" i="19"/>
  <c r="GA129" i="19"/>
  <c r="FZ129" i="19"/>
  <c r="FY129" i="19"/>
  <c r="FX129" i="19"/>
  <c r="FW129" i="19"/>
  <c r="FV129" i="19"/>
  <c r="FU129" i="19"/>
  <c r="FT129" i="19"/>
  <c r="GD128" i="19"/>
  <c r="GC128" i="19"/>
  <c r="GB128" i="19"/>
  <c r="GA128" i="19"/>
  <c r="FZ128" i="19"/>
  <c r="FY128" i="19"/>
  <c r="FX128" i="19"/>
  <c r="FW128" i="19"/>
  <c r="FV128" i="19"/>
  <c r="FU128" i="19"/>
  <c r="FT128" i="19"/>
  <c r="FS129" i="19"/>
  <c r="FS128" i="19"/>
  <c r="GD101" i="19"/>
  <c r="GC101" i="19"/>
  <c r="GB101" i="19"/>
  <c r="GA101" i="19"/>
  <c r="FZ101" i="19"/>
  <c r="FY101" i="19"/>
  <c r="FX101" i="19"/>
  <c r="FW101" i="19"/>
  <c r="FV101" i="19"/>
  <c r="FU101" i="19"/>
  <c r="FT101" i="19"/>
  <c r="FS101" i="19"/>
  <c r="GD78" i="19"/>
  <c r="GC78" i="19"/>
  <c r="GB78" i="19"/>
  <c r="GA78" i="19"/>
  <c r="FZ78" i="19"/>
  <c r="FY78" i="19"/>
  <c r="FX78" i="19"/>
  <c r="FW78" i="19"/>
  <c r="FV78" i="19"/>
  <c r="FU78" i="19"/>
  <c r="FT78" i="19"/>
  <c r="FS78" i="19"/>
  <c r="GD54" i="19"/>
  <c r="GC54" i="19"/>
  <c r="GB54" i="19"/>
  <c r="GA54" i="19"/>
  <c r="FZ54" i="19"/>
  <c r="FY54" i="19"/>
  <c r="FX54" i="19"/>
  <c r="FW54" i="19"/>
  <c r="FV54" i="19"/>
  <c r="FU54" i="19"/>
  <c r="FT54" i="19"/>
  <c r="FS54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GD7" i="19"/>
  <c r="GD50" i="19" s="1"/>
  <c r="GD97" i="19" s="1"/>
  <c r="GD143" i="19" s="1"/>
  <c r="GC7" i="19"/>
  <c r="GC50" i="19" s="1"/>
  <c r="GC97" i="19" s="1"/>
  <c r="GC143" i="19" s="1"/>
  <c r="GB7" i="19"/>
  <c r="GB50" i="19" s="1"/>
  <c r="GB97" i="19" s="1"/>
  <c r="GB143" i="19" s="1"/>
  <c r="GA7" i="19"/>
  <c r="GA50" i="19" s="1"/>
  <c r="GA97" i="19" s="1"/>
  <c r="GA143" i="19" s="1"/>
  <c r="FZ7" i="19"/>
  <c r="FZ50" i="19" s="1"/>
  <c r="FZ97" i="19" s="1"/>
  <c r="FZ143" i="19" s="1"/>
  <c r="FY7" i="19"/>
  <c r="FY50" i="19" s="1"/>
  <c r="FY97" i="19" s="1"/>
  <c r="FY143" i="19" s="1"/>
  <c r="FX7" i="19"/>
  <c r="FX50" i="19" s="1"/>
  <c r="FX97" i="19" s="1"/>
  <c r="FX143" i="19" s="1"/>
  <c r="FW7" i="19"/>
  <c r="FW50" i="19" s="1"/>
  <c r="FW97" i="19" s="1"/>
  <c r="FW143" i="19" s="1"/>
  <c r="FV7" i="19"/>
  <c r="FV50" i="19" s="1"/>
  <c r="FV97" i="19" s="1"/>
  <c r="FV143" i="19" s="1"/>
  <c r="FU7" i="19"/>
  <c r="FU50" i="19" s="1"/>
  <c r="FU97" i="19" s="1"/>
  <c r="FU143" i="19" s="1"/>
  <c r="FT7" i="19"/>
  <c r="FT50" i="19" s="1"/>
  <c r="FT97" i="19" s="1"/>
  <c r="FT143" i="19" s="1"/>
  <c r="FS7" i="19"/>
  <c r="FQ175" i="19"/>
  <c r="FP175" i="19"/>
  <c r="FO175" i="19"/>
  <c r="FN175" i="19"/>
  <c r="FM175" i="19"/>
  <c r="FL175" i="19"/>
  <c r="FK175" i="19"/>
  <c r="FJ175" i="19"/>
  <c r="FI175" i="19"/>
  <c r="FH175" i="19"/>
  <c r="FG175" i="19"/>
  <c r="FQ174" i="19"/>
  <c r="FP174" i="19"/>
  <c r="FO174" i="19"/>
  <c r="FN174" i="19"/>
  <c r="FM174" i="19"/>
  <c r="FL174" i="19"/>
  <c r="FK174" i="19"/>
  <c r="FJ174" i="19"/>
  <c r="FI174" i="19"/>
  <c r="FH174" i="19"/>
  <c r="FG174" i="19"/>
  <c r="FF175" i="19"/>
  <c r="FF174" i="19"/>
  <c r="FQ147" i="19"/>
  <c r="FP147" i="19"/>
  <c r="FO147" i="19"/>
  <c r="FN147" i="19"/>
  <c r="FM147" i="19"/>
  <c r="FL147" i="19"/>
  <c r="FK147" i="19"/>
  <c r="FJ147" i="19"/>
  <c r="FI147" i="19"/>
  <c r="FH147" i="19"/>
  <c r="FG147" i="19"/>
  <c r="FF147" i="19"/>
  <c r="FQ129" i="19"/>
  <c r="FP129" i="19"/>
  <c r="FO129" i="19"/>
  <c r="FN129" i="19"/>
  <c r="FM129" i="19"/>
  <c r="FL129" i="19"/>
  <c r="FK129" i="19"/>
  <c r="FJ129" i="19"/>
  <c r="FI129" i="19"/>
  <c r="FH129" i="19"/>
  <c r="FG129" i="19"/>
  <c r="FQ128" i="19"/>
  <c r="FP128" i="19"/>
  <c r="FO128" i="19"/>
  <c r="FN128" i="19"/>
  <c r="FM128" i="19"/>
  <c r="FL128" i="19"/>
  <c r="FK128" i="19"/>
  <c r="FJ128" i="19"/>
  <c r="FI128" i="19"/>
  <c r="FH128" i="19"/>
  <c r="FG128" i="19"/>
  <c r="FF129" i="19"/>
  <c r="FF128" i="19"/>
  <c r="FQ101" i="19"/>
  <c r="FP101" i="19"/>
  <c r="FO101" i="19"/>
  <c r="FN101" i="19"/>
  <c r="FM101" i="19"/>
  <c r="FL101" i="19"/>
  <c r="FK101" i="19"/>
  <c r="FJ101" i="19"/>
  <c r="FI101" i="19"/>
  <c r="FH101" i="19"/>
  <c r="FG101" i="19"/>
  <c r="FF101" i="19"/>
  <c r="FQ78" i="19"/>
  <c r="FP78" i="19"/>
  <c r="FO78" i="19"/>
  <c r="FN78" i="19"/>
  <c r="FM78" i="19"/>
  <c r="FL78" i="19"/>
  <c r="FK78" i="19"/>
  <c r="FJ78" i="19"/>
  <c r="FI78" i="19"/>
  <c r="FH78" i="19"/>
  <c r="FG78" i="19"/>
  <c r="FF78" i="19"/>
  <c r="FQ54" i="19"/>
  <c r="FP54" i="19"/>
  <c r="FO54" i="19"/>
  <c r="FN54" i="19"/>
  <c r="FM54" i="19"/>
  <c r="FL54" i="19"/>
  <c r="FK54" i="19"/>
  <c r="FJ54" i="19"/>
  <c r="FI54" i="19"/>
  <c r="FH54" i="19"/>
  <c r="FG54" i="19"/>
  <c r="FF54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Q7" i="19"/>
  <c r="FQ50" i="19" s="1"/>
  <c r="FQ97" i="19" s="1"/>
  <c r="FQ143" i="19" s="1"/>
  <c r="FP7" i="19"/>
  <c r="FP50" i="19" s="1"/>
  <c r="FP97" i="19" s="1"/>
  <c r="FP143" i="19" s="1"/>
  <c r="FO7" i="19"/>
  <c r="FO50" i="19" s="1"/>
  <c r="FO97" i="19" s="1"/>
  <c r="FO143" i="19" s="1"/>
  <c r="FN7" i="19"/>
  <c r="FN50" i="19" s="1"/>
  <c r="FN97" i="19" s="1"/>
  <c r="FN143" i="19" s="1"/>
  <c r="FM7" i="19"/>
  <c r="FM50" i="19" s="1"/>
  <c r="FM97" i="19" s="1"/>
  <c r="FM143" i="19" s="1"/>
  <c r="FL7" i="19"/>
  <c r="FL50" i="19" s="1"/>
  <c r="FL97" i="19" s="1"/>
  <c r="FL143" i="19" s="1"/>
  <c r="FK7" i="19"/>
  <c r="FK50" i="19" s="1"/>
  <c r="FK97" i="19" s="1"/>
  <c r="FK143" i="19" s="1"/>
  <c r="FJ7" i="19"/>
  <c r="FI7" i="19"/>
  <c r="FI50" i="19" s="1"/>
  <c r="FI97" i="19" s="1"/>
  <c r="FI143" i="19" s="1"/>
  <c r="FH7" i="19"/>
  <c r="FH50" i="19" s="1"/>
  <c r="FH97" i="19" s="1"/>
  <c r="FH143" i="19" s="1"/>
  <c r="FG7" i="19"/>
  <c r="FG50" i="19" s="1"/>
  <c r="FG97" i="19" s="1"/>
  <c r="FG143" i="19" s="1"/>
  <c r="FF7" i="19"/>
  <c r="FF50" i="19" s="1"/>
  <c r="FF97" i="19" s="1"/>
  <c r="FF143" i="19" s="1"/>
  <c r="FD175" i="19"/>
  <c r="FC175" i="19"/>
  <c r="FB175" i="19"/>
  <c r="FA175" i="19"/>
  <c r="EZ175" i="19"/>
  <c r="EY175" i="19"/>
  <c r="EX175" i="19"/>
  <c r="EW175" i="19"/>
  <c r="EV175" i="19"/>
  <c r="EU175" i="19"/>
  <c r="ET175" i="19"/>
  <c r="FD174" i="19"/>
  <c r="FC174" i="19"/>
  <c r="FB174" i="19"/>
  <c r="FA174" i="19"/>
  <c r="EZ174" i="19"/>
  <c r="EY174" i="19"/>
  <c r="EX174" i="19"/>
  <c r="EW174" i="19"/>
  <c r="EV174" i="19"/>
  <c r="EU174" i="19"/>
  <c r="ET174" i="19"/>
  <c r="ES175" i="19"/>
  <c r="ES174" i="19"/>
  <c r="FD147" i="19"/>
  <c r="FC147" i="19"/>
  <c r="FB147" i="19"/>
  <c r="FA147" i="19"/>
  <c r="EZ147" i="19"/>
  <c r="EY147" i="19"/>
  <c r="EX147" i="19"/>
  <c r="EW147" i="19"/>
  <c r="EV147" i="19"/>
  <c r="EU147" i="19"/>
  <c r="ET147" i="19"/>
  <c r="ES147" i="19"/>
  <c r="FD129" i="19"/>
  <c r="FC129" i="19"/>
  <c r="FB129" i="19"/>
  <c r="FA129" i="19"/>
  <c r="EZ129" i="19"/>
  <c r="EY129" i="19"/>
  <c r="EX129" i="19"/>
  <c r="EW129" i="19"/>
  <c r="EV129" i="19"/>
  <c r="EU129" i="19"/>
  <c r="ET129" i="19"/>
  <c r="FD128" i="19"/>
  <c r="FC128" i="19"/>
  <c r="FB128" i="19"/>
  <c r="FA128" i="19"/>
  <c r="EZ128" i="19"/>
  <c r="EY128" i="19"/>
  <c r="EX128" i="19"/>
  <c r="EW128" i="19"/>
  <c r="EV128" i="19"/>
  <c r="EU128" i="19"/>
  <c r="ET128" i="19"/>
  <c r="ES129" i="19"/>
  <c r="ES128" i="19"/>
  <c r="FD101" i="19"/>
  <c r="FC101" i="19"/>
  <c r="FB101" i="19"/>
  <c r="FA101" i="19"/>
  <c r="EZ101" i="19"/>
  <c r="EY101" i="19"/>
  <c r="EX101" i="19"/>
  <c r="EW101" i="19"/>
  <c r="EV101" i="19"/>
  <c r="EU101" i="19"/>
  <c r="ET101" i="19"/>
  <c r="ES101" i="19"/>
  <c r="FD78" i="19"/>
  <c r="FC78" i="19"/>
  <c r="FB78" i="19"/>
  <c r="FA78" i="19"/>
  <c r="EZ78" i="19"/>
  <c r="EY78" i="19"/>
  <c r="EX78" i="19"/>
  <c r="EW78" i="19"/>
  <c r="EV78" i="19"/>
  <c r="EU78" i="19"/>
  <c r="ET78" i="19"/>
  <c r="ES78" i="19"/>
  <c r="FD54" i="19"/>
  <c r="FC54" i="19"/>
  <c r="FB54" i="19"/>
  <c r="FA54" i="19"/>
  <c r="EZ54" i="19"/>
  <c r="EY54" i="19"/>
  <c r="EX54" i="19"/>
  <c r="EW54" i="19"/>
  <c r="EV54" i="19"/>
  <c r="EU54" i="19"/>
  <c r="ET54" i="19"/>
  <c r="ES54" i="19"/>
  <c r="GZ59" i="19" l="1"/>
  <c r="GZ70" i="19" s="1"/>
  <c r="HD16" i="19"/>
  <c r="HD27" i="19" s="1"/>
  <c r="HA130" i="19"/>
  <c r="GZ130" i="19"/>
  <c r="HC130" i="19"/>
  <c r="GV176" i="19"/>
  <c r="GO130" i="19"/>
  <c r="HB59" i="19"/>
  <c r="HB70" i="19" s="1"/>
  <c r="HA176" i="19"/>
  <c r="GW176" i="19"/>
  <c r="GX130" i="19"/>
  <c r="GX176" i="19"/>
  <c r="HD176" i="19"/>
  <c r="HB176" i="19"/>
  <c r="GY130" i="19"/>
  <c r="GW26" i="19"/>
  <c r="GV59" i="19"/>
  <c r="GV70" i="19" s="1"/>
  <c r="HB16" i="19"/>
  <c r="HB27" i="19" s="1"/>
  <c r="HD59" i="19"/>
  <c r="HD70" i="19" s="1"/>
  <c r="GY17" i="19"/>
  <c r="GY28" i="19" s="1"/>
  <c r="GV16" i="19"/>
  <c r="GV27" i="19" s="1"/>
  <c r="GL58" i="19"/>
  <c r="HC16" i="19"/>
  <c r="HC27" i="19" s="1"/>
  <c r="GZ16" i="19"/>
  <c r="GZ27" i="19" s="1"/>
  <c r="GX59" i="19"/>
  <c r="GX70" i="19" s="1"/>
  <c r="GY109" i="19"/>
  <c r="GY120" i="19" s="1"/>
  <c r="FV151" i="19"/>
  <c r="FW152" i="19" s="1"/>
  <c r="FX153" i="19" s="1"/>
  <c r="FY154" i="19" s="1"/>
  <c r="FY165" i="19" s="1"/>
  <c r="FQ151" i="19"/>
  <c r="FS152" i="19" s="1"/>
  <c r="FT153" i="19" s="1"/>
  <c r="FU154" i="19" s="1"/>
  <c r="FU165" i="19" s="1"/>
  <c r="GH15" i="19"/>
  <c r="GH26" i="19" s="1"/>
  <c r="FN105" i="19"/>
  <c r="FO106" i="19" s="1"/>
  <c r="FP107" i="19" s="1"/>
  <c r="FQ108" i="19" s="1"/>
  <c r="FH15" i="19"/>
  <c r="FH26" i="19" s="1"/>
  <c r="FP105" i="19"/>
  <c r="FQ106" i="19" s="1"/>
  <c r="FS107" i="19" s="1"/>
  <c r="FT108" i="19" s="1"/>
  <c r="FT119" i="19" s="1"/>
  <c r="FH151" i="19"/>
  <c r="FI152" i="19" s="1"/>
  <c r="FJ153" i="19" s="1"/>
  <c r="FK154" i="19" s="1"/>
  <c r="FK165" i="19" s="1"/>
  <c r="FK151" i="19"/>
  <c r="FL152" i="19" s="1"/>
  <c r="FM153" i="19" s="1"/>
  <c r="FN154" i="19" s="1"/>
  <c r="FN165" i="19" s="1"/>
  <c r="FP151" i="19"/>
  <c r="FQ152" i="19" s="1"/>
  <c r="FS153" i="19" s="1"/>
  <c r="FT154" i="19" s="1"/>
  <c r="FT165" i="19" s="1"/>
  <c r="FT15" i="19"/>
  <c r="FT26" i="19" s="1"/>
  <c r="FY15" i="19"/>
  <c r="FY26" i="19" s="1"/>
  <c r="GC15" i="19"/>
  <c r="GC26" i="19" s="1"/>
  <c r="FU58" i="19"/>
  <c r="FU69" i="19" s="1"/>
  <c r="GC58" i="19"/>
  <c r="GC69" i="19" s="1"/>
  <c r="FX105" i="19"/>
  <c r="FY106" i="19" s="1"/>
  <c r="FZ107" i="19" s="1"/>
  <c r="GA108" i="19" s="1"/>
  <c r="GA119" i="19" s="1"/>
  <c r="GB105" i="19"/>
  <c r="GC106" i="19" s="1"/>
  <c r="GD107" i="19" s="1"/>
  <c r="GF108" i="19" s="1"/>
  <c r="GF119" i="19" s="1"/>
  <c r="FT151" i="19"/>
  <c r="FU152" i="19" s="1"/>
  <c r="FV153" i="19" s="1"/>
  <c r="FW154" i="19" s="1"/>
  <c r="FW165" i="19" s="1"/>
  <c r="FY151" i="19"/>
  <c r="FZ152" i="19" s="1"/>
  <c r="GA153" i="19" s="1"/>
  <c r="GB154" i="19" s="1"/>
  <c r="GB165" i="19" s="1"/>
  <c r="FS151" i="19"/>
  <c r="FT152" i="19" s="1"/>
  <c r="FU153" i="19" s="1"/>
  <c r="FV154" i="19" s="1"/>
  <c r="FV165" i="19" s="1"/>
  <c r="FU15" i="19"/>
  <c r="FU26" i="19" s="1"/>
  <c r="FW105" i="19"/>
  <c r="FX106" i="19" s="1"/>
  <c r="FY107" i="19" s="1"/>
  <c r="FZ108" i="19" s="1"/>
  <c r="FZ119" i="19" s="1"/>
  <c r="GA105" i="19"/>
  <c r="GB106" i="19" s="1"/>
  <c r="GC107" i="19" s="1"/>
  <c r="GD108" i="19" s="1"/>
  <c r="GF109" i="19" s="1"/>
  <c r="GF120" i="19" s="1"/>
  <c r="FL151" i="19"/>
  <c r="FM152" i="19" s="1"/>
  <c r="FN153" i="19" s="1"/>
  <c r="FO154" i="19" s="1"/>
  <c r="FO165" i="19" s="1"/>
  <c r="FV15" i="19"/>
  <c r="FV26" i="19" s="1"/>
  <c r="FZ15" i="19"/>
  <c r="FZ26" i="19" s="1"/>
  <c r="GD15" i="19"/>
  <c r="GD26" i="19" s="1"/>
  <c r="FZ151" i="19"/>
  <c r="GA152" i="19" s="1"/>
  <c r="GD151" i="19"/>
  <c r="GF152" i="19" s="1"/>
  <c r="GG153" i="19" s="1"/>
  <c r="GH154" i="19" s="1"/>
  <c r="GH165" i="19" s="1"/>
  <c r="GB15" i="19"/>
  <c r="GB26" i="19" s="1"/>
  <c r="FK58" i="19"/>
  <c r="FK69" i="19" s="1"/>
  <c r="FG151" i="19"/>
  <c r="FH152" i="19" s="1"/>
  <c r="GI15" i="19"/>
  <c r="GJ16" i="19" s="1"/>
  <c r="GJ27" i="19" s="1"/>
  <c r="GQ15" i="19"/>
  <c r="GQ26" i="19" s="1"/>
  <c r="GH58" i="19"/>
  <c r="GH69" i="19" s="1"/>
  <c r="GM58" i="19"/>
  <c r="GM69" i="19" s="1"/>
  <c r="GQ58" i="19"/>
  <c r="GQ69" i="19" s="1"/>
  <c r="FF105" i="19"/>
  <c r="FG106" i="19" s="1"/>
  <c r="FH107" i="19" s="1"/>
  <c r="FI108" i="19" s="1"/>
  <c r="FI119" i="19" s="1"/>
  <c r="FF151" i="19"/>
  <c r="FG152" i="19" s="1"/>
  <c r="FH153" i="19" s="1"/>
  <c r="FI154" i="19" s="1"/>
  <c r="FF58" i="19"/>
  <c r="FG59" i="19" s="1"/>
  <c r="FI15" i="19"/>
  <c r="FI26" i="19" s="1"/>
  <c r="FM15" i="19"/>
  <c r="FM26" i="19" s="1"/>
  <c r="FQ15" i="19"/>
  <c r="FS16" i="19" s="1"/>
  <c r="FT17" i="19" s="1"/>
  <c r="GK15" i="19"/>
  <c r="GK26" i="19" s="1"/>
  <c r="GG58" i="19"/>
  <c r="GG69" i="19" s="1"/>
  <c r="GO58" i="19"/>
  <c r="GO69" i="19" s="1"/>
  <c r="FG15" i="19"/>
  <c r="FG26" i="19" s="1"/>
  <c r="FL15" i="19"/>
  <c r="FM16" i="19" s="1"/>
  <c r="FP15" i="19"/>
  <c r="FP26" i="19" s="1"/>
  <c r="FH105" i="19"/>
  <c r="FI106" i="19" s="1"/>
  <c r="FJ107" i="19" s="1"/>
  <c r="FK108" i="19" s="1"/>
  <c r="FK119" i="19" s="1"/>
  <c r="FL105" i="19"/>
  <c r="FM106" i="19" s="1"/>
  <c r="FN107" i="19" s="1"/>
  <c r="FO108" i="19" s="1"/>
  <c r="FO119" i="19" s="1"/>
  <c r="FT105" i="19"/>
  <c r="FU106" i="19" s="1"/>
  <c r="FV107" i="19" s="1"/>
  <c r="FW108" i="19" s="1"/>
  <c r="FW119" i="19" s="1"/>
  <c r="FJ58" i="19"/>
  <c r="FJ69" i="19" s="1"/>
  <c r="FN58" i="19"/>
  <c r="FO59" i="19" s="1"/>
  <c r="FQ58" i="19"/>
  <c r="FS59" i="19" s="1"/>
  <c r="FS70" i="19" s="1"/>
  <c r="FI105" i="19"/>
  <c r="FJ106" i="19" s="1"/>
  <c r="FK107" i="19" s="1"/>
  <c r="FL108" i="19" s="1"/>
  <c r="FL119" i="19" s="1"/>
  <c r="FM105" i="19"/>
  <c r="FN106" i="19" s="1"/>
  <c r="FO107" i="19" s="1"/>
  <c r="FP108" i="19" s="1"/>
  <c r="FP119" i="19" s="1"/>
  <c r="FQ105" i="19"/>
  <c r="FS106" i="19" s="1"/>
  <c r="FT107" i="19" s="1"/>
  <c r="FU108" i="19" s="1"/>
  <c r="FU119" i="19" s="1"/>
  <c r="FJ151" i="19"/>
  <c r="FK152" i="19" s="1"/>
  <c r="FL153" i="19" s="1"/>
  <c r="FM154" i="19" s="1"/>
  <c r="FM165" i="19" s="1"/>
  <c r="FN151" i="19"/>
  <c r="FO152" i="19" s="1"/>
  <c r="FP153" i="19" s="1"/>
  <c r="FQ154" i="19" s="1"/>
  <c r="FV58" i="19"/>
  <c r="FV69" i="19" s="1"/>
  <c r="FZ58" i="19"/>
  <c r="FZ69" i="19" s="1"/>
  <c r="GD58" i="19"/>
  <c r="GD69" i="19" s="1"/>
  <c r="FY105" i="19"/>
  <c r="FZ106" i="19" s="1"/>
  <c r="GA107" i="19" s="1"/>
  <c r="GB108" i="19" s="1"/>
  <c r="GB119" i="19" s="1"/>
  <c r="GD105" i="19"/>
  <c r="GF106" i="19" s="1"/>
  <c r="GG107" i="19" s="1"/>
  <c r="GH108" i="19" s="1"/>
  <c r="GH119" i="19" s="1"/>
  <c r="FU151" i="19"/>
  <c r="FV152" i="19" s="1"/>
  <c r="FW153" i="19" s="1"/>
  <c r="FX154" i="19" s="1"/>
  <c r="FX165" i="19" s="1"/>
  <c r="GC151" i="19"/>
  <c r="GD152" i="19" s="1"/>
  <c r="GF153" i="19" s="1"/>
  <c r="GG154" i="19" s="1"/>
  <c r="GG165" i="19" s="1"/>
  <c r="FK15" i="19"/>
  <c r="FK26" i="19" s="1"/>
  <c r="FI151" i="19"/>
  <c r="FJ152" i="19" s="1"/>
  <c r="FK153" i="19" s="1"/>
  <c r="FL154" i="19" s="1"/>
  <c r="FL165" i="19" s="1"/>
  <c r="FM151" i="19"/>
  <c r="FN152" i="19" s="1"/>
  <c r="FO153" i="19" s="1"/>
  <c r="FP154" i="19" s="1"/>
  <c r="FP165" i="19" s="1"/>
  <c r="FO151" i="19"/>
  <c r="FP152" i="19" s="1"/>
  <c r="FX15" i="19"/>
  <c r="FX26" i="19" s="1"/>
  <c r="GP58" i="19"/>
  <c r="GP69" i="19" s="1"/>
  <c r="FY58" i="19"/>
  <c r="FY69" i="19" s="1"/>
  <c r="GT153" i="19"/>
  <c r="GU154" i="19" s="1"/>
  <c r="FM58" i="19"/>
  <c r="FM69" i="19" s="1"/>
  <c r="FZ105" i="19"/>
  <c r="GA106" i="19" s="1"/>
  <c r="GL69" i="19"/>
  <c r="GM59" i="19"/>
  <c r="GM70" i="19" s="1"/>
  <c r="FV105" i="19"/>
  <c r="FW106" i="19" s="1"/>
  <c r="FX107" i="19" s="1"/>
  <c r="FY108" i="19" s="1"/>
  <c r="FY119" i="19" s="1"/>
  <c r="FU105" i="19"/>
  <c r="FV106" i="19" s="1"/>
  <c r="FW107" i="19" s="1"/>
  <c r="FX108" i="19" s="1"/>
  <c r="FX119" i="19" s="1"/>
  <c r="FI58" i="19"/>
  <c r="FI69" i="19" s="1"/>
  <c r="FN15" i="19"/>
  <c r="FK105" i="19"/>
  <c r="FL106" i="19" s="1"/>
  <c r="FM107" i="19" s="1"/>
  <c r="FN108" i="19" s="1"/>
  <c r="FN119" i="19" s="1"/>
  <c r="GU119" i="19"/>
  <c r="GV109" i="19"/>
  <c r="GV120" i="19" s="1"/>
  <c r="GS26" i="19"/>
  <c r="GT16" i="19"/>
  <c r="GT27" i="19" s="1"/>
  <c r="GJ58" i="19"/>
  <c r="GJ69" i="19" s="1"/>
  <c r="GK58" i="19"/>
  <c r="GK69" i="19" s="1"/>
  <c r="GO15" i="19"/>
  <c r="GO26" i="19" s="1"/>
  <c r="GN15" i="19"/>
  <c r="GN26" i="19" s="1"/>
  <c r="FW151" i="19"/>
  <c r="FX152" i="19" s="1"/>
  <c r="FY153" i="19" s="1"/>
  <c r="FZ154" i="19" s="1"/>
  <c r="FZ165" i="19" s="1"/>
  <c r="GB151" i="19"/>
  <c r="GC152" i="19" s="1"/>
  <c r="GD153" i="19" s="1"/>
  <c r="GF154" i="19" s="1"/>
  <c r="GG15" i="19"/>
  <c r="GG26" i="19" s="1"/>
  <c r="GL15" i="19"/>
  <c r="GL26" i="19" s="1"/>
  <c r="GP15" i="19"/>
  <c r="GP26" i="19" s="1"/>
  <c r="GT59" i="19"/>
  <c r="GT70" i="19" s="1"/>
  <c r="GX152" i="19"/>
  <c r="GY155" i="19"/>
  <c r="GY166" i="19" s="1"/>
  <c r="HC59" i="19"/>
  <c r="HC70" i="19" s="1"/>
  <c r="GY110" i="19"/>
  <c r="GY121" i="19" s="1"/>
  <c r="GW155" i="19"/>
  <c r="GW166" i="19" s="1"/>
  <c r="HD108" i="19"/>
  <c r="HD119" i="19" s="1"/>
  <c r="HB155" i="19"/>
  <c r="HB166" i="19" s="1"/>
  <c r="HB109" i="19"/>
  <c r="HB120" i="19" s="1"/>
  <c r="HD109" i="19"/>
  <c r="HD120" i="19" s="1"/>
  <c r="GY59" i="19"/>
  <c r="GY70" i="19" s="1"/>
  <c r="HA109" i="19"/>
  <c r="HA120" i="19" s="1"/>
  <c r="HA16" i="19"/>
  <c r="HA27" i="19" s="1"/>
  <c r="HD17" i="19"/>
  <c r="HD28" i="19" s="1"/>
  <c r="GY16" i="19"/>
  <c r="GY27" i="19" s="1"/>
  <c r="HA60" i="19"/>
  <c r="HA71" i="19" s="1"/>
  <c r="HA156" i="19"/>
  <c r="HA167" i="19" s="1"/>
  <c r="HC155" i="19"/>
  <c r="HC166" i="19" s="1"/>
  <c r="GZ106" i="19"/>
  <c r="GU59" i="19"/>
  <c r="GU70" i="19" s="1"/>
  <c r="GW16" i="19"/>
  <c r="GW27" i="19" s="1"/>
  <c r="HC60" i="19"/>
  <c r="HC71" i="19" s="1"/>
  <c r="HA59" i="19"/>
  <c r="HA70" i="19" s="1"/>
  <c r="GU16" i="19"/>
  <c r="GU27" i="19" s="1"/>
  <c r="GT106" i="19"/>
  <c r="HC17" i="19"/>
  <c r="HC28" i="19" s="1"/>
  <c r="GX155" i="19"/>
  <c r="GX166" i="19" s="1"/>
  <c r="HB153" i="19"/>
  <c r="GZ109" i="19"/>
  <c r="GZ120" i="19" s="1"/>
  <c r="GW59" i="19"/>
  <c r="GW70" i="19" s="1"/>
  <c r="GW60" i="19"/>
  <c r="GW71" i="19" s="1"/>
  <c r="GN58" i="19"/>
  <c r="GN69" i="19" s="1"/>
  <c r="GJ15" i="19"/>
  <c r="GJ26" i="19" s="1"/>
  <c r="GP109" i="19"/>
  <c r="GP120" i="19" s="1"/>
  <c r="GH106" i="19"/>
  <c r="GI107" i="19" s="1"/>
  <c r="GJ108" i="19" s="1"/>
  <c r="GJ119" i="19" s="1"/>
  <c r="GL106" i="19"/>
  <c r="GM107" i="19" s="1"/>
  <c r="GN108" i="19" s="1"/>
  <c r="GN119" i="19" s="1"/>
  <c r="GP106" i="19"/>
  <c r="GQ107" i="19" s="1"/>
  <c r="GS108" i="19" s="1"/>
  <c r="GI50" i="19"/>
  <c r="GI97" i="19" s="1"/>
  <c r="GI143" i="19" s="1"/>
  <c r="GM15" i="19"/>
  <c r="GM26" i="19" s="1"/>
  <c r="GM50" i="19"/>
  <c r="GM97" i="19" s="1"/>
  <c r="GM143" i="19" s="1"/>
  <c r="GJ106" i="19"/>
  <c r="GK107" i="19" s="1"/>
  <c r="GL108" i="19" s="1"/>
  <c r="GL119" i="19" s="1"/>
  <c r="GN106" i="19"/>
  <c r="GO107" i="19" s="1"/>
  <c r="GP108" i="19" s="1"/>
  <c r="GP119" i="19" s="1"/>
  <c r="GI58" i="19"/>
  <c r="GI69" i="19" s="1"/>
  <c r="GL152" i="19"/>
  <c r="GM153" i="19" s="1"/>
  <c r="GN154" i="19" s="1"/>
  <c r="GN165" i="19" s="1"/>
  <c r="GF15" i="19"/>
  <c r="GF26" i="19" s="1"/>
  <c r="GF58" i="19"/>
  <c r="GF69" i="19" s="1"/>
  <c r="GH152" i="19"/>
  <c r="GI153" i="19" s="1"/>
  <c r="GJ154" i="19" s="1"/>
  <c r="GJ165" i="19" s="1"/>
  <c r="GP152" i="19"/>
  <c r="GQ153" i="19" s="1"/>
  <c r="GS154" i="19" s="1"/>
  <c r="GH105" i="19"/>
  <c r="GP105" i="19"/>
  <c r="GK106" i="19"/>
  <c r="GL107" i="19" s="1"/>
  <c r="GM108" i="19" s="1"/>
  <c r="GM119" i="19" s="1"/>
  <c r="GO106" i="19"/>
  <c r="GP107" i="19" s="1"/>
  <c r="GQ108" i="19" s="1"/>
  <c r="GF105" i="19"/>
  <c r="GI151" i="19"/>
  <c r="GI152" i="19"/>
  <c r="GJ153" i="19" s="1"/>
  <c r="GK154" i="19" s="1"/>
  <c r="GK165" i="19" s="1"/>
  <c r="GM151" i="19"/>
  <c r="GM152" i="19"/>
  <c r="GN153" i="19" s="1"/>
  <c r="GO154" i="19" s="1"/>
  <c r="GO165" i="19" s="1"/>
  <c r="GK152" i="19"/>
  <c r="GL153" i="19" s="1"/>
  <c r="GM154" i="19" s="1"/>
  <c r="GM165" i="19" s="1"/>
  <c r="GO152" i="19"/>
  <c r="GP153" i="19" s="1"/>
  <c r="GQ154" i="19" s="1"/>
  <c r="GQ152" i="19"/>
  <c r="GS153" i="19" s="1"/>
  <c r="GT154" i="19" s="1"/>
  <c r="GF151" i="19"/>
  <c r="GA151" i="19"/>
  <c r="GB152" i="19" s="1"/>
  <c r="GC153" i="19" s="1"/>
  <c r="GD154" i="19" s="1"/>
  <c r="GC105" i="19"/>
  <c r="GD106" i="19" s="1"/>
  <c r="GF107" i="19" s="1"/>
  <c r="GG108" i="19" s="1"/>
  <c r="GG119" i="19" s="1"/>
  <c r="FS15" i="19"/>
  <c r="FS26" i="19" s="1"/>
  <c r="FS50" i="19"/>
  <c r="FS97" i="19" s="1"/>
  <c r="FS143" i="19" s="1"/>
  <c r="FW15" i="19"/>
  <c r="FW26" i="19" s="1"/>
  <c r="FT58" i="19"/>
  <c r="FT69" i="19" s="1"/>
  <c r="FS58" i="19"/>
  <c r="FS69" i="19" s="1"/>
  <c r="FW58" i="19"/>
  <c r="FW69" i="19" s="1"/>
  <c r="FX58" i="19"/>
  <c r="FX69" i="19" s="1"/>
  <c r="GB58" i="19"/>
  <c r="GB69" i="19" s="1"/>
  <c r="GA58" i="19"/>
  <c r="GA69" i="19" s="1"/>
  <c r="GA15" i="19"/>
  <c r="GA26" i="19" s="1"/>
  <c r="FS105" i="19"/>
  <c r="FX151" i="19"/>
  <c r="FJ105" i="19"/>
  <c r="FK106" i="19" s="1"/>
  <c r="FL107" i="19" s="1"/>
  <c r="FM108" i="19" s="1"/>
  <c r="FM119" i="19" s="1"/>
  <c r="FO15" i="19"/>
  <c r="FO26" i="19" s="1"/>
  <c r="FJ50" i="19"/>
  <c r="FJ97" i="19" s="1"/>
  <c r="FJ143" i="19" s="1"/>
  <c r="FO109" i="19"/>
  <c r="FO120" i="19" s="1"/>
  <c r="FH58" i="19"/>
  <c r="FH69" i="19" s="1"/>
  <c r="FG58" i="19"/>
  <c r="FG69" i="19" s="1"/>
  <c r="FP58" i="19"/>
  <c r="FP69" i="19" s="1"/>
  <c r="FO58" i="19"/>
  <c r="FO69" i="19" s="1"/>
  <c r="FJ15" i="19"/>
  <c r="FJ26" i="19" s="1"/>
  <c r="FL58" i="19"/>
  <c r="FL69" i="19" s="1"/>
  <c r="FG105" i="19"/>
  <c r="FO105" i="19"/>
  <c r="FN59" i="19" l="1"/>
  <c r="FN70" i="19" s="1"/>
  <c r="GB176" i="19"/>
  <c r="FT130" i="19"/>
  <c r="FM130" i="19"/>
  <c r="GO176" i="19"/>
  <c r="GL130" i="19"/>
  <c r="FX176" i="19"/>
  <c r="FU130" i="19"/>
  <c r="FK130" i="19"/>
  <c r="FI130" i="19"/>
  <c r="FW176" i="19"/>
  <c r="FT176" i="19"/>
  <c r="FY176" i="19"/>
  <c r="GN176" i="19"/>
  <c r="GN130" i="19"/>
  <c r="FZ176" i="19"/>
  <c r="GU130" i="19"/>
  <c r="FX130" i="19"/>
  <c r="FL176" i="19"/>
  <c r="GH130" i="19"/>
  <c r="FP130" i="19"/>
  <c r="GH176" i="19"/>
  <c r="GF130" i="19"/>
  <c r="FN176" i="19"/>
  <c r="GM176" i="19"/>
  <c r="GP130" i="19"/>
  <c r="GG176" i="19"/>
  <c r="FM176" i="19"/>
  <c r="FO130" i="19"/>
  <c r="FU176" i="19"/>
  <c r="FP176" i="19"/>
  <c r="FZ130" i="19"/>
  <c r="FZ155" i="19"/>
  <c r="FZ166" i="19" s="1"/>
  <c r="GG130" i="19"/>
  <c r="GK176" i="19"/>
  <c r="GM130" i="19"/>
  <c r="GJ176" i="19"/>
  <c r="GJ130" i="19"/>
  <c r="HD130" i="19"/>
  <c r="FN130" i="19"/>
  <c r="FY130" i="19"/>
  <c r="GB130" i="19"/>
  <c r="FL130" i="19"/>
  <c r="FW130" i="19"/>
  <c r="FO176" i="19"/>
  <c r="FV176" i="19"/>
  <c r="GA130" i="19"/>
  <c r="FK176" i="19"/>
  <c r="GD59" i="19"/>
  <c r="GD70" i="19" s="1"/>
  <c r="GI59" i="19"/>
  <c r="GI70" i="19" s="1"/>
  <c r="FZ59" i="19"/>
  <c r="FZ70" i="19" s="1"/>
  <c r="GZ18" i="19"/>
  <c r="GZ29" i="19" s="1"/>
  <c r="GG110" i="19"/>
  <c r="GG121" i="19" s="1"/>
  <c r="GF16" i="19"/>
  <c r="HA17" i="19"/>
  <c r="HA28" i="19" s="1"/>
  <c r="GN60" i="19"/>
  <c r="GN71" i="19" s="1"/>
  <c r="FF69" i="19"/>
  <c r="GI16" i="19"/>
  <c r="GI27" i="19" s="1"/>
  <c r="GD119" i="19"/>
  <c r="FV155" i="19"/>
  <c r="FV166" i="19" s="1"/>
  <c r="FU16" i="19"/>
  <c r="FU27" i="19" s="1"/>
  <c r="GW17" i="19"/>
  <c r="GW28" i="19" s="1"/>
  <c r="FL155" i="19"/>
  <c r="FL166" i="19" s="1"/>
  <c r="FZ16" i="19"/>
  <c r="FZ27" i="19" s="1"/>
  <c r="GZ110" i="19"/>
  <c r="GZ121" i="19" s="1"/>
  <c r="FW16" i="19"/>
  <c r="FW27" i="19" s="1"/>
  <c r="FV16" i="19"/>
  <c r="FV27" i="19" s="1"/>
  <c r="FP155" i="19"/>
  <c r="FP166" i="19" s="1"/>
  <c r="GY60" i="19"/>
  <c r="GY71" i="19" s="1"/>
  <c r="FL26" i="19"/>
  <c r="GO59" i="19"/>
  <c r="GO70" i="19" s="1"/>
  <c r="FI16" i="19"/>
  <c r="FI27" i="19" s="1"/>
  <c r="GC16" i="19"/>
  <c r="GC27" i="19" s="1"/>
  <c r="FV59" i="19"/>
  <c r="FV70" i="19" s="1"/>
  <c r="GU17" i="19"/>
  <c r="GU28" i="19" s="1"/>
  <c r="GA16" i="19"/>
  <c r="GA27" i="19" s="1"/>
  <c r="GS16" i="19"/>
  <c r="GT17" i="19" s="1"/>
  <c r="GA109" i="19"/>
  <c r="GA120" i="19" s="1"/>
  <c r="FV109" i="19"/>
  <c r="FV120" i="19" s="1"/>
  <c r="FX155" i="19"/>
  <c r="FX166" i="19" s="1"/>
  <c r="FU155" i="19"/>
  <c r="FU166" i="19" s="1"/>
  <c r="FL16" i="19"/>
  <c r="FL27" i="19" s="1"/>
  <c r="GU60" i="19"/>
  <c r="GU71" i="19" s="1"/>
  <c r="GD16" i="19"/>
  <c r="GD27" i="19" s="1"/>
  <c r="GI155" i="19"/>
  <c r="GI166" i="19" s="1"/>
  <c r="FQ16" i="19"/>
  <c r="FQ27" i="19" s="1"/>
  <c r="FW59" i="19"/>
  <c r="FW70" i="19" s="1"/>
  <c r="GS59" i="19"/>
  <c r="GS70" i="19" s="1"/>
  <c r="FT28" i="19"/>
  <c r="FU18" i="19"/>
  <c r="FU29" i="19" s="1"/>
  <c r="FO70" i="19"/>
  <c r="FP60" i="19"/>
  <c r="FP71" i="19" s="1"/>
  <c r="FH16" i="19"/>
  <c r="FH27" i="19" s="1"/>
  <c r="FQ69" i="19"/>
  <c r="FL59" i="19"/>
  <c r="FL70" i="19" s="1"/>
  <c r="GA59" i="19"/>
  <c r="GA70" i="19" s="1"/>
  <c r="GQ16" i="19"/>
  <c r="GS17" i="19" s="1"/>
  <c r="FS27" i="19"/>
  <c r="FQ26" i="19"/>
  <c r="FN69" i="19"/>
  <c r="FN16" i="19"/>
  <c r="FN27" i="19" s="1"/>
  <c r="GK16" i="19"/>
  <c r="GK27" i="19" s="1"/>
  <c r="GP59" i="19"/>
  <c r="GP70" i="19" s="1"/>
  <c r="GQ59" i="19"/>
  <c r="GS60" i="19" s="1"/>
  <c r="GW110" i="19"/>
  <c r="GW121" i="19" s="1"/>
  <c r="GF59" i="19"/>
  <c r="GI109" i="19"/>
  <c r="GI120" i="19" s="1"/>
  <c r="GH59" i="19"/>
  <c r="GH70" i="19" s="1"/>
  <c r="FY16" i="19"/>
  <c r="FY27" i="19" s="1"/>
  <c r="GK59" i="19"/>
  <c r="GK70" i="19" s="1"/>
  <c r="GP16" i="19"/>
  <c r="GP27" i="19" s="1"/>
  <c r="GI26" i="19"/>
  <c r="FK59" i="19"/>
  <c r="FK70" i="19" s="1"/>
  <c r="FP16" i="19"/>
  <c r="FP27" i="19" s="1"/>
  <c r="FJ16" i="19"/>
  <c r="FJ27" i="19" s="1"/>
  <c r="FT60" i="19"/>
  <c r="FT71" i="19" s="1"/>
  <c r="GK17" i="19"/>
  <c r="GK28" i="19" s="1"/>
  <c r="GH16" i="19"/>
  <c r="GH27" i="19" s="1"/>
  <c r="FM27" i="19"/>
  <c r="FN17" i="19"/>
  <c r="FN28" i="19" s="1"/>
  <c r="FG70" i="19"/>
  <c r="FH60" i="19"/>
  <c r="FH71" i="19" s="1"/>
  <c r="GN59" i="19"/>
  <c r="GN70" i="19" s="1"/>
  <c r="GL16" i="19"/>
  <c r="GL27" i="19" s="1"/>
  <c r="FJ59" i="19"/>
  <c r="FJ70" i="19" s="1"/>
  <c r="FU109" i="19"/>
  <c r="FU120" i="19" s="1"/>
  <c r="GG109" i="19"/>
  <c r="GG120" i="19" s="1"/>
  <c r="GD165" i="19"/>
  <c r="GF155" i="19"/>
  <c r="GH109" i="19"/>
  <c r="GH120" i="19" s="1"/>
  <c r="GH155" i="19"/>
  <c r="GH166" i="19" s="1"/>
  <c r="GM16" i="19"/>
  <c r="GM27" i="19" s="1"/>
  <c r="GU165" i="19"/>
  <c r="GV155" i="19"/>
  <c r="GQ165" i="19"/>
  <c r="GS155" i="19"/>
  <c r="GF60" i="19"/>
  <c r="GS109" i="19"/>
  <c r="GQ119" i="19"/>
  <c r="GH111" i="19"/>
  <c r="GH122" i="19" s="1"/>
  <c r="GT155" i="19"/>
  <c r="GS165" i="19"/>
  <c r="GL59" i="19"/>
  <c r="GL70" i="19" s="1"/>
  <c r="GG155" i="19"/>
  <c r="GF165" i="19"/>
  <c r="FS109" i="19"/>
  <c r="FQ119" i="19"/>
  <c r="FQ165" i="19"/>
  <c r="FS155" i="19"/>
  <c r="GT165" i="19"/>
  <c r="GU155" i="19"/>
  <c r="GO16" i="19"/>
  <c r="GO27" i="19" s="1"/>
  <c r="GS119" i="19"/>
  <c r="GT109" i="19"/>
  <c r="GG17" i="19"/>
  <c r="GF27" i="19"/>
  <c r="FO16" i="19"/>
  <c r="FN26" i="19"/>
  <c r="FJ155" i="19"/>
  <c r="FI165" i="19"/>
  <c r="HC154" i="19"/>
  <c r="HC165" i="19" s="1"/>
  <c r="GY156" i="19"/>
  <c r="GY167" i="19" s="1"/>
  <c r="HB18" i="19"/>
  <c r="HB29" i="19" s="1"/>
  <c r="GU107" i="19"/>
  <c r="HD61" i="19"/>
  <c r="HD72" i="19" s="1"/>
  <c r="GX17" i="19"/>
  <c r="GX28" i="19" s="1"/>
  <c r="GV60" i="19"/>
  <c r="GV71" i="19" s="1"/>
  <c r="GX156" i="19"/>
  <c r="GX167" i="19" s="1"/>
  <c r="GY153" i="19"/>
  <c r="GX60" i="19"/>
  <c r="GX71" i="19" s="1"/>
  <c r="GV17" i="19"/>
  <c r="GV28" i="19" s="1"/>
  <c r="HD156" i="19"/>
  <c r="HD167" i="19" s="1"/>
  <c r="HB17" i="19"/>
  <c r="HB28" i="19" s="1"/>
  <c r="HA110" i="19"/>
  <c r="HA121" i="19" s="1"/>
  <c r="HB157" i="19"/>
  <c r="HB168" i="19" s="1"/>
  <c r="HB61" i="19"/>
  <c r="HB72" i="19" s="1"/>
  <c r="GZ60" i="19"/>
  <c r="GZ71" i="19" s="1"/>
  <c r="HC110" i="19"/>
  <c r="HC121" i="19" s="1"/>
  <c r="GZ156" i="19"/>
  <c r="GZ167" i="19" s="1"/>
  <c r="GX61" i="19"/>
  <c r="GX72" i="19" s="1"/>
  <c r="HD18" i="19"/>
  <c r="HD29" i="19" s="1"/>
  <c r="HB60" i="19"/>
  <c r="HB71" i="19" s="1"/>
  <c r="GZ17" i="19"/>
  <c r="GZ28" i="19" s="1"/>
  <c r="HC156" i="19"/>
  <c r="HC167" i="19" s="1"/>
  <c r="HA107" i="19"/>
  <c r="HB110" i="19"/>
  <c r="HB121" i="19" s="1"/>
  <c r="GZ111" i="19"/>
  <c r="GZ122" i="19" s="1"/>
  <c r="HD60" i="19"/>
  <c r="HD71" i="19" s="1"/>
  <c r="GI106" i="19"/>
  <c r="GO155" i="19"/>
  <c r="GO166" i="19" s="1"/>
  <c r="GM109" i="19"/>
  <c r="GM120" i="19" s="1"/>
  <c r="GG152" i="19"/>
  <c r="GL155" i="19"/>
  <c r="GL166" i="19" s="1"/>
  <c r="GG106" i="19"/>
  <c r="GJ60" i="19"/>
  <c r="GJ71" i="19" s="1"/>
  <c r="GQ109" i="19"/>
  <c r="GO109" i="19"/>
  <c r="GO120" i="19" s="1"/>
  <c r="GP155" i="19"/>
  <c r="GP166" i="19" s="1"/>
  <c r="GK155" i="19"/>
  <c r="GK166" i="19" s="1"/>
  <c r="GN16" i="19"/>
  <c r="GN27" i="19" s="1"/>
  <c r="GK109" i="19"/>
  <c r="GK120" i="19" s="1"/>
  <c r="GN152" i="19"/>
  <c r="GN109" i="19"/>
  <c r="GN120" i="19" s="1"/>
  <c r="GN155" i="19"/>
  <c r="GN166" i="19" s="1"/>
  <c r="GJ152" i="19"/>
  <c r="GQ106" i="19"/>
  <c r="GS107" i="19" s="1"/>
  <c r="GG59" i="19"/>
  <c r="GG70" i="19" s="1"/>
  <c r="GG16" i="19"/>
  <c r="GG27" i="19" s="1"/>
  <c r="GJ59" i="19"/>
  <c r="GJ70" i="19" s="1"/>
  <c r="GJ17" i="19"/>
  <c r="GJ28" i="19" s="1"/>
  <c r="GQ110" i="19"/>
  <c r="GA155" i="19"/>
  <c r="GA166" i="19" s="1"/>
  <c r="FT106" i="19"/>
  <c r="GC109" i="19"/>
  <c r="GC120" i="19" s="1"/>
  <c r="GA60" i="19"/>
  <c r="GA71" i="19" s="1"/>
  <c r="GB59" i="19"/>
  <c r="GB70" i="19" s="1"/>
  <c r="FT59" i="19"/>
  <c r="FT70" i="19" s="1"/>
  <c r="FZ109" i="19"/>
  <c r="FZ120" i="19" s="1"/>
  <c r="FY152" i="19"/>
  <c r="GC155" i="19"/>
  <c r="GC166" i="19" s="1"/>
  <c r="GB107" i="19"/>
  <c r="FX109" i="19"/>
  <c r="FX120" i="19" s="1"/>
  <c r="GC59" i="19"/>
  <c r="GC70" i="19" s="1"/>
  <c r="FU59" i="19"/>
  <c r="FU70" i="19" s="1"/>
  <c r="GB153" i="19"/>
  <c r="FY109" i="19"/>
  <c r="FY120" i="19" s="1"/>
  <c r="FY59" i="19"/>
  <c r="FY70" i="19" s="1"/>
  <c r="FX16" i="19"/>
  <c r="FX27" i="19" s="1"/>
  <c r="FT16" i="19"/>
  <c r="FT27" i="19" s="1"/>
  <c r="FY155" i="19"/>
  <c r="FY166" i="19" s="1"/>
  <c r="FW155" i="19"/>
  <c r="FW166" i="19" s="1"/>
  <c r="GA156" i="19"/>
  <c r="GA167" i="19" s="1"/>
  <c r="GB109" i="19"/>
  <c r="GB120" i="19" s="1"/>
  <c r="GB16" i="19"/>
  <c r="GB27" i="19" s="1"/>
  <c r="FX59" i="19"/>
  <c r="FX70" i="19" s="1"/>
  <c r="FI59" i="19"/>
  <c r="FI70" i="19" s="1"/>
  <c r="FP106" i="19"/>
  <c r="FP59" i="19"/>
  <c r="FP70" i="19" s="1"/>
  <c r="FN155" i="19"/>
  <c r="FN166" i="19" s="1"/>
  <c r="FH106" i="19"/>
  <c r="FO60" i="19"/>
  <c r="FO71" i="19" s="1"/>
  <c r="FP109" i="19"/>
  <c r="FP120" i="19" s="1"/>
  <c r="FM59" i="19"/>
  <c r="FM70" i="19" s="1"/>
  <c r="FK16" i="19"/>
  <c r="FK27" i="19" s="1"/>
  <c r="FQ59" i="19"/>
  <c r="FP110" i="19"/>
  <c r="FP121" i="19" s="1"/>
  <c r="FO155" i="19"/>
  <c r="FO166" i="19" s="1"/>
  <c r="FM155" i="19"/>
  <c r="FM166" i="19" s="1"/>
  <c r="FQ109" i="19"/>
  <c r="FQ153" i="19"/>
  <c r="FS154" i="19" s="1"/>
  <c r="FI153" i="19"/>
  <c r="FQ155" i="19"/>
  <c r="FM109" i="19"/>
  <c r="FM120" i="19" s="1"/>
  <c r="FJ109" i="19"/>
  <c r="FJ120" i="19" s="1"/>
  <c r="FL109" i="19"/>
  <c r="FL120" i="19" s="1"/>
  <c r="FN109" i="19"/>
  <c r="FN120" i="19" s="1"/>
  <c r="FH59" i="19"/>
  <c r="FQ130" i="19" l="1"/>
  <c r="GQ130" i="19"/>
  <c r="GD176" i="19"/>
  <c r="HA111" i="19"/>
  <c r="HA122" i="19" s="1"/>
  <c r="HC176" i="19"/>
  <c r="GF176" i="19"/>
  <c r="GQ176" i="19"/>
  <c r="GD130" i="19"/>
  <c r="GU176" i="19"/>
  <c r="GQ27" i="19"/>
  <c r="GD17" i="19"/>
  <c r="GF18" i="19" s="1"/>
  <c r="FI176" i="19"/>
  <c r="FQ176" i="19"/>
  <c r="FW156" i="19"/>
  <c r="FW167" i="19" s="1"/>
  <c r="FQ156" i="19"/>
  <c r="FS157" i="19" s="1"/>
  <c r="GA17" i="19"/>
  <c r="GA28" i="19" s="1"/>
  <c r="GO61" i="19"/>
  <c r="GO72" i="19" s="1"/>
  <c r="HA19" i="19"/>
  <c r="HA30" i="19" s="1"/>
  <c r="GI60" i="19"/>
  <c r="GI71" i="19" s="1"/>
  <c r="FM156" i="19"/>
  <c r="FM167" i="19" s="1"/>
  <c r="GF17" i="19"/>
  <c r="GG18" i="19" s="1"/>
  <c r="GT60" i="19"/>
  <c r="GU61" i="19" s="1"/>
  <c r="GO60" i="19"/>
  <c r="GO71" i="19" s="1"/>
  <c r="FW17" i="19"/>
  <c r="FW28" i="19" s="1"/>
  <c r="GS27" i="19"/>
  <c r="FJ17" i="19"/>
  <c r="FJ28" i="19" s="1"/>
  <c r="FV17" i="19"/>
  <c r="FV28" i="19" s="1"/>
  <c r="FV156" i="19"/>
  <c r="FV167" i="19" s="1"/>
  <c r="GZ61" i="19"/>
  <c r="GZ72" i="19" s="1"/>
  <c r="GX18" i="19"/>
  <c r="GX29" i="19" s="1"/>
  <c r="FX17" i="19"/>
  <c r="FX28" i="19" s="1"/>
  <c r="FQ61" i="19"/>
  <c r="FQ72" i="19" s="1"/>
  <c r="FY156" i="19"/>
  <c r="FY167" i="19" s="1"/>
  <c r="GB17" i="19"/>
  <c r="GB28" i="19" s="1"/>
  <c r="GP60" i="19"/>
  <c r="GP71" i="19" s="1"/>
  <c r="FM17" i="19"/>
  <c r="FM28" i="19" s="1"/>
  <c r="FW60" i="19"/>
  <c r="FW71" i="19" s="1"/>
  <c r="GB110" i="19"/>
  <c r="GB121" i="19" s="1"/>
  <c r="FO17" i="19"/>
  <c r="FO28" i="19" s="1"/>
  <c r="FS17" i="19"/>
  <c r="FT18" i="19" s="1"/>
  <c r="GM17" i="19"/>
  <c r="GM28" i="19" s="1"/>
  <c r="FL60" i="19"/>
  <c r="FL71" i="19" s="1"/>
  <c r="FV19" i="19"/>
  <c r="FV30" i="19" s="1"/>
  <c r="FZ17" i="19"/>
  <c r="FZ28" i="19" s="1"/>
  <c r="GX111" i="19"/>
  <c r="GX122" i="19" s="1"/>
  <c r="FO18" i="19"/>
  <c r="FO29" i="19" s="1"/>
  <c r="GV18" i="19"/>
  <c r="GV29" i="19" s="1"/>
  <c r="GI112" i="19"/>
  <c r="GI123" i="19" s="1"/>
  <c r="FM60" i="19"/>
  <c r="FM71" i="19" s="1"/>
  <c r="FX60" i="19"/>
  <c r="FX71" i="19" s="1"/>
  <c r="FW110" i="19"/>
  <c r="FW121" i="19" s="1"/>
  <c r="GV61" i="19"/>
  <c r="GV72" i="19" s="1"/>
  <c r="GQ70" i="19"/>
  <c r="GI156" i="19"/>
  <c r="GI167" i="19" s="1"/>
  <c r="FI17" i="19"/>
  <c r="FI28" i="19" s="1"/>
  <c r="FU61" i="19"/>
  <c r="FU72" i="19" s="1"/>
  <c r="GH110" i="19"/>
  <c r="GH121" i="19" s="1"/>
  <c r="GJ156" i="19"/>
  <c r="GJ167" i="19" s="1"/>
  <c r="GI17" i="19"/>
  <c r="GI28" i="19" s="1"/>
  <c r="GF70" i="19"/>
  <c r="GG60" i="19"/>
  <c r="FI61" i="19"/>
  <c r="FI72" i="19" s="1"/>
  <c r="GB60" i="19"/>
  <c r="GB71" i="19" s="1"/>
  <c r="GQ17" i="19"/>
  <c r="GS18" i="19" s="1"/>
  <c r="GQ60" i="19"/>
  <c r="GS61" i="19" s="1"/>
  <c r="GI110" i="19"/>
  <c r="GI121" i="19" s="1"/>
  <c r="FK17" i="19"/>
  <c r="FK28" i="19" s="1"/>
  <c r="GL17" i="19"/>
  <c r="GL28" i="19" s="1"/>
  <c r="GJ110" i="19"/>
  <c r="GJ121" i="19" s="1"/>
  <c r="FQ17" i="19"/>
  <c r="FS18" i="19" s="1"/>
  <c r="GL60" i="19"/>
  <c r="GL71" i="19" s="1"/>
  <c r="GL18" i="19"/>
  <c r="GL29" i="19" s="1"/>
  <c r="FK60" i="19"/>
  <c r="FK71" i="19" s="1"/>
  <c r="GP17" i="19"/>
  <c r="GP28" i="19" s="1"/>
  <c r="FV110" i="19"/>
  <c r="FV121" i="19" s="1"/>
  <c r="GS110" i="19"/>
  <c r="GQ120" i="19"/>
  <c r="FO27" i="19"/>
  <c r="FP17" i="19"/>
  <c r="GT28" i="19"/>
  <c r="GU18" i="19"/>
  <c r="FS166" i="19"/>
  <c r="FT156" i="19"/>
  <c r="GT166" i="19"/>
  <c r="GU156" i="19"/>
  <c r="GT71" i="19"/>
  <c r="GG156" i="19"/>
  <c r="GF166" i="19"/>
  <c r="FH70" i="19"/>
  <c r="GM60" i="19"/>
  <c r="GM71" i="19" s="1"/>
  <c r="FJ166" i="19"/>
  <c r="FK156" i="19"/>
  <c r="GT120" i="19"/>
  <c r="GU110" i="19"/>
  <c r="GT176" i="19"/>
  <c r="GF71" i="19"/>
  <c r="GG61" i="19"/>
  <c r="GU166" i="19"/>
  <c r="GV156" i="19"/>
  <c r="GD28" i="19"/>
  <c r="GS111" i="19"/>
  <c r="GQ121" i="19"/>
  <c r="GN17" i="19"/>
  <c r="GN28" i="19" s="1"/>
  <c r="GG28" i="19"/>
  <c r="GH18" i="19"/>
  <c r="GS130" i="19"/>
  <c r="GS28" i="19"/>
  <c r="GT18" i="19"/>
  <c r="GS166" i="19"/>
  <c r="GT156" i="19"/>
  <c r="GV166" i="19"/>
  <c r="GW156" i="19"/>
  <c r="FS156" i="19"/>
  <c r="FQ166" i="19"/>
  <c r="FT155" i="19"/>
  <c r="FS165" i="19"/>
  <c r="FQ120" i="19"/>
  <c r="FS110" i="19"/>
  <c r="FS60" i="19"/>
  <c r="FQ70" i="19"/>
  <c r="GT108" i="19"/>
  <c r="FS120" i="19"/>
  <c r="FT110" i="19"/>
  <c r="GG166" i="19"/>
  <c r="GH156" i="19"/>
  <c r="GS176" i="19"/>
  <c r="GS120" i="19"/>
  <c r="GT110" i="19"/>
  <c r="GS71" i="19"/>
  <c r="GT61" i="19"/>
  <c r="HC111" i="19"/>
  <c r="HC122" i="19" s="1"/>
  <c r="GY62" i="19"/>
  <c r="GY73" i="19" s="1"/>
  <c r="GZ154" i="19"/>
  <c r="GZ165" i="19" s="1"/>
  <c r="GY157" i="19"/>
  <c r="GY168" i="19" s="1"/>
  <c r="GY18" i="19"/>
  <c r="GY29" i="19" s="1"/>
  <c r="HC19" i="19"/>
  <c r="HC30" i="19" s="1"/>
  <c r="HA112" i="19"/>
  <c r="HA123" i="19" s="1"/>
  <c r="HB108" i="19"/>
  <c r="HB119" i="19" s="1"/>
  <c r="HA18" i="19"/>
  <c r="HA29" i="19" s="1"/>
  <c r="HA61" i="19"/>
  <c r="HA72" i="19" s="1"/>
  <c r="HD155" i="19"/>
  <c r="HD166" i="19" s="1"/>
  <c r="HD111" i="19"/>
  <c r="HD122" i="19" s="1"/>
  <c r="HB111" i="19"/>
  <c r="HB122" i="19" s="1"/>
  <c r="HC18" i="19"/>
  <c r="HC29" i="19" s="1"/>
  <c r="GY61" i="19"/>
  <c r="GY72" i="19" s="1"/>
  <c r="GW61" i="19"/>
  <c r="GW72" i="19" s="1"/>
  <c r="HD157" i="19"/>
  <c r="HD168" i="19" s="1"/>
  <c r="HC61" i="19"/>
  <c r="HC72" i="19" s="1"/>
  <c r="HA157" i="19"/>
  <c r="HA168" i="19" s="1"/>
  <c r="HC62" i="19"/>
  <c r="HC73" i="19" s="1"/>
  <c r="HC158" i="19"/>
  <c r="HC169" i="19" s="1"/>
  <c r="GW18" i="19"/>
  <c r="GW29" i="19" s="1"/>
  <c r="GV108" i="19"/>
  <c r="GV119" i="19" s="1"/>
  <c r="GZ157" i="19"/>
  <c r="GZ168" i="19" s="1"/>
  <c r="GP156" i="19"/>
  <c r="GP167" i="19" s="1"/>
  <c r="GO156" i="19"/>
  <c r="GO167" i="19" s="1"/>
  <c r="GH153" i="19"/>
  <c r="GN110" i="19"/>
  <c r="GN121" i="19" s="1"/>
  <c r="GJ107" i="19"/>
  <c r="GK153" i="19"/>
  <c r="GO153" i="19"/>
  <c r="GK61" i="19"/>
  <c r="GK72" i="19" s="1"/>
  <c r="GM156" i="19"/>
  <c r="GM167" i="19" s="1"/>
  <c r="GK60" i="19"/>
  <c r="GK71" i="19" s="1"/>
  <c r="GH17" i="19"/>
  <c r="GH28" i="19" s="1"/>
  <c r="GL156" i="19"/>
  <c r="GL167" i="19" s="1"/>
  <c r="GK18" i="19"/>
  <c r="GK29" i="19" s="1"/>
  <c r="GH60" i="19"/>
  <c r="GH71" i="19" s="1"/>
  <c r="GO110" i="19"/>
  <c r="GO121" i="19" s="1"/>
  <c r="GL110" i="19"/>
  <c r="GL121" i="19" s="1"/>
  <c r="GO17" i="19"/>
  <c r="GO28" i="19" s="1"/>
  <c r="GQ156" i="19"/>
  <c r="GP110" i="19"/>
  <c r="GP121" i="19" s="1"/>
  <c r="GH107" i="19"/>
  <c r="FX156" i="19"/>
  <c r="FX167" i="19" s="1"/>
  <c r="FY60" i="19"/>
  <c r="FY71" i="19" s="1"/>
  <c r="GC110" i="19"/>
  <c r="GC121" i="19" s="1"/>
  <c r="FZ60" i="19"/>
  <c r="FZ71" i="19" s="1"/>
  <c r="GC154" i="19"/>
  <c r="GC165" i="19" s="1"/>
  <c r="FV60" i="19"/>
  <c r="FV71" i="19" s="1"/>
  <c r="FZ153" i="19"/>
  <c r="FU60" i="19"/>
  <c r="FU71" i="19" s="1"/>
  <c r="GD110" i="19"/>
  <c r="GC17" i="19"/>
  <c r="GC28" i="19" s="1"/>
  <c r="GB157" i="19"/>
  <c r="GB168" i="19" s="1"/>
  <c r="FZ156" i="19"/>
  <c r="FZ167" i="19" s="1"/>
  <c r="GC108" i="19"/>
  <c r="GC119" i="19" s="1"/>
  <c r="GA110" i="19"/>
  <c r="GA121" i="19" s="1"/>
  <c r="FY17" i="19"/>
  <c r="FY28" i="19" s="1"/>
  <c r="FY110" i="19"/>
  <c r="FY121" i="19" s="1"/>
  <c r="GD156" i="19"/>
  <c r="GC60" i="19"/>
  <c r="GC71" i="19" s="1"/>
  <c r="GB61" i="19"/>
  <c r="GB72" i="19" s="1"/>
  <c r="FU17" i="19"/>
  <c r="FU28" i="19" s="1"/>
  <c r="FZ110" i="19"/>
  <c r="FZ121" i="19" s="1"/>
  <c r="GD60" i="19"/>
  <c r="FU107" i="19"/>
  <c r="GB156" i="19"/>
  <c r="GB167" i="19" s="1"/>
  <c r="FK110" i="19"/>
  <c r="FK121" i="19" s="1"/>
  <c r="FP156" i="19"/>
  <c r="FP167" i="19" s="1"/>
  <c r="FN60" i="19"/>
  <c r="FN71" i="19" s="1"/>
  <c r="FQ60" i="19"/>
  <c r="FJ60" i="19"/>
  <c r="FJ71" i="19" s="1"/>
  <c r="FI107" i="19"/>
  <c r="FQ107" i="19"/>
  <c r="FS108" i="19" s="1"/>
  <c r="FI60" i="19"/>
  <c r="FL17" i="19"/>
  <c r="FL28" i="19" s="1"/>
  <c r="FQ110" i="19"/>
  <c r="FO110" i="19"/>
  <c r="FO121" i="19" s="1"/>
  <c r="FM110" i="19"/>
  <c r="FM121" i="19" s="1"/>
  <c r="FN110" i="19"/>
  <c r="FN121" i="19" s="1"/>
  <c r="FJ154" i="19"/>
  <c r="FJ165" i="19" s="1"/>
  <c r="FN156" i="19"/>
  <c r="FN167" i="19" s="1"/>
  <c r="FQ111" i="19"/>
  <c r="FP61" i="19"/>
  <c r="FP72" i="19" s="1"/>
  <c r="FO156" i="19"/>
  <c r="FO167" i="19" s="1"/>
  <c r="GJ61" i="19" l="1"/>
  <c r="GJ72" i="19" s="1"/>
  <c r="FQ167" i="19"/>
  <c r="GB18" i="19"/>
  <c r="GB29" i="19" s="1"/>
  <c r="FN157" i="19"/>
  <c r="FN168" i="19" s="1"/>
  <c r="FX18" i="19"/>
  <c r="FX29" i="19" s="1"/>
  <c r="GA18" i="19"/>
  <c r="GA29" i="19" s="1"/>
  <c r="HB20" i="19"/>
  <c r="HB31" i="19" s="1"/>
  <c r="GZ176" i="19"/>
  <c r="FJ176" i="19"/>
  <c r="GV130" i="19"/>
  <c r="HB112" i="19"/>
  <c r="HB123" i="19" s="1"/>
  <c r="HB130" i="19"/>
  <c r="FX157" i="19"/>
  <c r="FX168" i="19" s="1"/>
  <c r="GC130" i="19"/>
  <c r="GC176" i="19"/>
  <c r="HA62" i="19"/>
  <c r="HA73" i="19" s="1"/>
  <c r="GF28" i="19"/>
  <c r="FZ157" i="19"/>
  <c r="FZ168" i="19" s="1"/>
  <c r="FW18" i="19"/>
  <c r="FW29" i="19" s="1"/>
  <c r="FP18" i="19"/>
  <c r="FP29" i="19" s="1"/>
  <c r="GP62" i="19"/>
  <c r="GP73" i="19" s="1"/>
  <c r="GP61" i="19"/>
  <c r="GP72" i="19" s="1"/>
  <c r="FK18" i="19"/>
  <c r="FK29" i="19" s="1"/>
  <c r="GY19" i="19"/>
  <c r="GY30" i="19" s="1"/>
  <c r="FN18" i="19"/>
  <c r="FN29" i="19" s="1"/>
  <c r="FW157" i="19"/>
  <c r="FW168" i="19" s="1"/>
  <c r="GW19" i="19"/>
  <c r="GW30" i="19" s="1"/>
  <c r="FS62" i="19"/>
  <c r="FT63" i="19" s="1"/>
  <c r="GQ61" i="19"/>
  <c r="GQ72" i="19" s="1"/>
  <c r="FW20" i="19"/>
  <c r="FW31" i="19" s="1"/>
  <c r="FX111" i="19"/>
  <c r="FX122" i="19" s="1"/>
  <c r="FY18" i="19"/>
  <c r="FN61" i="19"/>
  <c r="FN72" i="19" s="1"/>
  <c r="GC18" i="19"/>
  <c r="GC29" i="19" s="1"/>
  <c r="GN18" i="19"/>
  <c r="GN29" i="19" s="1"/>
  <c r="GY112" i="19"/>
  <c r="GY123" i="19" s="1"/>
  <c r="GM18" i="19"/>
  <c r="GM29" i="19" s="1"/>
  <c r="GJ113" i="19"/>
  <c r="GJ124" i="19" s="1"/>
  <c r="FS28" i="19"/>
  <c r="FX61" i="19"/>
  <c r="FX72" i="19" s="1"/>
  <c r="FM61" i="19"/>
  <c r="FM72" i="19" s="1"/>
  <c r="GC111" i="19"/>
  <c r="GC122" i="19" s="1"/>
  <c r="FP19" i="19"/>
  <c r="FQ20" i="19" s="1"/>
  <c r="GM19" i="19"/>
  <c r="GM30" i="19" s="1"/>
  <c r="GW62" i="19"/>
  <c r="GW73" i="19" s="1"/>
  <c r="GQ28" i="19"/>
  <c r="FV62" i="19"/>
  <c r="FV73" i="19" s="1"/>
  <c r="GI111" i="19"/>
  <c r="GI122" i="19" s="1"/>
  <c r="GK111" i="19"/>
  <c r="GK122" i="19" s="1"/>
  <c r="FY61" i="19"/>
  <c r="FY72" i="19" s="1"/>
  <c r="GQ71" i="19"/>
  <c r="GJ157" i="19"/>
  <c r="GJ168" i="19" s="1"/>
  <c r="FQ28" i="19"/>
  <c r="FJ62" i="19"/>
  <c r="FJ73" i="19" s="1"/>
  <c r="GK157" i="19"/>
  <c r="GK168" i="19" s="1"/>
  <c r="FL18" i="19"/>
  <c r="FL29" i="19" s="1"/>
  <c r="GC61" i="19"/>
  <c r="GC72" i="19" s="1"/>
  <c r="FW111" i="19"/>
  <c r="FW122" i="19" s="1"/>
  <c r="FJ18" i="19"/>
  <c r="FJ29" i="19" s="1"/>
  <c r="GM61" i="19"/>
  <c r="GM72" i="19" s="1"/>
  <c r="GJ18" i="19"/>
  <c r="GJ29" i="19" s="1"/>
  <c r="GQ18" i="19"/>
  <c r="GQ29" i="19" s="1"/>
  <c r="GG71" i="19"/>
  <c r="GH61" i="19"/>
  <c r="FL61" i="19"/>
  <c r="FL72" i="19" s="1"/>
  <c r="GJ111" i="19"/>
  <c r="GJ122" i="19" s="1"/>
  <c r="GO18" i="19"/>
  <c r="GO29" i="19" s="1"/>
  <c r="GQ167" i="19"/>
  <c r="GS157" i="19"/>
  <c r="GT121" i="19"/>
  <c r="GU111" i="19"/>
  <c r="GT119" i="19"/>
  <c r="GU109" i="19"/>
  <c r="GG19" i="19"/>
  <c r="GF29" i="19"/>
  <c r="GU121" i="19"/>
  <c r="GV111" i="19"/>
  <c r="FP28" i="19"/>
  <c r="FQ18" i="19"/>
  <c r="GD121" i="19"/>
  <c r="GF111" i="19"/>
  <c r="GS19" i="19"/>
  <c r="GH167" i="19"/>
  <c r="GI157" i="19"/>
  <c r="FT29" i="19"/>
  <c r="FU19" i="19"/>
  <c r="GT29" i="19"/>
  <c r="GU19" i="19"/>
  <c r="GG167" i="19"/>
  <c r="GH157" i="19"/>
  <c r="GU167" i="19"/>
  <c r="GV157" i="19"/>
  <c r="GS62" i="19"/>
  <c r="FT19" i="19"/>
  <c r="FS29" i="19"/>
  <c r="FI71" i="19"/>
  <c r="GF157" i="19"/>
  <c r="GD167" i="19"/>
  <c r="GT72" i="19"/>
  <c r="GU62" i="19"/>
  <c r="GG29" i="19"/>
  <c r="GH19" i="19"/>
  <c r="GS72" i="19"/>
  <c r="GT62" i="19"/>
  <c r="FS71" i="19"/>
  <c r="FT61" i="19"/>
  <c r="FS176" i="19"/>
  <c r="GH29" i="19"/>
  <c r="GI19" i="19"/>
  <c r="GS29" i="19"/>
  <c r="GT19" i="19"/>
  <c r="FK167" i="19"/>
  <c r="FL157" i="19"/>
  <c r="GU29" i="19"/>
  <c r="GV19" i="19"/>
  <c r="GW167" i="19"/>
  <c r="GX157" i="19"/>
  <c r="FS112" i="19"/>
  <c r="FQ122" i="19"/>
  <c r="FS119" i="19"/>
  <c r="FT109" i="19"/>
  <c r="FS111" i="19"/>
  <c r="FQ121" i="19"/>
  <c r="FS61" i="19"/>
  <c r="FQ71" i="19"/>
  <c r="GF61" i="19"/>
  <c r="GD71" i="19"/>
  <c r="GN61" i="19"/>
  <c r="GN72" i="19" s="1"/>
  <c r="FT121" i="19"/>
  <c r="FU111" i="19"/>
  <c r="FT158" i="19"/>
  <c r="FS168" i="19"/>
  <c r="FS121" i="19"/>
  <c r="FT111" i="19"/>
  <c r="FT166" i="19"/>
  <c r="FU156" i="19"/>
  <c r="FS167" i="19"/>
  <c r="FT157" i="19"/>
  <c r="GT167" i="19"/>
  <c r="GU157" i="19"/>
  <c r="GS122" i="19"/>
  <c r="GT112" i="19"/>
  <c r="GV167" i="19"/>
  <c r="GW157" i="19"/>
  <c r="GG72" i="19"/>
  <c r="GH62" i="19"/>
  <c r="GU72" i="19"/>
  <c r="GV62" i="19"/>
  <c r="FT167" i="19"/>
  <c r="FU157" i="19"/>
  <c r="GS121" i="19"/>
  <c r="GT111" i="19"/>
  <c r="HD62" i="19"/>
  <c r="HD73" i="19" s="1"/>
  <c r="HC109" i="19"/>
  <c r="HC120" i="19" s="1"/>
  <c r="GW109" i="19"/>
  <c r="GW120" i="19" s="1"/>
  <c r="GX19" i="19"/>
  <c r="GX30" i="19" s="1"/>
  <c r="HD63" i="19"/>
  <c r="HD74" i="19" s="1"/>
  <c r="GX62" i="19"/>
  <c r="GX73" i="19" s="1"/>
  <c r="HC112" i="19"/>
  <c r="HC123" i="19" s="1"/>
  <c r="HB19" i="19"/>
  <c r="HB30" i="19" s="1"/>
  <c r="GZ19" i="19"/>
  <c r="GZ30" i="19" s="1"/>
  <c r="HA155" i="19"/>
  <c r="HA166" i="19" s="1"/>
  <c r="GZ62" i="19"/>
  <c r="GZ73" i="19" s="1"/>
  <c r="HB113" i="19"/>
  <c r="HB124" i="19" s="1"/>
  <c r="HD20" i="19"/>
  <c r="HD31" i="19" s="1"/>
  <c r="GZ63" i="19"/>
  <c r="GZ74" i="19" s="1"/>
  <c r="HD159" i="19"/>
  <c r="HD170" i="19" s="1"/>
  <c r="HA158" i="19"/>
  <c r="HA169" i="19" s="1"/>
  <c r="HB158" i="19"/>
  <c r="HB169" i="19" s="1"/>
  <c r="HD19" i="19"/>
  <c r="HD30" i="19" s="1"/>
  <c r="HB62" i="19"/>
  <c r="HB73" i="19" s="1"/>
  <c r="GZ158" i="19"/>
  <c r="GZ169" i="19" s="1"/>
  <c r="HD112" i="19"/>
  <c r="HD123" i="19" s="1"/>
  <c r="GI108" i="19"/>
  <c r="GI119" i="19" s="1"/>
  <c r="GI18" i="19"/>
  <c r="GI29" i="19" s="1"/>
  <c r="GM157" i="19"/>
  <c r="GM168" i="19" s="1"/>
  <c r="GQ63" i="19"/>
  <c r="GL154" i="19"/>
  <c r="GL165" i="19" s="1"/>
  <c r="GO111" i="19"/>
  <c r="GO122" i="19" s="1"/>
  <c r="GI154" i="19"/>
  <c r="GI165" i="19" s="1"/>
  <c r="GP111" i="19"/>
  <c r="GP122" i="19" s="1"/>
  <c r="GQ157" i="19"/>
  <c r="GK62" i="19"/>
  <c r="GK73" i="19" s="1"/>
  <c r="GQ111" i="19"/>
  <c r="GP18" i="19"/>
  <c r="GP29" i="19" s="1"/>
  <c r="GI61" i="19"/>
  <c r="GI72" i="19" s="1"/>
  <c r="GL19" i="19"/>
  <c r="GL30" i="19" s="1"/>
  <c r="GL61" i="19"/>
  <c r="GL72" i="19" s="1"/>
  <c r="GK108" i="19"/>
  <c r="GK119" i="19" s="1"/>
  <c r="GP157" i="19"/>
  <c r="GP168" i="19" s="1"/>
  <c r="GM111" i="19"/>
  <c r="GM122" i="19" s="1"/>
  <c r="GN157" i="19"/>
  <c r="GN168" i="19" s="1"/>
  <c r="GL62" i="19"/>
  <c r="GL73" i="19" s="1"/>
  <c r="GP154" i="19"/>
  <c r="GP165" i="19" s="1"/>
  <c r="GA111" i="19"/>
  <c r="GA122" i="19" s="1"/>
  <c r="GC62" i="19"/>
  <c r="GC73" i="19" s="1"/>
  <c r="FZ111" i="19"/>
  <c r="FZ122" i="19" s="1"/>
  <c r="GD18" i="19"/>
  <c r="FY158" i="19"/>
  <c r="FY169" i="19" s="1"/>
  <c r="GD61" i="19"/>
  <c r="GD109" i="19"/>
  <c r="GA157" i="19"/>
  <c r="GA168" i="19" s="1"/>
  <c r="GA154" i="19"/>
  <c r="GA165" i="19" s="1"/>
  <c r="FW61" i="19"/>
  <c r="FW72" i="19" s="1"/>
  <c r="GA61" i="19"/>
  <c r="GA72" i="19" s="1"/>
  <c r="FV108" i="19"/>
  <c r="FV119" i="19" s="1"/>
  <c r="GC158" i="19"/>
  <c r="GC169" i="19" s="1"/>
  <c r="GC157" i="19"/>
  <c r="GC168" i="19" s="1"/>
  <c r="FZ18" i="19"/>
  <c r="FZ29" i="19" s="1"/>
  <c r="FV61" i="19"/>
  <c r="GD155" i="19"/>
  <c r="FZ61" i="19"/>
  <c r="FZ72" i="19" s="1"/>
  <c r="FY157" i="19"/>
  <c r="FY168" i="19" s="1"/>
  <c r="FV18" i="19"/>
  <c r="FV29" i="19" s="1"/>
  <c r="GB111" i="19"/>
  <c r="GB122" i="19" s="1"/>
  <c r="GD111" i="19"/>
  <c r="FJ108" i="19"/>
  <c r="FJ119" i="19" s="1"/>
  <c r="FO111" i="19"/>
  <c r="FO122" i="19" s="1"/>
  <c r="FM18" i="19"/>
  <c r="FM29" i="19" s="1"/>
  <c r="FO62" i="19"/>
  <c r="FO73" i="19" s="1"/>
  <c r="FO157" i="19"/>
  <c r="FO168" i="19" s="1"/>
  <c r="FQ157" i="19"/>
  <c r="FO158" i="19"/>
  <c r="FO169" i="19" s="1"/>
  <c r="FQ62" i="19"/>
  <c r="FP111" i="19"/>
  <c r="FP122" i="19" s="1"/>
  <c r="FK61" i="19"/>
  <c r="FK72" i="19" s="1"/>
  <c r="FL111" i="19"/>
  <c r="FL122" i="19" s="1"/>
  <c r="FP157" i="19"/>
  <c r="FP168" i="19" s="1"/>
  <c r="FK155" i="19"/>
  <c r="FK166" i="19" s="1"/>
  <c r="FN111" i="19"/>
  <c r="FN122" i="19" s="1"/>
  <c r="FJ61" i="19"/>
  <c r="FO61" i="19"/>
  <c r="FO72" i="19" s="1"/>
  <c r="FM19" i="19" l="1"/>
  <c r="FM30" i="19" s="1"/>
  <c r="GC19" i="19"/>
  <c r="GC30" i="19" s="1"/>
  <c r="GB19" i="19"/>
  <c r="GB30" i="19" s="1"/>
  <c r="FY19" i="19"/>
  <c r="FY30" i="19" s="1"/>
  <c r="FW63" i="19"/>
  <c r="FW74" i="19" s="1"/>
  <c r="GA158" i="19"/>
  <c r="GA169" i="19" s="1"/>
  <c r="FL19" i="19"/>
  <c r="FL30" i="19" s="1"/>
  <c r="HC113" i="19"/>
  <c r="HC124" i="19" s="1"/>
  <c r="HC21" i="19"/>
  <c r="HC32" i="19" s="1"/>
  <c r="GO19" i="19"/>
  <c r="GO30" i="19" s="1"/>
  <c r="GO62" i="19"/>
  <c r="GO73" i="19" s="1"/>
  <c r="FV130" i="19"/>
  <c r="GP176" i="19"/>
  <c r="FJ130" i="19"/>
  <c r="GL176" i="19"/>
  <c r="FX19" i="19"/>
  <c r="FX30" i="19" s="1"/>
  <c r="HB63" i="19"/>
  <c r="HB74" i="19" s="1"/>
  <c r="FP30" i="19"/>
  <c r="GK130" i="19"/>
  <c r="GI130" i="19"/>
  <c r="GA176" i="19"/>
  <c r="FY112" i="19"/>
  <c r="FY123" i="19" s="1"/>
  <c r="GI176" i="19"/>
  <c r="GK158" i="19"/>
  <c r="GK169" i="19" s="1"/>
  <c r="GZ113" i="19"/>
  <c r="GZ124" i="19" s="1"/>
  <c r="FQ19" i="19"/>
  <c r="FS20" i="19" s="1"/>
  <c r="GZ20" i="19"/>
  <c r="GZ31" i="19" s="1"/>
  <c r="FO19" i="19"/>
  <c r="FO30" i="19" s="1"/>
  <c r="GQ62" i="19"/>
  <c r="GX63" i="19"/>
  <c r="GX74" i="19" s="1"/>
  <c r="FX158" i="19"/>
  <c r="FX169" i="19" s="1"/>
  <c r="FX21" i="19"/>
  <c r="FX32" i="19" s="1"/>
  <c r="FY29" i="19"/>
  <c r="FZ19" i="19"/>
  <c r="GX20" i="19"/>
  <c r="GX31" i="19" s="1"/>
  <c r="FS73" i="19"/>
  <c r="GD19" i="19"/>
  <c r="FY62" i="19"/>
  <c r="FY73" i="19" s="1"/>
  <c r="GD112" i="19"/>
  <c r="GD123" i="19" s="1"/>
  <c r="GK114" i="19"/>
  <c r="GK125" i="19" s="1"/>
  <c r="GD62" i="19"/>
  <c r="GD73" i="19" s="1"/>
  <c r="GN62" i="19"/>
  <c r="GN73" i="19" s="1"/>
  <c r="GK19" i="19"/>
  <c r="GK30" i="19" s="1"/>
  <c r="GL112" i="19"/>
  <c r="GL123" i="19" s="1"/>
  <c r="FN62" i="19"/>
  <c r="FN73" i="19" s="1"/>
  <c r="GN19" i="19"/>
  <c r="GN30" i="19" s="1"/>
  <c r="GP19" i="19"/>
  <c r="GP30" i="19" s="1"/>
  <c r="GJ112" i="19"/>
  <c r="GJ123" i="19" s="1"/>
  <c r="GN20" i="19"/>
  <c r="GN31" i="19" s="1"/>
  <c r="FZ62" i="19"/>
  <c r="FZ73" i="19" s="1"/>
  <c r="GK112" i="19"/>
  <c r="GK123" i="19" s="1"/>
  <c r="FK63" i="19"/>
  <c r="FK74" i="19" s="1"/>
  <c r="FX112" i="19"/>
  <c r="FX123" i="19" s="1"/>
  <c r="GL158" i="19"/>
  <c r="GL169" i="19" s="1"/>
  <c r="FK19" i="19"/>
  <c r="FK30" i="19" s="1"/>
  <c r="GH72" i="19"/>
  <c r="GI62" i="19"/>
  <c r="FM62" i="19"/>
  <c r="FM73" i="19" s="1"/>
  <c r="GS64" i="19"/>
  <c r="GQ74" i="19"/>
  <c r="FU122" i="19"/>
  <c r="FV112" i="19"/>
  <c r="GI30" i="19"/>
  <c r="GJ20" i="19"/>
  <c r="GS73" i="19"/>
  <c r="GT63" i="19"/>
  <c r="GH168" i="19"/>
  <c r="GI158" i="19"/>
  <c r="GU30" i="19"/>
  <c r="GV20" i="19"/>
  <c r="GU120" i="19"/>
  <c r="GV110" i="19"/>
  <c r="GT158" i="19"/>
  <c r="GS168" i="19"/>
  <c r="FS63" i="19"/>
  <c r="FQ73" i="19"/>
  <c r="GD166" i="19"/>
  <c r="GF156" i="19"/>
  <c r="FV72" i="19"/>
  <c r="GD120" i="19"/>
  <c r="GF110" i="19"/>
  <c r="GF19" i="19"/>
  <c r="GD29" i="19"/>
  <c r="GS112" i="19"/>
  <c r="GQ122" i="19"/>
  <c r="GW168" i="19"/>
  <c r="GX158" i="19"/>
  <c r="GU168" i="19"/>
  <c r="GV158" i="19"/>
  <c r="FS72" i="19"/>
  <c r="FT62" i="19"/>
  <c r="FT120" i="19"/>
  <c r="FU110" i="19"/>
  <c r="GF122" i="19"/>
  <c r="GG112" i="19"/>
  <c r="GT130" i="19"/>
  <c r="GV73" i="19"/>
  <c r="GW63" i="19"/>
  <c r="FT74" i="19"/>
  <c r="FU64" i="19"/>
  <c r="GS63" i="19"/>
  <c r="GQ73" i="19"/>
  <c r="GT122" i="19"/>
  <c r="GU112" i="19"/>
  <c r="FU168" i="19"/>
  <c r="FV158" i="19"/>
  <c r="FU167" i="19"/>
  <c r="FV157" i="19"/>
  <c r="FS130" i="19"/>
  <c r="GT30" i="19"/>
  <c r="GU20" i="19"/>
  <c r="FT72" i="19"/>
  <c r="FU62" i="19"/>
  <c r="GH30" i="19"/>
  <c r="GI20" i="19"/>
  <c r="GG158" i="19"/>
  <c r="GF168" i="19"/>
  <c r="FT30" i="19"/>
  <c r="FU20" i="19"/>
  <c r="GV168" i="19"/>
  <c r="GW158" i="19"/>
  <c r="FQ31" i="19"/>
  <c r="FS21" i="19"/>
  <c r="FU30" i="19"/>
  <c r="FV20" i="19"/>
  <c r="GI168" i="19"/>
  <c r="GJ158" i="19"/>
  <c r="GV122" i="19"/>
  <c r="GW112" i="19"/>
  <c r="GG30" i="19"/>
  <c r="GH20" i="19"/>
  <c r="GU122" i="19"/>
  <c r="GV112" i="19"/>
  <c r="FT122" i="19"/>
  <c r="FU112" i="19"/>
  <c r="FS123" i="19"/>
  <c r="FT113" i="19"/>
  <c r="GV30" i="19"/>
  <c r="GW20" i="19"/>
  <c r="GT73" i="19"/>
  <c r="GU63" i="19"/>
  <c r="GT20" i="19"/>
  <c r="GS30" i="19"/>
  <c r="FJ72" i="19"/>
  <c r="FS158" i="19"/>
  <c r="FQ168" i="19"/>
  <c r="GF112" i="19"/>
  <c r="GD122" i="19"/>
  <c r="GD72" i="19"/>
  <c r="GF62" i="19"/>
  <c r="GS158" i="19"/>
  <c r="GQ168" i="19"/>
  <c r="GH73" i="19"/>
  <c r="GI63" i="19"/>
  <c r="GT123" i="19"/>
  <c r="GU113" i="19"/>
  <c r="FT168" i="19"/>
  <c r="FU158" i="19"/>
  <c r="FT169" i="19"/>
  <c r="FU159" i="19"/>
  <c r="GF72" i="19"/>
  <c r="GG62" i="19"/>
  <c r="FS122" i="19"/>
  <c r="FT112" i="19"/>
  <c r="GX168" i="19"/>
  <c r="GY158" i="19"/>
  <c r="FL168" i="19"/>
  <c r="FM158" i="19"/>
  <c r="GU73" i="19"/>
  <c r="GV63" i="19"/>
  <c r="FS19" i="19"/>
  <c r="FQ29" i="19"/>
  <c r="GY63" i="19"/>
  <c r="GY74" i="19" s="1"/>
  <c r="GX110" i="19"/>
  <c r="GX121" i="19" s="1"/>
  <c r="HD110" i="19"/>
  <c r="HD121" i="19" s="1"/>
  <c r="HC64" i="19"/>
  <c r="HC75" i="19" s="1"/>
  <c r="HA64" i="19"/>
  <c r="HA75" i="19" s="1"/>
  <c r="HD113" i="19"/>
  <c r="HD124" i="19" s="1"/>
  <c r="HA159" i="19"/>
  <c r="HA170" i="19" s="1"/>
  <c r="HC20" i="19"/>
  <c r="HC31" i="19" s="1"/>
  <c r="HC63" i="19"/>
  <c r="HC74" i="19" s="1"/>
  <c r="HB159" i="19"/>
  <c r="HB170" i="19" s="1"/>
  <c r="HC114" i="19"/>
  <c r="HC125" i="19" s="1"/>
  <c r="HB156" i="19"/>
  <c r="HB167" i="19" s="1"/>
  <c r="HA20" i="19"/>
  <c r="HA31" i="19" s="1"/>
  <c r="HC159" i="19"/>
  <c r="HC170" i="19" s="1"/>
  <c r="HA63" i="19"/>
  <c r="HA74" i="19" s="1"/>
  <c r="GY20" i="19"/>
  <c r="GY31" i="19" s="1"/>
  <c r="GQ19" i="19"/>
  <c r="GP63" i="19"/>
  <c r="GP74" i="19" s="1"/>
  <c r="GM63" i="19"/>
  <c r="GM74" i="19" s="1"/>
  <c r="GM62" i="19"/>
  <c r="GM73" i="19" s="1"/>
  <c r="GL63" i="19"/>
  <c r="GL74" i="19" s="1"/>
  <c r="GN158" i="19"/>
  <c r="GN169" i="19" s="1"/>
  <c r="GJ109" i="19"/>
  <c r="GJ120" i="19" s="1"/>
  <c r="GN112" i="19"/>
  <c r="GN123" i="19" s="1"/>
  <c r="GL109" i="19"/>
  <c r="GL120" i="19" s="1"/>
  <c r="GM20" i="19"/>
  <c r="GM31" i="19" s="1"/>
  <c r="GQ112" i="19"/>
  <c r="GJ155" i="19"/>
  <c r="GJ166" i="19" s="1"/>
  <c r="GM155" i="19"/>
  <c r="GM166" i="19" s="1"/>
  <c r="GO158" i="19"/>
  <c r="GO169" i="19" s="1"/>
  <c r="GQ158" i="19"/>
  <c r="GJ19" i="19"/>
  <c r="GJ30" i="19" s="1"/>
  <c r="GQ155" i="19"/>
  <c r="GJ62" i="19"/>
  <c r="GJ73" i="19" s="1"/>
  <c r="GP112" i="19"/>
  <c r="GP123" i="19" s="1"/>
  <c r="FW19" i="19"/>
  <c r="FW30" i="19" s="1"/>
  <c r="GD63" i="19"/>
  <c r="FZ158" i="19"/>
  <c r="FZ169" i="19" s="1"/>
  <c r="GD158" i="19"/>
  <c r="GB62" i="19"/>
  <c r="GB73" i="19" s="1"/>
  <c r="FX62" i="19"/>
  <c r="FX73" i="19" s="1"/>
  <c r="FX64" i="19"/>
  <c r="FX75" i="19" s="1"/>
  <c r="GA62" i="19"/>
  <c r="GA73" i="19" s="1"/>
  <c r="GA19" i="19"/>
  <c r="GA30" i="19" s="1"/>
  <c r="FY22" i="19"/>
  <c r="FY33" i="19" s="1"/>
  <c r="GB155" i="19"/>
  <c r="GB166" i="19" s="1"/>
  <c r="GA112" i="19"/>
  <c r="GA123" i="19" s="1"/>
  <c r="GC112" i="19"/>
  <c r="GC123" i="19" s="1"/>
  <c r="GC20" i="19"/>
  <c r="GC31" i="19" s="1"/>
  <c r="FW62" i="19"/>
  <c r="GD20" i="19"/>
  <c r="GD159" i="19"/>
  <c r="FW109" i="19"/>
  <c r="FW120" i="19" s="1"/>
  <c r="GB158" i="19"/>
  <c r="GB169" i="19" s="1"/>
  <c r="FZ159" i="19"/>
  <c r="FZ170" i="19" s="1"/>
  <c r="GB112" i="19"/>
  <c r="GB123" i="19" s="1"/>
  <c r="FL156" i="19"/>
  <c r="FL167" i="19" s="1"/>
  <c r="FK109" i="19"/>
  <c r="FK120" i="19" s="1"/>
  <c r="FP62" i="19"/>
  <c r="FP73" i="19" s="1"/>
  <c r="FK62" i="19"/>
  <c r="FK73" i="19" s="1"/>
  <c r="FL62" i="19"/>
  <c r="FL73" i="19" s="1"/>
  <c r="FN20" i="19"/>
  <c r="FN31" i="19" s="1"/>
  <c r="FP159" i="19"/>
  <c r="FP170" i="19" s="1"/>
  <c r="FP63" i="19"/>
  <c r="FP74" i="19" s="1"/>
  <c r="FN19" i="19"/>
  <c r="FN30" i="19" s="1"/>
  <c r="FO112" i="19"/>
  <c r="FO123" i="19" s="1"/>
  <c r="FQ158" i="19"/>
  <c r="FM112" i="19"/>
  <c r="FM123" i="19" s="1"/>
  <c r="FQ112" i="19"/>
  <c r="FP158" i="19"/>
  <c r="FP169" i="19" s="1"/>
  <c r="FP112" i="19"/>
  <c r="FP123" i="19" s="1"/>
  <c r="FP20" i="19" l="1"/>
  <c r="FP31" i="19" s="1"/>
  <c r="FY20" i="19"/>
  <c r="FY31" i="19" s="1"/>
  <c r="HD114" i="19"/>
  <c r="HD125" i="19" s="1"/>
  <c r="GL159" i="19"/>
  <c r="GL170" i="19" s="1"/>
  <c r="GB159" i="19"/>
  <c r="GB170" i="19" s="1"/>
  <c r="GP20" i="19"/>
  <c r="GP31" i="19" s="1"/>
  <c r="HA114" i="19"/>
  <c r="HA125" i="19" s="1"/>
  <c r="FL64" i="19"/>
  <c r="FL75" i="19" s="1"/>
  <c r="FZ20" i="19"/>
  <c r="FZ31" i="19" s="1"/>
  <c r="HD22" i="19"/>
  <c r="HD33" i="19" s="1"/>
  <c r="FM20" i="19"/>
  <c r="FM31" i="19" s="1"/>
  <c r="FZ113" i="19"/>
  <c r="FZ124" i="19" s="1"/>
  <c r="HA21" i="19"/>
  <c r="HA32" i="19" s="1"/>
  <c r="GY64" i="19"/>
  <c r="GY75" i="19" s="1"/>
  <c r="FQ30" i="19"/>
  <c r="FY159" i="19"/>
  <c r="FY170" i="19" s="1"/>
  <c r="FZ63" i="19"/>
  <c r="FZ74" i="19" s="1"/>
  <c r="GQ20" i="19"/>
  <c r="GS21" i="19" s="1"/>
  <c r="GF113" i="19"/>
  <c r="GG114" i="19" s="1"/>
  <c r="FL20" i="19"/>
  <c r="FL31" i="19" s="1"/>
  <c r="GL113" i="19"/>
  <c r="GL124" i="19" s="1"/>
  <c r="GM113" i="19"/>
  <c r="GM124" i="19" s="1"/>
  <c r="FZ30" i="19"/>
  <c r="GA20" i="19"/>
  <c r="GK113" i="19"/>
  <c r="GK124" i="19" s="1"/>
  <c r="GL115" i="19"/>
  <c r="GL126" i="19" s="1"/>
  <c r="GL20" i="19"/>
  <c r="GL31" i="19" s="1"/>
  <c r="GY21" i="19"/>
  <c r="GY32" i="19" s="1"/>
  <c r="GD30" i="19"/>
  <c r="GF20" i="19"/>
  <c r="FO63" i="19"/>
  <c r="FO74" i="19" s="1"/>
  <c r="GO63" i="19"/>
  <c r="GO74" i="19" s="1"/>
  <c r="FY113" i="19"/>
  <c r="FY124" i="19" s="1"/>
  <c r="GF63" i="19"/>
  <c r="GF74" i="19" s="1"/>
  <c r="GO20" i="19"/>
  <c r="GO31" i="19" s="1"/>
  <c r="GO21" i="19"/>
  <c r="GO32" i="19" s="1"/>
  <c r="GA63" i="19"/>
  <c r="GA74" i="19" s="1"/>
  <c r="GM159" i="19"/>
  <c r="GM170" i="19" s="1"/>
  <c r="GI73" i="19"/>
  <c r="GJ63" i="19"/>
  <c r="FN63" i="19"/>
  <c r="FN74" i="19" s="1"/>
  <c r="GF64" i="19"/>
  <c r="GD74" i="19"/>
  <c r="GQ123" i="19"/>
  <c r="GS113" i="19"/>
  <c r="GY169" i="19"/>
  <c r="GZ159" i="19"/>
  <c r="GW74" i="19"/>
  <c r="GX64" i="19"/>
  <c r="GF121" i="19"/>
  <c r="GG111" i="19"/>
  <c r="GV121" i="19"/>
  <c r="GW111" i="19"/>
  <c r="GJ31" i="19"/>
  <c r="GK21" i="19"/>
  <c r="FT123" i="19"/>
  <c r="FU113" i="19"/>
  <c r="GF73" i="19"/>
  <c r="GG63" i="19"/>
  <c r="GV123" i="19"/>
  <c r="GW113" i="19"/>
  <c r="GG169" i="19"/>
  <c r="GH159" i="19"/>
  <c r="FV168" i="19"/>
  <c r="FW158" i="19"/>
  <c r="GS74" i="19"/>
  <c r="GT64" i="19"/>
  <c r="FT73" i="19"/>
  <c r="FU63" i="19"/>
  <c r="GT169" i="19"/>
  <c r="GU159" i="19"/>
  <c r="GV31" i="19"/>
  <c r="GW21" i="19"/>
  <c r="GT74" i="19"/>
  <c r="GU64" i="19"/>
  <c r="FV123" i="19"/>
  <c r="FW113" i="19"/>
  <c r="GV74" i="19"/>
  <c r="GW64" i="19"/>
  <c r="GU74" i="19"/>
  <c r="GV64" i="19"/>
  <c r="FT21" i="19"/>
  <c r="FS31" i="19"/>
  <c r="FU121" i="19"/>
  <c r="FV111" i="19"/>
  <c r="FS74" i="19"/>
  <c r="FT64" i="19"/>
  <c r="FQ169" i="19"/>
  <c r="FS159" i="19"/>
  <c r="FS113" i="19"/>
  <c r="FQ123" i="19"/>
  <c r="GD170" i="19"/>
  <c r="GF160" i="19"/>
  <c r="FW73" i="19"/>
  <c r="GD169" i="19"/>
  <c r="GF159" i="19"/>
  <c r="GQ31" i="19"/>
  <c r="GQ169" i="19"/>
  <c r="GS159" i="19"/>
  <c r="FU170" i="19"/>
  <c r="FV160" i="19"/>
  <c r="FU169" i="19"/>
  <c r="FV159" i="19"/>
  <c r="GI74" i="19"/>
  <c r="GJ64" i="19"/>
  <c r="GT159" i="19"/>
  <c r="GS169" i="19"/>
  <c r="FT159" i="19"/>
  <c r="FS169" i="19"/>
  <c r="GT31" i="19"/>
  <c r="GU21" i="19"/>
  <c r="GW31" i="19"/>
  <c r="GX21" i="19"/>
  <c r="FU123" i="19"/>
  <c r="FV113" i="19"/>
  <c r="GW123" i="19"/>
  <c r="GX113" i="19"/>
  <c r="FV31" i="19"/>
  <c r="FW21" i="19"/>
  <c r="FU31" i="19"/>
  <c r="FV21" i="19"/>
  <c r="GI31" i="19"/>
  <c r="GJ21" i="19"/>
  <c r="GU123" i="19"/>
  <c r="GV113" i="19"/>
  <c r="GG123" i="19"/>
  <c r="GH113" i="19"/>
  <c r="GV169" i="19"/>
  <c r="GW159" i="19"/>
  <c r="GG20" i="19"/>
  <c r="GF30" i="19"/>
  <c r="GW169" i="19"/>
  <c r="GX159" i="19"/>
  <c r="GG157" i="19"/>
  <c r="GF167" i="19"/>
  <c r="GI169" i="19"/>
  <c r="GJ159" i="19"/>
  <c r="GF21" i="19"/>
  <c r="GD31" i="19"/>
  <c r="GS156" i="19"/>
  <c r="GQ166" i="19"/>
  <c r="GS20" i="19"/>
  <c r="GQ30" i="19"/>
  <c r="FT20" i="19"/>
  <c r="FS30" i="19"/>
  <c r="FM169" i="19"/>
  <c r="FN159" i="19"/>
  <c r="GG73" i="19"/>
  <c r="GH63" i="19"/>
  <c r="GU124" i="19"/>
  <c r="GV114" i="19"/>
  <c r="GF123" i="19"/>
  <c r="GG113" i="19"/>
  <c r="FT124" i="19"/>
  <c r="FU114" i="19"/>
  <c r="GH31" i="19"/>
  <c r="GI21" i="19"/>
  <c r="GJ169" i="19"/>
  <c r="GK159" i="19"/>
  <c r="FT22" i="19"/>
  <c r="FS32" i="19"/>
  <c r="FU73" i="19"/>
  <c r="FV63" i="19"/>
  <c r="GU31" i="19"/>
  <c r="GV21" i="19"/>
  <c r="FV169" i="19"/>
  <c r="FW159" i="19"/>
  <c r="FU75" i="19"/>
  <c r="FV65" i="19"/>
  <c r="GX169" i="19"/>
  <c r="GY159" i="19"/>
  <c r="GS123" i="19"/>
  <c r="GT113" i="19"/>
  <c r="GS75" i="19"/>
  <c r="GT65" i="19"/>
  <c r="HB64" i="19"/>
  <c r="HB75" i="19" s="1"/>
  <c r="HC157" i="19"/>
  <c r="HC168" i="19" s="1"/>
  <c r="HD115" i="19"/>
  <c r="HD126" i="19" s="1"/>
  <c r="HD21" i="19"/>
  <c r="HD32" i="19" s="1"/>
  <c r="HB160" i="19"/>
  <c r="HB171" i="19" s="1"/>
  <c r="HB65" i="19"/>
  <c r="HB76" i="19" s="1"/>
  <c r="HD160" i="19"/>
  <c r="HD171" i="19" s="1"/>
  <c r="HB21" i="19"/>
  <c r="HB32" i="19" s="1"/>
  <c r="HD64" i="19"/>
  <c r="HD75" i="19" s="1"/>
  <c r="GY111" i="19"/>
  <c r="GY122" i="19" s="1"/>
  <c r="HC160" i="19"/>
  <c r="HC171" i="19" s="1"/>
  <c r="GZ64" i="19"/>
  <c r="GZ75" i="19" s="1"/>
  <c r="GZ21" i="19"/>
  <c r="GZ32" i="19" s="1"/>
  <c r="HD65" i="19"/>
  <c r="HD76" i="19" s="1"/>
  <c r="GK20" i="19"/>
  <c r="GK31" i="19" s="1"/>
  <c r="GM160" i="19"/>
  <c r="GM171" i="19" s="1"/>
  <c r="GM110" i="19"/>
  <c r="GM121" i="19" s="1"/>
  <c r="GN63" i="19"/>
  <c r="GN74" i="19" s="1"/>
  <c r="GK110" i="19"/>
  <c r="GK121" i="19" s="1"/>
  <c r="GM64" i="19"/>
  <c r="GM75" i="19" s="1"/>
  <c r="GN21" i="19"/>
  <c r="GN32" i="19" s="1"/>
  <c r="GO113" i="19"/>
  <c r="GO124" i="19" s="1"/>
  <c r="GQ64" i="19"/>
  <c r="GQ113" i="19"/>
  <c r="GK63" i="19"/>
  <c r="GK74" i="19" s="1"/>
  <c r="GP159" i="19"/>
  <c r="GP170" i="19" s="1"/>
  <c r="GN156" i="19"/>
  <c r="GN167" i="19" s="1"/>
  <c r="GK156" i="19"/>
  <c r="GK167" i="19" s="1"/>
  <c r="GO159" i="19"/>
  <c r="GO170" i="19" s="1"/>
  <c r="GN64" i="19"/>
  <c r="GN75" i="19" s="1"/>
  <c r="GQ21" i="19"/>
  <c r="GD113" i="19"/>
  <c r="GB113" i="19"/>
  <c r="GB124" i="19" s="1"/>
  <c r="GB20" i="19"/>
  <c r="GB31" i="19" s="1"/>
  <c r="GB63" i="19"/>
  <c r="GB74" i="19" s="1"/>
  <c r="GA114" i="19"/>
  <c r="GA125" i="19" s="1"/>
  <c r="GC113" i="19"/>
  <c r="GC124" i="19" s="1"/>
  <c r="FX110" i="19"/>
  <c r="FX121" i="19" s="1"/>
  <c r="GC156" i="19"/>
  <c r="GC167" i="19" s="1"/>
  <c r="GC63" i="19"/>
  <c r="GC74" i="19" s="1"/>
  <c r="FZ21" i="19"/>
  <c r="FZ32" i="19" s="1"/>
  <c r="GA159" i="19"/>
  <c r="GA170" i="19" s="1"/>
  <c r="GA160" i="19"/>
  <c r="GA171" i="19" s="1"/>
  <c r="GD21" i="19"/>
  <c r="FZ23" i="19"/>
  <c r="FZ34" i="19" s="1"/>
  <c r="FY63" i="19"/>
  <c r="FY74" i="19" s="1"/>
  <c r="FX20" i="19"/>
  <c r="FX31" i="19" s="1"/>
  <c r="GC159" i="19"/>
  <c r="GC170" i="19" s="1"/>
  <c r="GA21" i="19"/>
  <c r="GA32" i="19" s="1"/>
  <c r="FX63" i="19"/>
  <c r="FY65" i="19"/>
  <c r="FY76" i="19" s="1"/>
  <c r="GC160" i="19"/>
  <c r="GC171" i="19" s="1"/>
  <c r="FO20" i="19"/>
  <c r="FO31" i="19" s="1"/>
  <c r="FN113" i="19"/>
  <c r="FN124" i="19" s="1"/>
  <c r="FP113" i="19"/>
  <c r="FP124" i="19" s="1"/>
  <c r="FO21" i="19"/>
  <c r="FO32" i="19" s="1"/>
  <c r="FQ159" i="19"/>
  <c r="FQ160" i="19"/>
  <c r="FM63" i="19"/>
  <c r="FM74" i="19" s="1"/>
  <c r="FQ113" i="19"/>
  <c r="FQ21" i="19"/>
  <c r="FQ64" i="19"/>
  <c r="FL63" i="19"/>
  <c r="FL74" i="19" s="1"/>
  <c r="FQ63" i="19"/>
  <c r="FL110" i="19"/>
  <c r="FL121" i="19" s="1"/>
  <c r="FM157" i="19"/>
  <c r="FM168" i="19" s="1"/>
  <c r="FN21" i="19" l="1"/>
  <c r="FN32" i="19" s="1"/>
  <c r="HB115" i="19"/>
  <c r="HB126" i="19" s="1"/>
  <c r="FM65" i="19"/>
  <c r="FM76" i="19" s="1"/>
  <c r="GZ65" i="19"/>
  <c r="GZ76" i="19" s="1"/>
  <c r="GN114" i="19"/>
  <c r="GN125" i="19" s="1"/>
  <c r="HB22" i="19"/>
  <c r="HB33" i="19" s="1"/>
  <c r="FZ160" i="19"/>
  <c r="FZ171" i="19" s="1"/>
  <c r="GM116" i="19"/>
  <c r="GM127" i="19" s="1"/>
  <c r="GA64" i="19"/>
  <c r="GA75" i="19" s="1"/>
  <c r="GM114" i="19"/>
  <c r="GM125" i="19" s="1"/>
  <c r="FP64" i="19"/>
  <c r="FP75" i="19" s="1"/>
  <c r="GF124" i="19"/>
  <c r="GZ22" i="19"/>
  <c r="GZ33" i="19" s="1"/>
  <c r="FM21" i="19"/>
  <c r="FM32" i="19" s="1"/>
  <c r="GM21" i="19"/>
  <c r="GM32" i="19" s="1"/>
  <c r="GB64" i="19"/>
  <c r="GB75" i="19" s="1"/>
  <c r="GA31" i="19"/>
  <c r="GB21" i="19"/>
  <c r="GP64" i="19"/>
  <c r="GP75" i="19" s="1"/>
  <c r="FO64" i="19"/>
  <c r="FO75" i="19" s="1"/>
  <c r="FZ114" i="19"/>
  <c r="FZ125" i="19" s="1"/>
  <c r="GL114" i="19"/>
  <c r="GL125" i="19" s="1"/>
  <c r="GG21" i="19"/>
  <c r="GF31" i="19"/>
  <c r="GG64" i="19"/>
  <c r="GG75" i="19" s="1"/>
  <c r="GP22" i="19"/>
  <c r="GP33" i="19" s="1"/>
  <c r="GP21" i="19"/>
  <c r="GP32" i="19" s="1"/>
  <c r="GN160" i="19"/>
  <c r="GN171" i="19" s="1"/>
  <c r="GJ74" i="19"/>
  <c r="GK64" i="19"/>
  <c r="GT157" i="19"/>
  <c r="GS167" i="19"/>
  <c r="GG31" i="19"/>
  <c r="GH21" i="19"/>
  <c r="GS32" i="19"/>
  <c r="GT22" i="19"/>
  <c r="GH170" i="19"/>
  <c r="GI160" i="19"/>
  <c r="GW124" i="19"/>
  <c r="GX114" i="19"/>
  <c r="GW122" i="19"/>
  <c r="GX112" i="19"/>
  <c r="GZ170" i="19"/>
  <c r="HA160" i="19"/>
  <c r="FS65" i="19"/>
  <c r="FQ75" i="19"/>
  <c r="FS114" i="19"/>
  <c r="FQ124" i="19"/>
  <c r="FS161" i="19"/>
  <c r="FQ171" i="19"/>
  <c r="GT76" i="19"/>
  <c r="GU66" i="19"/>
  <c r="GU77" i="19" s="1"/>
  <c r="FU125" i="19"/>
  <c r="FV115" i="19"/>
  <c r="GV125" i="19"/>
  <c r="GW115" i="19"/>
  <c r="GT21" i="19"/>
  <c r="GS31" i="19"/>
  <c r="GV124" i="19"/>
  <c r="GW114" i="19"/>
  <c r="FV32" i="19"/>
  <c r="FW22" i="19"/>
  <c r="GX124" i="19"/>
  <c r="GY114" i="19"/>
  <c r="FV170" i="19"/>
  <c r="FW160" i="19"/>
  <c r="GS170" i="19"/>
  <c r="GT160" i="19"/>
  <c r="GG160" i="19"/>
  <c r="GF170" i="19"/>
  <c r="GG161" i="19"/>
  <c r="GF171" i="19"/>
  <c r="FS170" i="19"/>
  <c r="FT160" i="19"/>
  <c r="FT32" i="19"/>
  <c r="FU22" i="19"/>
  <c r="GW75" i="19"/>
  <c r="GX65" i="19"/>
  <c r="FW124" i="19"/>
  <c r="FX114" i="19"/>
  <c r="GW32" i="19"/>
  <c r="GX22" i="19"/>
  <c r="FU74" i="19"/>
  <c r="FV64" i="19"/>
  <c r="GT75" i="19"/>
  <c r="GU65" i="19"/>
  <c r="GK32" i="19"/>
  <c r="GL22" i="19"/>
  <c r="GF75" i="19"/>
  <c r="GG65" i="19"/>
  <c r="GD32" i="19"/>
  <c r="GF22" i="19"/>
  <c r="GS22" i="19"/>
  <c r="GQ32" i="19"/>
  <c r="GU32" i="19"/>
  <c r="GV22" i="19"/>
  <c r="FS160" i="19"/>
  <c r="FQ170" i="19"/>
  <c r="FX74" i="19"/>
  <c r="GD124" i="19"/>
  <c r="GF114" i="19"/>
  <c r="GS65" i="19"/>
  <c r="GQ75" i="19"/>
  <c r="GU114" i="19"/>
  <c r="GT124" i="19"/>
  <c r="FW170" i="19"/>
  <c r="FX160" i="19"/>
  <c r="FN170" i="19"/>
  <c r="FO160" i="19"/>
  <c r="FT31" i="19"/>
  <c r="FU21" i="19"/>
  <c r="GG22" i="19"/>
  <c r="GF32" i="19"/>
  <c r="GX170" i="19"/>
  <c r="GY160" i="19"/>
  <c r="GW170" i="19"/>
  <c r="GX160" i="19"/>
  <c r="GH124" i="19"/>
  <c r="GI114" i="19"/>
  <c r="GJ32" i="19"/>
  <c r="GK22" i="19"/>
  <c r="GX32" i="19"/>
  <c r="GY22" i="19"/>
  <c r="GT170" i="19"/>
  <c r="GU160" i="19"/>
  <c r="FV122" i="19"/>
  <c r="FW112" i="19"/>
  <c r="GG74" i="19"/>
  <c r="GH64" i="19"/>
  <c r="GX75" i="19"/>
  <c r="GY65" i="19"/>
  <c r="GG125" i="19"/>
  <c r="GH115" i="19"/>
  <c r="GS124" i="19"/>
  <c r="GT114" i="19"/>
  <c r="FS64" i="19"/>
  <c r="FQ74" i="19"/>
  <c r="GS114" i="19"/>
  <c r="GQ124" i="19"/>
  <c r="GY170" i="19"/>
  <c r="GZ160" i="19"/>
  <c r="FV76" i="19"/>
  <c r="FW66" i="19"/>
  <c r="FW77" i="19" s="1"/>
  <c r="GV32" i="19"/>
  <c r="GW22" i="19"/>
  <c r="GK170" i="19"/>
  <c r="GL160" i="19"/>
  <c r="GH74" i="19"/>
  <c r="GI64" i="19"/>
  <c r="FT170" i="19"/>
  <c r="FU160" i="19"/>
  <c r="FS124" i="19"/>
  <c r="FT114" i="19"/>
  <c r="FQ32" i="19"/>
  <c r="FS22" i="19"/>
  <c r="FV74" i="19"/>
  <c r="FW64" i="19"/>
  <c r="FT33" i="19"/>
  <c r="FU23" i="19"/>
  <c r="FU34" i="19" s="1"/>
  <c r="GI32" i="19"/>
  <c r="GJ22" i="19"/>
  <c r="GG124" i="19"/>
  <c r="GH114" i="19"/>
  <c r="GJ170" i="19"/>
  <c r="GK160" i="19"/>
  <c r="GG168" i="19"/>
  <c r="GH158" i="19"/>
  <c r="FW32" i="19"/>
  <c r="FX22" i="19"/>
  <c r="FV124" i="19"/>
  <c r="FW114" i="19"/>
  <c r="GJ75" i="19"/>
  <c r="GK65" i="19"/>
  <c r="FV171" i="19"/>
  <c r="FW161" i="19"/>
  <c r="FT75" i="19"/>
  <c r="FU65" i="19"/>
  <c r="GV75" i="19"/>
  <c r="GW65" i="19"/>
  <c r="GU75" i="19"/>
  <c r="GV65" i="19"/>
  <c r="GU170" i="19"/>
  <c r="GV160" i="19"/>
  <c r="FW169" i="19"/>
  <c r="FX159" i="19"/>
  <c r="FU124" i="19"/>
  <c r="FV114" i="19"/>
  <c r="GG122" i="19"/>
  <c r="GH112" i="19"/>
  <c r="HA22" i="19"/>
  <c r="HA33" i="19" s="1"/>
  <c r="HC65" i="19"/>
  <c r="HC76" i="19" s="1"/>
  <c r="HA65" i="19"/>
  <c r="HA76" i="19" s="1"/>
  <c r="HC66" i="19"/>
  <c r="HC77" i="19" s="1"/>
  <c r="HC161" i="19"/>
  <c r="GZ112" i="19"/>
  <c r="GZ123" i="19" s="1"/>
  <c r="HC116" i="19"/>
  <c r="HC127" i="19" s="1"/>
  <c r="HD158" i="19"/>
  <c r="HD169" i="19" s="1"/>
  <c r="HD161" i="19"/>
  <c r="HD172" i="19" s="1"/>
  <c r="HC22" i="19"/>
  <c r="HC33" i="19" s="1"/>
  <c r="GO65" i="19"/>
  <c r="GO76" i="19" s="1"/>
  <c r="GQ160" i="19"/>
  <c r="GL64" i="19"/>
  <c r="GL75" i="19" s="1"/>
  <c r="GP114" i="19"/>
  <c r="GP125" i="19" s="1"/>
  <c r="GO22" i="19"/>
  <c r="GO33" i="19" s="1"/>
  <c r="GL21" i="19"/>
  <c r="GL32" i="19" s="1"/>
  <c r="GN111" i="19"/>
  <c r="GN122" i="19" s="1"/>
  <c r="GN161" i="19"/>
  <c r="GN172" i="19" s="1"/>
  <c r="GO157" i="19"/>
  <c r="GO168" i="19" s="1"/>
  <c r="GL111" i="19"/>
  <c r="GL122" i="19" s="1"/>
  <c r="GO64" i="19"/>
  <c r="GO75" i="19" s="1"/>
  <c r="GP160" i="19"/>
  <c r="GP171" i="19" s="1"/>
  <c r="GL157" i="19"/>
  <c r="GL168" i="19" s="1"/>
  <c r="GN65" i="19"/>
  <c r="GN76" i="19" s="1"/>
  <c r="GD64" i="19"/>
  <c r="GD157" i="19"/>
  <c r="GD114" i="19"/>
  <c r="GB115" i="19"/>
  <c r="GB126" i="19" s="1"/>
  <c r="GD161" i="19"/>
  <c r="FZ64" i="19"/>
  <c r="FZ75" i="19" s="1"/>
  <c r="GB161" i="19"/>
  <c r="GB172" i="19" s="1"/>
  <c r="GB160" i="19"/>
  <c r="GB171" i="19" s="1"/>
  <c r="GC64" i="19"/>
  <c r="GC75" i="19" s="1"/>
  <c r="GC21" i="19"/>
  <c r="GC32" i="19" s="1"/>
  <c r="FY64" i="19"/>
  <c r="FY75" i="19" s="1"/>
  <c r="GD160" i="19"/>
  <c r="FY21" i="19"/>
  <c r="FY32" i="19" s="1"/>
  <c r="GB65" i="19"/>
  <c r="GB76" i="19" s="1"/>
  <c r="GA22" i="19"/>
  <c r="GA33" i="19" s="1"/>
  <c r="FY111" i="19"/>
  <c r="FY122" i="19" s="1"/>
  <c r="GC114" i="19"/>
  <c r="GC125" i="19" s="1"/>
  <c r="FZ66" i="19"/>
  <c r="FZ77" i="19" s="1"/>
  <c r="GB22" i="19"/>
  <c r="GB33" i="19" s="1"/>
  <c r="FM111" i="19"/>
  <c r="FM122" i="19" s="1"/>
  <c r="FM64" i="19"/>
  <c r="FM75" i="19" s="1"/>
  <c r="FN64" i="19"/>
  <c r="FN75" i="19" s="1"/>
  <c r="FO22" i="19"/>
  <c r="FO33" i="19" s="1"/>
  <c r="FP22" i="19"/>
  <c r="FP33" i="19" s="1"/>
  <c r="FO114" i="19"/>
  <c r="FO125" i="19" s="1"/>
  <c r="FP21" i="19"/>
  <c r="FP32" i="19" s="1"/>
  <c r="FN158" i="19"/>
  <c r="FN169" i="19" s="1"/>
  <c r="FQ114" i="19"/>
  <c r="FN66" i="19"/>
  <c r="FN77" i="19" s="1"/>
  <c r="HA66" i="19" l="1"/>
  <c r="HA77" i="19" s="1"/>
  <c r="HC23" i="19"/>
  <c r="HC34" i="19" s="1"/>
  <c r="HC12" i="19" s="1"/>
  <c r="GN115" i="19"/>
  <c r="GN126" i="19" s="1"/>
  <c r="HA23" i="19"/>
  <c r="HA34" i="19" s="1"/>
  <c r="GH65" i="19"/>
  <c r="GH76" i="19" s="1"/>
  <c r="GO115" i="19"/>
  <c r="GO126" i="19" s="1"/>
  <c r="GA161" i="19"/>
  <c r="GA172" i="19" s="1"/>
  <c r="FN22" i="19"/>
  <c r="FN33" i="19" s="1"/>
  <c r="GC65" i="19"/>
  <c r="GC76" i="19" s="1"/>
  <c r="FQ65" i="19"/>
  <c r="FQ76" i="19" s="1"/>
  <c r="HA12" i="19"/>
  <c r="GQ23" i="19"/>
  <c r="GQ34" i="19" s="1"/>
  <c r="GM115" i="19"/>
  <c r="GM126" i="19" s="1"/>
  <c r="GA115" i="19"/>
  <c r="GA126" i="19" s="1"/>
  <c r="FP65" i="19"/>
  <c r="FP76" i="19" s="1"/>
  <c r="GO161" i="19"/>
  <c r="GO172" i="19" s="1"/>
  <c r="GN22" i="19"/>
  <c r="GN33" i="19" s="1"/>
  <c r="GH22" i="19"/>
  <c r="GG32" i="19"/>
  <c r="GQ22" i="19"/>
  <c r="GS23" i="19" s="1"/>
  <c r="GB32" i="19"/>
  <c r="GC22" i="19"/>
  <c r="GQ65" i="19"/>
  <c r="GS66" i="19" s="1"/>
  <c r="GK75" i="19"/>
  <c r="GL65" i="19"/>
  <c r="GF161" i="19"/>
  <c r="GD171" i="19"/>
  <c r="GF65" i="19"/>
  <c r="GD75" i="19"/>
  <c r="GI75" i="19"/>
  <c r="GJ65" i="19"/>
  <c r="GY33" i="19"/>
  <c r="GZ23" i="19"/>
  <c r="GG33" i="19"/>
  <c r="GH23" i="19"/>
  <c r="GH34" i="19" s="1"/>
  <c r="FO171" i="19"/>
  <c r="FP161" i="19"/>
  <c r="GU125" i="19"/>
  <c r="GV115" i="19"/>
  <c r="GL33" i="19"/>
  <c r="GM23" i="19"/>
  <c r="GM34" i="19" s="1"/>
  <c r="GX33" i="19"/>
  <c r="GY23" i="19"/>
  <c r="GY34" i="19" s="1"/>
  <c r="GX76" i="19"/>
  <c r="GY66" i="19"/>
  <c r="GY77" i="19" s="1"/>
  <c r="GT32" i="19"/>
  <c r="GU22" i="19"/>
  <c r="GX125" i="19"/>
  <c r="GY115" i="19"/>
  <c r="GH32" i="19"/>
  <c r="GI22" i="19"/>
  <c r="GT168" i="19"/>
  <c r="GU158" i="19"/>
  <c r="FS115" i="19"/>
  <c r="FQ125" i="19"/>
  <c r="HC172" i="19"/>
  <c r="GV76" i="19"/>
  <c r="GW66" i="19"/>
  <c r="GW77" i="19" s="1"/>
  <c r="GW76" i="19"/>
  <c r="GX66" i="19"/>
  <c r="GX77" i="19" s="1"/>
  <c r="GK171" i="19"/>
  <c r="GL161" i="19"/>
  <c r="FU171" i="19"/>
  <c r="FV161" i="19"/>
  <c r="GW33" i="19"/>
  <c r="GX23" i="19"/>
  <c r="GX34" i="19" s="1"/>
  <c r="GZ171" i="19"/>
  <c r="HA161" i="19"/>
  <c r="GU115" i="19"/>
  <c r="GT125" i="19"/>
  <c r="GY76" i="19"/>
  <c r="GZ66" i="19"/>
  <c r="GU171" i="19"/>
  <c r="GV161" i="19"/>
  <c r="GI125" i="19"/>
  <c r="GJ115" i="19"/>
  <c r="GV33" i="19"/>
  <c r="GW23" i="19"/>
  <c r="GW34" i="19" s="1"/>
  <c r="FT171" i="19"/>
  <c r="FU161" i="19"/>
  <c r="FW171" i="19"/>
  <c r="FX161" i="19"/>
  <c r="GW126" i="19"/>
  <c r="GX116" i="19"/>
  <c r="GX127" i="19" s="1"/>
  <c r="FT162" i="19"/>
  <c r="FT173" i="19" s="1"/>
  <c r="FS172" i="19"/>
  <c r="FT66" i="19"/>
  <c r="FT77" i="19" s="1"/>
  <c r="FS76" i="19"/>
  <c r="GT33" i="19"/>
  <c r="GU23" i="19"/>
  <c r="FX170" i="19"/>
  <c r="FY160" i="19"/>
  <c r="FW172" i="19"/>
  <c r="FX162" i="19"/>
  <c r="FX173" i="19" s="1"/>
  <c r="FW125" i="19"/>
  <c r="FX115" i="19"/>
  <c r="GH125" i="19"/>
  <c r="GI115" i="19"/>
  <c r="GS125" i="19"/>
  <c r="GT115" i="19"/>
  <c r="GH75" i="19"/>
  <c r="GI65" i="19"/>
  <c r="GG172" i="19"/>
  <c r="GH162" i="19"/>
  <c r="GH173" i="19" s="1"/>
  <c r="GD125" i="19"/>
  <c r="GF115" i="19"/>
  <c r="FV125" i="19"/>
  <c r="FW115" i="19"/>
  <c r="FU76" i="19"/>
  <c r="FV66" i="19"/>
  <c r="GK76" i="19"/>
  <c r="GL66" i="19"/>
  <c r="GL77" i="19" s="1"/>
  <c r="FX33" i="19"/>
  <c r="FY23" i="19"/>
  <c r="FY34" i="19" s="1"/>
  <c r="FY12" i="19" s="1"/>
  <c r="FT125" i="19"/>
  <c r="FU115" i="19"/>
  <c r="GL171" i="19"/>
  <c r="GM161" i="19"/>
  <c r="FS75" i="19"/>
  <c r="FT65" i="19"/>
  <c r="FU32" i="19"/>
  <c r="FV22" i="19"/>
  <c r="FU10" i="19"/>
  <c r="FX171" i="19"/>
  <c r="FY161" i="19"/>
  <c r="GS76" i="19"/>
  <c r="GT66" i="19"/>
  <c r="GS33" i="19"/>
  <c r="GT23" i="19"/>
  <c r="FV75" i="19"/>
  <c r="FW65" i="19"/>
  <c r="FW53" i="19" s="1"/>
  <c r="FX125" i="19"/>
  <c r="FY115" i="19"/>
  <c r="FU33" i="19"/>
  <c r="FV23" i="19"/>
  <c r="FV34" i="19" s="1"/>
  <c r="GG171" i="19"/>
  <c r="GH161" i="19"/>
  <c r="FW33" i="19"/>
  <c r="FX23" i="19"/>
  <c r="GX123" i="19"/>
  <c r="GY113" i="19"/>
  <c r="GI171" i="19"/>
  <c r="GJ161" i="19"/>
  <c r="GQ171" i="19"/>
  <c r="GS161" i="19"/>
  <c r="FW75" i="19"/>
  <c r="FX65" i="19"/>
  <c r="FS171" i="19"/>
  <c r="FT161" i="19"/>
  <c r="GU76" i="19"/>
  <c r="GU55" i="19" s="1"/>
  <c r="GU56" i="19" s="1"/>
  <c r="GV66" i="19"/>
  <c r="GV77" i="19" s="1"/>
  <c r="GU53" i="19"/>
  <c r="GW125" i="19"/>
  <c r="GX115" i="19"/>
  <c r="GF162" i="19"/>
  <c r="GF173" i="19" s="1"/>
  <c r="GD172" i="19"/>
  <c r="GF158" i="19"/>
  <c r="GD168" i="19"/>
  <c r="GH123" i="19"/>
  <c r="GI113" i="19"/>
  <c r="GV171" i="19"/>
  <c r="GW161" i="19"/>
  <c r="GH169" i="19"/>
  <c r="GI159" i="19"/>
  <c r="GJ33" i="19"/>
  <c r="GK23" i="19"/>
  <c r="FT23" i="19"/>
  <c r="FS33" i="19"/>
  <c r="GH126" i="19"/>
  <c r="GI116" i="19"/>
  <c r="GI127" i="19" s="1"/>
  <c r="FW123" i="19"/>
  <c r="FX113" i="19"/>
  <c r="GK33" i="19"/>
  <c r="GL23" i="19"/>
  <c r="GL34" i="19" s="1"/>
  <c r="GX171" i="19"/>
  <c r="GY161" i="19"/>
  <c r="GY171" i="19"/>
  <c r="GZ161" i="19"/>
  <c r="GF125" i="19"/>
  <c r="GG115" i="19"/>
  <c r="GG23" i="19"/>
  <c r="GG34" i="19" s="1"/>
  <c r="GF33" i="19"/>
  <c r="GG76" i="19"/>
  <c r="GH66" i="19"/>
  <c r="GH77" i="19" s="1"/>
  <c r="GT171" i="19"/>
  <c r="GU161" i="19"/>
  <c r="GY125" i="19"/>
  <c r="GZ115" i="19"/>
  <c r="FV126" i="19"/>
  <c r="FW116" i="19"/>
  <c r="FW127" i="19" s="1"/>
  <c r="FS125" i="19"/>
  <c r="FT115" i="19"/>
  <c r="HA171" i="19"/>
  <c r="HB161" i="19"/>
  <c r="HA113" i="19"/>
  <c r="HA124" i="19" s="1"/>
  <c r="HD23" i="19"/>
  <c r="HD34" i="19" s="1"/>
  <c r="HD12" i="19" s="1"/>
  <c r="HD162" i="19"/>
  <c r="HD173" i="19" s="1"/>
  <c r="HD148" i="19" s="1"/>
  <c r="HD66" i="19"/>
  <c r="HD77" i="19" s="1"/>
  <c r="HC55" i="19"/>
  <c r="HC56" i="19" s="1"/>
  <c r="HC53" i="19"/>
  <c r="HB66" i="19"/>
  <c r="HB77" i="19" s="1"/>
  <c r="HA53" i="19"/>
  <c r="HC10" i="19"/>
  <c r="HB23" i="19"/>
  <c r="HB34" i="19" s="1"/>
  <c r="HB12" i="19" s="1"/>
  <c r="GM158" i="19"/>
  <c r="GM169" i="19" s="1"/>
  <c r="GP158" i="19"/>
  <c r="GP169" i="19" s="1"/>
  <c r="GO162" i="19"/>
  <c r="GO173" i="19" s="1"/>
  <c r="GP23" i="19"/>
  <c r="GP34" i="19" s="1"/>
  <c r="GP12" i="19" s="1"/>
  <c r="GM65" i="19"/>
  <c r="GM76" i="19" s="1"/>
  <c r="GO66" i="19"/>
  <c r="GO77" i="19" s="1"/>
  <c r="GO55" i="19" s="1"/>
  <c r="GQ161" i="19"/>
  <c r="GP65" i="19"/>
  <c r="GP76" i="19" s="1"/>
  <c r="GM22" i="19"/>
  <c r="GM33" i="19" s="1"/>
  <c r="GQ115" i="19"/>
  <c r="GM112" i="19"/>
  <c r="GM123" i="19" s="1"/>
  <c r="GP66" i="19"/>
  <c r="GP77" i="19" s="1"/>
  <c r="GP116" i="19"/>
  <c r="GP127" i="19" s="1"/>
  <c r="GO112" i="19"/>
  <c r="GO123" i="19" s="1"/>
  <c r="GB23" i="19"/>
  <c r="GB34" i="19" s="1"/>
  <c r="GC66" i="19"/>
  <c r="GC77" i="19" s="1"/>
  <c r="FZ22" i="19"/>
  <c r="FZ33" i="19" s="1"/>
  <c r="FZ12" i="19" s="1"/>
  <c r="GC161" i="19"/>
  <c r="GC172" i="19" s="1"/>
  <c r="GC162" i="19"/>
  <c r="GC173" i="19" s="1"/>
  <c r="GD115" i="19"/>
  <c r="FZ112" i="19"/>
  <c r="FZ123" i="19" s="1"/>
  <c r="GD22" i="19"/>
  <c r="GA65" i="19"/>
  <c r="GA76" i="19" s="1"/>
  <c r="GC116" i="19"/>
  <c r="GC127" i="19" s="1"/>
  <c r="GC23" i="19"/>
  <c r="GC34" i="19" s="1"/>
  <c r="FZ65" i="19"/>
  <c r="FZ76" i="19" s="1"/>
  <c r="FZ55" i="19" s="1"/>
  <c r="GD65" i="19"/>
  <c r="GB162" i="19"/>
  <c r="GB173" i="19" s="1"/>
  <c r="GB148" i="19" s="1"/>
  <c r="FO23" i="19"/>
  <c r="FO34" i="19" s="1"/>
  <c r="FO12" i="19" s="1"/>
  <c r="FP115" i="19"/>
  <c r="FP126" i="19" s="1"/>
  <c r="FO65" i="19"/>
  <c r="FO76" i="19" s="1"/>
  <c r="FN112" i="19"/>
  <c r="FN123" i="19" s="1"/>
  <c r="FQ23" i="19"/>
  <c r="FQ34" i="19" s="1"/>
  <c r="FO159" i="19"/>
  <c r="FO170" i="19" s="1"/>
  <c r="FQ22" i="19"/>
  <c r="FN65" i="19"/>
  <c r="FN76" i="19" s="1"/>
  <c r="FN55" i="19" s="1"/>
  <c r="FP23" i="19"/>
  <c r="FP34" i="19" s="1"/>
  <c r="FP12" i="19" s="1"/>
  <c r="HA10" i="19" l="1"/>
  <c r="GO116" i="19"/>
  <c r="GO127" i="19" s="1"/>
  <c r="GI66" i="19"/>
  <c r="GI77" i="19" s="1"/>
  <c r="GP162" i="19"/>
  <c r="GP173" i="19" s="1"/>
  <c r="GD66" i="19"/>
  <c r="GD77" i="19" s="1"/>
  <c r="GC55" i="19"/>
  <c r="GN116" i="19"/>
  <c r="GN127" i="19" s="1"/>
  <c r="GP55" i="19"/>
  <c r="GM12" i="19"/>
  <c r="GQ10" i="19"/>
  <c r="FS66" i="19"/>
  <c r="FS77" i="19" s="1"/>
  <c r="FS79" i="19" s="1"/>
  <c r="GG12" i="19"/>
  <c r="GG13" i="19" s="1"/>
  <c r="GG14" i="19" s="1"/>
  <c r="GL10" i="19"/>
  <c r="GQ76" i="19"/>
  <c r="GX12" i="19"/>
  <c r="GX13" i="19" s="1"/>
  <c r="GX14" i="19" s="1"/>
  <c r="GH55" i="19"/>
  <c r="GH56" i="19" s="1"/>
  <c r="GH57" i="19" s="1"/>
  <c r="GW12" i="19"/>
  <c r="GW13" i="19" s="1"/>
  <c r="GM102" i="19"/>
  <c r="FU12" i="19"/>
  <c r="FU13" i="19" s="1"/>
  <c r="GL12" i="19"/>
  <c r="GL13" i="19" s="1"/>
  <c r="GY12" i="19"/>
  <c r="GY13" i="19" s="1"/>
  <c r="GC148" i="19"/>
  <c r="GB12" i="19"/>
  <c r="FQ66" i="19"/>
  <c r="FQ53" i="19" s="1"/>
  <c r="GB116" i="19"/>
  <c r="GB127" i="19" s="1"/>
  <c r="GO23" i="19"/>
  <c r="GO34" i="19" s="1"/>
  <c r="GX10" i="19"/>
  <c r="GQ33" i="19"/>
  <c r="GQ36" i="19" s="1"/>
  <c r="GC33" i="19"/>
  <c r="GD23" i="19"/>
  <c r="GH33" i="19"/>
  <c r="GH36" i="19" s="1"/>
  <c r="GI23" i="19"/>
  <c r="GI34" i="19" s="1"/>
  <c r="GX36" i="19"/>
  <c r="GX100" i="19"/>
  <c r="GL76" i="19"/>
  <c r="GL55" i="19" s="1"/>
  <c r="GM66" i="19"/>
  <c r="GM77" i="19" s="1"/>
  <c r="GM55" i="19" s="1"/>
  <c r="GX53" i="19"/>
  <c r="GH53" i="19"/>
  <c r="GV79" i="19"/>
  <c r="GY53" i="19"/>
  <c r="GH10" i="19"/>
  <c r="GX79" i="19"/>
  <c r="FY10" i="19"/>
  <c r="GY10" i="19"/>
  <c r="GZ172" i="19"/>
  <c r="HA162" i="19"/>
  <c r="GU34" i="19"/>
  <c r="GU10" i="19"/>
  <c r="GV172" i="19"/>
  <c r="GW162" i="19"/>
  <c r="GW173" i="19" s="1"/>
  <c r="FP172" i="19"/>
  <c r="FQ162" i="19"/>
  <c r="FQ173" i="19" s="1"/>
  <c r="GF76" i="19"/>
  <c r="GG66" i="19"/>
  <c r="GD33" i="19"/>
  <c r="GF23" i="19"/>
  <c r="GF116" i="19"/>
  <c r="GD126" i="19"/>
  <c r="GL53" i="19"/>
  <c r="FT126" i="19"/>
  <c r="FU116" i="19"/>
  <c r="FU127" i="19" s="1"/>
  <c r="GK34" i="19"/>
  <c r="GK12" i="19" s="1"/>
  <c r="GK10" i="19"/>
  <c r="GI124" i="19"/>
  <c r="GJ114" i="19"/>
  <c r="GI100" i="19"/>
  <c r="GX126" i="19"/>
  <c r="GX132" i="19" s="1"/>
  <c r="GY116" i="19"/>
  <c r="GY127" i="19" s="1"/>
  <c r="GU57" i="19"/>
  <c r="GU184" i="19"/>
  <c r="T812" i="8" s="1"/>
  <c r="GY124" i="19"/>
  <c r="GZ114" i="19"/>
  <c r="FV33" i="19"/>
  <c r="FV12" i="19" s="1"/>
  <c r="FW23" i="19"/>
  <c r="FV10" i="19"/>
  <c r="GV55" i="19"/>
  <c r="GV56" i="19" s="1"/>
  <c r="FW126" i="19"/>
  <c r="FW132" i="19" s="1"/>
  <c r="FX116" i="19"/>
  <c r="FX127" i="19" s="1"/>
  <c r="FX172" i="19"/>
  <c r="FX178" i="19" s="1"/>
  <c r="FY162" i="19"/>
  <c r="FY173" i="19" s="1"/>
  <c r="GW53" i="19"/>
  <c r="GW10" i="19"/>
  <c r="GH79" i="19"/>
  <c r="GS77" i="19"/>
  <c r="GS55" i="19" s="1"/>
  <c r="GS56" i="19" s="1"/>
  <c r="GS53" i="19"/>
  <c r="GI33" i="19"/>
  <c r="GJ23" i="19"/>
  <c r="GU33" i="19"/>
  <c r="GV23" i="19"/>
  <c r="GZ34" i="19"/>
  <c r="GZ12" i="19" s="1"/>
  <c r="GZ10" i="19"/>
  <c r="GJ76" i="19"/>
  <c r="GK66" i="19"/>
  <c r="GZ126" i="19"/>
  <c r="HA116" i="19"/>
  <c r="HA127" i="19" s="1"/>
  <c r="FX124" i="19"/>
  <c r="FY114" i="19"/>
  <c r="GI170" i="19"/>
  <c r="GJ160" i="19"/>
  <c r="GG159" i="19"/>
  <c r="GF169" i="19"/>
  <c r="GF146" i="19"/>
  <c r="GT162" i="19"/>
  <c r="GT173" i="19" s="1"/>
  <c r="GS172" i="19"/>
  <c r="FX34" i="19"/>
  <c r="FX12" i="19" s="1"/>
  <c r="FX10" i="19"/>
  <c r="GT77" i="19"/>
  <c r="GT53" i="19"/>
  <c r="GS116" i="19"/>
  <c r="GS127" i="19" s="1"/>
  <c r="GQ126" i="19"/>
  <c r="HC57" i="19"/>
  <c r="HC184" i="19"/>
  <c r="AB812" i="8" s="1"/>
  <c r="GU172" i="19"/>
  <c r="GV162" i="19"/>
  <c r="GV173" i="19" s="1"/>
  <c r="GG126" i="19"/>
  <c r="GH116" i="19"/>
  <c r="GY172" i="19"/>
  <c r="GZ162" i="19"/>
  <c r="GZ173" i="19" s="1"/>
  <c r="GX55" i="19"/>
  <c r="GX56" i="19" s="1"/>
  <c r="GW172" i="19"/>
  <c r="GX162" i="19"/>
  <c r="GX173" i="19" s="1"/>
  <c r="GJ172" i="19"/>
  <c r="GK162" i="19"/>
  <c r="GK173" i="19" s="1"/>
  <c r="GH172" i="19"/>
  <c r="GI162" i="19"/>
  <c r="GI173" i="19" s="1"/>
  <c r="FY126" i="19"/>
  <c r="FZ116" i="19"/>
  <c r="FZ127" i="19" s="1"/>
  <c r="GT34" i="19"/>
  <c r="GT36" i="19" s="1"/>
  <c r="GT10" i="19"/>
  <c r="FY172" i="19"/>
  <c r="FZ162" i="19"/>
  <c r="FZ173" i="19" s="1"/>
  <c r="FU36" i="19"/>
  <c r="FU37" i="19" s="1"/>
  <c r="GU116" i="19"/>
  <c r="GU127" i="19" s="1"/>
  <c r="GT126" i="19"/>
  <c r="FX126" i="19"/>
  <c r="FY116" i="19"/>
  <c r="FY127" i="19" s="1"/>
  <c r="FX146" i="19"/>
  <c r="GG36" i="19"/>
  <c r="GZ77" i="19"/>
  <c r="GZ53" i="19"/>
  <c r="GU126" i="19"/>
  <c r="GU132" i="19" s="1"/>
  <c r="GV116" i="19"/>
  <c r="GV127" i="19" s="1"/>
  <c r="GW79" i="19"/>
  <c r="GW55" i="19"/>
  <c r="GW56" i="19" s="1"/>
  <c r="GU169" i="19"/>
  <c r="GV159" i="19"/>
  <c r="GV126" i="19"/>
  <c r="GW116" i="19"/>
  <c r="GY36" i="19"/>
  <c r="GG162" i="19"/>
  <c r="GG173" i="19" s="1"/>
  <c r="GF172" i="19"/>
  <c r="GB146" i="19"/>
  <c r="FW76" i="19"/>
  <c r="FW55" i="19" s="1"/>
  <c r="FX66" i="19"/>
  <c r="FX77" i="19" s="1"/>
  <c r="FU126" i="19"/>
  <c r="FV116" i="19"/>
  <c r="GI126" i="19"/>
  <c r="GJ116" i="19"/>
  <c r="GJ127" i="19" s="1"/>
  <c r="GJ126" i="19"/>
  <c r="GK116" i="19"/>
  <c r="GK127" i="19" s="1"/>
  <c r="GY79" i="19"/>
  <c r="GY55" i="19"/>
  <c r="GY56" i="19" s="1"/>
  <c r="FS126" i="19"/>
  <c r="FT116" i="19"/>
  <c r="FT127" i="19" s="1"/>
  <c r="GD76" i="19"/>
  <c r="GD79" i="19" s="1"/>
  <c r="GF66" i="19"/>
  <c r="GF77" i="19" s="1"/>
  <c r="FS23" i="19"/>
  <c r="FQ33" i="19"/>
  <c r="FQ12" i="19" s="1"/>
  <c r="GS162" i="19"/>
  <c r="GS173" i="19" s="1"/>
  <c r="GQ172" i="19"/>
  <c r="GG10" i="19"/>
  <c r="HB172" i="19"/>
  <c r="HC162" i="19"/>
  <c r="FW100" i="19"/>
  <c r="FT34" i="19"/>
  <c r="FT12" i="19" s="1"/>
  <c r="FT10" i="19"/>
  <c r="FU162" i="19"/>
  <c r="FT172" i="19"/>
  <c r="FT148" i="19" s="1"/>
  <c r="FT146" i="19"/>
  <c r="FX76" i="19"/>
  <c r="FY66" i="19"/>
  <c r="FT76" i="19"/>
  <c r="FT55" i="19" s="1"/>
  <c r="FU66" i="19"/>
  <c r="FT53" i="19"/>
  <c r="GM172" i="19"/>
  <c r="GN162" i="19"/>
  <c r="GN173" i="19" s="1"/>
  <c r="FV77" i="19"/>
  <c r="FV55" i="19" s="1"/>
  <c r="FV53" i="19"/>
  <c r="GF126" i="19"/>
  <c r="GG116" i="19"/>
  <c r="GG127" i="19" s="1"/>
  <c r="GI76" i="19"/>
  <c r="GJ66" i="19"/>
  <c r="GJ77" i="19" s="1"/>
  <c r="FY171" i="19"/>
  <c r="FZ161" i="19"/>
  <c r="FU172" i="19"/>
  <c r="FV162" i="19"/>
  <c r="FV173" i="19" s="1"/>
  <c r="HA172" i="19"/>
  <c r="HB162" i="19"/>
  <c r="HB173" i="19" s="1"/>
  <c r="GW36" i="19"/>
  <c r="FV172" i="19"/>
  <c r="FW162" i="19"/>
  <c r="GL172" i="19"/>
  <c r="GM162" i="19"/>
  <c r="GM173" i="19" s="1"/>
  <c r="GV53" i="19"/>
  <c r="GS34" i="19"/>
  <c r="GS12" i="19" s="1"/>
  <c r="GS10" i="19"/>
  <c r="GY126" i="19"/>
  <c r="GZ116" i="19"/>
  <c r="GZ127" i="19" s="1"/>
  <c r="GU79" i="19"/>
  <c r="GU80" i="19" s="1"/>
  <c r="HD10" i="19"/>
  <c r="HC79" i="19"/>
  <c r="HC80" i="19" s="1"/>
  <c r="HD53" i="19"/>
  <c r="HB114" i="19"/>
  <c r="HB125" i="19" s="1"/>
  <c r="HB53" i="19"/>
  <c r="HB10" i="19"/>
  <c r="HA36" i="19"/>
  <c r="HA37" i="19" s="1"/>
  <c r="HA13" i="19"/>
  <c r="HA55" i="19"/>
  <c r="HA56" i="19" s="1"/>
  <c r="HA79" i="19"/>
  <c r="HA80" i="19" s="1"/>
  <c r="HD146" i="19"/>
  <c r="HC13" i="19"/>
  <c r="HC36" i="19"/>
  <c r="HC37" i="19" s="1"/>
  <c r="GO53" i="19"/>
  <c r="GQ159" i="19"/>
  <c r="GN113" i="19"/>
  <c r="GN124" i="19" s="1"/>
  <c r="GM100" i="19"/>
  <c r="GN23" i="19"/>
  <c r="GN34" i="19" s="1"/>
  <c r="GN12" i="19" s="1"/>
  <c r="GM10" i="19"/>
  <c r="GQ66" i="19"/>
  <c r="GQ77" i="19" s="1"/>
  <c r="GP10" i="19"/>
  <c r="GP113" i="19"/>
  <c r="GP124" i="19" s="1"/>
  <c r="GN159" i="19"/>
  <c r="GN170" i="19" s="1"/>
  <c r="GP79" i="19"/>
  <c r="GP53" i="19"/>
  <c r="GL36" i="19"/>
  <c r="GO79" i="19"/>
  <c r="GO56" i="19"/>
  <c r="GN66" i="19"/>
  <c r="GN77" i="19" s="1"/>
  <c r="GN55" i="19" s="1"/>
  <c r="GD53" i="19"/>
  <c r="GA113" i="19"/>
  <c r="GA124" i="19" s="1"/>
  <c r="GB36" i="19"/>
  <c r="GB10" i="19"/>
  <c r="FZ56" i="19"/>
  <c r="GA66" i="19"/>
  <c r="GA77" i="19" s="1"/>
  <c r="GA55" i="19" s="1"/>
  <c r="GB149" i="19"/>
  <c r="GB178" i="19"/>
  <c r="FZ53" i="19"/>
  <c r="GB66" i="19"/>
  <c r="GB77" i="19" s="1"/>
  <c r="GB55" i="19" s="1"/>
  <c r="GD162" i="19"/>
  <c r="GD173" i="19" s="1"/>
  <c r="GD148" i="19" s="1"/>
  <c r="GC146" i="19"/>
  <c r="GC53" i="19"/>
  <c r="GA23" i="19"/>
  <c r="GA34" i="19" s="1"/>
  <c r="GA12" i="19" s="1"/>
  <c r="FZ10" i="19"/>
  <c r="GC10" i="19"/>
  <c r="FY13" i="19"/>
  <c r="FY36" i="19"/>
  <c r="FP10" i="19"/>
  <c r="FP66" i="19"/>
  <c r="FP77" i="19" s="1"/>
  <c r="FP55" i="19" s="1"/>
  <c r="FO36" i="19"/>
  <c r="FO10" i="19"/>
  <c r="FP36" i="19"/>
  <c r="FP13" i="19"/>
  <c r="FN79" i="19"/>
  <c r="FO66" i="19"/>
  <c r="FQ10" i="19"/>
  <c r="FP160" i="19"/>
  <c r="FP171" i="19" s="1"/>
  <c r="FO113" i="19"/>
  <c r="FO124" i="19" s="1"/>
  <c r="FN53" i="19"/>
  <c r="FQ116" i="19"/>
  <c r="FQ127" i="19" s="1"/>
  <c r="FQ77" i="19" l="1"/>
  <c r="GU12" i="19"/>
  <c r="GI10" i="19"/>
  <c r="GI53" i="19"/>
  <c r="GQ37" i="19"/>
  <c r="GF55" i="19"/>
  <c r="GF56" i="19" s="1"/>
  <c r="FU102" i="19"/>
  <c r="FS53" i="19"/>
  <c r="FS80" i="19" s="1"/>
  <c r="GV102" i="19"/>
  <c r="GV103" i="19" s="1"/>
  <c r="FS55" i="19"/>
  <c r="FS56" i="19" s="1"/>
  <c r="FS184" i="19" s="1"/>
  <c r="R795" i="8" s="1"/>
  <c r="GQ55" i="19"/>
  <c r="GN102" i="19"/>
  <c r="GL37" i="19"/>
  <c r="GI12" i="19"/>
  <c r="GI13" i="19" s="1"/>
  <c r="GN148" i="19"/>
  <c r="GH12" i="19"/>
  <c r="FT102" i="19"/>
  <c r="GX80" i="19"/>
  <c r="GG102" i="19"/>
  <c r="GZ148" i="19"/>
  <c r="GZ149" i="19" s="1"/>
  <c r="GY102" i="19"/>
  <c r="GY103" i="19" s="1"/>
  <c r="FY148" i="19"/>
  <c r="FY149" i="19" s="1"/>
  <c r="GT12" i="19"/>
  <c r="GM148" i="19"/>
  <c r="GM149" i="19" s="1"/>
  <c r="FX55" i="19"/>
  <c r="FX56" i="19" s="1"/>
  <c r="HB148" i="19"/>
  <c r="HB149" i="19" s="1"/>
  <c r="FX102" i="19"/>
  <c r="FX103" i="19" s="1"/>
  <c r="FW102" i="19"/>
  <c r="FW103" i="19" s="1"/>
  <c r="GO36" i="19"/>
  <c r="GO12" i="19"/>
  <c r="GO13" i="19" s="1"/>
  <c r="FV148" i="19"/>
  <c r="FV149" i="19" s="1"/>
  <c r="GX102" i="19"/>
  <c r="GX103" i="19" s="1"/>
  <c r="GX104" i="19" s="1"/>
  <c r="FV56" i="19"/>
  <c r="FV184" i="19" s="1"/>
  <c r="U795" i="8" s="1"/>
  <c r="GJ55" i="19"/>
  <c r="GJ56" i="19" s="1"/>
  <c r="GQ12" i="19"/>
  <c r="GQ13" i="19" s="1"/>
  <c r="FX148" i="19"/>
  <c r="FX149" i="19" s="1"/>
  <c r="FX150" i="19" s="1"/>
  <c r="FQ79" i="19"/>
  <c r="FQ80" i="19" s="1"/>
  <c r="FQ55" i="19"/>
  <c r="FQ56" i="19" s="1"/>
  <c r="FQ184" i="19" s="1"/>
  <c r="AC787" i="8" s="1"/>
  <c r="GF148" i="19"/>
  <c r="GF149" i="19" s="1"/>
  <c r="GC36" i="19"/>
  <c r="GC37" i="19" s="1"/>
  <c r="GC12" i="19"/>
  <c r="GC13" i="19" s="1"/>
  <c r="GC183" i="19" s="1"/>
  <c r="AB794" i="8" s="1"/>
  <c r="FT149" i="19"/>
  <c r="FT186" i="19" s="1"/>
  <c r="S797" i="8" s="1"/>
  <c r="FW56" i="19"/>
  <c r="FW184" i="19" s="1"/>
  <c r="V795" i="8" s="1"/>
  <c r="GI102" i="19"/>
  <c r="GI103" i="19" s="1"/>
  <c r="GL56" i="19"/>
  <c r="GL184" i="19" s="1"/>
  <c r="X803" i="8" s="1"/>
  <c r="GU102" i="19"/>
  <c r="GU103" i="19" s="1"/>
  <c r="GU104" i="19" s="1"/>
  <c r="GD55" i="19"/>
  <c r="GI55" i="19"/>
  <c r="GI56" i="19" s="1"/>
  <c r="GO10" i="19"/>
  <c r="GO37" i="19" s="1"/>
  <c r="GX37" i="19"/>
  <c r="FY146" i="19"/>
  <c r="GH13" i="19"/>
  <c r="GH14" i="19" s="1"/>
  <c r="GH37" i="19"/>
  <c r="GG183" i="19"/>
  <c r="S802" i="8" s="1"/>
  <c r="GD34" i="19"/>
  <c r="GD36" i="19" s="1"/>
  <c r="GD10" i="19"/>
  <c r="FY37" i="19"/>
  <c r="GB179" i="19"/>
  <c r="GX183" i="19"/>
  <c r="W811" i="8" s="1"/>
  <c r="GT13" i="19"/>
  <c r="GT14" i="19" s="1"/>
  <c r="FU100" i="19"/>
  <c r="GV100" i="19"/>
  <c r="GM53" i="19"/>
  <c r="GL79" i="19"/>
  <c r="GL80" i="19" s="1"/>
  <c r="GW37" i="19"/>
  <c r="FX53" i="19"/>
  <c r="FT132" i="19"/>
  <c r="FX100" i="19"/>
  <c r="GH80" i="19"/>
  <c r="GX133" i="19"/>
  <c r="GV80" i="19"/>
  <c r="GY80" i="19"/>
  <c r="GZ178" i="19"/>
  <c r="GY100" i="19"/>
  <c r="GD56" i="19"/>
  <c r="GD184" i="19" s="1"/>
  <c r="AC795" i="8" s="1"/>
  <c r="GM146" i="19"/>
  <c r="GH184" i="19"/>
  <c r="T803" i="8" s="1"/>
  <c r="FW133" i="19"/>
  <c r="GD80" i="19"/>
  <c r="GY37" i="19"/>
  <c r="GT37" i="19"/>
  <c r="FT178" i="19"/>
  <c r="FT179" i="19" s="1"/>
  <c r="GU100" i="19"/>
  <c r="GU133" i="19" s="1"/>
  <c r="FY14" i="19"/>
  <c r="FY183" i="19"/>
  <c r="X794" i="8" s="1"/>
  <c r="FT79" i="19"/>
  <c r="FT80" i="19" s="1"/>
  <c r="FT56" i="19"/>
  <c r="FT13" i="19"/>
  <c r="FT36" i="19"/>
  <c r="FT37" i="19" s="1"/>
  <c r="GW57" i="19"/>
  <c r="GW184" i="19"/>
  <c r="V812" i="8" s="1"/>
  <c r="GG103" i="19"/>
  <c r="GG132" i="19"/>
  <c r="GS57" i="19"/>
  <c r="GS184" i="19"/>
  <c r="R812" i="8" s="1"/>
  <c r="FN80" i="19"/>
  <c r="HC14" i="19"/>
  <c r="HC183" i="19"/>
  <c r="AB811" i="8" s="1"/>
  <c r="HA14" i="19"/>
  <c r="HA183" i="19"/>
  <c r="Z811" i="8" s="1"/>
  <c r="GS13" i="19"/>
  <c r="GS36" i="19"/>
  <c r="GS37" i="19" s="1"/>
  <c r="FV146" i="19"/>
  <c r="GW14" i="19"/>
  <c r="GW183" i="19"/>
  <c r="V811" i="8" s="1"/>
  <c r="FV127" i="19"/>
  <c r="FV102" i="19" s="1"/>
  <c r="FV100" i="19"/>
  <c r="GW80" i="19"/>
  <c r="GZ79" i="19"/>
  <c r="GZ80" i="19" s="1"/>
  <c r="GZ55" i="19"/>
  <c r="GZ56" i="19" s="1"/>
  <c r="FX36" i="19"/>
  <c r="FX37" i="19" s="1"/>
  <c r="FX13" i="19"/>
  <c r="FY125" i="19"/>
  <c r="FY102" i="19" s="1"/>
  <c r="FZ115" i="19"/>
  <c r="FY100" i="19"/>
  <c r="GJ53" i="19"/>
  <c r="GZ13" i="19"/>
  <c r="GZ36" i="19"/>
  <c r="GZ37" i="19" s="1"/>
  <c r="GJ34" i="19"/>
  <c r="GJ12" i="19" s="1"/>
  <c r="GJ10" i="19"/>
  <c r="FV79" i="19"/>
  <c r="FV80" i="19" s="1"/>
  <c r="GV57" i="19"/>
  <c r="GV184" i="19"/>
  <c r="U812" i="8" s="1"/>
  <c r="GS79" i="19"/>
  <c r="GS80" i="19" s="1"/>
  <c r="GZ125" i="19"/>
  <c r="GZ102" i="19" s="1"/>
  <c r="HA115" i="19"/>
  <c r="GZ100" i="19"/>
  <c r="GI132" i="19"/>
  <c r="GI133" i="19" s="1"/>
  <c r="GK13" i="19"/>
  <c r="GK36" i="19"/>
  <c r="GK37" i="19" s="1"/>
  <c r="GF53" i="19"/>
  <c r="FW79" i="19"/>
  <c r="FW80" i="19" s="1"/>
  <c r="FO77" i="19"/>
  <c r="GS160" i="19"/>
  <c r="GQ170" i="19"/>
  <c r="FY178" i="19"/>
  <c r="FY179" i="19" s="1"/>
  <c r="GY14" i="19"/>
  <c r="GY183" i="19"/>
  <c r="X811" i="8" s="1"/>
  <c r="GV132" i="19"/>
  <c r="GG170" i="19"/>
  <c r="GG148" i="19" s="1"/>
  <c r="GH160" i="19"/>
  <c r="GG146" i="19"/>
  <c r="FV13" i="19"/>
  <c r="FV36" i="19"/>
  <c r="FV37" i="19" s="1"/>
  <c r="HA173" i="19"/>
  <c r="HA146" i="19"/>
  <c r="FP14" i="19"/>
  <c r="FP183" i="19"/>
  <c r="AB786" i="8" s="1"/>
  <c r="GL14" i="19"/>
  <c r="GL183" i="19"/>
  <c r="X802" i="8" s="1"/>
  <c r="FW173" i="19"/>
  <c r="FW148" i="19" s="1"/>
  <c r="FW146" i="19"/>
  <c r="FZ172" i="19"/>
  <c r="FZ148" i="19" s="1"/>
  <c r="FZ146" i="19"/>
  <c r="GA162" i="19"/>
  <c r="FY77" i="19"/>
  <c r="FY55" i="19" s="1"/>
  <c r="FY53" i="19"/>
  <c r="FU173" i="19"/>
  <c r="FU146" i="19"/>
  <c r="HC173" i="19"/>
  <c r="HC148" i="19" s="1"/>
  <c r="HC146" i="19"/>
  <c r="FS34" i="19"/>
  <c r="FS12" i="19" s="1"/>
  <c r="FS10" i="19"/>
  <c r="GY57" i="19"/>
  <c r="GY184" i="19"/>
  <c r="X812" i="8" s="1"/>
  <c r="FX179" i="19"/>
  <c r="FU103" i="19"/>
  <c r="FU132" i="19"/>
  <c r="GI79" i="19"/>
  <c r="GV170" i="19"/>
  <c r="GV148" i="19" s="1"/>
  <c r="GW160" i="19"/>
  <c r="GV146" i="19"/>
  <c r="GX57" i="19"/>
  <c r="GX184" i="19"/>
  <c r="W812" i="8" s="1"/>
  <c r="GG100" i="19"/>
  <c r="GJ171" i="19"/>
  <c r="GK161" i="19"/>
  <c r="FX132" i="19"/>
  <c r="GK77" i="19"/>
  <c r="GK55" i="19" s="1"/>
  <c r="GK53" i="19"/>
  <c r="GV34" i="19"/>
  <c r="GV12" i="19" s="1"/>
  <c r="GV10" i="19"/>
  <c r="GI36" i="19"/>
  <c r="GI37" i="19" s="1"/>
  <c r="FT103" i="19"/>
  <c r="GY132" i="19"/>
  <c r="GF127" i="19"/>
  <c r="GF100" i="19"/>
  <c r="GG77" i="19"/>
  <c r="GG55" i="19" s="1"/>
  <c r="GG53" i="19"/>
  <c r="GO57" i="19"/>
  <c r="GO184" i="19"/>
  <c r="AA803" i="8" s="1"/>
  <c r="HA57" i="19"/>
  <c r="HA184" i="19"/>
  <c r="Z812" i="8" s="1"/>
  <c r="HB178" i="19"/>
  <c r="FS57" i="19"/>
  <c r="GJ125" i="19"/>
  <c r="GJ102" i="19" s="1"/>
  <c r="GK115" i="19"/>
  <c r="GJ100" i="19"/>
  <c r="FO53" i="19"/>
  <c r="GB150" i="19"/>
  <c r="GB186" i="19"/>
  <c r="AA797" i="8" s="1"/>
  <c r="FZ57" i="19"/>
  <c r="FZ184" i="19"/>
  <c r="Y795" i="8" s="1"/>
  <c r="FV178" i="19"/>
  <c r="FT100" i="19"/>
  <c r="FU77" i="19"/>
  <c r="FU55" i="19" s="1"/>
  <c r="FU53" i="19"/>
  <c r="FX79" i="19"/>
  <c r="HB146" i="19"/>
  <c r="GF79" i="19"/>
  <c r="GW127" i="19"/>
  <c r="GW102" i="19" s="1"/>
  <c r="GW100" i="19"/>
  <c r="GG37" i="19"/>
  <c r="FU14" i="19"/>
  <c r="FU183" i="19"/>
  <c r="T794" i="8" s="1"/>
  <c r="GH127" i="19"/>
  <c r="GH102" i="19" s="1"/>
  <c r="GH100" i="19"/>
  <c r="GT79" i="19"/>
  <c r="GT80" i="19" s="1"/>
  <c r="GT55" i="19"/>
  <c r="GT56" i="19" s="1"/>
  <c r="GF178" i="19"/>
  <c r="GF179" i="19" s="1"/>
  <c r="GJ79" i="19"/>
  <c r="GU13" i="19"/>
  <c r="GU36" i="19"/>
  <c r="GU37" i="19" s="1"/>
  <c r="FW34" i="19"/>
  <c r="FW12" i="19" s="1"/>
  <c r="FW10" i="19"/>
  <c r="GF34" i="19"/>
  <c r="GF12" i="19" s="1"/>
  <c r="GF10" i="19"/>
  <c r="GZ146" i="19"/>
  <c r="HD178" i="19"/>
  <c r="HD179" i="19" s="1"/>
  <c r="HD149" i="19"/>
  <c r="HB79" i="19"/>
  <c r="HB80" i="19" s="1"/>
  <c r="HB55" i="19"/>
  <c r="HB56" i="19" s="1"/>
  <c r="HD55" i="19"/>
  <c r="HD56" i="19" s="1"/>
  <c r="HD79" i="19"/>
  <c r="HD80" i="19" s="1"/>
  <c r="HB36" i="19"/>
  <c r="HB37" i="19" s="1"/>
  <c r="HB13" i="19"/>
  <c r="HC115" i="19"/>
  <c r="HC126" i="19" s="1"/>
  <c r="HC102" i="19" s="1"/>
  <c r="HD13" i="19"/>
  <c r="HD36" i="19"/>
  <c r="HD37" i="19" s="1"/>
  <c r="GO80" i="19"/>
  <c r="GP36" i="19"/>
  <c r="GP37" i="19" s="1"/>
  <c r="GP13" i="19"/>
  <c r="GO114" i="19"/>
  <c r="GO125" i="19" s="1"/>
  <c r="GO102" i="19" s="1"/>
  <c r="GN100" i="19"/>
  <c r="GO160" i="19"/>
  <c r="GO171" i="19" s="1"/>
  <c r="GO148" i="19" s="1"/>
  <c r="GN146" i="19"/>
  <c r="GQ53" i="19"/>
  <c r="GN10" i="19"/>
  <c r="GM103" i="19"/>
  <c r="GM132" i="19"/>
  <c r="GM133" i="19" s="1"/>
  <c r="GM178" i="19"/>
  <c r="GQ114" i="19"/>
  <c r="GM13" i="19"/>
  <c r="GM36" i="19"/>
  <c r="GM37" i="19" s="1"/>
  <c r="GM79" i="19"/>
  <c r="GM56" i="19"/>
  <c r="GN53" i="19"/>
  <c r="GP80" i="19"/>
  <c r="GP56" i="19"/>
  <c r="FZ79" i="19"/>
  <c r="FZ80" i="19" s="1"/>
  <c r="GD146" i="19"/>
  <c r="GB53" i="19"/>
  <c r="GA10" i="19"/>
  <c r="GC79" i="19"/>
  <c r="GC80" i="19" s="1"/>
  <c r="GC56" i="19"/>
  <c r="GA53" i="19"/>
  <c r="GB13" i="19"/>
  <c r="GC149" i="19"/>
  <c r="GC178" i="19"/>
  <c r="GC179" i="19" s="1"/>
  <c r="GB114" i="19"/>
  <c r="GB125" i="19" s="1"/>
  <c r="GB102" i="19" s="1"/>
  <c r="GB37" i="19"/>
  <c r="FZ36" i="19"/>
  <c r="FZ37" i="19" s="1"/>
  <c r="FZ13" i="19"/>
  <c r="FN56" i="19"/>
  <c r="FP37" i="19"/>
  <c r="FQ161" i="19"/>
  <c r="FQ13" i="19"/>
  <c r="FQ36" i="19"/>
  <c r="FQ37" i="19" s="1"/>
  <c r="FP114" i="19"/>
  <c r="FP125" i="19" s="1"/>
  <c r="FP53" i="19"/>
  <c r="FO37" i="19"/>
  <c r="FO13" i="19"/>
  <c r="GI80" i="19" l="1"/>
  <c r="GF80" i="19"/>
  <c r="FV57" i="19"/>
  <c r="GL57" i="19"/>
  <c r="FT150" i="19"/>
  <c r="GJ80" i="19"/>
  <c r="GC14" i="19"/>
  <c r="GI184" i="19"/>
  <c r="U803" i="8" s="1"/>
  <c r="GI57" i="19"/>
  <c r="GQ183" i="19"/>
  <c r="AC802" i="8" s="1"/>
  <c r="GQ14" i="19"/>
  <c r="FX186" i="19"/>
  <c r="W797" i="8" s="1"/>
  <c r="GD57" i="19"/>
  <c r="GF102" i="19"/>
  <c r="GF103" i="19" s="1"/>
  <c r="FU148" i="19"/>
  <c r="FU149" i="19" s="1"/>
  <c r="FW57" i="19"/>
  <c r="FO55" i="19"/>
  <c r="FO56" i="19" s="1"/>
  <c r="HA178" i="19"/>
  <c r="HA179" i="19" s="1"/>
  <c r="HA148" i="19"/>
  <c r="HA149" i="19" s="1"/>
  <c r="HA186" i="19" s="1"/>
  <c r="Z814" i="8" s="1"/>
  <c r="GD12" i="19"/>
  <c r="GD13" i="19" s="1"/>
  <c r="GD14" i="19" s="1"/>
  <c r="GH183" i="19"/>
  <c r="T802" i="8" s="1"/>
  <c r="GV133" i="19"/>
  <c r="FQ57" i="19"/>
  <c r="GD37" i="19"/>
  <c r="GT183" i="19"/>
  <c r="S811" i="8" s="1"/>
  <c r="GM179" i="19"/>
  <c r="FT133" i="19"/>
  <c r="FX133" i="19"/>
  <c r="GG133" i="19"/>
  <c r="GX185" i="19"/>
  <c r="W813" i="8" s="1"/>
  <c r="GU185" i="19"/>
  <c r="T813" i="8" s="1"/>
  <c r="GZ179" i="19"/>
  <c r="FV179" i="19"/>
  <c r="FU133" i="19"/>
  <c r="FX80" i="19"/>
  <c r="GM80" i="19"/>
  <c r="GY133" i="19"/>
  <c r="GF132" i="19"/>
  <c r="GF133" i="19" s="1"/>
  <c r="FO79" i="19"/>
  <c r="FO80" i="19" s="1"/>
  <c r="FZ14" i="19"/>
  <c r="FZ183" i="19"/>
  <c r="Y794" i="8" s="1"/>
  <c r="GP57" i="19"/>
  <c r="GP184" i="19"/>
  <c r="AB803" i="8" s="1"/>
  <c r="GO14" i="19"/>
  <c r="GO183" i="19"/>
  <c r="AA802" i="8" s="1"/>
  <c r="GU14" i="19"/>
  <c r="GU183" i="19"/>
  <c r="T811" i="8" s="1"/>
  <c r="GI104" i="19"/>
  <c r="GI185" i="19"/>
  <c r="U804" i="8" s="1"/>
  <c r="GZ132" i="19"/>
  <c r="GZ133" i="19" s="1"/>
  <c r="GZ103" i="19"/>
  <c r="FY132" i="19"/>
  <c r="FY133" i="19" s="1"/>
  <c r="FY103" i="19"/>
  <c r="GZ150" i="19"/>
  <c r="GZ186" i="19"/>
  <c r="Y814" i="8" s="1"/>
  <c r="FO14" i="19"/>
  <c r="FO183" i="19"/>
  <c r="AA786" i="8" s="1"/>
  <c r="FQ172" i="19"/>
  <c r="FQ148" i="19" s="1"/>
  <c r="FS162" i="19"/>
  <c r="FN57" i="19"/>
  <c r="FN184" i="19"/>
  <c r="Z787" i="8" s="1"/>
  <c r="HB57" i="19"/>
  <c r="HB184" i="19"/>
  <c r="AA812" i="8" s="1"/>
  <c r="GW103" i="19"/>
  <c r="GW132" i="19"/>
  <c r="GW133" i="19" s="1"/>
  <c r="FV150" i="19"/>
  <c r="FV186" i="19"/>
  <c r="U797" i="8" s="1"/>
  <c r="GG56" i="19"/>
  <c r="GG79" i="19"/>
  <c r="GG80" i="19" s="1"/>
  <c r="GY104" i="19"/>
  <c r="GY185" i="19"/>
  <c r="X813" i="8" s="1"/>
  <c r="GK56" i="19"/>
  <c r="GK79" i="19"/>
  <c r="GK80" i="19" s="1"/>
  <c r="GK172" i="19"/>
  <c r="GK148" i="19" s="1"/>
  <c r="GL162" i="19"/>
  <c r="GK146" i="19"/>
  <c r="GV178" i="19"/>
  <c r="GV179" i="19" s="1"/>
  <c r="GV149" i="19"/>
  <c r="FS36" i="19"/>
  <c r="FS37" i="19" s="1"/>
  <c r="FS13" i="19"/>
  <c r="GA173" i="19"/>
  <c r="GA148" i="19" s="1"/>
  <c r="GA146" i="19"/>
  <c r="FW149" i="19"/>
  <c r="FW178" i="19"/>
  <c r="FW179" i="19" s="1"/>
  <c r="GH171" i="19"/>
  <c r="GH148" i="19" s="1"/>
  <c r="GI161" i="19"/>
  <c r="GH146" i="19"/>
  <c r="FX14" i="19"/>
  <c r="FX183" i="19"/>
  <c r="W794" i="8" s="1"/>
  <c r="FV103" i="19"/>
  <c r="FV132" i="19"/>
  <c r="FV133" i="19" s="1"/>
  <c r="FT14" i="19"/>
  <c r="FT183" i="19"/>
  <c r="S794" i="8" s="1"/>
  <c r="HD14" i="19"/>
  <c r="HD183" i="19"/>
  <c r="AC811" i="8" s="1"/>
  <c r="GF57" i="19"/>
  <c r="GF184" i="19"/>
  <c r="R803" i="8" s="1"/>
  <c r="FW104" i="19"/>
  <c r="FW185" i="19"/>
  <c r="V796" i="8" s="1"/>
  <c r="FU104" i="19"/>
  <c r="FU185" i="19"/>
  <c r="T796" i="8" s="1"/>
  <c r="FY79" i="19"/>
  <c r="FY80" i="19" s="1"/>
  <c r="FY56" i="19"/>
  <c r="GZ14" i="19"/>
  <c r="GZ183" i="19"/>
  <c r="Y811" i="8" s="1"/>
  <c r="GC57" i="19"/>
  <c r="GC184" i="19"/>
  <c r="AB795" i="8" s="1"/>
  <c r="GM14" i="19"/>
  <c r="GM183" i="19"/>
  <c r="Y802" i="8" s="1"/>
  <c r="FW13" i="19"/>
  <c r="FW36" i="19"/>
  <c r="FW37" i="19" s="1"/>
  <c r="GJ57" i="19"/>
  <c r="GJ184" i="19"/>
  <c r="V803" i="8" s="1"/>
  <c r="GF150" i="19"/>
  <c r="GF186" i="19"/>
  <c r="R805" i="8" s="1"/>
  <c r="GH103" i="19"/>
  <c r="GH132" i="19"/>
  <c r="GH133" i="19" s="1"/>
  <c r="FU56" i="19"/>
  <c r="FU79" i="19"/>
  <c r="FU80" i="19" s="1"/>
  <c r="GK126" i="19"/>
  <c r="GK102" i="19" s="1"/>
  <c r="GL116" i="19"/>
  <c r="GK100" i="19"/>
  <c r="GG178" i="19"/>
  <c r="GG179" i="19" s="1"/>
  <c r="GG149" i="19"/>
  <c r="GT161" i="19"/>
  <c r="GS171" i="19"/>
  <c r="GS148" i="19" s="1"/>
  <c r="GS146" i="19"/>
  <c r="GJ36" i="19"/>
  <c r="GJ37" i="19" s="1"/>
  <c r="GJ13" i="19"/>
  <c r="FT57" i="19"/>
  <c r="FT184" i="19"/>
  <c r="S795" i="8" s="1"/>
  <c r="FU178" i="19"/>
  <c r="FU179" i="19" s="1"/>
  <c r="GM150" i="19"/>
  <c r="GM186" i="19"/>
  <c r="Y805" i="8" s="1"/>
  <c r="HD57" i="19"/>
  <c r="HD184" i="19"/>
  <c r="AC812" i="8" s="1"/>
  <c r="GF13" i="19"/>
  <c r="GF36" i="19"/>
  <c r="GF37" i="19" s="1"/>
  <c r="FX57" i="19"/>
  <c r="FX184" i="19"/>
  <c r="W795" i="8" s="1"/>
  <c r="HB150" i="19"/>
  <c r="HB186" i="19"/>
  <c r="AA814" i="8" s="1"/>
  <c r="GI14" i="19"/>
  <c r="GI183" i="19"/>
  <c r="U802" i="8" s="1"/>
  <c r="GW171" i="19"/>
  <c r="GW148" i="19" s="1"/>
  <c r="GX161" i="19"/>
  <c r="GW146" i="19"/>
  <c r="GC150" i="19"/>
  <c r="GC186" i="19"/>
  <c r="AB797" i="8" s="1"/>
  <c r="FQ14" i="19"/>
  <c r="FQ183" i="19"/>
  <c r="AC786" i="8" s="1"/>
  <c r="GB14" i="19"/>
  <c r="GB183" i="19"/>
  <c r="AA794" i="8" s="1"/>
  <c r="GM57" i="19"/>
  <c r="GM184" i="19"/>
  <c r="Y803" i="8" s="1"/>
  <c r="GS115" i="19"/>
  <c r="GQ125" i="19"/>
  <c r="GM104" i="19"/>
  <c r="GM185" i="19"/>
  <c r="Y804" i="8" s="1"/>
  <c r="GP14" i="19"/>
  <c r="GP183" i="19"/>
  <c r="AB802" i="8" s="1"/>
  <c r="HB14" i="19"/>
  <c r="HB183" i="19"/>
  <c r="AA811" i="8" s="1"/>
  <c r="HD150" i="19"/>
  <c r="HD186" i="19"/>
  <c r="AC814" i="8" s="1"/>
  <c r="GT57" i="19"/>
  <c r="GT184" i="19"/>
  <c r="S812" i="8" s="1"/>
  <c r="GJ103" i="19"/>
  <c r="GJ132" i="19"/>
  <c r="GJ133" i="19" s="1"/>
  <c r="HB179" i="19"/>
  <c r="FT104" i="19"/>
  <c r="FT185" i="19"/>
  <c r="S796" i="8" s="1"/>
  <c r="GV36" i="19"/>
  <c r="GV37" i="19" s="1"/>
  <c r="GV13" i="19"/>
  <c r="FX104" i="19"/>
  <c r="FX185" i="19"/>
  <c r="W796" i="8" s="1"/>
  <c r="HC178" i="19"/>
  <c r="HC179" i="19" s="1"/>
  <c r="HC149" i="19"/>
  <c r="FZ178" i="19"/>
  <c r="FZ179" i="19" s="1"/>
  <c r="FZ149" i="19"/>
  <c r="FV14" i="19"/>
  <c r="FV183" i="19"/>
  <c r="U794" i="8" s="1"/>
  <c r="GV104" i="19"/>
  <c r="GV185" i="19"/>
  <c r="U813" i="8" s="1"/>
  <c r="FY150" i="19"/>
  <c r="FY186" i="19"/>
  <c r="X797" i="8" s="1"/>
  <c r="GK14" i="19"/>
  <c r="GK183" i="19"/>
  <c r="W802" i="8" s="1"/>
  <c r="HA126" i="19"/>
  <c r="HA102" i="19" s="1"/>
  <c r="HB116" i="19"/>
  <c r="HA100" i="19"/>
  <c r="FZ126" i="19"/>
  <c r="FZ102" i="19" s="1"/>
  <c r="GA116" i="19"/>
  <c r="FZ100" i="19"/>
  <c r="GZ57" i="19"/>
  <c r="GZ184" i="19"/>
  <c r="Y812" i="8" s="1"/>
  <c r="GS14" i="19"/>
  <c r="GS183" i="19"/>
  <c r="R811" i="8" s="1"/>
  <c r="GG104" i="19"/>
  <c r="GG185" i="19"/>
  <c r="S804" i="8" s="1"/>
  <c r="HD116" i="19"/>
  <c r="HD127" i="19" s="1"/>
  <c r="HD102" i="19" s="1"/>
  <c r="HC100" i="19"/>
  <c r="GN36" i="19"/>
  <c r="GN37" i="19" s="1"/>
  <c r="GN13" i="19"/>
  <c r="GN149" i="19"/>
  <c r="GN178" i="19"/>
  <c r="GN179" i="19" s="1"/>
  <c r="GN132" i="19"/>
  <c r="GN133" i="19" s="1"/>
  <c r="GN103" i="19"/>
  <c r="GP161" i="19"/>
  <c r="GP172" i="19" s="1"/>
  <c r="GP148" i="19" s="1"/>
  <c r="GO146" i="19"/>
  <c r="GP115" i="19"/>
  <c r="GP126" i="19" s="1"/>
  <c r="GP102" i="19" s="1"/>
  <c r="GO100" i="19"/>
  <c r="GN79" i="19"/>
  <c r="GN80" i="19" s="1"/>
  <c r="GN56" i="19"/>
  <c r="GQ56" i="19"/>
  <c r="GQ79" i="19"/>
  <c r="GQ80" i="19" s="1"/>
  <c r="GA79" i="19"/>
  <c r="GA80" i="19" s="1"/>
  <c r="GA56" i="19"/>
  <c r="GB79" i="19"/>
  <c r="GB80" i="19" s="1"/>
  <c r="GB56" i="19"/>
  <c r="GA36" i="19"/>
  <c r="GA37" i="19" s="1"/>
  <c r="GA13" i="19"/>
  <c r="GC115" i="19"/>
  <c r="GC126" i="19" s="1"/>
  <c r="GC102" i="19" s="1"/>
  <c r="GB100" i="19"/>
  <c r="GD149" i="19"/>
  <c r="GD178" i="19"/>
  <c r="GD179" i="19" s="1"/>
  <c r="FQ146" i="19"/>
  <c r="FP79" i="19"/>
  <c r="FP80" i="19" s="1"/>
  <c r="FP56" i="19"/>
  <c r="FQ115" i="19"/>
  <c r="AD812" i="8" l="1"/>
  <c r="Y806" i="8"/>
  <c r="S798" i="8"/>
  <c r="W798" i="8"/>
  <c r="FO184" i="19"/>
  <c r="AA787" i="8" s="1"/>
  <c r="FO57" i="19"/>
  <c r="FU150" i="19"/>
  <c r="FU186" i="19"/>
  <c r="T797" i="8" s="1"/>
  <c r="HA150" i="19"/>
  <c r="GF104" i="19"/>
  <c r="GF185" i="19"/>
  <c r="R804" i="8" s="1"/>
  <c r="GD183" i="19"/>
  <c r="AC794" i="8" s="1"/>
  <c r="HA132" i="19"/>
  <c r="HA133" i="19" s="1"/>
  <c r="HA103" i="19"/>
  <c r="GX172" i="19"/>
  <c r="GX148" i="19" s="1"/>
  <c r="GY162" i="19"/>
  <c r="GX146" i="19"/>
  <c r="GK57" i="19"/>
  <c r="GK184" i="19"/>
  <c r="W803" i="8" s="1"/>
  <c r="GW104" i="19"/>
  <c r="GW185" i="19"/>
  <c r="V813" i="8" s="1"/>
  <c r="FS116" i="19"/>
  <c r="FQ126" i="19"/>
  <c r="FQ102" i="19" s="1"/>
  <c r="GB57" i="19"/>
  <c r="GB184" i="19"/>
  <c r="AA795" i="8" s="1"/>
  <c r="GN104" i="19"/>
  <c r="GN185" i="19"/>
  <c r="Z804" i="8" s="1"/>
  <c r="GN14" i="19"/>
  <c r="GN183" i="19"/>
  <c r="Z802" i="8" s="1"/>
  <c r="FZ132" i="19"/>
  <c r="FZ133" i="19" s="1"/>
  <c r="FZ103" i="19"/>
  <c r="FZ150" i="19"/>
  <c r="FZ186" i="19"/>
  <c r="Y797" i="8" s="1"/>
  <c r="GW149" i="19"/>
  <c r="GW178" i="19"/>
  <c r="GW179" i="19" s="1"/>
  <c r="GF14" i="19"/>
  <c r="GF183" i="19"/>
  <c r="R802" i="8" s="1"/>
  <c r="GK132" i="19"/>
  <c r="GK133" i="19" s="1"/>
  <c r="GK103" i="19"/>
  <c r="GH104" i="19"/>
  <c r="GH185" i="19"/>
  <c r="T804" i="8" s="1"/>
  <c r="FT187" i="19"/>
  <c r="FV104" i="19"/>
  <c r="FV185" i="19"/>
  <c r="U796" i="8" s="1"/>
  <c r="U798" i="8" s="1"/>
  <c r="FW150" i="19"/>
  <c r="FW186" i="19"/>
  <c r="V797" i="8" s="1"/>
  <c r="GL173" i="19"/>
  <c r="GL148" i="19" s="1"/>
  <c r="GL146" i="19"/>
  <c r="FS173" i="19"/>
  <c r="FS148" i="19" s="1"/>
  <c r="FS146" i="19"/>
  <c r="FY104" i="19"/>
  <c r="FY185" i="19"/>
  <c r="X796" i="8" s="1"/>
  <c r="GA127" i="19"/>
  <c r="GA102" i="19" s="1"/>
  <c r="GA100" i="19"/>
  <c r="GG150" i="19"/>
  <c r="GG186" i="19"/>
  <c r="S805" i="8" s="1"/>
  <c r="GL127" i="19"/>
  <c r="GL102" i="19" s="1"/>
  <c r="GL100" i="19"/>
  <c r="GM187" i="19"/>
  <c r="FS14" i="19"/>
  <c r="FS183" i="19"/>
  <c r="R794" i="8" s="1"/>
  <c r="GD150" i="19"/>
  <c r="GD186" i="19"/>
  <c r="AC797" i="8" s="1"/>
  <c r="GQ57" i="19"/>
  <c r="GQ184" i="19"/>
  <c r="AC803" i="8" s="1"/>
  <c r="GJ104" i="19"/>
  <c r="GJ185" i="19"/>
  <c r="V804" i="8" s="1"/>
  <c r="GS149" i="19"/>
  <c r="GS178" i="19"/>
  <c r="GS179" i="19" s="1"/>
  <c r="FX187" i="19"/>
  <c r="GI172" i="19"/>
  <c r="GI148" i="19" s="1"/>
  <c r="GJ162" i="19"/>
  <c r="GI146" i="19"/>
  <c r="GV150" i="19"/>
  <c r="GV186" i="19"/>
  <c r="U814" i="8" s="1"/>
  <c r="GK149" i="19"/>
  <c r="GK178" i="19"/>
  <c r="GK179" i="19" s="1"/>
  <c r="GN150" i="19"/>
  <c r="GN186" i="19"/>
  <c r="Z805" i="8" s="1"/>
  <c r="GG57" i="19"/>
  <c r="GG184" i="19"/>
  <c r="S803" i="8" s="1"/>
  <c r="FP57" i="19"/>
  <c r="FP184" i="19"/>
  <c r="AB787" i="8" s="1"/>
  <c r="GA14" i="19"/>
  <c r="GA183" i="19"/>
  <c r="Z794" i="8" s="1"/>
  <c r="GA57" i="19"/>
  <c r="GA184" i="19"/>
  <c r="Z795" i="8" s="1"/>
  <c r="GN57" i="19"/>
  <c r="GN184" i="19"/>
  <c r="Z803" i="8" s="1"/>
  <c r="HB127" i="19"/>
  <c r="HB102" i="19" s="1"/>
  <c r="HB100" i="19"/>
  <c r="FV187" i="19"/>
  <c r="HC150" i="19"/>
  <c r="HC186" i="19"/>
  <c r="AB814" i="8" s="1"/>
  <c r="GV14" i="19"/>
  <c r="GV183" i="19"/>
  <c r="U811" i="8" s="1"/>
  <c r="AD811" i="8" s="1"/>
  <c r="GS126" i="19"/>
  <c r="GS102" i="19" s="1"/>
  <c r="GT116" i="19"/>
  <c r="GS100" i="19"/>
  <c r="GJ14" i="19"/>
  <c r="GJ183" i="19"/>
  <c r="V802" i="8" s="1"/>
  <c r="GT172" i="19"/>
  <c r="GT148" i="19" s="1"/>
  <c r="GU162" i="19"/>
  <c r="GT146" i="19"/>
  <c r="FU57" i="19"/>
  <c r="FU184" i="19"/>
  <c r="T795" i="8" s="1"/>
  <c r="FW14" i="19"/>
  <c r="FW183" i="19"/>
  <c r="FY57" i="19"/>
  <c r="FY184" i="19"/>
  <c r="X795" i="8" s="1"/>
  <c r="GH178" i="19"/>
  <c r="GH179" i="19" s="1"/>
  <c r="GH149" i="19"/>
  <c r="GA178" i="19"/>
  <c r="GA179" i="19" s="1"/>
  <c r="GA149" i="19"/>
  <c r="GZ104" i="19"/>
  <c r="GZ185" i="19"/>
  <c r="HC132" i="19"/>
  <c r="HC133" i="19" s="1"/>
  <c r="HC103" i="19"/>
  <c r="HD100" i="19"/>
  <c r="GO178" i="19"/>
  <c r="GO179" i="19" s="1"/>
  <c r="GO149" i="19"/>
  <c r="GQ116" i="19"/>
  <c r="GQ127" i="19" s="1"/>
  <c r="GQ102" i="19" s="1"/>
  <c r="GP100" i="19"/>
  <c r="GO132" i="19"/>
  <c r="GO133" i="19" s="1"/>
  <c r="GO103" i="19"/>
  <c r="GQ162" i="19"/>
  <c r="GQ173" i="19" s="1"/>
  <c r="GQ148" i="19" s="1"/>
  <c r="GP146" i="19"/>
  <c r="GD116" i="19"/>
  <c r="GD127" i="19" s="1"/>
  <c r="GD102" i="19" s="1"/>
  <c r="GC100" i="19"/>
  <c r="GB132" i="19"/>
  <c r="GB133" i="19" s="1"/>
  <c r="GB103" i="19"/>
  <c r="FQ178" i="19"/>
  <c r="FQ179" i="19" s="1"/>
  <c r="FQ149" i="19"/>
  <c r="FQ100" i="19"/>
  <c r="X798" i="8" l="1"/>
  <c r="T798" i="8"/>
  <c r="S806" i="8"/>
  <c r="Z806" i="8"/>
  <c r="R806" i="8"/>
  <c r="AD802" i="8"/>
  <c r="AD795" i="8"/>
  <c r="GZ187" i="19"/>
  <c r="Y813" i="8"/>
  <c r="Y815" i="8" s="1"/>
  <c r="FW187" i="19"/>
  <c r="V794" i="8"/>
  <c r="V798" i="8" s="1"/>
  <c r="U815" i="8"/>
  <c r="AD803" i="8"/>
  <c r="FU187" i="19"/>
  <c r="GF187" i="19"/>
  <c r="GV187" i="19"/>
  <c r="FY187" i="19"/>
  <c r="GG187" i="19"/>
  <c r="GL103" i="19"/>
  <c r="GL132" i="19"/>
  <c r="GL133" i="19" s="1"/>
  <c r="GK104" i="19"/>
  <c r="GK185" i="19"/>
  <c r="W804" i="8" s="1"/>
  <c r="GB104" i="19"/>
  <c r="GB185" i="19"/>
  <c r="GA150" i="19"/>
  <c r="GA186" i="19"/>
  <c r="Z797" i="8" s="1"/>
  <c r="GU173" i="19"/>
  <c r="GU148" i="19" s="1"/>
  <c r="GU146" i="19"/>
  <c r="GK150" i="19"/>
  <c r="GK186" i="19"/>
  <c r="W805" i="8" s="1"/>
  <c r="W806" i="8" s="1"/>
  <c r="GJ173" i="19"/>
  <c r="GJ148" i="19" s="1"/>
  <c r="GJ146" i="19"/>
  <c r="GS150" i="19"/>
  <c r="GS186" i="19"/>
  <c r="R814" i="8" s="1"/>
  <c r="FS149" i="19"/>
  <c r="FS178" i="19"/>
  <c r="FS179" i="19" s="1"/>
  <c r="GW150" i="19"/>
  <c r="GW186" i="19"/>
  <c r="V814" i="8" s="1"/>
  <c r="FZ104" i="19"/>
  <c r="FZ185" i="19"/>
  <c r="GY173" i="19"/>
  <c r="GY148" i="19" s="1"/>
  <c r="GY146" i="19"/>
  <c r="GA103" i="19"/>
  <c r="GA132" i="19"/>
  <c r="GA133" i="19" s="1"/>
  <c r="HA104" i="19"/>
  <c r="HA185" i="19"/>
  <c r="HC104" i="19"/>
  <c r="HC185" i="19"/>
  <c r="GT178" i="19"/>
  <c r="GT179" i="19" s="1"/>
  <c r="GT149" i="19"/>
  <c r="GT127" i="19"/>
  <c r="GT102" i="19" s="1"/>
  <c r="GT100" i="19"/>
  <c r="HB132" i="19"/>
  <c r="HB133" i="19" s="1"/>
  <c r="HB103" i="19"/>
  <c r="GI149" i="19"/>
  <c r="GI178" i="19"/>
  <c r="GI179" i="19" s="1"/>
  <c r="FS127" i="19"/>
  <c r="FS102" i="19" s="1"/>
  <c r="FS100" i="19"/>
  <c r="GX149" i="19"/>
  <c r="GX178" i="19"/>
  <c r="GX179" i="19" s="1"/>
  <c r="FQ150" i="19"/>
  <c r="FQ186" i="19"/>
  <c r="AC789" i="8" s="1"/>
  <c r="GO104" i="19"/>
  <c r="GO185" i="19"/>
  <c r="AA804" i="8" s="1"/>
  <c r="AA806" i="8" s="1"/>
  <c r="GO150" i="19"/>
  <c r="GO186" i="19"/>
  <c r="AA805" i="8" s="1"/>
  <c r="GH150" i="19"/>
  <c r="GH186" i="19"/>
  <c r="GS103" i="19"/>
  <c r="GS132" i="19"/>
  <c r="GS133" i="19" s="1"/>
  <c r="GL149" i="19"/>
  <c r="GL178" i="19"/>
  <c r="GL179" i="19" s="1"/>
  <c r="GN187" i="19"/>
  <c r="GW187" i="19"/>
  <c r="HD103" i="19"/>
  <c r="HD132" i="19"/>
  <c r="HD133" i="19" s="1"/>
  <c r="GP149" i="19"/>
  <c r="GP178" i="19"/>
  <c r="GP179" i="19" s="1"/>
  <c r="GQ100" i="19"/>
  <c r="GP132" i="19"/>
  <c r="GP133" i="19" s="1"/>
  <c r="GP103" i="19"/>
  <c r="GQ146" i="19"/>
  <c r="GC132" i="19"/>
  <c r="GC133" i="19" s="1"/>
  <c r="GC103" i="19"/>
  <c r="GD100" i="19"/>
  <c r="FQ103" i="19"/>
  <c r="FQ132" i="19"/>
  <c r="FQ133" i="19" s="1"/>
  <c r="GH187" i="19" l="1"/>
  <c r="T805" i="8"/>
  <c r="T806" i="8" s="1"/>
  <c r="HC187" i="19"/>
  <c r="AB813" i="8"/>
  <c r="AB815" i="8" s="1"/>
  <c r="FZ187" i="19"/>
  <c r="Y796" i="8"/>
  <c r="Y798" i="8" s="1"/>
  <c r="GB187" i="19"/>
  <c r="AA796" i="8"/>
  <c r="AA798" i="8" s="1"/>
  <c r="HA187" i="19"/>
  <c r="Z813" i="8"/>
  <c r="Z815" i="8" s="1"/>
  <c r="AD794" i="8"/>
  <c r="V815" i="8"/>
  <c r="GO187" i="19"/>
  <c r="GK187" i="19"/>
  <c r="FS132" i="19"/>
  <c r="FS133" i="19" s="1"/>
  <c r="FS103" i="19"/>
  <c r="GP104" i="19"/>
  <c r="GP185" i="19"/>
  <c r="AB804" i="8" s="1"/>
  <c r="GP150" i="19"/>
  <c r="GP186" i="19"/>
  <c r="AB805" i="8" s="1"/>
  <c r="HB104" i="19"/>
  <c r="HB185" i="19"/>
  <c r="GT150" i="19"/>
  <c r="GT186" i="19"/>
  <c r="S814" i="8" s="1"/>
  <c r="FS186" i="19"/>
  <c r="R797" i="8" s="1"/>
  <c r="AD797" i="8" s="1"/>
  <c r="FS150" i="19"/>
  <c r="GJ149" i="19"/>
  <c r="GJ178" i="19"/>
  <c r="GJ179" i="19" s="1"/>
  <c r="FQ104" i="19"/>
  <c r="FQ185" i="19"/>
  <c r="GA104" i="19"/>
  <c r="GA185" i="19"/>
  <c r="GS104" i="19"/>
  <c r="GS185" i="19"/>
  <c r="GX150" i="19"/>
  <c r="GX186" i="19"/>
  <c r="GI150" i="19"/>
  <c r="GI186" i="19"/>
  <c r="GT103" i="19"/>
  <c r="GT132" i="19"/>
  <c r="GT133" i="19" s="1"/>
  <c r="GC104" i="19"/>
  <c r="GC185" i="19"/>
  <c r="HD104" i="19"/>
  <c r="HD185" i="19"/>
  <c r="GL150" i="19"/>
  <c r="GL186" i="19"/>
  <c r="X805" i="8" s="1"/>
  <c r="GY178" i="19"/>
  <c r="GY179" i="19" s="1"/>
  <c r="GY149" i="19"/>
  <c r="GU178" i="19"/>
  <c r="GU179" i="19" s="1"/>
  <c r="GU149" i="19"/>
  <c r="GL104" i="19"/>
  <c r="GL185" i="19"/>
  <c r="X804" i="8" s="1"/>
  <c r="X806" i="8" s="1"/>
  <c r="GQ178" i="19"/>
  <c r="GQ179" i="19" s="1"/>
  <c r="GQ149" i="19"/>
  <c r="GQ132" i="19"/>
  <c r="GQ133" i="19" s="1"/>
  <c r="GQ103" i="19"/>
  <c r="GD132" i="19"/>
  <c r="GD133" i="19" s="1"/>
  <c r="GD103" i="19"/>
  <c r="AB806" i="8" l="1"/>
  <c r="HD187" i="19"/>
  <c r="AC813" i="8"/>
  <c r="AC815" i="8" s="1"/>
  <c r="GX187" i="19"/>
  <c r="W814" i="8"/>
  <c r="W815" i="8" s="1"/>
  <c r="GA187" i="19"/>
  <c r="Z796" i="8"/>
  <c r="Z798" i="8" s="1"/>
  <c r="GC187" i="19"/>
  <c r="AB796" i="8"/>
  <c r="AB798" i="8" s="1"/>
  <c r="GI187" i="19"/>
  <c r="U805" i="8"/>
  <c r="U806" i="8" s="1"/>
  <c r="GS187" i="19"/>
  <c r="R813" i="8"/>
  <c r="FQ187" i="19"/>
  <c r="AC788" i="8"/>
  <c r="AC790" i="8" s="1"/>
  <c r="HB187" i="19"/>
  <c r="AA813" i="8"/>
  <c r="AA815" i="8" s="1"/>
  <c r="GL187" i="19"/>
  <c r="GQ104" i="19"/>
  <c r="GQ185" i="19"/>
  <c r="AC804" i="8" s="1"/>
  <c r="GY150" i="19"/>
  <c r="GY186" i="19"/>
  <c r="FS104" i="19"/>
  <c r="FS185" i="19"/>
  <c r="GT104" i="19"/>
  <c r="GT185" i="19"/>
  <c r="GJ150" i="19"/>
  <c r="GJ186" i="19"/>
  <c r="GD104" i="19"/>
  <c r="GD185" i="19"/>
  <c r="GQ150" i="19"/>
  <c r="GQ186" i="19"/>
  <c r="AC805" i="8" s="1"/>
  <c r="GU150" i="19"/>
  <c r="GU186" i="19"/>
  <c r="GP187" i="19"/>
  <c r="FD7" i="19"/>
  <c r="FC7" i="19"/>
  <c r="FB7" i="19"/>
  <c r="FA7" i="19"/>
  <c r="FA50" i="19" s="1"/>
  <c r="FA97" i="19" s="1"/>
  <c r="FA143" i="19" s="1"/>
  <c r="EZ7" i="19"/>
  <c r="EZ50" i="19" s="1"/>
  <c r="EZ97" i="19" s="1"/>
  <c r="EZ143" i="19" s="1"/>
  <c r="EY7" i="19"/>
  <c r="EY50" i="19" s="1"/>
  <c r="EY97" i="19" s="1"/>
  <c r="EY143" i="19" s="1"/>
  <c r="EX7" i="19"/>
  <c r="EX50" i="19" s="1"/>
  <c r="EX97" i="19" s="1"/>
  <c r="EX143" i="19" s="1"/>
  <c r="EW7" i="19"/>
  <c r="EV7" i="19"/>
  <c r="EU7" i="19"/>
  <c r="EU50" i="19" s="1"/>
  <c r="EU97" i="19" s="1"/>
  <c r="EU143" i="19" s="1"/>
  <c r="ET7" i="19"/>
  <c r="ET50" i="19" s="1"/>
  <c r="ET97" i="19" s="1"/>
  <c r="ET143" i="19" s="1"/>
  <c r="ES7" i="19"/>
  <c r="ES50" i="19" s="1"/>
  <c r="ES97" i="19" s="1"/>
  <c r="ES143" i="19" s="1"/>
  <c r="CY176" i="19"/>
  <c r="CZ176" i="19" s="1"/>
  <c r="DA176" i="19" s="1"/>
  <c r="DB176" i="19" s="1"/>
  <c r="DC176" i="19" s="1"/>
  <c r="DD176" i="19" s="1"/>
  <c r="DE176" i="19" s="1"/>
  <c r="DF176" i="19" s="1"/>
  <c r="DG176" i="19" s="1"/>
  <c r="DH176" i="19" s="1"/>
  <c r="DI176" i="19" s="1"/>
  <c r="CY175" i="19"/>
  <c r="CZ175" i="19" s="1"/>
  <c r="DA175" i="19" s="1"/>
  <c r="DB175" i="19" s="1"/>
  <c r="DC175" i="19" s="1"/>
  <c r="DD175" i="19" s="1"/>
  <c r="DE175" i="19" s="1"/>
  <c r="DF175" i="19" s="1"/>
  <c r="DG175" i="19" s="1"/>
  <c r="DH175" i="19" s="1"/>
  <c r="DI175" i="19" s="1"/>
  <c r="CZ174" i="19"/>
  <c r="DA174" i="19" s="1"/>
  <c r="DB174" i="19" s="1"/>
  <c r="DC174" i="19" s="1"/>
  <c r="DD174" i="19" s="1"/>
  <c r="DE174" i="19" s="1"/>
  <c r="DF174" i="19" s="1"/>
  <c r="DG174" i="19" s="1"/>
  <c r="DH174" i="19" s="1"/>
  <c r="DI174" i="19" s="1"/>
  <c r="CY174" i="19"/>
  <c r="CY173" i="19"/>
  <c r="CZ173" i="19" s="1"/>
  <c r="DA173" i="19" s="1"/>
  <c r="DB173" i="19" s="1"/>
  <c r="DC173" i="19" s="1"/>
  <c r="DD173" i="19" s="1"/>
  <c r="DE173" i="19" s="1"/>
  <c r="DF173" i="19" s="1"/>
  <c r="DG173" i="19" s="1"/>
  <c r="DH173" i="19" s="1"/>
  <c r="DI173" i="19" s="1"/>
  <c r="DB172" i="19"/>
  <c r="DC172" i="19" s="1"/>
  <c r="DD172" i="19" s="1"/>
  <c r="DE172" i="19" s="1"/>
  <c r="DF172" i="19" s="1"/>
  <c r="DG172" i="19" s="1"/>
  <c r="DH172" i="19" s="1"/>
  <c r="DI172" i="19" s="1"/>
  <c r="CY172" i="19"/>
  <c r="CZ172" i="19" s="1"/>
  <c r="DA172" i="19" s="1"/>
  <c r="DA171" i="19"/>
  <c r="DB171" i="19" s="1"/>
  <c r="DC171" i="19" s="1"/>
  <c r="DD171" i="19" s="1"/>
  <c r="DE171" i="19" s="1"/>
  <c r="DF171" i="19" s="1"/>
  <c r="DG171" i="19" s="1"/>
  <c r="DH171" i="19" s="1"/>
  <c r="DI171" i="19" s="1"/>
  <c r="CY171" i="19"/>
  <c r="CZ171" i="19" s="1"/>
  <c r="CZ170" i="19"/>
  <c r="DA170" i="19" s="1"/>
  <c r="DB170" i="19" s="1"/>
  <c r="DC170" i="19" s="1"/>
  <c r="DD170" i="19" s="1"/>
  <c r="DE170" i="19" s="1"/>
  <c r="DF170" i="19" s="1"/>
  <c r="DG170" i="19" s="1"/>
  <c r="DH170" i="19" s="1"/>
  <c r="DI170" i="19" s="1"/>
  <c r="CY170" i="19"/>
  <c r="CY169" i="19"/>
  <c r="CZ169" i="19" s="1"/>
  <c r="DA169" i="19" s="1"/>
  <c r="DB169" i="19" s="1"/>
  <c r="DC169" i="19" s="1"/>
  <c r="DD169" i="19" s="1"/>
  <c r="DE169" i="19" s="1"/>
  <c r="DF169" i="19" s="1"/>
  <c r="DG169" i="19" s="1"/>
  <c r="DH169" i="19" s="1"/>
  <c r="DI169" i="19" s="1"/>
  <c r="DB168" i="19"/>
  <c r="DC168" i="19" s="1"/>
  <c r="DD168" i="19" s="1"/>
  <c r="DE168" i="19" s="1"/>
  <c r="DF168" i="19" s="1"/>
  <c r="DG168" i="19" s="1"/>
  <c r="DH168" i="19" s="1"/>
  <c r="DI168" i="19" s="1"/>
  <c r="CY168" i="19"/>
  <c r="CZ168" i="19" s="1"/>
  <c r="DA168" i="19" s="1"/>
  <c r="DA167" i="19"/>
  <c r="DB167" i="19" s="1"/>
  <c r="DC167" i="19" s="1"/>
  <c r="DD167" i="19" s="1"/>
  <c r="DE167" i="19" s="1"/>
  <c r="DF167" i="19" s="1"/>
  <c r="DG167" i="19" s="1"/>
  <c r="DH167" i="19" s="1"/>
  <c r="DI167" i="19" s="1"/>
  <c r="CY167" i="19"/>
  <c r="CZ167" i="19" s="1"/>
  <c r="CZ166" i="19"/>
  <c r="DA166" i="19" s="1"/>
  <c r="DB166" i="19" s="1"/>
  <c r="DC166" i="19" s="1"/>
  <c r="DD166" i="19" s="1"/>
  <c r="DE166" i="19" s="1"/>
  <c r="DF166" i="19" s="1"/>
  <c r="DG166" i="19" s="1"/>
  <c r="DH166" i="19" s="1"/>
  <c r="DI166" i="19" s="1"/>
  <c r="CY166" i="19"/>
  <c r="CY165" i="19"/>
  <c r="CZ165" i="19" s="1"/>
  <c r="DA165" i="19" s="1"/>
  <c r="DB165" i="19" s="1"/>
  <c r="DC165" i="19" s="1"/>
  <c r="DD165" i="19" s="1"/>
  <c r="DE165" i="19" s="1"/>
  <c r="DF165" i="19" s="1"/>
  <c r="DG165" i="19" s="1"/>
  <c r="DH165" i="19" s="1"/>
  <c r="DI165" i="19" s="1"/>
  <c r="DB130" i="19"/>
  <c r="DC130" i="19" s="1"/>
  <c r="DD130" i="19" s="1"/>
  <c r="DE130" i="19" s="1"/>
  <c r="DF130" i="19" s="1"/>
  <c r="DG130" i="19" s="1"/>
  <c r="DH130" i="19" s="1"/>
  <c r="DI130" i="19" s="1"/>
  <c r="CY130" i="19"/>
  <c r="CZ130" i="19" s="1"/>
  <c r="DA130" i="19" s="1"/>
  <c r="DA129" i="19"/>
  <c r="DB129" i="19" s="1"/>
  <c r="DC129" i="19" s="1"/>
  <c r="DD129" i="19" s="1"/>
  <c r="DE129" i="19" s="1"/>
  <c r="DF129" i="19" s="1"/>
  <c r="DG129" i="19" s="1"/>
  <c r="DH129" i="19" s="1"/>
  <c r="DI129" i="19" s="1"/>
  <c r="CY129" i="19"/>
  <c r="CZ129" i="19" s="1"/>
  <c r="CZ128" i="19"/>
  <c r="DA128" i="19" s="1"/>
  <c r="DB128" i="19" s="1"/>
  <c r="DC128" i="19" s="1"/>
  <c r="DD128" i="19" s="1"/>
  <c r="DE128" i="19" s="1"/>
  <c r="DF128" i="19" s="1"/>
  <c r="DG128" i="19" s="1"/>
  <c r="DH128" i="19" s="1"/>
  <c r="DI128" i="19" s="1"/>
  <c r="CY128" i="19"/>
  <c r="CY127" i="19"/>
  <c r="CZ127" i="19" s="1"/>
  <c r="DA127" i="19" s="1"/>
  <c r="DB127" i="19" s="1"/>
  <c r="DC127" i="19" s="1"/>
  <c r="DD127" i="19" s="1"/>
  <c r="DE127" i="19" s="1"/>
  <c r="DF127" i="19" s="1"/>
  <c r="DG127" i="19" s="1"/>
  <c r="DH127" i="19" s="1"/>
  <c r="DI127" i="19" s="1"/>
  <c r="DB126" i="19"/>
  <c r="DC126" i="19" s="1"/>
  <c r="DD126" i="19" s="1"/>
  <c r="DE126" i="19" s="1"/>
  <c r="DF126" i="19" s="1"/>
  <c r="DG126" i="19" s="1"/>
  <c r="DH126" i="19" s="1"/>
  <c r="DI126" i="19" s="1"/>
  <c r="CY126" i="19"/>
  <c r="CZ126" i="19" s="1"/>
  <c r="DA126" i="19" s="1"/>
  <c r="DA125" i="19"/>
  <c r="DB125" i="19" s="1"/>
  <c r="DC125" i="19" s="1"/>
  <c r="DD125" i="19" s="1"/>
  <c r="DE125" i="19" s="1"/>
  <c r="DF125" i="19" s="1"/>
  <c r="DG125" i="19" s="1"/>
  <c r="DH125" i="19" s="1"/>
  <c r="DI125" i="19" s="1"/>
  <c r="CZ125" i="19"/>
  <c r="CY125" i="19"/>
  <c r="DD124" i="19"/>
  <c r="DE124" i="19" s="1"/>
  <c r="DF124" i="19" s="1"/>
  <c r="DG124" i="19" s="1"/>
  <c r="DH124" i="19" s="1"/>
  <c r="DI124" i="19" s="1"/>
  <c r="CZ124" i="19"/>
  <c r="DA124" i="19" s="1"/>
  <c r="DB124" i="19" s="1"/>
  <c r="DC124" i="19" s="1"/>
  <c r="CY124" i="19"/>
  <c r="DC123" i="19"/>
  <c r="DD123" i="19" s="1"/>
  <c r="DE123" i="19" s="1"/>
  <c r="DF123" i="19" s="1"/>
  <c r="DG123" i="19" s="1"/>
  <c r="DH123" i="19" s="1"/>
  <c r="DI123" i="19" s="1"/>
  <c r="CY123" i="19"/>
  <c r="CZ123" i="19" s="1"/>
  <c r="DA123" i="19" s="1"/>
  <c r="DB123" i="19" s="1"/>
  <c r="CY122" i="19"/>
  <c r="CZ122" i="19" s="1"/>
  <c r="DA122" i="19" s="1"/>
  <c r="DB122" i="19" s="1"/>
  <c r="DC122" i="19" s="1"/>
  <c r="DD122" i="19" s="1"/>
  <c r="DE122" i="19" s="1"/>
  <c r="DF122" i="19" s="1"/>
  <c r="DG122" i="19" s="1"/>
  <c r="DH122" i="19" s="1"/>
  <c r="DI122" i="19" s="1"/>
  <c r="DE121" i="19"/>
  <c r="DF121" i="19" s="1"/>
  <c r="DG121" i="19" s="1"/>
  <c r="DH121" i="19" s="1"/>
  <c r="DI121" i="19" s="1"/>
  <c r="DA121" i="19"/>
  <c r="DB121" i="19" s="1"/>
  <c r="DC121" i="19" s="1"/>
  <c r="DD121" i="19" s="1"/>
  <c r="CZ121" i="19"/>
  <c r="CY121" i="19"/>
  <c r="CZ120" i="19"/>
  <c r="DA120" i="19" s="1"/>
  <c r="DB120" i="19" s="1"/>
  <c r="DC120" i="19" s="1"/>
  <c r="DD120" i="19" s="1"/>
  <c r="DE120" i="19" s="1"/>
  <c r="DF120" i="19" s="1"/>
  <c r="DG120" i="19" s="1"/>
  <c r="DH120" i="19" s="1"/>
  <c r="DI120" i="19" s="1"/>
  <c r="CY120" i="19"/>
  <c r="CY119" i="19"/>
  <c r="CZ119" i="19" s="1"/>
  <c r="DA119" i="19" s="1"/>
  <c r="DB119" i="19" s="1"/>
  <c r="DC119" i="19" s="1"/>
  <c r="DD119" i="19" s="1"/>
  <c r="DE119" i="19" s="1"/>
  <c r="DF119" i="19" s="1"/>
  <c r="DG119" i="19" s="1"/>
  <c r="DH119" i="19" s="1"/>
  <c r="DI119" i="19" s="1"/>
  <c r="DB77" i="19"/>
  <c r="DC77" i="19" s="1"/>
  <c r="DD77" i="19" s="1"/>
  <c r="DE77" i="19" s="1"/>
  <c r="DF77" i="19" s="1"/>
  <c r="DG77" i="19" s="1"/>
  <c r="DH77" i="19" s="1"/>
  <c r="DI77" i="19" s="1"/>
  <c r="CY77" i="19"/>
  <c r="CZ77" i="19" s="1"/>
  <c r="DA77" i="19" s="1"/>
  <c r="DA76" i="19"/>
  <c r="DB76" i="19" s="1"/>
  <c r="DC76" i="19" s="1"/>
  <c r="DD76" i="19" s="1"/>
  <c r="DE76" i="19" s="1"/>
  <c r="DF76" i="19" s="1"/>
  <c r="DG76" i="19" s="1"/>
  <c r="DH76" i="19" s="1"/>
  <c r="DI76" i="19" s="1"/>
  <c r="CZ76" i="19"/>
  <c r="CY76" i="19"/>
  <c r="DD75" i="19"/>
  <c r="DE75" i="19" s="1"/>
  <c r="DF75" i="19" s="1"/>
  <c r="DG75" i="19" s="1"/>
  <c r="DH75" i="19" s="1"/>
  <c r="DI75" i="19" s="1"/>
  <c r="CZ75" i="19"/>
  <c r="DA75" i="19" s="1"/>
  <c r="DB75" i="19" s="1"/>
  <c r="DC75" i="19" s="1"/>
  <c r="CY75" i="19"/>
  <c r="DC74" i="19"/>
  <c r="DD74" i="19" s="1"/>
  <c r="DE74" i="19" s="1"/>
  <c r="DF74" i="19" s="1"/>
  <c r="DG74" i="19" s="1"/>
  <c r="DH74" i="19" s="1"/>
  <c r="DI74" i="19" s="1"/>
  <c r="CY74" i="19"/>
  <c r="CZ74" i="19" s="1"/>
  <c r="DA74" i="19" s="1"/>
  <c r="DB74" i="19" s="1"/>
  <c r="CY73" i="19"/>
  <c r="CZ73" i="19" s="1"/>
  <c r="DA73" i="19" s="1"/>
  <c r="DB73" i="19" s="1"/>
  <c r="DC73" i="19" s="1"/>
  <c r="DD73" i="19" s="1"/>
  <c r="DE73" i="19" s="1"/>
  <c r="DF73" i="19" s="1"/>
  <c r="DG73" i="19" s="1"/>
  <c r="DH73" i="19" s="1"/>
  <c r="DI73" i="19" s="1"/>
  <c r="DE72" i="19"/>
  <c r="DF72" i="19" s="1"/>
  <c r="DG72" i="19" s="1"/>
  <c r="DH72" i="19" s="1"/>
  <c r="DI72" i="19" s="1"/>
  <c r="DA72" i="19"/>
  <c r="DB72" i="19" s="1"/>
  <c r="DC72" i="19" s="1"/>
  <c r="DD72" i="19" s="1"/>
  <c r="CZ72" i="19"/>
  <c r="CY72" i="19"/>
  <c r="CZ71" i="19"/>
  <c r="DA71" i="19" s="1"/>
  <c r="DB71" i="19" s="1"/>
  <c r="DC71" i="19" s="1"/>
  <c r="DD71" i="19" s="1"/>
  <c r="DE71" i="19" s="1"/>
  <c r="DF71" i="19" s="1"/>
  <c r="DG71" i="19" s="1"/>
  <c r="DH71" i="19" s="1"/>
  <c r="DI71" i="19" s="1"/>
  <c r="CY71" i="19"/>
  <c r="CY70" i="19"/>
  <c r="CZ70" i="19" s="1"/>
  <c r="DA70" i="19" s="1"/>
  <c r="DB70" i="19" s="1"/>
  <c r="DC70" i="19" s="1"/>
  <c r="DD70" i="19" s="1"/>
  <c r="DE70" i="19" s="1"/>
  <c r="DF70" i="19" s="1"/>
  <c r="DG70" i="19" s="1"/>
  <c r="DH70" i="19" s="1"/>
  <c r="DI70" i="19" s="1"/>
  <c r="DB69" i="19"/>
  <c r="DC69" i="19" s="1"/>
  <c r="DD69" i="19" s="1"/>
  <c r="DE69" i="19" s="1"/>
  <c r="DF69" i="19" s="1"/>
  <c r="DG69" i="19" s="1"/>
  <c r="DH69" i="19" s="1"/>
  <c r="DI69" i="19" s="1"/>
  <c r="CY69" i="19"/>
  <c r="CZ69" i="19" s="1"/>
  <c r="DA69" i="19" s="1"/>
  <c r="CZ34" i="19"/>
  <c r="DA34" i="19" s="1"/>
  <c r="DB34" i="19" s="1"/>
  <c r="DC34" i="19" s="1"/>
  <c r="DD34" i="19" s="1"/>
  <c r="DE34" i="19" s="1"/>
  <c r="DF34" i="19" s="1"/>
  <c r="DG34" i="19" s="1"/>
  <c r="DH34" i="19" s="1"/>
  <c r="DI34" i="19" s="1"/>
  <c r="CY34" i="19"/>
  <c r="CZ33" i="19"/>
  <c r="DA33" i="19" s="1"/>
  <c r="DB33" i="19" s="1"/>
  <c r="DC33" i="19" s="1"/>
  <c r="DD33" i="19" s="1"/>
  <c r="DE33" i="19" s="1"/>
  <c r="DF33" i="19" s="1"/>
  <c r="DG33" i="19" s="1"/>
  <c r="DH33" i="19" s="1"/>
  <c r="DI33" i="19" s="1"/>
  <c r="CY33" i="19"/>
  <c r="CY32" i="19"/>
  <c r="CZ32" i="19" s="1"/>
  <c r="DA32" i="19" s="1"/>
  <c r="DB32" i="19" s="1"/>
  <c r="DC32" i="19" s="1"/>
  <c r="DD32" i="19" s="1"/>
  <c r="DE32" i="19" s="1"/>
  <c r="DF32" i="19" s="1"/>
  <c r="DG32" i="19" s="1"/>
  <c r="DH32" i="19" s="1"/>
  <c r="DI32" i="19" s="1"/>
  <c r="CZ31" i="19"/>
  <c r="DA31" i="19" s="1"/>
  <c r="DB31" i="19" s="1"/>
  <c r="DC31" i="19" s="1"/>
  <c r="DD31" i="19" s="1"/>
  <c r="DE31" i="19" s="1"/>
  <c r="DF31" i="19" s="1"/>
  <c r="DG31" i="19" s="1"/>
  <c r="DH31" i="19" s="1"/>
  <c r="DI31" i="19" s="1"/>
  <c r="CY31" i="19"/>
  <c r="CY30" i="19"/>
  <c r="CZ30" i="19" s="1"/>
  <c r="DA30" i="19" s="1"/>
  <c r="DB30" i="19" s="1"/>
  <c r="DC30" i="19" s="1"/>
  <c r="DD30" i="19" s="1"/>
  <c r="DE30" i="19" s="1"/>
  <c r="DF30" i="19" s="1"/>
  <c r="DG30" i="19" s="1"/>
  <c r="DH30" i="19" s="1"/>
  <c r="DI30" i="19" s="1"/>
  <c r="CZ29" i="19"/>
  <c r="DA29" i="19" s="1"/>
  <c r="DB29" i="19" s="1"/>
  <c r="DC29" i="19" s="1"/>
  <c r="DD29" i="19" s="1"/>
  <c r="DE29" i="19" s="1"/>
  <c r="DF29" i="19" s="1"/>
  <c r="DG29" i="19" s="1"/>
  <c r="DH29" i="19" s="1"/>
  <c r="DI29" i="19" s="1"/>
  <c r="CY29" i="19"/>
  <c r="CY28" i="19"/>
  <c r="CZ28" i="19" s="1"/>
  <c r="DA28" i="19" s="1"/>
  <c r="DB28" i="19" s="1"/>
  <c r="DC28" i="19" s="1"/>
  <c r="DD28" i="19" s="1"/>
  <c r="DE28" i="19" s="1"/>
  <c r="DF28" i="19" s="1"/>
  <c r="DG28" i="19" s="1"/>
  <c r="DH28" i="19" s="1"/>
  <c r="DI28" i="19" s="1"/>
  <c r="CZ27" i="19"/>
  <c r="DA27" i="19" s="1"/>
  <c r="DB27" i="19" s="1"/>
  <c r="DC27" i="19" s="1"/>
  <c r="DD27" i="19" s="1"/>
  <c r="DE27" i="19" s="1"/>
  <c r="DF27" i="19" s="1"/>
  <c r="DG27" i="19" s="1"/>
  <c r="DH27" i="19" s="1"/>
  <c r="DI27" i="19" s="1"/>
  <c r="CY27" i="19"/>
  <c r="CY26" i="19"/>
  <c r="CZ26" i="19" s="1"/>
  <c r="DA26" i="19" s="1"/>
  <c r="DB26" i="19" s="1"/>
  <c r="DC26" i="19" s="1"/>
  <c r="DD26" i="19" s="1"/>
  <c r="DE26" i="19" s="1"/>
  <c r="DF26" i="19" s="1"/>
  <c r="DG26" i="19" s="1"/>
  <c r="DH26" i="19" s="1"/>
  <c r="DI26" i="19" s="1"/>
  <c r="CM176" i="19"/>
  <c r="CN176" i="19" s="1"/>
  <c r="CO176" i="19" s="1"/>
  <c r="CP176" i="19" s="1"/>
  <c r="CQ176" i="19" s="1"/>
  <c r="CR176" i="19" s="1"/>
  <c r="CS176" i="19" s="1"/>
  <c r="CT176" i="19" s="1"/>
  <c r="CU176" i="19" s="1"/>
  <c r="CV176" i="19" s="1"/>
  <c r="CW176" i="19" s="1"/>
  <c r="CM175" i="19"/>
  <c r="CN175" i="19" s="1"/>
  <c r="CO175" i="19" s="1"/>
  <c r="CP175" i="19" s="1"/>
  <c r="CQ175" i="19" s="1"/>
  <c r="CR175" i="19" s="1"/>
  <c r="CS175" i="19" s="1"/>
  <c r="CT175" i="19" s="1"/>
  <c r="CU175" i="19" s="1"/>
  <c r="CV175" i="19" s="1"/>
  <c r="CW175" i="19" s="1"/>
  <c r="CM174" i="19"/>
  <c r="CN174" i="19" s="1"/>
  <c r="CO174" i="19" s="1"/>
  <c r="CP174" i="19" s="1"/>
  <c r="CQ174" i="19" s="1"/>
  <c r="CR174" i="19" s="1"/>
  <c r="CS174" i="19" s="1"/>
  <c r="CT174" i="19" s="1"/>
  <c r="CU174" i="19" s="1"/>
  <c r="CV174" i="19" s="1"/>
  <c r="CW174" i="19" s="1"/>
  <c r="CN173" i="19"/>
  <c r="CO173" i="19" s="1"/>
  <c r="CP173" i="19" s="1"/>
  <c r="CQ173" i="19" s="1"/>
  <c r="CR173" i="19" s="1"/>
  <c r="CS173" i="19" s="1"/>
  <c r="CT173" i="19" s="1"/>
  <c r="CU173" i="19" s="1"/>
  <c r="CV173" i="19" s="1"/>
  <c r="CW173" i="19" s="1"/>
  <c r="CM173" i="19"/>
  <c r="CM172" i="19"/>
  <c r="CN172" i="19" s="1"/>
  <c r="CO172" i="19" s="1"/>
  <c r="CP172" i="19" s="1"/>
  <c r="CQ172" i="19" s="1"/>
  <c r="CR172" i="19" s="1"/>
  <c r="CS172" i="19" s="1"/>
  <c r="CT172" i="19" s="1"/>
  <c r="CU172" i="19" s="1"/>
  <c r="CV172" i="19" s="1"/>
  <c r="CW172" i="19" s="1"/>
  <c r="CM171" i="19"/>
  <c r="CN171" i="19" s="1"/>
  <c r="CO171" i="19" s="1"/>
  <c r="CP171" i="19" s="1"/>
  <c r="CQ171" i="19" s="1"/>
  <c r="CR171" i="19" s="1"/>
  <c r="CS171" i="19" s="1"/>
  <c r="CT171" i="19" s="1"/>
  <c r="CU171" i="19" s="1"/>
  <c r="CV171" i="19" s="1"/>
  <c r="CW171" i="19" s="1"/>
  <c r="CM170" i="19"/>
  <c r="CN170" i="19" s="1"/>
  <c r="CO170" i="19" s="1"/>
  <c r="CP170" i="19" s="1"/>
  <c r="CQ170" i="19" s="1"/>
  <c r="CR170" i="19" s="1"/>
  <c r="CS170" i="19" s="1"/>
  <c r="CT170" i="19" s="1"/>
  <c r="CU170" i="19" s="1"/>
  <c r="CV170" i="19" s="1"/>
  <c r="CW170" i="19" s="1"/>
  <c r="CM169" i="19"/>
  <c r="CN169" i="19" s="1"/>
  <c r="CO169" i="19" s="1"/>
  <c r="CP169" i="19" s="1"/>
  <c r="CQ169" i="19" s="1"/>
  <c r="CR169" i="19" s="1"/>
  <c r="CS169" i="19" s="1"/>
  <c r="CT169" i="19" s="1"/>
  <c r="CU169" i="19" s="1"/>
  <c r="CV169" i="19" s="1"/>
  <c r="CW169" i="19" s="1"/>
  <c r="CM168" i="19"/>
  <c r="CN168" i="19" s="1"/>
  <c r="CO168" i="19" s="1"/>
  <c r="CP168" i="19" s="1"/>
  <c r="CQ168" i="19" s="1"/>
  <c r="CR168" i="19" s="1"/>
  <c r="CS168" i="19" s="1"/>
  <c r="CT168" i="19" s="1"/>
  <c r="CU168" i="19" s="1"/>
  <c r="CV168" i="19" s="1"/>
  <c r="CW168" i="19" s="1"/>
  <c r="CM167" i="19"/>
  <c r="CN167" i="19" s="1"/>
  <c r="CO167" i="19" s="1"/>
  <c r="CP167" i="19" s="1"/>
  <c r="CQ167" i="19" s="1"/>
  <c r="CR167" i="19" s="1"/>
  <c r="CS167" i="19" s="1"/>
  <c r="CT167" i="19" s="1"/>
  <c r="CU167" i="19" s="1"/>
  <c r="CV167" i="19" s="1"/>
  <c r="CW167" i="19" s="1"/>
  <c r="CM166" i="19"/>
  <c r="CN166" i="19" s="1"/>
  <c r="CO166" i="19" s="1"/>
  <c r="CP166" i="19" s="1"/>
  <c r="CQ166" i="19" s="1"/>
  <c r="CR166" i="19" s="1"/>
  <c r="CS166" i="19" s="1"/>
  <c r="CT166" i="19" s="1"/>
  <c r="CU166" i="19" s="1"/>
  <c r="CV166" i="19" s="1"/>
  <c r="CW166" i="19" s="1"/>
  <c r="CM165" i="19"/>
  <c r="CN165" i="19" s="1"/>
  <c r="CO165" i="19" s="1"/>
  <c r="CP165" i="19" s="1"/>
  <c r="CQ165" i="19" s="1"/>
  <c r="CR165" i="19" s="1"/>
  <c r="CS165" i="19" s="1"/>
  <c r="CT165" i="19" s="1"/>
  <c r="CU165" i="19" s="1"/>
  <c r="CV165" i="19" s="1"/>
  <c r="CW165" i="19" s="1"/>
  <c r="CM130" i="19"/>
  <c r="CN130" i="19" s="1"/>
  <c r="CO130" i="19" s="1"/>
  <c r="CP130" i="19" s="1"/>
  <c r="CQ130" i="19" s="1"/>
  <c r="CR130" i="19" s="1"/>
  <c r="CS130" i="19" s="1"/>
  <c r="CT130" i="19" s="1"/>
  <c r="CU130" i="19" s="1"/>
  <c r="CV130" i="19" s="1"/>
  <c r="CW130" i="19" s="1"/>
  <c r="CM129" i="19"/>
  <c r="CN129" i="19" s="1"/>
  <c r="CO129" i="19" s="1"/>
  <c r="CP129" i="19" s="1"/>
  <c r="CQ129" i="19" s="1"/>
  <c r="CR129" i="19" s="1"/>
  <c r="CS129" i="19" s="1"/>
  <c r="CT129" i="19" s="1"/>
  <c r="CU129" i="19" s="1"/>
  <c r="CV129" i="19" s="1"/>
  <c r="CW129" i="19" s="1"/>
  <c r="CM128" i="19"/>
  <c r="CN128" i="19" s="1"/>
  <c r="CO128" i="19" s="1"/>
  <c r="CP128" i="19" s="1"/>
  <c r="CQ128" i="19" s="1"/>
  <c r="CR128" i="19" s="1"/>
  <c r="CS128" i="19" s="1"/>
  <c r="CT128" i="19" s="1"/>
  <c r="CU128" i="19" s="1"/>
  <c r="CV128" i="19" s="1"/>
  <c r="CW128" i="19" s="1"/>
  <c r="CM127" i="19"/>
  <c r="CN127" i="19" s="1"/>
  <c r="CO127" i="19" s="1"/>
  <c r="CP127" i="19" s="1"/>
  <c r="CQ127" i="19" s="1"/>
  <c r="CR127" i="19" s="1"/>
  <c r="CS127" i="19" s="1"/>
  <c r="CT127" i="19" s="1"/>
  <c r="CU127" i="19" s="1"/>
  <c r="CV127" i="19" s="1"/>
  <c r="CW127" i="19" s="1"/>
  <c r="CM126" i="19"/>
  <c r="CN126" i="19" s="1"/>
  <c r="CO126" i="19" s="1"/>
  <c r="CP126" i="19" s="1"/>
  <c r="CQ126" i="19" s="1"/>
  <c r="CR126" i="19" s="1"/>
  <c r="CS126" i="19" s="1"/>
  <c r="CT126" i="19" s="1"/>
  <c r="CU126" i="19" s="1"/>
  <c r="CV126" i="19" s="1"/>
  <c r="CW126" i="19" s="1"/>
  <c r="CM125" i="19"/>
  <c r="CN125" i="19" s="1"/>
  <c r="CO125" i="19" s="1"/>
  <c r="CP125" i="19" s="1"/>
  <c r="CQ125" i="19" s="1"/>
  <c r="CR125" i="19" s="1"/>
  <c r="CS125" i="19" s="1"/>
  <c r="CT125" i="19" s="1"/>
  <c r="CU125" i="19" s="1"/>
  <c r="CV125" i="19" s="1"/>
  <c r="CW125" i="19" s="1"/>
  <c r="CM124" i="19"/>
  <c r="CN124" i="19" s="1"/>
  <c r="CO124" i="19" s="1"/>
  <c r="CP124" i="19" s="1"/>
  <c r="CQ124" i="19" s="1"/>
  <c r="CR124" i="19" s="1"/>
  <c r="CS124" i="19" s="1"/>
  <c r="CT124" i="19" s="1"/>
  <c r="CU124" i="19" s="1"/>
  <c r="CV124" i="19" s="1"/>
  <c r="CW124" i="19" s="1"/>
  <c r="CM123" i="19"/>
  <c r="CN123" i="19" s="1"/>
  <c r="CO123" i="19" s="1"/>
  <c r="CP123" i="19" s="1"/>
  <c r="CQ123" i="19" s="1"/>
  <c r="CR123" i="19" s="1"/>
  <c r="CS123" i="19" s="1"/>
  <c r="CT123" i="19" s="1"/>
  <c r="CU123" i="19" s="1"/>
  <c r="CV123" i="19" s="1"/>
  <c r="CW123" i="19" s="1"/>
  <c r="CM122" i="19"/>
  <c r="CN122" i="19" s="1"/>
  <c r="CO122" i="19" s="1"/>
  <c r="CP122" i="19" s="1"/>
  <c r="CQ122" i="19" s="1"/>
  <c r="CR122" i="19" s="1"/>
  <c r="CS122" i="19" s="1"/>
  <c r="CT122" i="19" s="1"/>
  <c r="CU122" i="19" s="1"/>
  <c r="CV122" i="19" s="1"/>
  <c r="CW122" i="19" s="1"/>
  <c r="CM121" i="19"/>
  <c r="CN121" i="19" s="1"/>
  <c r="CO121" i="19" s="1"/>
  <c r="CP121" i="19" s="1"/>
  <c r="CQ121" i="19" s="1"/>
  <c r="CR121" i="19" s="1"/>
  <c r="CS121" i="19" s="1"/>
  <c r="CT121" i="19" s="1"/>
  <c r="CU121" i="19" s="1"/>
  <c r="CV121" i="19" s="1"/>
  <c r="CW121" i="19" s="1"/>
  <c r="CM120" i="19"/>
  <c r="CN120" i="19" s="1"/>
  <c r="CO120" i="19" s="1"/>
  <c r="CP120" i="19" s="1"/>
  <c r="CQ120" i="19" s="1"/>
  <c r="CR120" i="19" s="1"/>
  <c r="CS120" i="19" s="1"/>
  <c r="CT120" i="19" s="1"/>
  <c r="CU120" i="19" s="1"/>
  <c r="CV120" i="19" s="1"/>
  <c r="CW120" i="19" s="1"/>
  <c r="CM119" i="19"/>
  <c r="CN119" i="19" s="1"/>
  <c r="CO119" i="19" s="1"/>
  <c r="CP119" i="19" s="1"/>
  <c r="CQ119" i="19" s="1"/>
  <c r="CR119" i="19" s="1"/>
  <c r="CS119" i="19" s="1"/>
  <c r="CT119" i="19" s="1"/>
  <c r="CU119" i="19" s="1"/>
  <c r="CV119" i="19" s="1"/>
  <c r="CW119" i="19" s="1"/>
  <c r="CM77" i="19"/>
  <c r="CN77" i="19" s="1"/>
  <c r="CO77" i="19" s="1"/>
  <c r="CP77" i="19" s="1"/>
  <c r="CQ77" i="19" s="1"/>
  <c r="CR77" i="19" s="1"/>
  <c r="CS77" i="19" s="1"/>
  <c r="CT77" i="19" s="1"/>
  <c r="CU77" i="19" s="1"/>
  <c r="CV77" i="19" s="1"/>
  <c r="CW77" i="19" s="1"/>
  <c r="CM76" i="19"/>
  <c r="CN76" i="19" s="1"/>
  <c r="CO76" i="19" s="1"/>
  <c r="CP76" i="19" s="1"/>
  <c r="CQ76" i="19" s="1"/>
  <c r="CR76" i="19" s="1"/>
  <c r="CS76" i="19" s="1"/>
  <c r="CT76" i="19" s="1"/>
  <c r="CU76" i="19" s="1"/>
  <c r="CV76" i="19" s="1"/>
  <c r="CW76" i="19" s="1"/>
  <c r="CM75" i="19"/>
  <c r="CN75" i="19" s="1"/>
  <c r="CO75" i="19" s="1"/>
  <c r="CP75" i="19" s="1"/>
  <c r="CQ75" i="19" s="1"/>
  <c r="CR75" i="19" s="1"/>
  <c r="CS75" i="19" s="1"/>
  <c r="CT75" i="19" s="1"/>
  <c r="CU75" i="19" s="1"/>
  <c r="CV75" i="19" s="1"/>
  <c r="CW75" i="19" s="1"/>
  <c r="CM74" i="19"/>
  <c r="CN74" i="19" s="1"/>
  <c r="CO74" i="19" s="1"/>
  <c r="CP74" i="19" s="1"/>
  <c r="CQ74" i="19" s="1"/>
  <c r="CR74" i="19" s="1"/>
  <c r="CS74" i="19" s="1"/>
  <c r="CT74" i="19" s="1"/>
  <c r="CU74" i="19" s="1"/>
  <c r="CV74" i="19" s="1"/>
  <c r="CW74" i="19" s="1"/>
  <c r="CM73" i="19"/>
  <c r="CN73" i="19" s="1"/>
  <c r="CO73" i="19" s="1"/>
  <c r="CP73" i="19" s="1"/>
  <c r="CQ73" i="19" s="1"/>
  <c r="CR73" i="19" s="1"/>
  <c r="CS73" i="19" s="1"/>
  <c r="CT73" i="19" s="1"/>
  <c r="CU73" i="19" s="1"/>
  <c r="CV73" i="19" s="1"/>
  <c r="CW73" i="19" s="1"/>
  <c r="CM72" i="19"/>
  <c r="CN72" i="19" s="1"/>
  <c r="CO72" i="19" s="1"/>
  <c r="CP72" i="19" s="1"/>
  <c r="CQ72" i="19" s="1"/>
  <c r="CR72" i="19" s="1"/>
  <c r="CS72" i="19" s="1"/>
  <c r="CT72" i="19" s="1"/>
  <c r="CU72" i="19" s="1"/>
  <c r="CV72" i="19" s="1"/>
  <c r="CW72" i="19" s="1"/>
  <c r="CM71" i="19"/>
  <c r="CN71" i="19" s="1"/>
  <c r="CO71" i="19" s="1"/>
  <c r="CP71" i="19" s="1"/>
  <c r="CQ71" i="19" s="1"/>
  <c r="CR71" i="19" s="1"/>
  <c r="CS71" i="19" s="1"/>
  <c r="CT71" i="19" s="1"/>
  <c r="CU71" i="19" s="1"/>
  <c r="CV71" i="19" s="1"/>
  <c r="CW71" i="19" s="1"/>
  <c r="CM70" i="19"/>
  <c r="CN70" i="19" s="1"/>
  <c r="CO70" i="19" s="1"/>
  <c r="CP70" i="19" s="1"/>
  <c r="CQ70" i="19" s="1"/>
  <c r="CR70" i="19" s="1"/>
  <c r="CS70" i="19" s="1"/>
  <c r="CT70" i="19" s="1"/>
  <c r="CU70" i="19" s="1"/>
  <c r="CV70" i="19" s="1"/>
  <c r="CW70" i="19" s="1"/>
  <c r="CM69" i="19"/>
  <c r="CN69" i="19" s="1"/>
  <c r="CO69" i="19" s="1"/>
  <c r="CP69" i="19" s="1"/>
  <c r="CQ69" i="19" s="1"/>
  <c r="CR69" i="19" s="1"/>
  <c r="CS69" i="19" s="1"/>
  <c r="CT69" i="19" s="1"/>
  <c r="CU69" i="19" s="1"/>
  <c r="CV69" i="19" s="1"/>
  <c r="CW69" i="19" s="1"/>
  <c r="CM34" i="19"/>
  <c r="CN34" i="19" s="1"/>
  <c r="CO34" i="19" s="1"/>
  <c r="CP34" i="19" s="1"/>
  <c r="CQ34" i="19" s="1"/>
  <c r="CR34" i="19" s="1"/>
  <c r="CS34" i="19" s="1"/>
  <c r="CT34" i="19" s="1"/>
  <c r="CU34" i="19" s="1"/>
  <c r="CV34" i="19" s="1"/>
  <c r="CW34" i="19" s="1"/>
  <c r="CM33" i="19"/>
  <c r="CN33" i="19" s="1"/>
  <c r="CO33" i="19" s="1"/>
  <c r="CP33" i="19" s="1"/>
  <c r="CQ33" i="19" s="1"/>
  <c r="CR33" i="19" s="1"/>
  <c r="CS33" i="19" s="1"/>
  <c r="CT33" i="19" s="1"/>
  <c r="CU33" i="19" s="1"/>
  <c r="CV33" i="19" s="1"/>
  <c r="CW33" i="19" s="1"/>
  <c r="CM32" i="19"/>
  <c r="CN32" i="19" s="1"/>
  <c r="CO32" i="19" s="1"/>
  <c r="CP32" i="19" s="1"/>
  <c r="CQ32" i="19" s="1"/>
  <c r="CR32" i="19" s="1"/>
  <c r="CS32" i="19" s="1"/>
  <c r="CT32" i="19" s="1"/>
  <c r="CU32" i="19" s="1"/>
  <c r="CV32" i="19" s="1"/>
  <c r="CW32" i="19" s="1"/>
  <c r="CM31" i="19"/>
  <c r="CN31" i="19" s="1"/>
  <c r="CO31" i="19" s="1"/>
  <c r="CP31" i="19" s="1"/>
  <c r="CQ31" i="19" s="1"/>
  <c r="CR31" i="19" s="1"/>
  <c r="CS31" i="19" s="1"/>
  <c r="CT31" i="19" s="1"/>
  <c r="CU31" i="19" s="1"/>
  <c r="CV31" i="19" s="1"/>
  <c r="CW31" i="19" s="1"/>
  <c r="CM30" i="19"/>
  <c r="CN30" i="19" s="1"/>
  <c r="CO30" i="19" s="1"/>
  <c r="CP30" i="19" s="1"/>
  <c r="CQ30" i="19" s="1"/>
  <c r="CR30" i="19" s="1"/>
  <c r="CS30" i="19" s="1"/>
  <c r="CT30" i="19" s="1"/>
  <c r="CU30" i="19" s="1"/>
  <c r="CV30" i="19" s="1"/>
  <c r="CW30" i="19" s="1"/>
  <c r="CM29" i="19"/>
  <c r="CN29" i="19" s="1"/>
  <c r="CO29" i="19" s="1"/>
  <c r="CP29" i="19" s="1"/>
  <c r="CQ29" i="19" s="1"/>
  <c r="CR29" i="19" s="1"/>
  <c r="CS29" i="19" s="1"/>
  <c r="CT29" i="19" s="1"/>
  <c r="CU29" i="19" s="1"/>
  <c r="CV29" i="19" s="1"/>
  <c r="CW29" i="19" s="1"/>
  <c r="CM28" i="19"/>
  <c r="CN28" i="19" s="1"/>
  <c r="CO28" i="19" s="1"/>
  <c r="CP28" i="19" s="1"/>
  <c r="CQ28" i="19" s="1"/>
  <c r="CR28" i="19" s="1"/>
  <c r="CS28" i="19" s="1"/>
  <c r="CT28" i="19" s="1"/>
  <c r="CU28" i="19" s="1"/>
  <c r="CV28" i="19" s="1"/>
  <c r="CW28" i="19" s="1"/>
  <c r="CM27" i="19"/>
  <c r="CN27" i="19" s="1"/>
  <c r="CO27" i="19" s="1"/>
  <c r="CP27" i="19" s="1"/>
  <c r="CQ27" i="19" s="1"/>
  <c r="CR27" i="19" s="1"/>
  <c r="CS27" i="19" s="1"/>
  <c r="CT27" i="19" s="1"/>
  <c r="CU27" i="19" s="1"/>
  <c r="CV27" i="19" s="1"/>
  <c r="CW27" i="19" s="1"/>
  <c r="CM26" i="19"/>
  <c r="CN26" i="19" s="1"/>
  <c r="CO26" i="19" s="1"/>
  <c r="CP26" i="19" s="1"/>
  <c r="CQ26" i="19" s="1"/>
  <c r="CR26" i="19" s="1"/>
  <c r="CS26" i="19" s="1"/>
  <c r="CT26" i="19" s="1"/>
  <c r="CU26" i="19" s="1"/>
  <c r="CV26" i="19" s="1"/>
  <c r="CW26" i="19" s="1"/>
  <c r="CA176" i="19"/>
  <c r="CB176" i="19" s="1"/>
  <c r="CC176" i="19" s="1"/>
  <c r="CD176" i="19" s="1"/>
  <c r="CE176" i="19" s="1"/>
  <c r="CF176" i="19" s="1"/>
  <c r="CG176" i="19" s="1"/>
  <c r="CH176" i="19" s="1"/>
  <c r="CI176" i="19" s="1"/>
  <c r="CJ176" i="19" s="1"/>
  <c r="CK176" i="19" s="1"/>
  <c r="CA175" i="19"/>
  <c r="CB175" i="19" s="1"/>
  <c r="CC175" i="19" s="1"/>
  <c r="CD175" i="19" s="1"/>
  <c r="CE175" i="19" s="1"/>
  <c r="CF175" i="19" s="1"/>
  <c r="CG175" i="19" s="1"/>
  <c r="CH175" i="19" s="1"/>
  <c r="CI175" i="19" s="1"/>
  <c r="CJ175" i="19" s="1"/>
  <c r="CK175" i="19" s="1"/>
  <c r="CA174" i="19"/>
  <c r="CB174" i="19" s="1"/>
  <c r="CC174" i="19" s="1"/>
  <c r="CD174" i="19" s="1"/>
  <c r="CE174" i="19" s="1"/>
  <c r="CF174" i="19" s="1"/>
  <c r="CG174" i="19" s="1"/>
  <c r="CH174" i="19" s="1"/>
  <c r="CI174" i="19" s="1"/>
  <c r="CJ174" i="19" s="1"/>
  <c r="CK174" i="19" s="1"/>
  <c r="CA173" i="19"/>
  <c r="CB173" i="19" s="1"/>
  <c r="CC173" i="19" s="1"/>
  <c r="CD173" i="19" s="1"/>
  <c r="CE173" i="19" s="1"/>
  <c r="CF173" i="19" s="1"/>
  <c r="CG173" i="19" s="1"/>
  <c r="CH173" i="19" s="1"/>
  <c r="CI173" i="19" s="1"/>
  <c r="CJ173" i="19" s="1"/>
  <c r="CK173" i="19" s="1"/>
  <c r="CA172" i="19"/>
  <c r="CB172" i="19" s="1"/>
  <c r="CC172" i="19" s="1"/>
  <c r="CD172" i="19" s="1"/>
  <c r="CE172" i="19" s="1"/>
  <c r="CF172" i="19" s="1"/>
  <c r="CG172" i="19" s="1"/>
  <c r="CH172" i="19" s="1"/>
  <c r="CI172" i="19" s="1"/>
  <c r="CJ172" i="19" s="1"/>
  <c r="CK172" i="19" s="1"/>
  <c r="CA171" i="19"/>
  <c r="CB171" i="19" s="1"/>
  <c r="CC171" i="19" s="1"/>
  <c r="CD171" i="19" s="1"/>
  <c r="CE171" i="19" s="1"/>
  <c r="CF171" i="19" s="1"/>
  <c r="CG171" i="19" s="1"/>
  <c r="CH171" i="19" s="1"/>
  <c r="CI171" i="19" s="1"/>
  <c r="CJ171" i="19" s="1"/>
  <c r="CK171" i="19" s="1"/>
  <c r="CA170" i="19"/>
  <c r="CB170" i="19" s="1"/>
  <c r="CC170" i="19" s="1"/>
  <c r="CD170" i="19" s="1"/>
  <c r="CE170" i="19" s="1"/>
  <c r="CF170" i="19" s="1"/>
  <c r="CG170" i="19" s="1"/>
  <c r="CH170" i="19" s="1"/>
  <c r="CI170" i="19" s="1"/>
  <c r="CJ170" i="19" s="1"/>
  <c r="CK170" i="19" s="1"/>
  <c r="CA169" i="19"/>
  <c r="CB169" i="19" s="1"/>
  <c r="CC169" i="19" s="1"/>
  <c r="CD169" i="19" s="1"/>
  <c r="CE169" i="19" s="1"/>
  <c r="CF169" i="19" s="1"/>
  <c r="CG169" i="19" s="1"/>
  <c r="CH169" i="19" s="1"/>
  <c r="CI169" i="19" s="1"/>
  <c r="CJ169" i="19" s="1"/>
  <c r="CK169" i="19" s="1"/>
  <c r="CD168" i="19"/>
  <c r="CE168" i="19" s="1"/>
  <c r="CF168" i="19" s="1"/>
  <c r="CG168" i="19" s="1"/>
  <c r="CH168" i="19" s="1"/>
  <c r="CI168" i="19" s="1"/>
  <c r="CJ168" i="19" s="1"/>
  <c r="CK168" i="19" s="1"/>
  <c r="CA168" i="19"/>
  <c r="CB168" i="19" s="1"/>
  <c r="CC168" i="19" s="1"/>
  <c r="CA167" i="19"/>
  <c r="CB167" i="19" s="1"/>
  <c r="CC167" i="19" s="1"/>
  <c r="CD167" i="19" s="1"/>
  <c r="CE167" i="19" s="1"/>
  <c r="CF167" i="19" s="1"/>
  <c r="CG167" i="19" s="1"/>
  <c r="CH167" i="19" s="1"/>
  <c r="CI167" i="19" s="1"/>
  <c r="CJ167" i="19" s="1"/>
  <c r="CK167" i="19" s="1"/>
  <c r="CA166" i="19"/>
  <c r="CB166" i="19" s="1"/>
  <c r="CC166" i="19" s="1"/>
  <c r="CD166" i="19" s="1"/>
  <c r="CE166" i="19" s="1"/>
  <c r="CF166" i="19" s="1"/>
  <c r="CG166" i="19" s="1"/>
  <c r="CH166" i="19" s="1"/>
  <c r="CI166" i="19" s="1"/>
  <c r="CJ166" i="19" s="1"/>
  <c r="CK166" i="19" s="1"/>
  <c r="CA165" i="19"/>
  <c r="CB165" i="19" s="1"/>
  <c r="CC165" i="19" s="1"/>
  <c r="CD165" i="19" s="1"/>
  <c r="CE165" i="19" s="1"/>
  <c r="CF165" i="19" s="1"/>
  <c r="CG165" i="19" s="1"/>
  <c r="CH165" i="19" s="1"/>
  <c r="CI165" i="19" s="1"/>
  <c r="CJ165" i="19" s="1"/>
  <c r="CK165" i="19" s="1"/>
  <c r="CA130" i="19"/>
  <c r="CB130" i="19" s="1"/>
  <c r="CC130" i="19" s="1"/>
  <c r="CD130" i="19" s="1"/>
  <c r="CE130" i="19" s="1"/>
  <c r="CF130" i="19" s="1"/>
  <c r="CG130" i="19" s="1"/>
  <c r="CH130" i="19" s="1"/>
  <c r="CI130" i="19" s="1"/>
  <c r="CJ130" i="19" s="1"/>
  <c r="CK130" i="19" s="1"/>
  <c r="CA129" i="19"/>
  <c r="CB129" i="19" s="1"/>
  <c r="CC129" i="19" s="1"/>
  <c r="CD129" i="19" s="1"/>
  <c r="CE129" i="19" s="1"/>
  <c r="CF129" i="19" s="1"/>
  <c r="CG129" i="19" s="1"/>
  <c r="CH129" i="19" s="1"/>
  <c r="CI129" i="19" s="1"/>
  <c r="CJ129" i="19" s="1"/>
  <c r="CK129" i="19" s="1"/>
  <c r="CA128" i="19"/>
  <c r="CB128" i="19" s="1"/>
  <c r="CC128" i="19" s="1"/>
  <c r="CD128" i="19" s="1"/>
  <c r="CE128" i="19" s="1"/>
  <c r="CF128" i="19" s="1"/>
  <c r="CG128" i="19" s="1"/>
  <c r="CH128" i="19" s="1"/>
  <c r="CI128" i="19" s="1"/>
  <c r="CJ128" i="19" s="1"/>
  <c r="CK128" i="19" s="1"/>
  <c r="CA127" i="19"/>
  <c r="CB127" i="19" s="1"/>
  <c r="CC127" i="19" s="1"/>
  <c r="CD127" i="19" s="1"/>
  <c r="CE127" i="19" s="1"/>
  <c r="CF127" i="19" s="1"/>
  <c r="CG127" i="19" s="1"/>
  <c r="CH127" i="19" s="1"/>
  <c r="CI127" i="19" s="1"/>
  <c r="CJ127" i="19" s="1"/>
  <c r="CK127" i="19" s="1"/>
  <c r="CA126" i="19"/>
  <c r="CB126" i="19" s="1"/>
  <c r="CC126" i="19" s="1"/>
  <c r="CD126" i="19" s="1"/>
  <c r="CE126" i="19" s="1"/>
  <c r="CF126" i="19" s="1"/>
  <c r="CG126" i="19" s="1"/>
  <c r="CH126" i="19" s="1"/>
  <c r="CI126" i="19" s="1"/>
  <c r="CJ126" i="19" s="1"/>
  <c r="CK126" i="19" s="1"/>
  <c r="CA125" i="19"/>
  <c r="CB125" i="19" s="1"/>
  <c r="CC125" i="19" s="1"/>
  <c r="CD125" i="19" s="1"/>
  <c r="CE125" i="19" s="1"/>
  <c r="CF125" i="19" s="1"/>
  <c r="CG125" i="19" s="1"/>
  <c r="CH125" i="19" s="1"/>
  <c r="CI125" i="19" s="1"/>
  <c r="CJ125" i="19" s="1"/>
  <c r="CK125" i="19" s="1"/>
  <c r="CA124" i="19"/>
  <c r="CB124" i="19" s="1"/>
  <c r="CC124" i="19" s="1"/>
  <c r="CD124" i="19" s="1"/>
  <c r="CE124" i="19" s="1"/>
  <c r="CF124" i="19" s="1"/>
  <c r="CG124" i="19" s="1"/>
  <c r="CH124" i="19" s="1"/>
  <c r="CI124" i="19" s="1"/>
  <c r="CJ124" i="19" s="1"/>
  <c r="CK124" i="19" s="1"/>
  <c r="CA123" i="19"/>
  <c r="CB123" i="19" s="1"/>
  <c r="CC123" i="19" s="1"/>
  <c r="CD123" i="19" s="1"/>
  <c r="CE123" i="19" s="1"/>
  <c r="CF123" i="19" s="1"/>
  <c r="CG123" i="19" s="1"/>
  <c r="CH123" i="19" s="1"/>
  <c r="CI123" i="19" s="1"/>
  <c r="CJ123" i="19" s="1"/>
  <c r="CK123" i="19" s="1"/>
  <c r="CA122" i="19"/>
  <c r="CB122" i="19" s="1"/>
  <c r="CC122" i="19" s="1"/>
  <c r="CD122" i="19" s="1"/>
  <c r="CE122" i="19" s="1"/>
  <c r="CF122" i="19" s="1"/>
  <c r="CG122" i="19" s="1"/>
  <c r="CH122" i="19" s="1"/>
  <c r="CI122" i="19" s="1"/>
  <c r="CJ122" i="19" s="1"/>
  <c r="CK122" i="19" s="1"/>
  <c r="CA121" i="19"/>
  <c r="CB121" i="19" s="1"/>
  <c r="CC121" i="19" s="1"/>
  <c r="CD121" i="19" s="1"/>
  <c r="CE121" i="19" s="1"/>
  <c r="CF121" i="19" s="1"/>
  <c r="CG121" i="19" s="1"/>
  <c r="CH121" i="19" s="1"/>
  <c r="CI121" i="19" s="1"/>
  <c r="CJ121" i="19" s="1"/>
  <c r="CK121" i="19" s="1"/>
  <c r="CA120" i="19"/>
  <c r="CB120" i="19" s="1"/>
  <c r="CC120" i="19" s="1"/>
  <c r="CD120" i="19" s="1"/>
  <c r="CE120" i="19" s="1"/>
  <c r="CF120" i="19" s="1"/>
  <c r="CG120" i="19" s="1"/>
  <c r="CH120" i="19" s="1"/>
  <c r="CI120" i="19" s="1"/>
  <c r="CJ120" i="19" s="1"/>
  <c r="CK120" i="19" s="1"/>
  <c r="CA119" i="19"/>
  <c r="CB119" i="19" s="1"/>
  <c r="CC119" i="19" s="1"/>
  <c r="CD119" i="19" s="1"/>
  <c r="CE119" i="19" s="1"/>
  <c r="CF119" i="19" s="1"/>
  <c r="CG119" i="19" s="1"/>
  <c r="CH119" i="19" s="1"/>
  <c r="CI119" i="19" s="1"/>
  <c r="CJ119" i="19" s="1"/>
  <c r="CK119" i="19" s="1"/>
  <c r="CA77" i="19"/>
  <c r="CB77" i="19" s="1"/>
  <c r="CC77" i="19" s="1"/>
  <c r="CD77" i="19" s="1"/>
  <c r="CE77" i="19" s="1"/>
  <c r="CF77" i="19" s="1"/>
  <c r="CG77" i="19" s="1"/>
  <c r="CH77" i="19" s="1"/>
  <c r="CI77" i="19" s="1"/>
  <c r="CJ77" i="19" s="1"/>
  <c r="CK77" i="19" s="1"/>
  <c r="CA76" i="19"/>
  <c r="CB76" i="19" s="1"/>
  <c r="CC76" i="19" s="1"/>
  <c r="CD76" i="19" s="1"/>
  <c r="CE76" i="19" s="1"/>
  <c r="CF76" i="19" s="1"/>
  <c r="CG76" i="19" s="1"/>
  <c r="CH76" i="19" s="1"/>
  <c r="CI76" i="19" s="1"/>
  <c r="CJ76" i="19" s="1"/>
  <c r="CK76" i="19" s="1"/>
  <c r="CA75" i="19"/>
  <c r="CB75" i="19" s="1"/>
  <c r="CC75" i="19" s="1"/>
  <c r="CD75" i="19" s="1"/>
  <c r="CE75" i="19" s="1"/>
  <c r="CF75" i="19" s="1"/>
  <c r="CG75" i="19" s="1"/>
  <c r="CH75" i="19" s="1"/>
  <c r="CI75" i="19" s="1"/>
  <c r="CJ75" i="19" s="1"/>
  <c r="CK75" i="19" s="1"/>
  <c r="CA74" i="19"/>
  <c r="CB74" i="19" s="1"/>
  <c r="CC74" i="19" s="1"/>
  <c r="CD74" i="19" s="1"/>
  <c r="CE74" i="19" s="1"/>
  <c r="CF74" i="19" s="1"/>
  <c r="CG74" i="19" s="1"/>
  <c r="CH74" i="19" s="1"/>
  <c r="CI74" i="19" s="1"/>
  <c r="CJ74" i="19" s="1"/>
  <c r="CK74" i="19" s="1"/>
  <c r="CA73" i="19"/>
  <c r="CB73" i="19" s="1"/>
  <c r="CC73" i="19" s="1"/>
  <c r="CD73" i="19" s="1"/>
  <c r="CE73" i="19" s="1"/>
  <c r="CF73" i="19" s="1"/>
  <c r="CG73" i="19" s="1"/>
  <c r="CH73" i="19" s="1"/>
  <c r="CI73" i="19" s="1"/>
  <c r="CJ73" i="19" s="1"/>
  <c r="CK73" i="19" s="1"/>
  <c r="CA72" i="19"/>
  <c r="CB72" i="19" s="1"/>
  <c r="CC72" i="19" s="1"/>
  <c r="CD72" i="19" s="1"/>
  <c r="CE72" i="19" s="1"/>
  <c r="CF72" i="19" s="1"/>
  <c r="CG72" i="19" s="1"/>
  <c r="CH72" i="19" s="1"/>
  <c r="CI72" i="19" s="1"/>
  <c r="CJ72" i="19" s="1"/>
  <c r="CK72" i="19" s="1"/>
  <c r="CA71" i="19"/>
  <c r="CB71" i="19" s="1"/>
  <c r="CC71" i="19" s="1"/>
  <c r="CD71" i="19" s="1"/>
  <c r="CE71" i="19" s="1"/>
  <c r="CF71" i="19" s="1"/>
  <c r="CG71" i="19" s="1"/>
  <c r="CH71" i="19" s="1"/>
  <c r="CI71" i="19" s="1"/>
  <c r="CJ71" i="19" s="1"/>
  <c r="CK71" i="19" s="1"/>
  <c r="CA70" i="19"/>
  <c r="CB70" i="19" s="1"/>
  <c r="CC70" i="19" s="1"/>
  <c r="CD70" i="19" s="1"/>
  <c r="CE70" i="19" s="1"/>
  <c r="CF70" i="19" s="1"/>
  <c r="CG70" i="19" s="1"/>
  <c r="CH70" i="19" s="1"/>
  <c r="CI70" i="19" s="1"/>
  <c r="CJ70" i="19" s="1"/>
  <c r="CK70" i="19" s="1"/>
  <c r="CA69" i="19"/>
  <c r="CB69" i="19" s="1"/>
  <c r="CC69" i="19" s="1"/>
  <c r="CD69" i="19" s="1"/>
  <c r="CE69" i="19" s="1"/>
  <c r="CF69" i="19" s="1"/>
  <c r="CG69" i="19" s="1"/>
  <c r="CH69" i="19" s="1"/>
  <c r="CI69" i="19" s="1"/>
  <c r="CJ69" i="19" s="1"/>
  <c r="CK69" i="19" s="1"/>
  <c r="CA34" i="19"/>
  <c r="CB34" i="19" s="1"/>
  <c r="CC34" i="19" s="1"/>
  <c r="CD34" i="19" s="1"/>
  <c r="CE34" i="19" s="1"/>
  <c r="CF34" i="19" s="1"/>
  <c r="CG34" i="19" s="1"/>
  <c r="CH34" i="19" s="1"/>
  <c r="CI34" i="19" s="1"/>
  <c r="CJ34" i="19" s="1"/>
  <c r="CK34" i="19" s="1"/>
  <c r="CA33" i="19"/>
  <c r="CB33" i="19" s="1"/>
  <c r="CC33" i="19" s="1"/>
  <c r="CD33" i="19" s="1"/>
  <c r="CE33" i="19" s="1"/>
  <c r="CF33" i="19" s="1"/>
  <c r="CG33" i="19" s="1"/>
  <c r="CH33" i="19" s="1"/>
  <c r="CI33" i="19" s="1"/>
  <c r="CJ33" i="19" s="1"/>
  <c r="CK33" i="19" s="1"/>
  <c r="CA32" i="19"/>
  <c r="CB32" i="19" s="1"/>
  <c r="CC32" i="19" s="1"/>
  <c r="CD32" i="19" s="1"/>
  <c r="CE32" i="19" s="1"/>
  <c r="CF32" i="19" s="1"/>
  <c r="CG32" i="19" s="1"/>
  <c r="CH32" i="19" s="1"/>
  <c r="CI32" i="19" s="1"/>
  <c r="CJ32" i="19" s="1"/>
  <c r="CK32" i="19" s="1"/>
  <c r="CA31" i="19"/>
  <c r="CB31" i="19" s="1"/>
  <c r="CC31" i="19" s="1"/>
  <c r="CD31" i="19" s="1"/>
  <c r="CE31" i="19" s="1"/>
  <c r="CF31" i="19" s="1"/>
  <c r="CG31" i="19" s="1"/>
  <c r="CH31" i="19" s="1"/>
  <c r="CI31" i="19" s="1"/>
  <c r="CJ31" i="19" s="1"/>
  <c r="CK31" i="19" s="1"/>
  <c r="CA30" i="19"/>
  <c r="CB30" i="19" s="1"/>
  <c r="CC30" i="19" s="1"/>
  <c r="CD30" i="19" s="1"/>
  <c r="CE30" i="19" s="1"/>
  <c r="CF30" i="19" s="1"/>
  <c r="CG30" i="19" s="1"/>
  <c r="CH30" i="19" s="1"/>
  <c r="CI30" i="19" s="1"/>
  <c r="CJ30" i="19" s="1"/>
  <c r="CK30" i="19" s="1"/>
  <c r="CA29" i="19"/>
  <c r="CB29" i="19" s="1"/>
  <c r="CC29" i="19" s="1"/>
  <c r="CD29" i="19" s="1"/>
  <c r="CE29" i="19" s="1"/>
  <c r="CF29" i="19" s="1"/>
  <c r="CG29" i="19" s="1"/>
  <c r="CH29" i="19" s="1"/>
  <c r="CI29" i="19" s="1"/>
  <c r="CJ29" i="19" s="1"/>
  <c r="CK29" i="19" s="1"/>
  <c r="CA28" i="19"/>
  <c r="CB28" i="19" s="1"/>
  <c r="CC28" i="19" s="1"/>
  <c r="CD28" i="19" s="1"/>
  <c r="CE28" i="19" s="1"/>
  <c r="CF28" i="19" s="1"/>
  <c r="CG28" i="19" s="1"/>
  <c r="CH28" i="19" s="1"/>
  <c r="CI28" i="19" s="1"/>
  <c r="CJ28" i="19" s="1"/>
  <c r="CK28" i="19" s="1"/>
  <c r="CA27" i="19"/>
  <c r="CB27" i="19" s="1"/>
  <c r="CC27" i="19" s="1"/>
  <c r="CD27" i="19" s="1"/>
  <c r="CE27" i="19" s="1"/>
  <c r="CF27" i="19" s="1"/>
  <c r="CG27" i="19" s="1"/>
  <c r="CH27" i="19" s="1"/>
  <c r="CI27" i="19" s="1"/>
  <c r="CJ27" i="19" s="1"/>
  <c r="CK27" i="19" s="1"/>
  <c r="CA26" i="19"/>
  <c r="CB26" i="19" s="1"/>
  <c r="CC26" i="19" s="1"/>
  <c r="CD26" i="19" s="1"/>
  <c r="CE26" i="19" s="1"/>
  <c r="CF26" i="19" s="1"/>
  <c r="CG26" i="19" s="1"/>
  <c r="CH26" i="19" s="1"/>
  <c r="CI26" i="19" s="1"/>
  <c r="CJ26" i="19" s="1"/>
  <c r="CK26" i="19" s="1"/>
  <c r="BO176" i="19"/>
  <c r="BP176" i="19" s="1"/>
  <c r="BQ176" i="19" s="1"/>
  <c r="BR176" i="19" s="1"/>
  <c r="BS176" i="19" s="1"/>
  <c r="BT176" i="19" s="1"/>
  <c r="BU176" i="19" s="1"/>
  <c r="BV176" i="19" s="1"/>
  <c r="BW176" i="19" s="1"/>
  <c r="BX176" i="19" s="1"/>
  <c r="BY176" i="19" s="1"/>
  <c r="BO175" i="19"/>
  <c r="BP175" i="19" s="1"/>
  <c r="BQ175" i="19" s="1"/>
  <c r="BR175" i="19" s="1"/>
  <c r="BS175" i="19" s="1"/>
  <c r="BT175" i="19" s="1"/>
  <c r="BU175" i="19" s="1"/>
  <c r="BV175" i="19" s="1"/>
  <c r="BW175" i="19" s="1"/>
  <c r="BX175" i="19" s="1"/>
  <c r="BY175" i="19" s="1"/>
  <c r="BO174" i="19"/>
  <c r="BP174" i="19" s="1"/>
  <c r="BQ174" i="19" s="1"/>
  <c r="BR174" i="19" s="1"/>
  <c r="BS174" i="19" s="1"/>
  <c r="BT174" i="19" s="1"/>
  <c r="BU174" i="19" s="1"/>
  <c r="BV174" i="19" s="1"/>
  <c r="BW174" i="19" s="1"/>
  <c r="BX174" i="19" s="1"/>
  <c r="BY174" i="19" s="1"/>
  <c r="BO173" i="19"/>
  <c r="BP173" i="19" s="1"/>
  <c r="BQ173" i="19" s="1"/>
  <c r="BR173" i="19" s="1"/>
  <c r="BS173" i="19" s="1"/>
  <c r="BT173" i="19" s="1"/>
  <c r="BU173" i="19" s="1"/>
  <c r="BV173" i="19" s="1"/>
  <c r="BW173" i="19" s="1"/>
  <c r="BX173" i="19" s="1"/>
  <c r="BY173" i="19" s="1"/>
  <c r="BO172" i="19"/>
  <c r="BP172" i="19" s="1"/>
  <c r="BQ172" i="19" s="1"/>
  <c r="BR172" i="19" s="1"/>
  <c r="BS172" i="19" s="1"/>
  <c r="BT172" i="19" s="1"/>
  <c r="BU172" i="19" s="1"/>
  <c r="BV172" i="19" s="1"/>
  <c r="BW172" i="19" s="1"/>
  <c r="BX172" i="19" s="1"/>
  <c r="BY172" i="19" s="1"/>
  <c r="BO171" i="19"/>
  <c r="BP171" i="19" s="1"/>
  <c r="BQ171" i="19" s="1"/>
  <c r="BR171" i="19" s="1"/>
  <c r="BS171" i="19" s="1"/>
  <c r="BT171" i="19" s="1"/>
  <c r="BU171" i="19" s="1"/>
  <c r="BV171" i="19" s="1"/>
  <c r="BW171" i="19" s="1"/>
  <c r="BX171" i="19" s="1"/>
  <c r="BY171" i="19" s="1"/>
  <c r="BO170" i="19"/>
  <c r="BP170" i="19" s="1"/>
  <c r="BQ170" i="19" s="1"/>
  <c r="BR170" i="19" s="1"/>
  <c r="BS170" i="19" s="1"/>
  <c r="BT170" i="19" s="1"/>
  <c r="BU170" i="19" s="1"/>
  <c r="BV170" i="19" s="1"/>
  <c r="BW170" i="19" s="1"/>
  <c r="BX170" i="19" s="1"/>
  <c r="BY170" i="19" s="1"/>
  <c r="BO169" i="19"/>
  <c r="BP169" i="19" s="1"/>
  <c r="BQ169" i="19" s="1"/>
  <c r="BR169" i="19" s="1"/>
  <c r="BS169" i="19" s="1"/>
  <c r="BT169" i="19" s="1"/>
  <c r="BU169" i="19" s="1"/>
  <c r="BV169" i="19" s="1"/>
  <c r="BW169" i="19" s="1"/>
  <c r="BX169" i="19" s="1"/>
  <c r="BY169" i="19" s="1"/>
  <c r="BO168" i="19"/>
  <c r="BP168" i="19" s="1"/>
  <c r="BQ168" i="19" s="1"/>
  <c r="BR168" i="19" s="1"/>
  <c r="BS168" i="19" s="1"/>
  <c r="BT168" i="19" s="1"/>
  <c r="BU168" i="19" s="1"/>
  <c r="BV168" i="19" s="1"/>
  <c r="BW168" i="19" s="1"/>
  <c r="BX168" i="19" s="1"/>
  <c r="BY168" i="19" s="1"/>
  <c r="BO167" i="19"/>
  <c r="BP167" i="19" s="1"/>
  <c r="BQ167" i="19" s="1"/>
  <c r="BR167" i="19" s="1"/>
  <c r="BS167" i="19" s="1"/>
  <c r="BT167" i="19" s="1"/>
  <c r="BU167" i="19" s="1"/>
  <c r="BV167" i="19" s="1"/>
  <c r="BW167" i="19" s="1"/>
  <c r="BX167" i="19" s="1"/>
  <c r="BY167" i="19" s="1"/>
  <c r="BO166" i="19"/>
  <c r="BP166" i="19" s="1"/>
  <c r="BQ166" i="19" s="1"/>
  <c r="BR166" i="19" s="1"/>
  <c r="BS166" i="19" s="1"/>
  <c r="BT166" i="19" s="1"/>
  <c r="BU166" i="19" s="1"/>
  <c r="BV166" i="19" s="1"/>
  <c r="BW166" i="19" s="1"/>
  <c r="BX166" i="19" s="1"/>
  <c r="BY166" i="19" s="1"/>
  <c r="BO165" i="19"/>
  <c r="BP165" i="19" s="1"/>
  <c r="BQ165" i="19" s="1"/>
  <c r="BR165" i="19" s="1"/>
  <c r="BS165" i="19" s="1"/>
  <c r="BT165" i="19" s="1"/>
  <c r="BU165" i="19" s="1"/>
  <c r="BV165" i="19" s="1"/>
  <c r="BW165" i="19" s="1"/>
  <c r="BX165" i="19" s="1"/>
  <c r="BY165" i="19" s="1"/>
  <c r="BO130" i="19"/>
  <c r="BP130" i="19" s="1"/>
  <c r="BQ130" i="19" s="1"/>
  <c r="BR130" i="19" s="1"/>
  <c r="BS130" i="19" s="1"/>
  <c r="BT130" i="19" s="1"/>
  <c r="BU130" i="19" s="1"/>
  <c r="BV130" i="19" s="1"/>
  <c r="BW130" i="19" s="1"/>
  <c r="BX130" i="19" s="1"/>
  <c r="BY130" i="19" s="1"/>
  <c r="BO129" i="19"/>
  <c r="BP129" i="19" s="1"/>
  <c r="BQ129" i="19" s="1"/>
  <c r="BR129" i="19" s="1"/>
  <c r="BS129" i="19" s="1"/>
  <c r="BT129" i="19" s="1"/>
  <c r="BU129" i="19" s="1"/>
  <c r="BV129" i="19" s="1"/>
  <c r="BW129" i="19" s="1"/>
  <c r="BX129" i="19" s="1"/>
  <c r="BY129" i="19" s="1"/>
  <c r="BO128" i="19"/>
  <c r="BP128" i="19" s="1"/>
  <c r="BQ128" i="19" s="1"/>
  <c r="BR128" i="19" s="1"/>
  <c r="BS128" i="19" s="1"/>
  <c r="BT128" i="19" s="1"/>
  <c r="BU128" i="19" s="1"/>
  <c r="BV128" i="19" s="1"/>
  <c r="BW128" i="19" s="1"/>
  <c r="BX128" i="19" s="1"/>
  <c r="BY128" i="19" s="1"/>
  <c r="BO127" i="19"/>
  <c r="BP127" i="19" s="1"/>
  <c r="BQ127" i="19" s="1"/>
  <c r="BR127" i="19" s="1"/>
  <c r="BS127" i="19" s="1"/>
  <c r="BT127" i="19" s="1"/>
  <c r="BU127" i="19" s="1"/>
  <c r="BV127" i="19" s="1"/>
  <c r="BW127" i="19" s="1"/>
  <c r="BX127" i="19" s="1"/>
  <c r="BY127" i="19" s="1"/>
  <c r="BO126" i="19"/>
  <c r="BP126" i="19" s="1"/>
  <c r="BQ126" i="19" s="1"/>
  <c r="BR126" i="19" s="1"/>
  <c r="BS126" i="19" s="1"/>
  <c r="BT126" i="19" s="1"/>
  <c r="BU126" i="19" s="1"/>
  <c r="BV126" i="19" s="1"/>
  <c r="BW126" i="19" s="1"/>
  <c r="BX126" i="19" s="1"/>
  <c r="BY126" i="19" s="1"/>
  <c r="BO125" i="19"/>
  <c r="BP125" i="19" s="1"/>
  <c r="BQ125" i="19" s="1"/>
  <c r="BR125" i="19" s="1"/>
  <c r="BS125" i="19" s="1"/>
  <c r="BT125" i="19" s="1"/>
  <c r="BU125" i="19" s="1"/>
  <c r="BV125" i="19" s="1"/>
  <c r="BW125" i="19" s="1"/>
  <c r="BX125" i="19" s="1"/>
  <c r="BY125" i="19" s="1"/>
  <c r="BO124" i="19"/>
  <c r="BP124" i="19" s="1"/>
  <c r="BQ124" i="19" s="1"/>
  <c r="BR124" i="19" s="1"/>
  <c r="BS124" i="19" s="1"/>
  <c r="BT124" i="19" s="1"/>
  <c r="BU124" i="19" s="1"/>
  <c r="BV124" i="19" s="1"/>
  <c r="BW124" i="19" s="1"/>
  <c r="BX124" i="19" s="1"/>
  <c r="BY124" i="19" s="1"/>
  <c r="BO123" i="19"/>
  <c r="BP123" i="19" s="1"/>
  <c r="BQ123" i="19" s="1"/>
  <c r="BR123" i="19" s="1"/>
  <c r="BS123" i="19" s="1"/>
  <c r="BT123" i="19" s="1"/>
  <c r="BU123" i="19" s="1"/>
  <c r="BV123" i="19" s="1"/>
  <c r="BW123" i="19" s="1"/>
  <c r="BX123" i="19" s="1"/>
  <c r="BY123" i="19" s="1"/>
  <c r="BO122" i="19"/>
  <c r="BP122" i="19" s="1"/>
  <c r="BQ122" i="19" s="1"/>
  <c r="BR122" i="19" s="1"/>
  <c r="BS122" i="19" s="1"/>
  <c r="BT122" i="19" s="1"/>
  <c r="BU122" i="19" s="1"/>
  <c r="BV122" i="19" s="1"/>
  <c r="BW122" i="19" s="1"/>
  <c r="BX122" i="19" s="1"/>
  <c r="BY122" i="19" s="1"/>
  <c r="BO121" i="19"/>
  <c r="BP121" i="19" s="1"/>
  <c r="BQ121" i="19" s="1"/>
  <c r="BR121" i="19" s="1"/>
  <c r="BS121" i="19" s="1"/>
  <c r="BT121" i="19" s="1"/>
  <c r="BU121" i="19" s="1"/>
  <c r="BV121" i="19" s="1"/>
  <c r="BW121" i="19" s="1"/>
  <c r="BX121" i="19" s="1"/>
  <c r="BY121" i="19" s="1"/>
  <c r="BO120" i="19"/>
  <c r="BP120" i="19" s="1"/>
  <c r="BQ120" i="19" s="1"/>
  <c r="BR120" i="19" s="1"/>
  <c r="BS120" i="19" s="1"/>
  <c r="BT120" i="19" s="1"/>
  <c r="BU120" i="19" s="1"/>
  <c r="BV120" i="19" s="1"/>
  <c r="BW120" i="19" s="1"/>
  <c r="BX120" i="19" s="1"/>
  <c r="BY120" i="19" s="1"/>
  <c r="BO119" i="19"/>
  <c r="BP119" i="19" s="1"/>
  <c r="BQ119" i="19" s="1"/>
  <c r="BR119" i="19" s="1"/>
  <c r="BS119" i="19" s="1"/>
  <c r="BT119" i="19" s="1"/>
  <c r="BU119" i="19" s="1"/>
  <c r="BV119" i="19" s="1"/>
  <c r="BW119" i="19" s="1"/>
  <c r="BX119" i="19" s="1"/>
  <c r="BY119" i="19" s="1"/>
  <c r="BO77" i="19"/>
  <c r="BP77" i="19" s="1"/>
  <c r="BQ77" i="19" s="1"/>
  <c r="BR77" i="19" s="1"/>
  <c r="BS77" i="19" s="1"/>
  <c r="BT77" i="19" s="1"/>
  <c r="BU77" i="19" s="1"/>
  <c r="BV77" i="19" s="1"/>
  <c r="BW77" i="19" s="1"/>
  <c r="BX77" i="19" s="1"/>
  <c r="BY77" i="19" s="1"/>
  <c r="BO76" i="19"/>
  <c r="BP76" i="19" s="1"/>
  <c r="BQ76" i="19" s="1"/>
  <c r="BR76" i="19" s="1"/>
  <c r="BS76" i="19" s="1"/>
  <c r="BT76" i="19" s="1"/>
  <c r="BU76" i="19" s="1"/>
  <c r="BV76" i="19" s="1"/>
  <c r="BW76" i="19" s="1"/>
  <c r="BX76" i="19" s="1"/>
  <c r="BY76" i="19" s="1"/>
  <c r="BO75" i="19"/>
  <c r="BP75" i="19" s="1"/>
  <c r="BQ75" i="19" s="1"/>
  <c r="BR75" i="19" s="1"/>
  <c r="BS75" i="19" s="1"/>
  <c r="BT75" i="19" s="1"/>
  <c r="BU75" i="19" s="1"/>
  <c r="BV75" i="19" s="1"/>
  <c r="BW75" i="19" s="1"/>
  <c r="BX75" i="19" s="1"/>
  <c r="BY75" i="19" s="1"/>
  <c r="BO74" i="19"/>
  <c r="BP74" i="19" s="1"/>
  <c r="BQ74" i="19" s="1"/>
  <c r="BR74" i="19" s="1"/>
  <c r="BS74" i="19" s="1"/>
  <c r="BT74" i="19" s="1"/>
  <c r="BU74" i="19" s="1"/>
  <c r="BV74" i="19" s="1"/>
  <c r="BW74" i="19" s="1"/>
  <c r="BX74" i="19" s="1"/>
  <c r="BY74" i="19" s="1"/>
  <c r="BO73" i="19"/>
  <c r="BP73" i="19" s="1"/>
  <c r="BQ73" i="19" s="1"/>
  <c r="BR73" i="19" s="1"/>
  <c r="BS73" i="19" s="1"/>
  <c r="BT73" i="19" s="1"/>
  <c r="BU73" i="19" s="1"/>
  <c r="BV73" i="19" s="1"/>
  <c r="BW73" i="19" s="1"/>
  <c r="BX73" i="19" s="1"/>
  <c r="BY73" i="19" s="1"/>
  <c r="BO72" i="19"/>
  <c r="BP72" i="19" s="1"/>
  <c r="BQ72" i="19" s="1"/>
  <c r="BR72" i="19" s="1"/>
  <c r="BS72" i="19" s="1"/>
  <c r="BT72" i="19" s="1"/>
  <c r="BU72" i="19" s="1"/>
  <c r="BV72" i="19" s="1"/>
  <c r="BW72" i="19" s="1"/>
  <c r="BX72" i="19" s="1"/>
  <c r="BY72" i="19" s="1"/>
  <c r="BO71" i="19"/>
  <c r="BP71" i="19" s="1"/>
  <c r="BQ71" i="19" s="1"/>
  <c r="BR71" i="19" s="1"/>
  <c r="BS71" i="19" s="1"/>
  <c r="BT71" i="19" s="1"/>
  <c r="BU71" i="19" s="1"/>
  <c r="BV71" i="19" s="1"/>
  <c r="BW71" i="19" s="1"/>
  <c r="BX71" i="19" s="1"/>
  <c r="BY71" i="19" s="1"/>
  <c r="BO70" i="19"/>
  <c r="BP70" i="19" s="1"/>
  <c r="BQ70" i="19" s="1"/>
  <c r="BR70" i="19" s="1"/>
  <c r="BS70" i="19" s="1"/>
  <c r="BT70" i="19" s="1"/>
  <c r="BU70" i="19" s="1"/>
  <c r="BV70" i="19" s="1"/>
  <c r="BW70" i="19" s="1"/>
  <c r="BX70" i="19" s="1"/>
  <c r="BY70" i="19" s="1"/>
  <c r="BO69" i="19"/>
  <c r="BP69" i="19" s="1"/>
  <c r="BQ69" i="19" s="1"/>
  <c r="BR69" i="19" s="1"/>
  <c r="BS69" i="19" s="1"/>
  <c r="BT69" i="19" s="1"/>
  <c r="BU69" i="19" s="1"/>
  <c r="BV69" i="19" s="1"/>
  <c r="BW69" i="19" s="1"/>
  <c r="BX69" i="19" s="1"/>
  <c r="BY69" i="19" s="1"/>
  <c r="BO34" i="19"/>
  <c r="BP34" i="19" s="1"/>
  <c r="BQ34" i="19" s="1"/>
  <c r="BR34" i="19" s="1"/>
  <c r="BS34" i="19" s="1"/>
  <c r="BT34" i="19" s="1"/>
  <c r="BU34" i="19" s="1"/>
  <c r="BV34" i="19" s="1"/>
  <c r="BW34" i="19" s="1"/>
  <c r="BX34" i="19" s="1"/>
  <c r="BY34" i="19" s="1"/>
  <c r="BO33" i="19"/>
  <c r="BP33" i="19" s="1"/>
  <c r="BQ33" i="19" s="1"/>
  <c r="BR33" i="19" s="1"/>
  <c r="BS33" i="19" s="1"/>
  <c r="BT33" i="19" s="1"/>
  <c r="BU33" i="19" s="1"/>
  <c r="BV33" i="19" s="1"/>
  <c r="BW33" i="19" s="1"/>
  <c r="BX33" i="19" s="1"/>
  <c r="BY33" i="19" s="1"/>
  <c r="BO32" i="19"/>
  <c r="BP32" i="19" s="1"/>
  <c r="BQ32" i="19" s="1"/>
  <c r="BR32" i="19" s="1"/>
  <c r="BS32" i="19" s="1"/>
  <c r="BT32" i="19" s="1"/>
  <c r="BU32" i="19" s="1"/>
  <c r="BV32" i="19" s="1"/>
  <c r="BW32" i="19" s="1"/>
  <c r="BX32" i="19" s="1"/>
  <c r="BY32" i="19" s="1"/>
  <c r="BO31" i="19"/>
  <c r="BP31" i="19" s="1"/>
  <c r="BQ31" i="19" s="1"/>
  <c r="BR31" i="19" s="1"/>
  <c r="BS31" i="19" s="1"/>
  <c r="BT31" i="19" s="1"/>
  <c r="BU31" i="19" s="1"/>
  <c r="BV31" i="19" s="1"/>
  <c r="BW31" i="19" s="1"/>
  <c r="BX31" i="19" s="1"/>
  <c r="BY31" i="19" s="1"/>
  <c r="BO30" i="19"/>
  <c r="BP30" i="19" s="1"/>
  <c r="BQ30" i="19" s="1"/>
  <c r="BR30" i="19" s="1"/>
  <c r="BS30" i="19" s="1"/>
  <c r="BT30" i="19" s="1"/>
  <c r="BU30" i="19" s="1"/>
  <c r="BV30" i="19" s="1"/>
  <c r="BW30" i="19" s="1"/>
  <c r="BX30" i="19" s="1"/>
  <c r="BY30" i="19" s="1"/>
  <c r="BO29" i="19"/>
  <c r="BP29" i="19" s="1"/>
  <c r="BQ29" i="19" s="1"/>
  <c r="BR29" i="19" s="1"/>
  <c r="BS29" i="19" s="1"/>
  <c r="BT29" i="19" s="1"/>
  <c r="BU29" i="19" s="1"/>
  <c r="BV29" i="19" s="1"/>
  <c r="BW29" i="19" s="1"/>
  <c r="BX29" i="19" s="1"/>
  <c r="BY29" i="19" s="1"/>
  <c r="BO28" i="19"/>
  <c r="BP28" i="19" s="1"/>
  <c r="BQ28" i="19" s="1"/>
  <c r="BR28" i="19" s="1"/>
  <c r="BS28" i="19" s="1"/>
  <c r="BT28" i="19" s="1"/>
  <c r="BU28" i="19" s="1"/>
  <c r="BV28" i="19" s="1"/>
  <c r="BW28" i="19" s="1"/>
  <c r="BX28" i="19" s="1"/>
  <c r="BY28" i="19" s="1"/>
  <c r="BO27" i="19"/>
  <c r="BP27" i="19" s="1"/>
  <c r="BQ27" i="19" s="1"/>
  <c r="BR27" i="19" s="1"/>
  <c r="BS27" i="19" s="1"/>
  <c r="BT27" i="19" s="1"/>
  <c r="BU27" i="19" s="1"/>
  <c r="BV27" i="19" s="1"/>
  <c r="BW27" i="19" s="1"/>
  <c r="BX27" i="19" s="1"/>
  <c r="BY27" i="19" s="1"/>
  <c r="BP26" i="19"/>
  <c r="BQ26" i="19" s="1"/>
  <c r="BR26" i="19" s="1"/>
  <c r="BS26" i="19" s="1"/>
  <c r="BT26" i="19" s="1"/>
  <c r="BU26" i="19" s="1"/>
  <c r="BV26" i="19" s="1"/>
  <c r="BW26" i="19" s="1"/>
  <c r="BX26" i="19" s="1"/>
  <c r="BY26" i="19" s="1"/>
  <c r="BO26" i="19"/>
  <c r="BC176" i="19"/>
  <c r="BD176" i="19" s="1"/>
  <c r="BE176" i="19" s="1"/>
  <c r="BF176" i="19" s="1"/>
  <c r="BG176" i="19" s="1"/>
  <c r="BH176" i="19" s="1"/>
  <c r="BI176" i="19" s="1"/>
  <c r="BJ176" i="19" s="1"/>
  <c r="BK176" i="19" s="1"/>
  <c r="BL176" i="19" s="1"/>
  <c r="BM176" i="19" s="1"/>
  <c r="BC175" i="19"/>
  <c r="BD175" i="19" s="1"/>
  <c r="BE175" i="19" s="1"/>
  <c r="BF175" i="19" s="1"/>
  <c r="BG175" i="19" s="1"/>
  <c r="BH175" i="19" s="1"/>
  <c r="BI175" i="19" s="1"/>
  <c r="BJ175" i="19" s="1"/>
  <c r="BK175" i="19" s="1"/>
  <c r="BL175" i="19" s="1"/>
  <c r="BM175" i="19" s="1"/>
  <c r="BC174" i="19"/>
  <c r="BD174" i="19" s="1"/>
  <c r="BE174" i="19" s="1"/>
  <c r="BF174" i="19" s="1"/>
  <c r="BG174" i="19" s="1"/>
  <c r="BH174" i="19" s="1"/>
  <c r="BI174" i="19" s="1"/>
  <c r="BJ174" i="19" s="1"/>
  <c r="BK174" i="19" s="1"/>
  <c r="BL174" i="19" s="1"/>
  <c r="BM174" i="19" s="1"/>
  <c r="BC173" i="19"/>
  <c r="BD173" i="19" s="1"/>
  <c r="BE173" i="19" s="1"/>
  <c r="BF173" i="19" s="1"/>
  <c r="BG173" i="19" s="1"/>
  <c r="BH173" i="19" s="1"/>
  <c r="BI173" i="19" s="1"/>
  <c r="BJ173" i="19" s="1"/>
  <c r="BK173" i="19" s="1"/>
  <c r="BL173" i="19" s="1"/>
  <c r="BM173" i="19" s="1"/>
  <c r="BC172" i="19"/>
  <c r="BD172" i="19" s="1"/>
  <c r="BE172" i="19" s="1"/>
  <c r="BF172" i="19" s="1"/>
  <c r="BG172" i="19" s="1"/>
  <c r="BH172" i="19" s="1"/>
  <c r="BI172" i="19" s="1"/>
  <c r="BJ172" i="19" s="1"/>
  <c r="BK172" i="19" s="1"/>
  <c r="BL172" i="19" s="1"/>
  <c r="BM172" i="19" s="1"/>
  <c r="BC171" i="19"/>
  <c r="BD171" i="19" s="1"/>
  <c r="BE171" i="19" s="1"/>
  <c r="BF171" i="19" s="1"/>
  <c r="BG171" i="19" s="1"/>
  <c r="BH171" i="19" s="1"/>
  <c r="BI171" i="19" s="1"/>
  <c r="BJ171" i="19" s="1"/>
  <c r="BK171" i="19" s="1"/>
  <c r="BL171" i="19" s="1"/>
  <c r="BM171" i="19" s="1"/>
  <c r="BC170" i="19"/>
  <c r="BD170" i="19" s="1"/>
  <c r="BE170" i="19" s="1"/>
  <c r="BF170" i="19" s="1"/>
  <c r="BG170" i="19" s="1"/>
  <c r="BH170" i="19" s="1"/>
  <c r="BI170" i="19" s="1"/>
  <c r="BJ170" i="19" s="1"/>
  <c r="BK170" i="19" s="1"/>
  <c r="BL170" i="19" s="1"/>
  <c r="BM170" i="19" s="1"/>
  <c r="BC169" i="19"/>
  <c r="BD169" i="19" s="1"/>
  <c r="BE169" i="19" s="1"/>
  <c r="BF169" i="19" s="1"/>
  <c r="BG169" i="19" s="1"/>
  <c r="BH169" i="19" s="1"/>
  <c r="BI169" i="19" s="1"/>
  <c r="BJ169" i="19" s="1"/>
  <c r="BK169" i="19" s="1"/>
  <c r="BL169" i="19" s="1"/>
  <c r="BM169" i="19" s="1"/>
  <c r="BC168" i="19"/>
  <c r="BD168" i="19" s="1"/>
  <c r="BE168" i="19" s="1"/>
  <c r="BF168" i="19" s="1"/>
  <c r="BG168" i="19" s="1"/>
  <c r="BH168" i="19" s="1"/>
  <c r="BI168" i="19" s="1"/>
  <c r="BJ168" i="19" s="1"/>
  <c r="BK168" i="19" s="1"/>
  <c r="BL168" i="19" s="1"/>
  <c r="BM168" i="19" s="1"/>
  <c r="BC167" i="19"/>
  <c r="BD167" i="19" s="1"/>
  <c r="BE167" i="19" s="1"/>
  <c r="BF167" i="19" s="1"/>
  <c r="BG167" i="19" s="1"/>
  <c r="BH167" i="19" s="1"/>
  <c r="BI167" i="19" s="1"/>
  <c r="BJ167" i="19" s="1"/>
  <c r="BK167" i="19" s="1"/>
  <c r="BL167" i="19" s="1"/>
  <c r="BM167" i="19" s="1"/>
  <c r="BC166" i="19"/>
  <c r="BD166" i="19" s="1"/>
  <c r="BE166" i="19" s="1"/>
  <c r="BF166" i="19" s="1"/>
  <c r="BG166" i="19" s="1"/>
  <c r="BH166" i="19" s="1"/>
  <c r="BI166" i="19" s="1"/>
  <c r="BJ166" i="19" s="1"/>
  <c r="BK166" i="19" s="1"/>
  <c r="BL166" i="19" s="1"/>
  <c r="BM166" i="19" s="1"/>
  <c r="BC165" i="19"/>
  <c r="BD165" i="19" s="1"/>
  <c r="BE165" i="19" s="1"/>
  <c r="BF165" i="19" s="1"/>
  <c r="BG165" i="19" s="1"/>
  <c r="BH165" i="19" s="1"/>
  <c r="BI165" i="19" s="1"/>
  <c r="BJ165" i="19" s="1"/>
  <c r="BK165" i="19" s="1"/>
  <c r="BL165" i="19" s="1"/>
  <c r="BM165" i="19" s="1"/>
  <c r="BC130" i="19"/>
  <c r="BD130" i="19" s="1"/>
  <c r="BE130" i="19" s="1"/>
  <c r="BF130" i="19" s="1"/>
  <c r="BG130" i="19" s="1"/>
  <c r="BH130" i="19" s="1"/>
  <c r="BI130" i="19" s="1"/>
  <c r="BJ130" i="19" s="1"/>
  <c r="BK130" i="19" s="1"/>
  <c r="BL130" i="19" s="1"/>
  <c r="BM130" i="19" s="1"/>
  <c r="BC129" i="19"/>
  <c r="BD129" i="19" s="1"/>
  <c r="BE129" i="19" s="1"/>
  <c r="BF129" i="19" s="1"/>
  <c r="BG129" i="19" s="1"/>
  <c r="BH129" i="19" s="1"/>
  <c r="BI129" i="19" s="1"/>
  <c r="BJ129" i="19" s="1"/>
  <c r="BK129" i="19" s="1"/>
  <c r="BL129" i="19" s="1"/>
  <c r="BM129" i="19" s="1"/>
  <c r="BC128" i="19"/>
  <c r="BD128" i="19" s="1"/>
  <c r="BE128" i="19" s="1"/>
  <c r="BF128" i="19" s="1"/>
  <c r="BG128" i="19" s="1"/>
  <c r="BH128" i="19" s="1"/>
  <c r="BI128" i="19" s="1"/>
  <c r="BJ128" i="19" s="1"/>
  <c r="BK128" i="19" s="1"/>
  <c r="BL128" i="19" s="1"/>
  <c r="BM128" i="19" s="1"/>
  <c r="BC127" i="19"/>
  <c r="BD127" i="19" s="1"/>
  <c r="BE127" i="19" s="1"/>
  <c r="BF127" i="19" s="1"/>
  <c r="BG127" i="19" s="1"/>
  <c r="BH127" i="19" s="1"/>
  <c r="BI127" i="19" s="1"/>
  <c r="BJ127" i="19" s="1"/>
  <c r="BK127" i="19" s="1"/>
  <c r="BL127" i="19" s="1"/>
  <c r="BM127" i="19" s="1"/>
  <c r="BC126" i="19"/>
  <c r="BD126" i="19" s="1"/>
  <c r="BE126" i="19" s="1"/>
  <c r="BF126" i="19" s="1"/>
  <c r="BG126" i="19" s="1"/>
  <c r="BH126" i="19" s="1"/>
  <c r="BI126" i="19" s="1"/>
  <c r="BJ126" i="19" s="1"/>
  <c r="BK126" i="19" s="1"/>
  <c r="BL126" i="19" s="1"/>
  <c r="BM126" i="19" s="1"/>
  <c r="BC125" i="19"/>
  <c r="BD125" i="19" s="1"/>
  <c r="BE125" i="19" s="1"/>
  <c r="BF125" i="19" s="1"/>
  <c r="BG125" i="19" s="1"/>
  <c r="BH125" i="19" s="1"/>
  <c r="BI125" i="19" s="1"/>
  <c r="BJ125" i="19" s="1"/>
  <c r="BK125" i="19" s="1"/>
  <c r="BL125" i="19" s="1"/>
  <c r="BM125" i="19" s="1"/>
  <c r="BC124" i="19"/>
  <c r="BD124" i="19" s="1"/>
  <c r="BE124" i="19" s="1"/>
  <c r="BF124" i="19" s="1"/>
  <c r="BG124" i="19" s="1"/>
  <c r="BH124" i="19" s="1"/>
  <c r="BI124" i="19" s="1"/>
  <c r="BJ124" i="19" s="1"/>
  <c r="BK124" i="19" s="1"/>
  <c r="BL124" i="19" s="1"/>
  <c r="BM124" i="19" s="1"/>
  <c r="BC123" i="19"/>
  <c r="BD123" i="19" s="1"/>
  <c r="BE123" i="19" s="1"/>
  <c r="BF123" i="19" s="1"/>
  <c r="BG123" i="19" s="1"/>
  <c r="BH123" i="19" s="1"/>
  <c r="BI123" i="19" s="1"/>
  <c r="BJ123" i="19" s="1"/>
  <c r="BK123" i="19" s="1"/>
  <c r="BL123" i="19" s="1"/>
  <c r="BM123" i="19" s="1"/>
  <c r="BC122" i="19"/>
  <c r="BD122" i="19" s="1"/>
  <c r="BE122" i="19" s="1"/>
  <c r="BF122" i="19" s="1"/>
  <c r="BG122" i="19" s="1"/>
  <c r="BH122" i="19" s="1"/>
  <c r="BI122" i="19" s="1"/>
  <c r="BJ122" i="19" s="1"/>
  <c r="BK122" i="19" s="1"/>
  <c r="BL122" i="19" s="1"/>
  <c r="BM122" i="19" s="1"/>
  <c r="BC121" i="19"/>
  <c r="BD121" i="19" s="1"/>
  <c r="BE121" i="19" s="1"/>
  <c r="BF121" i="19" s="1"/>
  <c r="BG121" i="19" s="1"/>
  <c r="BH121" i="19" s="1"/>
  <c r="BI121" i="19" s="1"/>
  <c r="BJ121" i="19" s="1"/>
  <c r="BK121" i="19" s="1"/>
  <c r="BL121" i="19" s="1"/>
  <c r="BM121" i="19" s="1"/>
  <c r="BC120" i="19"/>
  <c r="BD120" i="19" s="1"/>
  <c r="BE120" i="19" s="1"/>
  <c r="BF120" i="19" s="1"/>
  <c r="BG120" i="19" s="1"/>
  <c r="BH120" i="19" s="1"/>
  <c r="BI120" i="19" s="1"/>
  <c r="BJ120" i="19" s="1"/>
  <c r="BK120" i="19" s="1"/>
  <c r="BL120" i="19" s="1"/>
  <c r="BM120" i="19" s="1"/>
  <c r="BC119" i="19"/>
  <c r="BD119" i="19" s="1"/>
  <c r="BE119" i="19" s="1"/>
  <c r="BF119" i="19" s="1"/>
  <c r="BG119" i="19" s="1"/>
  <c r="BH119" i="19" s="1"/>
  <c r="BI119" i="19" s="1"/>
  <c r="BJ119" i="19" s="1"/>
  <c r="BK119" i="19" s="1"/>
  <c r="BL119" i="19" s="1"/>
  <c r="BM119" i="19" s="1"/>
  <c r="BC77" i="19"/>
  <c r="BD77" i="19" s="1"/>
  <c r="BE77" i="19" s="1"/>
  <c r="BF77" i="19" s="1"/>
  <c r="BG77" i="19" s="1"/>
  <c r="BH77" i="19" s="1"/>
  <c r="BI77" i="19" s="1"/>
  <c r="BJ77" i="19" s="1"/>
  <c r="BK77" i="19" s="1"/>
  <c r="BL77" i="19" s="1"/>
  <c r="BM77" i="19" s="1"/>
  <c r="BC76" i="19"/>
  <c r="BD76" i="19" s="1"/>
  <c r="BE76" i="19" s="1"/>
  <c r="BF76" i="19" s="1"/>
  <c r="BG76" i="19" s="1"/>
  <c r="BH76" i="19" s="1"/>
  <c r="BI76" i="19" s="1"/>
  <c r="BJ76" i="19" s="1"/>
  <c r="BK76" i="19" s="1"/>
  <c r="BL76" i="19" s="1"/>
  <c r="BM76" i="19" s="1"/>
  <c r="BC75" i="19"/>
  <c r="BD75" i="19" s="1"/>
  <c r="BE75" i="19" s="1"/>
  <c r="BF75" i="19" s="1"/>
  <c r="BG75" i="19" s="1"/>
  <c r="BH75" i="19" s="1"/>
  <c r="BI75" i="19" s="1"/>
  <c r="BJ75" i="19" s="1"/>
  <c r="BK75" i="19" s="1"/>
  <c r="BL75" i="19" s="1"/>
  <c r="BM75" i="19" s="1"/>
  <c r="BC74" i="19"/>
  <c r="BD74" i="19" s="1"/>
  <c r="BE74" i="19" s="1"/>
  <c r="BF74" i="19" s="1"/>
  <c r="BG74" i="19" s="1"/>
  <c r="BH74" i="19" s="1"/>
  <c r="BI74" i="19" s="1"/>
  <c r="BJ74" i="19" s="1"/>
  <c r="BK74" i="19" s="1"/>
  <c r="BL74" i="19" s="1"/>
  <c r="BM74" i="19" s="1"/>
  <c r="BC73" i="19"/>
  <c r="BD73" i="19" s="1"/>
  <c r="BE73" i="19" s="1"/>
  <c r="BF73" i="19" s="1"/>
  <c r="BG73" i="19" s="1"/>
  <c r="BH73" i="19" s="1"/>
  <c r="BI73" i="19" s="1"/>
  <c r="BJ73" i="19" s="1"/>
  <c r="BK73" i="19" s="1"/>
  <c r="BL73" i="19" s="1"/>
  <c r="BM73" i="19" s="1"/>
  <c r="BC72" i="19"/>
  <c r="BD72" i="19" s="1"/>
  <c r="BE72" i="19" s="1"/>
  <c r="BF72" i="19" s="1"/>
  <c r="BG72" i="19" s="1"/>
  <c r="BH72" i="19" s="1"/>
  <c r="BI72" i="19" s="1"/>
  <c r="BJ72" i="19" s="1"/>
  <c r="BK72" i="19" s="1"/>
  <c r="BL72" i="19" s="1"/>
  <c r="BM72" i="19" s="1"/>
  <c r="BC71" i="19"/>
  <c r="BD71" i="19" s="1"/>
  <c r="BE71" i="19" s="1"/>
  <c r="BF71" i="19" s="1"/>
  <c r="BG71" i="19" s="1"/>
  <c r="BH71" i="19" s="1"/>
  <c r="BI71" i="19" s="1"/>
  <c r="BJ71" i="19" s="1"/>
  <c r="BK71" i="19" s="1"/>
  <c r="BL71" i="19" s="1"/>
  <c r="BM71" i="19" s="1"/>
  <c r="BC70" i="19"/>
  <c r="BD70" i="19" s="1"/>
  <c r="BE70" i="19" s="1"/>
  <c r="BF70" i="19" s="1"/>
  <c r="BG70" i="19" s="1"/>
  <c r="BH70" i="19" s="1"/>
  <c r="BI70" i="19" s="1"/>
  <c r="BJ70" i="19" s="1"/>
  <c r="BK70" i="19" s="1"/>
  <c r="BL70" i="19" s="1"/>
  <c r="BM70" i="19" s="1"/>
  <c r="BC69" i="19"/>
  <c r="BD69" i="19" s="1"/>
  <c r="BE69" i="19" s="1"/>
  <c r="BF69" i="19" s="1"/>
  <c r="BG69" i="19" s="1"/>
  <c r="BH69" i="19" s="1"/>
  <c r="BI69" i="19" s="1"/>
  <c r="BJ69" i="19" s="1"/>
  <c r="BK69" i="19" s="1"/>
  <c r="BL69" i="19" s="1"/>
  <c r="BM69" i="19" s="1"/>
  <c r="BC34" i="19"/>
  <c r="BD34" i="19" s="1"/>
  <c r="BE34" i="19" s="1"/>
  <c r="BF34" i="19" s="1"/>
  <c r="BG34" i="19" s="1"/>
  <c r="BH34" i="19" s="1"/>
  <c r="BI34" i="19" s="1"/>
  <c r="BJ34" i="19" s="1"/>
  <c r="BK34" i="19" s="1"/>
  <c r="BL34" i="19" s="1"/>
  <c r="BM34" i="19" s="1"/>
  <c r="BC33" i="19"/>
  <c r="BD33" i="19" s="1"/>
  <c r="BE33" i="19" s="1"/>
  <c r="BF33" i="19" s="1"/>
  <c r="BG33" i="19" s="1"/>
  <c r="BH33" i="19" s="1"/>
  <c r="BI33" i="19" s="1"/>
  <c r="BJ33" i="19" s="1"/>
  <c r="BK33" i="19" s="1"/>
  <c r="BL33" i="19" s="1"/>
  <c r="BM33" i="19" s="1"/>
  <c r="BC32" i="19"/>
  <c r="BD32" i="19" s="1"/>
  <c r="BE32" i="19" s="1"/>
  <c r="BF32" i="19" s="1"/>
  <c r="BG32" i="19" s="1"/>
  <c r="BH32" i="19" s="1"/>
  <c r="BI32" i="19" s="1"/>
  <c r="BJ32" i="19" s="1"/>
  <c r="BK32" i="19" s="1"/>
  <c r="BL32" i="19" s="1"/>
  <c r="BM32" i="19" s="1"/>
  <c r="BC31" i="19"/>
  <c r="BD31" i="19" s="1"/>
  <c r="BE31" i="19" s="1"/>
  <c r="BF31" i="19" s="1"/>
  <c r="BG31" i="19" s="1"/>
  <c r="BH31" i="19" s="1"/>
  <c r="BI31" i="19" s="1"/>
  <c r="BJ31" i="19" s="1"/>
  <c r="BK31" i="19" s="1"/>
  <c r="BL31" i="19" s="1"/>
  <c r="BM31" i="19" s="1"/>
  <c r="BC30" i="19"/>
  <c r="BD30" i="19" s="1"/>
  <c r="BE30" i="19" s="1"/>
  <c r="BF30" i="19" s="1"/>
  <c r="BG30" i="19" s="1"/>
  <c r="BH30" i="19" s="1"/>
  <c r="BI30" i="19" s="1"/>
  <c r="BJ30" i="19" s="1"/>
  <c r="BK30" i="19" s="1"/>
  <c r="BL30" i="19" s="1"/>
  <c r="BM30" i="19" s="1"/>
  <c r="BC29" i="19"/>
  <c r="BD29" i="19" s="1"/>
  <c r="BE29" i="19" s="1"/>
  <c r="BF29" i="19" s="1"/>
  <c r="BG29" i="19" s="1"/>
  <c r="BH29" i="19" s="1"/>
  <c r="BI29" i="19" s="1"/>
  <c r="BJ29" i="19" s="1"/>
  <c r="BK29" i="19" s="1"/>
  <c r="BL29" i="19" s="1"/>
  <c r="BM29" i="19" s="1"/>
  <c r="BC28" i="19"/>
  <c r="BD28" i="19" s="1"/>
  <c r="BE28" i="19" s="1"/>
  <c r="BF28" i="19" s="1"/>
  <c r="BG28" i="19" s="1"/>
  <c r="BH28" i="19" s="1"/>
  <c r="BI28" i="19" s="1"/>
  <c r="BJ28" i="19" s="1"/>
  <c r="BK28" i="19" s="1"/>
  <c r="BL28" i="19" s="1"/>
  <c r="BM28" i="19" s="1"/>
  <c r="BC27" i="19"/>
  <c r="BD27" i="19" s="1"/>
  <c r="BE27" i="19" s="1"/>
  <c r="BF27" i="19" s="1"/>
  <c r="BG27" i="19" s="1"/>
  <c r="BH27" i="19" s="1"/>
  <c r="BI27" i="19" s="1"/>
  <c r="BJ27" i="19" s="1"/>
  <c r="BK27" i="19" s="1"/>
  <c r="BL27" i="19" s="1"/>
  <c r="BM27" i="19" s="1"/>
  <c r="BC26" i="19"/>
  <c r="BD26" i="19" s="1"/>
  <c r="BE26" i="19" s="1"/>
  <c r="BF26" i="19" s="1"/>
  <c r="BG26" i="19" s="1"/>
  <c r="BH26" i="19" s="1"/>
  <c r="BI26" i="19" s="1"/>
  <c r="BJ26" i="19" s="1"/>
  <c r="BK26" i="19" s="1"/>
  <c r="BL26" i="19" s="1"/>
  <c r="BM26" i="19" s="1"/>
  <c r="FC50" i="19"/>
  <c r="FC97" i="19" s="1"/>
  <c r="FC143" i="19" s="1"/>
  <c r="FB50" i="19"/>
  <c r="FB97" i="19" s="1"/>
  <c r="FB143" i="19" s="1"/>
  <c r="GU187" i="19" l="1"/>
  <c r="T814" i="8"/>
  <c r="GD187" i="19"/>
  <c r="GD188" i="19" s="1"/>
  <c r="I47" i="18" s="1"/>
  <c r="AC796" i="8"/>
  <c r="AC798" i="8" s="1"/>
  <c r="GT187" i="19"/>
  <c r="S813" i="8"/>
  <c r="S815" i="8" s="1"/>
  <c r="GY187" i="19"/>
  <c r="HD188" i="19" s="1"/>
  <c r="K47" i="18" s="1"/>
  <c r="X814" i="8"/>
  <c r="X815" i="8" s="1"/>
  <c r="R815" i="8"/>
  <c r="AD813" i="8"/>
  <c r="GJ187" i="19"/>
  <c r="V805" i="8"/>
  <c r="FS187" i="19"/>
  <c r="R796" i="8"/>
  <c r="AC806" i="8"/>
  <c r="AD804" i="8"/>
  <c r="GQ187" i="19"/>
  <c r="GQ188" i="19" s="1"/>
  <c r="J47" i="18" s="1"/>
  <c r="EW105" i="19"/>
  <c r="EX106" i="19" s="1"/>
  <c r="EY107" i="19" s="1"/>
  <c r="EZ108" i="19" s="1"/>
  <c r="EZ119" i="19" s="1"/>
  <c r="FA105" i="19"/>
  <c r="FB106" i="19" s="1"/>
  <c r="FC107" i="19" s="1"/>
  <c r="FD108" i="19" s="1"/>
  <c r="EV151" i="19"/>
  <c r="EW152" i="19" s="1"/>
  <c r="EX153" i="19" s="1"/>
  <c r="EY154" i="19" s="1"/>
  <c r="EY165" i="19" s="1"/>
  <c r="EZ151" i="19"/>
  <c r="FA152" i="19" s="1"/>
  <c r="FB153" i="19" s="1"/>
  <c r="FC154" i="19" s="1"/>
  <c r="FC165" i="19" s="1"/>
  <c r="FD151" i="19"/>
  <c r="FF152" i="19" s="1"/>
  <c r="EW151" i="19"/>
  <c r="FA151" i="19"/>
  <c r="FB152" i="19" s="1"/>
  <c r="FC153" i="19" s="1"/>
  <c r="FD154" i="19" s="1"/>
  <c r="EU105" i="19"/>
  <c r="EV106" i="19" s="1"/>
  <c r="EW107" i="19" s="1"/>
  <c r="EX108" i="19" s="1"/>
  <c r="EY105" i="19"/>
  <c r="EZ106" i="19" s="1"/>
  <c r="FA107" i="19" s="1"/>
  <c r="FB108" i="19" s="1"/>
  <c r="FB119" i="19" s="1"/>
  <c r="FC105" i="19"/>
  <c r="FD106" i="19" s="1"/>
  <c r="FF107" i="19" s="1"/>
  <c r="FG108" i="19" s="1"/>
  <c r="EU58" i="19"/>
  <c r="EY58" i="19"/>
  <c r="FC58" i="19"/>
  <c r="FC69" i="19" s="1"/>
  <c r="EV105" i="19"/>
  <c r="EW106" i="19" s="1"/>
  <c r="EX107" i="19" s="1"/>
  <c r="EY108" i="19" s="1"/>
  <c r="EY119" i="19" s="1"/>
  <c r="EZ105" i="19"/>
  <c r="FD105" i="19"/>
  <c r="FF106" i="19" s="1"/>
  <c r="EY151" i="19"/>
  <c r="EZ152" i="19" s="1"/>
  <c r="FA153" i="19" s="1"/>
  <c r="FB154" i="19" s="1"/>
  <c r="FB165" i="19" s="1"/>
  <c r="EV50" i="19"/>
  <c r="EV97" i="19" s="1"/>
  <c r="EV143" i="19" s="1"/>
  <c r="EV58" i="19"/>
  <c r="EV69" i="19" s="1"/>
  <c r="EZ58" i="19"/>
  <c r="EZ69" i="19" s="1"/>
  <c r="FD58" i="19"/>
  <c r="EW50" i="19"/>
  <c r="EW97" i="19" s="1"/>
  <c r="EW143" i="19" s="1"/>
  <c r="FD50" i="19"/>
  <c r="FD97" i="19" s="1"/>
  <c r="FD143" i="19" s="1"/>
  <c r="ET58" i="19"/>
  <c r="EX58" i="19"/>
  <c r="FB58" i="19"/>
  <c r="FB69" i="19" s="1"/>
  <c r="ET105" i="19"/>
  <c r="EU106" i="19" s="1"/>
  <c r="EV107" i="19" s="1"/>
  <c r="EW108" i="19" s="1"/>
  <c r="EW119" i="19" s="1"/>
  <c r="EX105" i="19"/>
  <c r="FB105" i="19"/>
  <c r="ET151" i="19"/>
  <c r="EU152" i="19" s="1"/>
  <c r="EV153" i="19" s="1"/>
  <c r="EW154" i="19" s="1"/>
  <c r="EW165" i="19" s="1"/>
  <c r="EX151" i="19"/>
  <c r="FB151" i="19"/>
  <c r="FD59" i="19"/>
  <c r="EW58" i="19"/>
  <c r="EW69" i="19" s="1"/>
  <c r="FA58" i="19"/>
  <c r="FA69" i="19" s="1"/>
  <c r="EU151" i="19"/>
  <c r="FC151" i="19"/>
  <c r="AD805" i="8" l="1"/>
  <c r="AD806" i="8" s="1"/>
  <c r="V806" i="8"/>
  <c r="AD796" i="8"/>
  <c r="AD798" i="8" s="1"/>
  <c r="R798" i="8"/>
  <c r="T815" i="8"/>
  <c r="AD814" i="8"/>
  <c r="AD815" i="8" s="1"/>
  <c r="FB176" i="19"/>
  <c r="FB130" i="19"/>
  <c r="EZ130" i="19"/>
  <c r="FC176" i="19"/>
  <c r="EW130" i="19"/>
  <c r="EY176" i="19"/>
  <c r="EW176" i="19"/>
  <c r="EY130" i="19"/>
  <c r="FF109" i="19"/>
  <c r="FD119" i="19"/>
  <c r="FF60" i="19"/>
  <c r="FD70" i="19"/>
  <c r="EY59" i="19"/>
  <c r="EY70" i="19" s="1"/>
  <c r="EX69" i="19"/>
  <c r="FG153" i="19"/>
  <c r="EU59" i="19"/>
  <c r="EU70" i="19" s="1"/>
  <c r="ET69" i="19"/>
  <c r="FG107" i="19"/>
  <c r="EZ59" i="19"/>
  <c r="EZ70" i="19" s="1"/>
  <c r="EY69" i="19"/>
  <c r="EY109" i="19"/>
  <c r="EY120" i="19" s="1"/>
  <c r="EX119" i="19"/>
  <c r="FG119" i="19"/>
  <c r="FH109" i="19"/>
  <c r="FF59" i="19"/>
  <c r="FD69" i="19"/>
  <c r="EV59" i="19"/>
  <c r="EV70" i="19" s="1"/>
  <c r="EU69" i="19"/>
  <c r="FF155" i="19"/>
  <c r="FD165" i="19"/>
  <c r="FD155" i="19"/>
  <c r="EY152" i="19"/>
  <c r="EX152" i="19"/>
  <c r="EY153" i="19" s="1"/>
  <c r="EZ154" i="19" s="1"/>
  <c r="FC152" i="19"/>
  <c r="FD153" i="19" s="1"/>
  <c r="FF154" i="19" s="1"/>
  <c r="FA106" i="19"/>
  <c r="FC106" i="19"/>
  <c r="FD107" i="19" s="1"/>
  <c r="FF108" i="19" s="1"/>
  <c r="EW59" i="19"/>
  <c r="EW70" i="19" s="1"/>
  <c r="FC59" i="19"/>
  <c r="FC70" i="19" s="1"/>
  <c r="FA59" i="19"/>
  <c r="EY106" i="19"/>
  <c r="EX155" i="19"/>
  <c r="EX166" i="19" s="1"/>
  <c r="FD152" i="19"/>
  <c r="FF153" i="19" s="1"/>
  <c r="FG154" i="19" s="1"/>
  <c r="FC155" i="19"/>
  <c r="FC166" i="19" s="1"/>
  <c r="FB59" i="19"/>
  <c r="FB70" i="19" s="1"/>
  <c r="FA109" i="19"/>
  <c r="FA120" i="19" s="1"/>
  <c r="EZ109" i="19"/>
  <c r="EZ120" i="19" s="1"/>
  <c r="EV152" i="19"/>
  <c r="EZ155" i="19"/>
  <c r="EZ166" i="19" s="1"/>
  <c r="EX109" i="19"/>
  <c r="EX120" i="19" s="1"/>
  <c r="EX59" i="19"/>
  <c r="EX70" i="19" s="1"/>
  <c r="FA60" i="19"/>
  <c r="FA71" i="19" s="1"/>
  <c r="FC109" i="19"/>
  <c r="FC120" i="19" s="1"/>
  <c r="EZ110" i="19"/>
  <c r="EZ121" i="19" s="1"/>
  <c r="EZ60" i="19" l="1"/>
  <c r="EZ71" i="19" s="1"/>
  <c r="FD176" i="19"/>
  <c r="EX130" i="19"/>
  <c r="FD130" i="19"/>
  <c r="EW60" i="19"/>
  <c r="EW71" i="19" s="1"/>
  <c r="EV60" i="19"/>
  <c r="EV71" i="19" s="1"/>
  <c r="FA155" i="19"/>
  <c r="FA166" i="19" s="1"/>
  <c r="EZ165" i="19"/>
  <c r="FF166" i="19"/>
  <c r="FG156" i="19"/>
  <c r="FF70" i="19"/>
  <c r="FG60" i="19"/>
  <c r="FH108" i="19"/>
  <c r="FH154" i="19"/>
  <c r="FF71" i="19"/>
  <c r="FG61" i="19"/>
  <c r="FF165" i="19"/>
  <c r="FG155" i="19"/>
  <c r="FF119" i="19"/>
  <c r="FG109" i="19"/>
  <c r="FH120" i="19"/>
  <c r="FI110" i="19"/>
  <c r="FH155" i="19"/>
  <c r="FG165" i="19"/>
  <c r="FB60" i="19"/>
  <c r="FB71" i="19" s="1"/>
  <c r="FA70" i="19"/>
  <c r="FF156" i="19"/>
  <c r="FD166" i="19"/>
  <c r="FG130" i="19"/>
  <c r="FG110" i="19"/>
  <c r="FF120" i="19"/>
  <c r="EZ153" i="19"/>
  <c r="EW153" i="19"/>
  <c r="EZ107" i="19"/>
  <c r="FB107" i="19"/>
  <c r="FD60" i="19"/>
  <c r="EX60" i="19"/>
  <c r="FA110" i="19"/>
  <c r="FA121" i="19" s="1"/>
  <c r="FB110" i="19"/>
  <c r="FB121" i="19" s="1"/>
  <c r="FC60" i="19"/>
  <c r="FC71" i="19" s="1"/>
  <c r="EY156" i="19"/>
  <c r="EY167" i="19" s="1"/>
  <c r="EW61" i="19"/>
  <c r="EW72" i="19" s="1"/>
  <c r="FD110" i="19"/>
  <c r="EY110" i="19"/>
  <c r="EY121" i="19" s="1"/>
  <c r="FD156" i="19"/>
  <c r="FB61" i="19"/>
  <c r="FB72" i="19" s="1"/>
  <c r="EY60" i="19"/>
  <c r="EY71" i="19" s="1"/>
  <c r="FA156" i="19"/>
  <c r="FA167" i="19" s="1"/>
  <c r="FA111" i="19"/>
  <c r="FA122" i="19" s="1"/>
  <c r="FA61" i="19" l="1"/>
  <c r="FA72" i="19" s="1"/>
  <c r="EZ176" i="19"/>
  <c r="EX61" i="19"/>
  <c r="EX72" i="19" s="1"/>
  <c r="FB156" i="19"/>
  <c r="FB167" i="19" s="1"/>
  <c r="FC61" i="19"/>
  <c r="FC72" i="19" s="1"/>
  <c r="FH166" i="19"/>
  <c r="FI156" i="19"/>
  <c r="FF130" i="19"/>
  <c r="FH119" i="19"/>
  <c r="FI109" i="19"/>
  <c r="FH157" i="19"/>
  <c r="FG167" i="19"/>
  <c r="FF111" i="19"/>
  <c r="FD121" i="19"/>
  <c r="FI121" i="19"/>
  <c r="FJ111" i="19"/>
  <c r="FH156" i="19"/>
  <c r="FG166" i="19"/>
  <c r="FG121" i="19"/>
  <c r="FH111" i="19"/>
  <c r="FF176" i="19"/>
  <c r="FH165" i="19"/>
  <c r="FI155" i="19"/>
  <c r="FG71" i="19"/>
  <c r="FH61" i="19"/>
  <c r="FD71" i="19"/>
  <c r="FF61" i="19"/>
  <c r="FF157" i="19"/>
  <c r="FD167" i="19"/>
  <c r="EY61" i="19"/>
  <c r="EY72" i="19" s="1"/>
  <c r="EX71" i="19"/>
  <c r="FF167" i="19"/>
  <c r="FG157" i="19"/>
  <c r="FG176" i="19"/>
  <c r="FG120" i="19"/>
  <c r="FH110" i="19"/>
  <c r="FH62" i="19"/>
  <c r="FG72" i="19"/>
  <c r="FC108" i="19"/>
  <c r="FC119" i="19" s="1"/>
  <c r="EX154" i="19"/>
  <c r="EX165" i="19" s="1"/>
  <c r="FA154" i="19"/>
  <c r="FA165" i="19" s="1"/>
  <c r="FA108" i="19"/>
  <c r="FA119" i="19" s="1"/>
  <c r="FB157" i="19"/>
  <c r="FB168" i="19" s="1"/>
  <c r="EZ61" i="19"/>
  <c r="EZ72" i="19" s="1"/>
  <c r="FB62" i="19"/>
  <c r="FB73" i="19" s="1"/>
  <c r="FB111" i="19"/>
  <c r="FB122" i="19" s="1"/>
  <c r="FC111" i="19"/>
  <c r="FC122" i="19" s="1"/>
  <c r="FC62" i="19"/>
  <c r="FC73" i="19" s="1"/>
  <c r="EZ111" i="19"/>
  <c r="EZ122" i="19" s="1"/>
  <c r="EZ157" i="19"/>
  <c r="EZ168" i="19" s="1"/>
  <c r="FB112" i="19"/>
  <c r="FB123" i="19" s="1"/>
  <c r="EX62" i="19"/>
  <c r="EX73" i="19" s="1"/>
  <c r="FD61" i="19"/>
  <c r="FA130" i="19" l="1"/>
  <c r="FA176" i="19"/>
  <c r="FD62" i="19"/>
  <c r="FD73" i="19" s="1"/>
  <c r="EX176" i="19"/>
  <c r="EY62" i="19"/>
  <c r="EY73" i="19" s="1"/>
  <c r="FC130" i="19"/>
  <c r="EZ62" i="19"/>
  <c r="EZ73" i="19" s="1"/>
  <c r="FC157" i="19"/>
  <c r="FC168" i="19" s="1"/>
  <c r="FG158" i="19"/>
  <c r="FF168" i="19"/>
  <c r="FH72" i="19"/>
  <c r="FI62" i="19"/>
  <c r="FH176" i="19"/>
  <c r="FH122" i="19"/>
  <c r="FI112" i="19"/>
  <c r="FH167" i="19"/>
  <c r="FI157" i="19"/>
  <c r="FG112" i="19"/>
  <c r="FF122" i="19"/>
  <c r="FI120" i="19"/>
  <c r="FJ110" i="19"/>
  <c r="FH158" i="19"/>
  <c r="FG168" i="19"/>
  <c r="FJ156" i="19"/>
  <c r="FI166" i="19"/>
  <c r="FH73" i="19"/>
  <c r="FI63" i="19"/>
  <c r="FG62" i="19"/>
  <c r="FF72" i="19"/>
  <c r="FJ122" i="19"/>
  <c r="FK112" i="19"/>
  <c r="FH130" i="19"/>
  <c r="FI167" i="19"/>
  <c r="FJ157" i="19"/>
  <c r="FF63" i="19"/>
  <c r="FF62" i="19"/>
  <c r="FD72" i="19"/>
  <c r="FH121" i="19"/>
  <c r="FI111" i="19"/>
  <c r="FH168" i="19"/>
  <c r="FI158" i="19"/>
  <c r="FD109" i="19"/>
  <c r="FB109" i="19"/>
  <c r="FB120" i="19" s="1"/>
  <c r="EY155" i="19"/>
  <c r="EY166" i="19" s="1"/>
  <c r="FB155" i="19"/>
  <c r="FB166" i="19" s="1"/>
  <c r="EY63" i="19"/>
  <c r="EY74" i="19" s="1"/>
  <c r="FA112" i="19"/>
  <c r="FA123" i="19" s="1"/>
  <c r="FC112" i="19"/>
  <c r="FC123" i="19" s="1"/>
  <c r="FC158" i="19"/>
  <c r="FC169" i="19" s="1"/>
  <c r="FC113" i="19"/>
  <c r="FC124" i="19" s="1"/>
  <c r="FA158" i="19"/>
  <c r="FA169" i="19" s="1"/>
  <c r="FD63" i="19"/>
  <c r="FD112" i="19"/>
  <c r="FC63" i="19"/>
  <c r="FC74" i="19" s="1"/>
  <c r="FA62" i="19"/>
  <c r="FA73" i="19" s="1"/>
  <c r="FA63" i="19" l="1"/>
  <c r="FA74" i="19" s="1"/>
  <c r="EZ63" i="19"/>
  <c r="EZ74" i="19" s="1"/>
  <c r="FD158" i="19"/>
  <c r="FF159" i="19" s="1"/>
  <c r="FJ159" i="19"/>
  <c r="FI169" i="19"/>
  <c r="FF74" i="19"/>
  <c r="FG64" i="19"/>
  <c r="FH63" i="19"/>
  <c r="FG73" i="19"/>
  <c r="FG123" i="19"/>
  <c r="FH113" i="19"/>
  <c r="FI122" i="19"/>
  <c r="FJ112" i="19"/>
  <c r="FJ168" i="19"/>
  <c r="FK158" i="19"/>
  <c r="FI74" i="19"/>
  <c r="FJ64" i="19"/>
  <c r="FJ167" i="19"/>
  <c r="FK157" i="19"/>
  <c r="FJ121" i="19"/>
  <c r="FK111" i="19"/>
  <c r="FI168" i="19"/>
  <c r="FJ158" i="19"/>
  <c r="FI73" i="19"/>
  <c r="FJ63" i="19"/>
  <c r="FH159" i="19"/>
  <c r="FG169" i="19"/>
  <c r="FD120" i="19"/>
  <c r="FF110" i="19"/>
  <c r="FH169" i="19"/>
  <c r="FI159" i="19"/>
  <c r="FI123" i="19"/>
  <c r="FJ113" i="19"/>
  <c r="FD74" i="19"/>
  <c r="FF64" i="19"/>
  <c r="FD123" i="19"/>
  <c r="FF113" i="19"/>
  <c r="FF73" i="19"/>
  <c r="FG63" i="19"/>
  <c r="FK123" i="19"/>
  <c r="FL113" i="19"/>
  <c r="EZ156" i="19"/>
  <c r="EZ167" i="19" s="1"/>
  <c r="FC156" i="19"/>
  <c r="FC167" i="19" s="1"/>
  <c r="FC110" i="19"/>
  <c r="FC121" i="19" s="1"/>
  <c r="FB64" i="19"/>
  <c r="FB75" i="19" s="1"/>
  <c r="FD113" i="19"/>
  <c r="EZ64" i="19"/>
  <c r="EZ75" i="19" s="1"/>
  <c r="FB159" i="19"/>
  <c r="FB170" i="19" s="1"/>
  <c r="FD114" i="19"/>
  <c r="FD64" i="19"/>
  <c r="FD159" i="19"/>
  <c r="FB113" i="19"/>
  <c r="FB124" i="19" s="1"/>
  <c r="FB63" i="19"/>
  <c r="FB74" i="19" s="1"/>
  <c r="FA64" i="19" l="1"/>
  <c r="FA75" i="19" s="1"/>
  <c r="FD169" i="19"/>
  <c r="FG114" i="19"/>
  <c r="FF124" i="19"/>
  <c r="FH74" i="19"/>
  <c r="FI64" i="19"/>
  <c r="FJ170" i="19"/>
  <c r="FK160" i="19"/>
  <c r="FD75" i="19"/>
  <c r="FF65" i="19"/>
  <c r="FF114" i="19"/>
  <c r="FD124" i="19"/>
  <c r="FJ74" i="19"/>
  <c r="FK64" i="19"/>
  <c r="FK168" i="19"/>
  <c r="FL158" i="19"/>
  <c r="FK169" i="19"/>
  <c r="FL159" i="19"/>
  <c r="FH65" i="19"/>
  <c r="FG75" i="19"/>
  <c r="FK122" i="19"/>
  <c r="FL112" i="19"/>
  <c r="FH124" i="19"/>
  <c r="FI114" i="19"/>
  <c r="FF170" i="19"/>
  <c r="FG160" i="19"/>
  <c r="FL124" i="19"/>
  <c r="FM114" i="19"/>
  <c r="FJ124" i="19"/>
  <c r="FK114" i="19"/>
  <c r="FD125" i="19"/>
  <c r="FF115" i="19"/>
  <c r="FG74" i="19"/>
  <c r="FH64" i="19"/>
  <c r="FF75" i="19"/>
  <c r="FG65" i="19"/>
  <c r="FF160" i="19"/>
  <c r="FD170" i="19"/>
  <c r="FJ160" i="19"/>
  <c r="FI170" i="19"/>
  <c r="FF121" i="19"/>
  <c r="FG111" i="19"/>
  <c r="FH170" i="19"/>
  <c r="FI160" i="19"/>
  <c r="FJ169" i="19"/>
  <c r="FK159" i="19"/>
  <c r="FJ75" i="19"/>
  <c r="FK65" i="19"/>
  <c r="FJ123" i="19"/>
  <c r="FK113" i="19"/>
  <c r="FD111" i="19"/>
  <c r="FD157" i="19"/>
  <c r="FA157" i="19"/>
  <c r="FA168" i="19" s="1"/>
  <c r="FC114" i="19"/>
  <c r="FC125" i="19" s="1"/>
  <c r="FC64" i="19"/>
  <c r="FC75" i="19" s="1"/>
  <c r="FA65" i="19"/>
  <c r="FA76" i="19" s="1"/>
  <c r="FB65" i="19"/>
  <c r="FB76" i="19" s="1"/>
  <c r="FC160" i="19"/>
  <c r="FC171" i="19" s="1"/>
  <c r="FC65" i="19"/>
  <c r="FC76" i="19" s="1"/>
  <c r="FJ171" i="19" l="1"/>
  <c r="FK161" i="19"/>
  <c r="FM125" i="19"/>
  <c r="FN115" i="19"/>
  <c r="FI75" i="19"/>
  <c r="FJ65" i="19"/>
  <c r="FG125" i="19"/>
  <c r="FH115" i="19"/>
  <c r="FF112" i="19"/>
  <c r="FD122" i="19"/>
  <c r="FK124" i="19"/>
  <c r="FL114" i="19"/>
  <c r="FI171" i="19"/>
  <c r="FJ161" i="19"/>
  <c r="FL123" i="19"/>
  <c r="FM113" i="19"/>
  <c r="FK75" i="19"/>
  <c r="FL65" i="19"/>
  <c r="FK171" i="19"/>
  <c r="FL161" i="19"/>
  <c r="FF158" i="19"/>
  <c r="FD168" i="19"/>
  <c r="FG116" i="19"/>
  <c r="FG127" i="19" s="1"/>
  <c r="FF126" i="19"/>
  <c r="FI125" i="19"/>
  <c r="FJ115" i="19"/>
  <c r="FH75" i="19"/>
  <c r="FI65" i="19"/>
  <c r="FK125" i="19"/>
  <c r="FL115" i="19"/>
  <c r="FH161" i="19"/>
  <c r="FG171" i="19"/>
  <c r="FH76" i="19"/>
  <c r="FI66" i="19"/>
  <c r="FI77" i="19" s="1"/>
  <c r="FL169" i="19"/>
  <c r="FM159" i="19"/>
  <c r="FF125" i="19"/>
  <c r="FG115" i="19"/>
  <c r="FG122" i="19"/>
  <c r="FH112" i="19"/>
  <c r="FH66" i="19"/>
  <c r="FH77" i="19" s="1"/>
  <c r="FG76" i="19"/>
  <c r="FK76" i="19"/>
  <c r="FL66" i="19"/>
  <c r="FL77" i="19" s="1"/>
  <c r="FK170" i="19"/>
  <c r="FL160" i="19"/>
  <c r="FF171" i="19"/>
  <c r="FG161" i="19"/>
  <c r="FL170" i="19"/>
  <c r="FM160" i="19"/>
  <c r="FG66" i="19"/>
  <c r="FG77" i="19" s="1"/>
  <c r="FF76" i="19"/>
  <c r="FB158" i="19"/>
  <c r="FB169" i="19" s="1"/>
  <c r="FC66" i="19"/>
  <c r="FC77" i="19" s="1"/>
  <c r="FC55" i="19" s="1"/>
  <c r="FD65" i="19"/>
  <c r="FD66" i="19"/>
  <c r="FD77" i="19" s="1"/>
  <c r="FD115" i="19"/>
  <c r="FD161" i="19"/>
  <c r="FB66" i="19"/>
  <c r="FB77" i="19" s="1"/>
  <c r="FB55" i="19" s="1"/>
  <c r="FG55" i="19" l="1"/>
  <c r="FG56" i="19" s="1"/>
  <c r="FH55" i="19"/>
  <c r="FH56" i="19" s="1"/>
  <c r="FH57" i="19" s="1"/>
  <c r="FH79" i="19"/>
  <c r="FI76" i="19"/>
  <c r="FI55" i="19" s="1"/>
  <c r="FJ66" i="19"/>
  <c r="FJ77" i="19" s="1"/>
  <c r="FF123" i="19"/>
  <c r="FG113" i="19"/>
  <c r="FH162" i="19"/>
  <c r="FH173" i="19" s="1"/>
  <c r="FG172" i="19"/>
  <c r="FM170" i="19"/>
  <c r="FN160" i="19"/>
  <c r="FH172" i="19"/>
  <c r="FI162" i="19"/>
  <c r="FI173" i="19" s="1"/>
  <c r="FM124" i="19"/>
  <c r="FN114" i="19"/>
  <c r="FL125" i="19"/>
  <c r="FM115" i="19"/>
  <c r="FH126" i="19"/>
  <c r="FI116" i="19"/>
  <c r="FI127" i="19" s="1"/>
  <c r="FI79" i="19"/>
  <c r="FK172" i="19"/>
  <c r="FL162" i="19"/>
  <c r="FH53" i="19"/>
  <c r="FH123" i="19"/>
  <c r="FI113" i="19"/>
  <c r="FL126" i="19"/>
  <c r="FM116" i="19"/>
  <c r="FM127" i="19" s="1"/>
  <c r="FJ126" i="19"/>
  <c r="FK116" i="19"/>
  <c r="FK127" i="19" s="1"/>
  <c r="FL76" i="19"/>
  <c r="FL55" i="19" s="1"/>
  <c r="FM66" i="19"/>
  <c r="FL53" i="19"/>
  <c r="FJ172" i="19"/>
  <c r="FK162" i="19"/>
  <c r="FN126" i="19"/>
  <c r="FO116" i="19"/>
  <c r="FO127" i="19" s="1"/>
  <c r="FF116" i="19"/>
  <c r="FF127" i="19" s="1"/>
  <c r="FD126" i="19"/>
  <c r="FG126" i="19"/>
  <c r="FH116" i="19"/>
  <c r="FH127" i="19" s="1"/>
  <c r="FJ76" i="19"/>
  <c r="FJ55" i="19" s="1"/>
  <c r="FK66" i="19"/>
  <c r="FD76" i="19"/>
  <c r="FD55" i="19" s="1"/>
  <c r="FF66" i="19"/>
  <c r="FF162" i="19"/>
  <c r="FF173" i="19" s="1"/>
  <c r="FD172" i="19"/>
  <c r="FM171" i="19"/>
  <c r="FN161" i="19"/>
  <c r="FL171" i="19"/>
  <c r="FM161" i="19"/>
  <c r="FG79" i="19"/>
  <c r="FG159" i="19"/>
  <c r="FF169" i="19"/>
  <c r="FL172" i="19"/>
  <c r="FM162" i="19"/>
  <c r="FM173" i="19" s="1"/>
  <c r="FI53" i="19"/>
  <c r="FG53" i="19"/>
  <c r="FD53" i="19"/>
  <c r="FC79" i="19"/>
  <c r="FC53" i="19"/>
  <c r="FC56" i="19"/>
  <c r="FC159" i="19"/>
  <c r="FC170" i="19" s="1"/>
  <c r="FB79" i="19"/>
  <c r="FB53" i="19"/>
  <c r="FF102" i="19" l="1"/>
  <c r="FF103" i="19" s="1"/>
  <c r="FI56" i="19"/>
  <c r="FI57" i="19" s="1"/>
  <c r="FH80" i="19"/>
  <c r="FJ53" i="19"/>
  <c r="FH184" i="19"/>
  <c r="T787" i="8" s="1"/>
  <c r="FM100" i="19"/>
  <c r="FN171" i="19"/>
  <c r="FO161" i="19"/>
  <c r="FK77" i="19"/>
  <c r="FK55" i="19" s="1"/>
  <c r="FK53" i="19"/>
  <c r="FK173" i="19"/>
  <c r="FK146" i="19"/>
  <c r="FI80" i="19"/>
  <c r="FF100" i="19"/>
  <c r="FM172" i="19"/>
  <c r="FM178" i="19" s="1"/>
  <c r="FN162" i="19"/>
  <c r="FN173" i="19" s="1"/>
  <c r="FF77" i="19"/>
  <c r="FF55" i="19" s="1"/>
  <c r="FF53" i="19"/>
  <c r="FJ56" i="19"/>
  <c r="FJ79" i="19"/>
  <c r="FM77" i="19"/>
  <c r="FM55" i="19" s="1"/>
  <c r="FM53" i="19"/>
  <c r="FL173" i="19"/>
  <c r="FL178" i="19" s="1"/>
  <c r="FL146" i="19"/>
  <c r="FG124" i="19"/>
  <c r="FG102" i="19" s="1"/>
  <c r="FH114" i="19"/>
  <c r="FG100" i="19"/>
  <c r="FM126" i="19"/>
  <c r="FN116" i="19"/>
  <c r="FN127" i="19" s="1"/>
  <c r="FG57" i="19"/>
  <c r="FG184" i="19"/>
  <c r="S787" i="8" s="1"/>
  <c r="FN172" i="19"/>
  <c r="FO162" i="19"/>
  <c r="FO173" i="19" s="1"/>
  <c r="FC57" i="19"/>
  <c r="FC184" i="19"/>
  <c r="AB779" i="8" s="1"/>
  <c r="FH160" i="19"/>
  <c r="FG170" i="19"/>
  <c r="FG80" i="19"/>
  <c r="FL79" i="19"/>
  <c r="FL80" i="19" s="1"/>
  <c r="FL56" i="19"/>
  <c r="FI124" i="19"/>
  <c r="FJ114" i="19"/>
  <c r="FN125" i="19"/>
  <c r="FO115" i="19"/>
  <c r="FM146" i="19"/>
  <c r="FF132" i="19"/>
  <c r="FF133" i="19" s="1"/>
  <c r="FC80" i="19"/>
  <c r="FB80" i="19"/>
  <c r="FD160" i="19"/>
  <c r="FB56" i="19"/>
  <c r="FI184" i="19" l="1"/>
  <c r="U787" i="8" s="1"/>
  <c r="FJ80" i="19"/>
  <c r="FL148" i="19"/>
  <c r="FL149" i="19" s="1"/>
  <c r="FM102" i="19"/>
  <c r="FM103" i="19" s="1"/>
  <c r="FN102" i="19"/>
  <c r="FN103" i="19" s="1"/>
  <c r="FK148" i="19"/>
  <c r="FK149" i="19" s="1"/>
  <c r="FN148" i="19"/>
  <c r="FN149" i="19" s="1"/>
  <c r="FM148" i="19"/>
  <c r="FM149" i="19" s="1"/>
  <c r="FM150" i="19" s="1"/>
  <c r="FL179" i="19"/>
  <c r="FM179" i="19"/>
  <c r="FN146" i="19"/>
  <c r="FI161" i="19"/>
  <c r="FH171" i="19"/>
  <c r="FH148" i="19" s="1"/>
  <c r="FH146" i="19"/>
  <c r="FH125" i="19"/>
  <c r="FH102" i="19" s="1"/>
  <c r="FI115" i="19"/>
  <c r="FH100" i="19"/>
  <c r="FJ57" i="19"/>
  <c r="FJ184" i="19"/>
  <c r="V787" i="8" s="1"/>
  <c r="FO172" i="19"/>
  <c r="FO148" i="19" s="1"/>
  <c r="FP162" i="19"/>
  <c r="FO146" i="19"/>
  <c r="FK178" i="19"/>
  <c r="FK179" i="19" s="1"/>
  <c r="FL57" i="19"/>
  <c r="FL184" i="19"/>
  <c r="X787" i="8" s="1"/>
  <c r="FF104" i="19"/>
  <c r="FF185" i="19"/>
  <c r="R788" i="8" s="1"/>
  <c r="FJ125" i="19"/>
  <c r="FK115" i="19"/>
  <c r="FG132" i="19"/>
  <c r="FG133" i="19" s="1"/>
  <c r="FG103" i="19"/>
  <c r="FM56" i="19"/>
  <c r="FM79" i="19"/>
  <c r="FM80" i="19" s="1"/>
  <c r="FM132" i="19"/>
  <c r="FM133" i="19" s="1"/>
  <c r="FN178" i="19"/>
  <c r="FN132" i="19"/>
  <c r="FB57" i="19"/>
  <c r="FB184" i="19"/>
  <c r="AA779" i="8" s="1"/>
  <c r="FN100" i="19"/>
  <c r="FF161" i="19"/>
  <c r="FD171" i="19"/>
  <c r="FO126" i="19"/>
  <c r="FO102" i="19" s="1"/>
  <c r="FP116" i="19"/>
  <c r="FO100" i="19"/>
  <c r="FF56" i="19"/>
  <c r="FF79" i="19"/>
  <c r="FF80" i="19" s="1"/>
  <c r="FK79" i="19"/>
  <c r="FK80" i="19" s="1"/>
  <c r="FK56" i="19"/>
  <c r="ET11" i="19"/>
  <c r="ES11" i="19"/>
  <c r="FM185" i="19" l="1"/>
  <c r="Y788" i="8" s="1"/>
  <c r="FM104" i="19"/>
  <c r="FK150" i="19"/>
  <c r="FK186" i="19"/>
  <c r="W789" i="8" s="1"/>
  <c r="FM186" i="19"/>
  <c r="Y789" i="8" s="1"/>
  <c r="FP127" i="19"/>
  <c r="FP102" i="19" s="1"/>
  <c r="FP100" i="19"/>
  <c r="FK126" i="19"/>
  <c r="FK102" i="19" s="1"/>
  <c r="FL116" i="19"/>
  <c r="FK100" i="19"/>
  <c r="FP173" i="19"/>
  <c r="FP148" i="19" s="1"/>
  <c r="FP146" i="19"/>
  <c r="FH132" i="19"/>
  <c r="FH133" i="19" s="1"/>
  <c r="FH103" i="19"/>
  <c r="FK57" i="19"/>
  <c r="FK184" i="19"/>
  <c r="W787" i="8" s="1"/>
  <c r="FO132" i="19"/>
  <c r="FO133" i="19" s="1"/>
  <c r="FO103" i="19"/>
  <c r="FN104" i="19"/>
  <c r="FN185" i="19"/>
  <c r="Z788" i="8" s="1"/>
  <c r="FN179" i="19"/>
  <c r="FG104" i="19"/>
  <c r="FG185" i="19"/>
  <c r="S788" i="8" s="1"/>
  <c r="FO149" i="19"/>
  <c r="FO178" i="19"/>
  <c r="FO179" i="19" s="1"/>
  <c r="FN150" i="19"/>
  <c r="FN186" i="19"/>
  <c r="Z789" i="8" s="1"/>
  <c r="FN133" i="19"/>
  <c r="FH149" i="19"/>
  <c r="FH178" i="19"/>
  <c r="FH179" i="19" s="1"/>
  <c r="FF57" i="19"/>
  <c r="FF184" i="19"/>
  <c r="R787" i="8" s="1"/>
  <c r="AD787" i="8" s="1"/>
  <c r="FM57" i="19"/>
  <c r="FM184" i="19"/>
  <c r="Y787" i="8" s="1"/>
  <c r="ET15" i="19"/>
  <c r="ET26" i="19" s="1"/>
  <c r="FG162" i="19"/>
  <c r="FF172" i="19"/>
  <c r="FF148" i="19" s="1"/>
  <c r="FF146" i="19"/>
  <c r="FL150" i="19"/>
  <c r="FL186" i="19"/>
  <c r="X789" i="8" s="1"/>
  <c r="FI126" i="19"/>
  <c r="FI102" i="19" s="1"/>
  <c r="FJ116" i="19"/>
  <c r="FI100" i="19"/>
  <c r="FI172" i="19"/>
  <c r="FI148" i="19" s="1"/>
  <c r="FJ162" i="19"/>
  <c r="FI146" i="19"/>
  <c r="EU16" i="19"/>
  <c r="EU27" i="19" s="1"/>
  <c r="FJ127" i="19" l="1"/>
  <c r="FJ102" i="19" s="1"/>
  <c r="FJ100" i="19"/>
  <c r="FL127" i="19"/>
  <c r="FL102" i="19" s="1"/>
  <c r="FL100" i="19"/>
  <c r="FJ173" i="19"/>
  <c r="FJ148" i="19" s="1"/>
  <c r="FJ146" i="19"/>
  <c r="FI103" i="19"/>
  <c r="FI132" i="19"/>
  <c r="FI133" i="19" s="1"/>
  <c r="FF149" i="19"/>
  <c r="FF178" i="19"/>
  <c r="FF179" i="19" s="1"/>
  <c r="FH150" i="19"/>
  <c r="FH186" i="19"/>
  <c r="T789" i="8" s="1"/>
  <c r="FK103" i="19"/>
  <c r="FK132" i="19"/>
  <c r="FK133" i="19" s="1"/>
  <c r="FI178" i="19"/>
  <c r="FI179" i="19" s="1"/>
  <c r="FI149" i="19"/>
  <c r="FG173" i="19"/>
  <c r="FG148" i="19" s="1"/>
  <c r="FG146" i="19"/>
  <c r="FP149" i="19"/>
  <c r="FP178" i="19"/>
  <c r="FP179" i="19" s="1"/>
  <c r="FO150" i="19"/>
  <c r="FO186" i="19"/>
  <c r="AA789" i="8" s="1"/>
  <c r="FO104" i="19"/>
  <c r="FO185" i="19"/>
  <c r="AA788" i="8" s="1"/>
  <c r="AA790" i="8" s="1"/>
  <c r="FH104" i="19"/>
  <c r="FH185" i="19"/>
  <c r="T788" i="8" s="1"/>
  <c r="FP103" i="19"/>
  <c r="FP132" i="19"/>
  <c r="FP133" i="19" s="1"/>
  <c r="EV17" i="19"/>
  <c r="EV28" i="19" s="1"/>
  <c r="FO187" i="19" l="1"/>
  <c r="FP150" i="19"/>
  <c r="FP186" i="19"/>
  <c r="AB789" i="8" s="1"/>
  <c r="FI104" i="19"/>
  <c r="FI185" i="19"/>
  <c r="U788" i="8" s="1"/>
  <c r="FL103" i="19"/>
  <c r="FL132" i="19"/>
  <c r="FL133" i="19" s="1"/>
  <c r="FP104" i="19"/>
  <c r="FP185" i="19"/>
  <c r="AB788" i="8" s="1"/>
  <c r="FG178" i="19"/>
  <c r="FG179" i="19" s="1"/>
  <c r="FG149" i="19"/>
  <c r="FI150" i="19"/>
  <c r="FI186" i="19"/>
  <c r="U789" i="8" s="1"/>
  <c r="FK104" i="19"/>
  <c r="FK185" i="19"/>
  <c r="W788" i="8" s="1"/>
  <c r="FF150" i="19"/>
  <c r="FF186" i="19"/>
  <c r="R789" i="8" s="1"/>
  <c r="FJ178" i="19"/>
  <c r="FJ179" i="19" s="1"/>
  <c r="FJ149" i="19"/>
  <c r="FJ103" i="19"/>
  <c r="FJ132" i="19"/>
  <c r="FJ133" i="19" s="1"/>
  <c r="EW18" i="19"/>
  <c r="EW29" i="19" s="1"/>
  <c r="AB790" i="8" l="1"/>
  <c r="FP187" i="19"/>
  <c r="FJ104" i="19"/>
  <c r="FJ185" i="19"/>
  <c r="V788" i="8" s="1"/>
  <c r="FG150" i="19"/>
  <c r="FG186" i="19"/>
  <c r="S789" i="8" s="1"/>
  <c r="FJ150" i="19"/>
  <c r="FJ186" i="19"/>
  <c r="V789" i="8" s="1"/>
  <c r="FL104" i="19"/>
  <c r="FL185" i="19"/>
  <c r="X788" i="8" s="1"/>
  <c r="EX19" i="19"/>
  <c r="AD788" i="8" l="1"/>
  <c r="AD789" i="8"/>
  <c r="EY20" i="19"/>
  <c r="EX30" i="19"/>
  <c r="EX11" i="19"/>
  <c r="EY11" i="19"/>
  <c r="EZ11" i="19"/>
  <c r="FD11" i="19"/>
  <c r="FF15" i="19" s="1"/>
  <c r="FC11" i="19"/>
  <c r="FB11" i="19"/>
  <c r="FA11" i="19"/>
  <c r="EW11" i="19"/>
  <c r="EV11" i="19"/>
  <c r="EU11" i="19"/>
  <c r="EX15" i="19" l="1"/>
  <c r="EY16" i="19" s="1"/>
  <c r="EZ15" i="19"/>
  <c r="FA16" i="19" s="1"/>
  <c r="FD15" i="19"/>
  <c r="FG16" i="19"/>
  <c r="FF26" i="19"/>
  <c r="FB15" i="19"/>
  <c r="FB26" i="19" s="1"/>
  <c r="EZ21" i="19"/>
  <c r="EY31" i="19"/>
  <c r="FA15" i="19"/>
  <c r="EV15" i="19"/>
  <c r="EV26" i="19" s="1"/>
  <c r="EU15" i="19"/>
  <c r="EU26" i="19" s="1"/>
  <c r="EW15" i="19"/>
  <c r="EW26" i="19" s="1"/>
  <c r="FC15" i="19"/>
  <c r="FC26" i="19" s="1"/>
  <c r="EY15" i="19"/>
  <c r="EX26" i="19" l="1"/>
  <c r="EZ26" i="19"/>
  <c r="FC16" i="19"/>
  <c r="FC27" i="19" s="1"/>
  <c r="EZ16" i="19"/>
  <c r="EY26" i="19"/>
  <c r="EZ17" i="19"/>
  <c r="EY27" i="19"/>
  <c r="FF16" i="19"/>
  <c r="FD26" i="19"/>
  <c r="FA22" i="19"/>
  <c r="EZ32" i="19"/>
  <c r="FG27" i="19"/>
  <c r="FH17" i="19"/>
  <c r="FB16" i="19"/>
  <c r="FB27" i="19" s="1"/>
  <c r="FA26" i="19"/>
  <c r="FB17" i="19"/>
  <c r="FA27" i="19"/>
  <c r="EW16" i="19"/>
  <c r="EW27" i="19" s="1"/>
  <c r="FD16" i="19"/>
  <c r="EX16" i="19"/>
  <c r="EV16" i="19"/>
  <c r="EV27" i="19" s="1"/>
  <c r="FD17" i="19" l="1"/>
  <c r="FD28" i="19" s="1"/>
  <c r="FC17" i="19"/>
  <c r="FC28" i="19" s="1"/>
  <c r="FB28" i="19"/>
  <c r="FC18" i="19"/>
  <c r="FG17" i="19"/>
  <c r="FF27" i="19"/>
  <c r="FA18" i="19"/>
  <c r="EZ28" i="19"/>
  <c r="EY17" i="19"/>
  <c r="EX27" i="19"/>
  <c r="FF17" i="19"/>
  <c r="FD27" i="19"/>
  <c r="FH28" i="19"/>
  <c r="FI18" i="19"/>
  <c r="FB23" i="19"/>
  <c r="FB34" i="19" s="1"/>
  <c r="FA33" i="19"/>
  <c r="FA17" i="19"/>
  <c r="EZ27" i="19"/>
  <c r="EW17" i="19"/>
  <c r="EW28" i="19" s="1"/>
  <c r="EX17" i="19"/>
  <c r="FD18" i="19" l="1"/>
  <c r="FD29" i="19" s="1"/>
  <c r="FF18" i="19"/>
  <c r="FG19" i="19" s="1"/>
  <c r="FB18" i="19"/>
  <c r="FA28" i="19"/>
  <c r="FI29" i="19"/>
  <c r="FJ19" i="19"/>
  <c r="FG28" i="19"/>
  <c r="FH18" i="19"/>
  <c r="FF19" i="19"/>
  <c r="FB19" i="19"/>
  <c r="FA29" i="19"/>
  <c r="EY18" i="19"/>
  <c r="EX28" i="19"/>
  <c r="FG18" i="19"/>
  <c r="FF28" i="19"/>
  <c r="EZ18" i="19"/>
  <c r="EY28" i="19"/>
  <c r="FC29" i="19"/>
  <c r="FD19" i="19"/>
  <c r="EX18" i="19"/>
  <c r="FF29" i="19" l="1"/>
  <c r="FA19" i="19"/>
  <c r="EZ29" i="19"/>
  <c r="EZ19" i="19"/>
  <c r="EY29" i="19"/>
  <c r="FG30" i="19"/>
  <c r="FH20" i="19"/>
  <c r="FG20" i="19"/>
  <c r="FF30" i="19"/>
  <c r="FJ30" i="19"/>
  <c r="FK20" i="19"/>
  <c r="FB29" i="19"/>
  <c r="FC19" i="19"/>
  <c r="EY19" i="19"/>
  <c r="EX29" i="19"/>
  <c r="FG29" i="19"/>
  <c r="FH19" i="19"/>
  <c r="FB30" i="19"/>
  <c r="FC20" i="19"/>
  <c r="FH29" i="19"/>
  <c r="FI19" i="19"/>
  <c r="FF20" i="19"/>
  <c r="FD30" i="19"/>
  <c r="FC31" i="19" l="1"/>
  <c r="FD21" i="19"/>
  <c r="FG21" i="19"/>
  <c r="FF31" i="19"/>
  <c r="EZ20" i="19"/>
  <c r="EY30" i="19"/>
  <c r="FK31" i="19"/>
  <c r="FL21" i="19"/>
  <c r="FG31" i="19"/>
  <c r="FH21" i="19"/>
  <c r="FA20" i="19"/>
  <c r="EZ30" i="19"/>
  <c r="FI30" i="19"/>
  <c r="FJ20" i="19"/>
  <c r="FH30" i="19"/>
  <c r="FI20" i="19"/>
  <c r="FC30" i="19"/>
  <c r="FD20" i="19"/>
  <c r="FH31" i="19"/>
  <c r="FI21" i="19"/>
  <c r="FB20" i="19"/>
  <c r="FA30" i="19"/>
  <c r="FI31" i="19" l="1"/>
  <c r="FJ21" i="19"/>
  <c r="FL32" i="19"/>
  <c r="FM22" i="19"/>
  <c r="FA21" i="19"/>
  <c r="EZ31" i="19"/>
  <c r="FB31" i="19"/>
  <c r="FC21" i="19"/>
  <c r="FI32" i="19"/>
  <c r="FJ22" i="19"/>
  <c r="FF21" i="19"/>
  <c r="FD31" i="19"/>
  <c r="FB21" i="19"/>
  <c r="FA31" i="19"/>
  <c r="FD32" i="19"/>
  <c r="FF22" i="19"/>
  <c r="FJ31" i="19"/>
  <c r="FK21" i="19"/>
  <c r="FH32" i="19"/>
  <c r="FI22" i="19"/>
  <c r="FH22" i="19"/>
  <c r="FG32" i="19"/>
  <c r="S90" i="26"/>
  <c r="T90" i="26" s="1"/>
  <c r="U90" i="26" s="1"/>
  <c r="V90" i="26" s="1"/>
  <c r="S91" i="26"/>
  <c r="T91" i="26" s="1"/>
  <c r="U91" i="26" s="1"/>
  <c r="V91" i="26" s="1"/>
  <c r="S89" i="26"/>
  <c r="T89" i="26" s="1"/>
  <c r="U89" i="26" s="1"/>
  <c r="V89" i="26" s="1"/>
  <c r="K92" i="26"/>
  <c r="L13" i="26"/>
  <c r="K13" i="26"/>
  <c r="J13" i="26"/>
  <c r="I13" i="26"/>
  <c r="H13" i="26"/>
  <c r="FK32" i="19" l="1"/>
  <c r="FL22" i="19"/>
  <c r="FG22" i="19"/>
  <c r="FF32" i="19"/>
  <c r="FM33" i="19"/>
  <c r="FN23" i="19"/>
  <c r="FI33" i="19"/>
  <c r="FJ23" i="19"/>
  <c r="FJ34" i="19" s="1"/>
  <c r="FB32" i="19"/>
  <c r="FC22" i="19"/>
  <c r="FJ33" i="19"/>
  <c r="FK23" i="19"/>
  <c r="FK34" i="19" s="1"/>
  <c r="FC32" i="19"/>
  <c r="FD22" i="19"/>
  <c r="FH33" i="19"/>
  <c r="FI23" i="19"/>
  <c r="FG23" i="19"/>
  <c r="FF33" i="19"/>
  <c r="FJ32" i="19"/>
  <c r="FK22" i="19"/>
  <c r="FB22" i="19"/>
  <c r="FB10" i="19" s="1"/>
  <c r="FA32" i="19"/>
  <c r="N85" i="26"/>
  <c r="N117" i="26" s="1"/>
  <c r="N41" i="26"/>
  <c r="K85" i="26"/>
  <c r="K117" i="26" s="1"/>
  <c r="K41" i="26"/>
  <c r="O85" i="26"/>
  <c r="O119" i="26" s="1"/>
  <c r="O41" i="26"/>
  <c r="L85" i="26"/>
  <c r="S101" i="26" s="1"/>
  <c r="L41" i="26"/>
  <c r="M85" i="26"/>
  <c r="M102" i="26" s="1"/>
  <c r="M41" i="26"/>
  <c r="M92" i="26"/>
  <c r="L92" i="26"/>
  <c r="N92" i="26"/>
  <c r="J187" i="26"/>
  <c r="N172" i="26"/>
  <c r="M172" i="26"/>
  <c r="L172" i="26"/>
  <c r="K172" i="26"/>
  <c r="J172" i="26"/>
  <c r="L7" i="26"/>
  <c r="K7" i="26"/>
  <c r="J7" i="26"/>
  <c r="I7" i="26"/>
  <c r="H7" i="26"/>
  <c r="G7" i="26"/>
  <c r="L20" i="26"/>
  <c r="FJ12" i="19" l="1"/>
  <c r="FJ13" i="19" s="1"/>
  <c r="FJ14" i="19" s="1"/>
  <c r="U102" i="26"/>
  <c r="N119" i="26"/>
  <c r="FJ36" i="19"/>
  <c r="FJ10" i="19"/>
  <c r="FG34" i="19"/>
  <c r="FG10" i="19"/>
  <c r="FI34" i="19"/>
  <c r="FI10" i="19"/>
  <c r="FB33" i="19"/>
  <c r="FB36" i="19" s="1"/>
  <c r="FB37" i="19" s="1"/>
  <c r="FC23" i="19"/>
  <c r="FC10" i="19" s="1"/>
  <c r="FN34" i="19"/>
  <c r="FN12" i="19" s="1"/>
  <c r="FN10" i="19"/>
  <c r="FG33" i="19"/>
  <c r="FH23" i="19"/>
  <c r="FI36" i="19"/>
  <c r="FL33" i="19"/>
  <c r="FM23" i="19"/>
  <c r="FK33" i="19"/>
  <c r="FK36" i="19" s="1"/>
  <c r="FL23" i="19"/>
  <c r="FL34" i="19" s="1"/>
  <c r="FD33" i="19"/>
  <c r="FF23" i="19"/>
  <c r="FC33" i="19"/>
  <c r="FD23" i="19"/>
  <c r="FK10" i="19"/>
  <c r="O102" i="26"/>
  <c r="K119" i="26"/>
  <c r="O117" i="26"/>
  <c r="V101" i="26"/>
  <c r="U103" i="26"/>
  <c r="N103" i="26"/>
  <c r="K118" i="26"/>
  <c r="T101" i="26"/>
  <c r="L102" i="26"/>
  <c r="K103" i="26"/>
  <c r="L101" i="26"/>
  <c r="K102" i="26"/>
  <c r="T103" i="26"/>
  <c r="K232" i="26"/>
  <c r="K234" i="26" s="1"/>
  <c r="G54" i="18" s="1"/>
  <c r="M117" i="26"/>
  <c r="M119" i="26"/>
  <c r="L103" i="26"/>
  <c r="N102" i="26"/>
  <c r="M103" i="26"/>
  <c r="V103" i="26"/>
  <c r="K101" i="26"/>
  <c r="R101" i="26"/>
  <c r="M101" i="26"/>
  <c r="M104" i="26" s="1"/>
  <c r="M118" i="26"/>
  <c r="S102" i="26"/>
  <c r="U101" i="26"/>
  <c r="N118" i="26"/>
  <c r="N120" i="26" s="1"/>
  <c r="N101" i="26"/>
  <c r="O101" i="26"/>
  <c r="R103" i="26"/>
  <c r="R102" i="26"/>
  <c r="T102" i="26"/>
  <c r="S103" i="26"/>
  <c r="L117" i="26"/>
  <c r="L118" i="26"/>
  <c r="L61" i="26"/>
  <c r="L66" i="26"/>
  <c r="L77" i="26" s="1"/>
  <c r="L64" i="26"/>
  <c r="L75" i="26" s="1"/>
  <c r="L62" i="26"/>
  <c r="L73" i="26" s="1"/>
  <c r="L63" i="26"/>
  <c r="L74" i="26" s="1"/>
  <c r="L65" i="26"/>
  <c r="L76" i="26" s="1"/>
  <c r="K64" i="26"/>
  <c r="K61" i="26"/>
  <c r="K63" i="26"/>
  <c r="K66" i="26"/>
  <c r="K62" i="26"/>
  <c r="K65" i="26"/>
  <c r="L119" i="26"/>
  <c r="M62" i="26"/>
  <c r="M73" i="26" s="1"/>
  <c r="M64" i="26"/>
  <c r="M75" i="26" s="1"/>
  <c r="M63" i="26"/>
  <c r="M74" i="26" s="1"/>
  <c r="M65" i="26"/>
  <c r="M76" i="26" s="1"/>
  <c r="M66" i="26"/>
  <c r="M77" i="26" s="1"/>
  <c r="M61" i="26"/>
  <c r="O64" i="26"/>
  <c r="O75" i="26" s="1"/>
  <c r="O66" i="26"/>
  <c r="O77" i="26" s="1"/>
  <c r="O65" i="26"/>
  <c r="O76" i="26" s="1"/>
  <c r="O62" i="26"/>
  <c r="O73" i="26" s="1"/>
  <c r="O63" i="26"/>
  <c r="O74" i="26" s="1"/>
  <c r="O61" i="26"/>
  <c r="N62" i="26"/>
  <c r="N66" i="26"/>
  <c r="N64" i="26"/>
  <c r="N63" i="26"/>
  <c r="N65" i="26"/>
  <c r="N61" i="26"/>
  <c r="L307" i="26"/>
  <c r="L309" i="26" s="1"/>
  <c r="L310" i="26" s="1"/>
  <c r="I33" i="18" s="1"/>
  <c r="M232" i="26"/>
  <c r="M234" i="26" s="1"/>
  <c r="I54" i="18" s="1"/>
  <c r="K307" i="26"/>
  <c r="K309" i="26" s="1"/>
  <c r="K310" i="26" s="1"/>
  <c r="H33" i="18" s="1"/>
  <c r="L232" i="26"/>
  <c r="L234" i="26" s="1"/>
  <c r="H54" i="18" s="1"/>
  <c r="M307" i="26"/>
  <c r="M309" i="26" s="1"/>
  <c r="M310" i="26" s="1"/>
  <c r="J33" i="18" s="1"/>
  <c r="N232" i="26"/>
  <c r="N234" i="26" s="1"/>
  <c r="J54" i="18" s="1"/>
  <c r="N307" i="26"/>
  <c r="N309" i="26" s="1"/>
  <c r="N310" i="26" s="1"/>
  <c r="K33" i="18" s="1"/>
  <c r="O232" i="26"/>
  <c r="O234" i="26" s="1"/>
  <c r="K54" i="18" s="1"/>
  <c r="J191" i="26"/>
  <c r="J307" i="26"/>
  <c r="J309" i="26" s="1"/>
  <c r="J310" i="26" s="1"/>
  <c r="G33" i="18" s="1"/>
  <c r="L136" i="26"/>
  <c r="M243" i="26" s="1"/>
  <c r="L353" i="26"/>
  <c r="L355" i="26" s="1"/>
  <c r="L356" i="26" s="1"/>
  <c r="I45" i="18" s="1"/>
  <c r="M136" i="26"/>
  <c r="N243" i="26" s="1"/>
  <c r="M353" i="26"/>
  <c r="M355" i="26" s="1"/>
  <c r="M356" i="26" s="1"/>
  <c r="J45" i="18" s="1"/>
  <c r="J136" i="26"/>
  <c r="K243" i="26" s="1"/>
  <c r="J353" i="26"/>
  <c r="J355" i="26" s="1"/>
  <c r="J356" i="26" s="1"/>
  <c r="G45" i="18" s="1"/>
  <c r="N136" i="26"/>
  <c r="O243" i="26" s="1"/>
  <c r="N353" i="26"/>
  <c r="N355" i="26" s="1"/>
  <c r="N356" i="26" s="1"/>
  <c r="K45" i="18" s="1"/>
  <c r="K136" i="26"/>
  <c r="L243" i="26" s="1"/>
  <c r="K353" i="26"/>
  <c r="K355" i="26" s="1"/>
  <c r="K356" i="26" s="1"/>
  <c r="H45" i="18" s="1"/>
  <c r="V102" i="26"/>
  <c r="O118" i="26"/>
  <c r="J192" i="26"/>
  <c r="J193" i="26"/>
  <c r="J190" i="26"/>
  <c r="O103" i="26"/>
  <c r="O92" i="26"/>
  <c r="K193" i="26"/>
  <c r="K192" i="26"/>
  <c r="K191" i="26"/>
  <c r="L191" i="26"/>
  <c r="L192" i="26"/>
  <c r="L190" i="26"/>
  <c r="K190" i="26"/>
  <c r="M190" i="26"/>
  <c r="N190" i="26"/>
  <c r="N193" i="26"/>
  <c r="M193" i="26"/>
  <c r="M192" i="26"/>
  <c r="N192" i="26"/>
  <c r="L193" i="26"/>
  <c r="M191" i="26"/>
  <c r="FL12" i="19" l="1"/>
  <c r="FL13" i="19" s="1"/>
  <c r="FK12" i="19"/>
  <c r="FG12" i="19"/>
  <c r="FG13" i="19" s="1"/>
  <c r="FB12" i="19"/>
  <c r="FB13" i="19" s="1"/>
  <c r="FI12" i="19"/>
  <c r="FI13" i="19" s="1"/>
  <c r="FI183" i="19" s="1"/>
  <c r="FJ37" i="19"/>
  <c r="K120" i="26"/>
  <c r="FK37" i="19"/>
  <c r="FJ183" i="19"/>
  <c r="FI37" i="19"/>
  <c r="FD10" i="19"/>
  <c r="FD34" i="19"/>
  <c r="FD12" i="19" s="1"/>
  <c r="FL36" i="19"/>
  <c r="FH34" i="19"/>
  <c r="FH12" i="19" s="1"/>
  <c r="FH10" i="19"/>
  <c r="FC34" i="19"/>
  <c r="FF34" i="19"/>
  <c r="FF12" i="19" s="1"/>
  <c r="FF10" i="19"/>
  <c r="FK13" i="19"/>
  <c r="FM34" i="19"/>
  <c r="FM12" i="19" s="1"/>
  <c r="FM10" i="19"/>
  <c r="FN13" i="19"/>
  <c r="FN36" i="19"/>
  <c r="FN37" i="19" s="1"/>
  <c r="FL10" i="19"/>
  <c r="FG36" i="19"/>
  <c r="FG37" i="19" s="1"/>
  <c r="O120" i="26"/>
  <c r="R104" i="26"/>
  <c r="T104" i="26"/>
  <c r="U104" i="26"/>
  <c r="V104" i="26"/>
  <c r="K104" i="26"/>
  <c r="S104" i="26"/>
  <c r="J155" i="26"/>
  <c r="L104" i="26"/>
  <c r="M120" i="26"/>
  <c r="L120" i="26"/>
  <c r="N104" i="26"/>
  <c r="J156" i="26"/>
  <c r="K67" i="26"/>
  <c r="K68" i="26" s="1"/>
  <c r="N67" i="26"/>
  <c r="N68" i="26" s="1"/>
  <c r="M67" i="26"/>
  <c r="M68" i="26" s="1"/>
  <c r="M72" i="26"/>
  <c r="M78" i="26" s="1"/>
  <c r="O72" i="26"/>
  <c r="O78" i="26" s="1"/>
  <c r="O67" i="26"/>
  <c r="O68" i="26" s="1"/>
  <c r="L72" i="26"/>
  <c r="L78" i="26" s="1"/>
  <c r="L67" i="26"/>
  <c r="L68" i="26" s="1"/>
  <c r="M296" i="26"/>
  <c r="M294" i="26"/>
  <c r="M295" i="26"/>
  <c r="O295" i="26"/>
  <c r="O296" i="26"/>
  <c r="O294" i="26"/>
  <c r="N295" i="26"/>
  <c r="N296" i="26"/>
  <c r="N294" i="26"/>
  <c r="K156" i="26"/>
  <c r="J157" i="26"/>
  <c r="M275" i="26"/>
  <c r="M274" i="26"/>
  <c r="M261" i="26"/>
  <c r="M268" i="26" s="1"/>
  <c r="M262" i="26"/>
  <c r="M269" i="26" s="1"/>
  <c r="M260" i="26"/>
  <c r="M276" i="26"/>
  <c r="O275" i="26"/>
  <c r="O262" i="26"/>
  <c r="O260" i="26"/>
  <c r="O261" i="26"/>
  <c r="O276" i="26"/>
  <c r="O274" i="26"/>
  <c r="N276" i="26"/>
  <c r="N274" i="26"/>
  <c r="N261" i="26"/>
  <c r="N260" i="26"/>
  <c r="N275" i="26"/>
  <c r="N262" i="26"/>
  <c r="K155" i="26"/>
  <c r="K154" i="26"/>
  <c r="K157" i="26"/>
  <c r="J194" i="26"/>
  <c r="O104" i="26"/>
  <c r="N187" i="26"/>
  <c r="M187" i="26"/>
  <c r="K187" i="26"/>
  <c r="L187" i="26"/>
  <c r="K194" i="26"/>
  <c r="N191" i="26"/>
  <c r="FJ187" i="19" l="1"/>
  <c r="V786" i="8"/>
  <c r="V790" i="8" s="1"/>
  <c r="FI187" i="19"/>
  <c r="U786" i="8"/>
  <c r="U790" i="8" s="1"/>
  <c r="FI14" i="19"/>
  <c r="FG183" i="19"/>
  <c r="FG14" i="19"/>
  <c r="FC12" i="19"/>
  <c r="FC13" i="19" s="1"/>
  <c r="FM13" i="19"/>
  <c r="FM36" i="19"/>
  <c r="FM37" i="19" s="1"/>
  <c r="FF13" i="19"/>
  <c r="FF36" i="19"/>
  <c r="FF37" i="19" s="1"/>
  <c r="FB14" i="19"/>
  <c r="FB183" i="19"/>
  <c r="AA778" i="8" s="1"/>
  <c r="FH36" i="19"/>
  <c r="FH37" i="19" s="1"/>
  <c r="FH13" i="19"/>
  <c r="FN14" i="19"/>
  <c r="FN183" i="19"/>
  <c r="FK14" i="19"/>
  <c r="FK183" i="19"/>
  <c r="FL14" i="19"/>
  <c r="FL183" i="19"/>
  <c r="FC36" i="19"/>
  <c r="FC37" i="19" s="1"/>
  <c r="FL37" i="19"/>
  <c r="O79" i="26"/>
  <c r="K28" i="18"/>
  <c r="L79" i="26"/>
  <c r="H28" i="18"/>
  <c r="M297" i="26"/>
  <c r="I28" i="18"/>
  <c r="M79" i="26"/>
  <c r="M277" i="26"/>
  <c r="L294" i="26"/>
  <c r="L295" i="26"/>
  <c r="L296" i="26"/>
  <c r="N297" i="26"/>
  <c r="O297" i="26"/>
  <c r="O277" i="26"/>
  <c r="K295" i="26"/>
  <c r="K296" i="26"/>
  <c r="K294" i="26"/>
  <c r="N263" i="26"/>
  <c r="L261" i="26"/>
  <c r="L268" i="26" s="1"/>
  <c r="L274" i="26"/>
  <c r="L275" i="26"/>
  <c r="L262" i="26"/>
  <c r="L269" i="26" s="1"/>
  <c r="L260" i="26"/>
  <c r="L276" i="26"/>
  <c r="K275" i="26"/>
  <c r="K262" i="26"/>
  <c r="K276" i="26"/>
  <c r="K260" i="26"/>
  <c r="K274" i="26"/>
  <c r="K261" i="26"/>
  <c r="N277" i="26"/>
  <c r="O263" i="26"/>
  <c r="M267" i="26"/>
  <c r="M270" i="26" s="1"/>
  <c r="M281" i="26"/>
  <c r="M282" i="26" s="1"/>
  <c r="M263" i="26"/>
  <c r="L194" i="26"/>
  <c r="FK187" i="19" l="1"/>
  <c r="W786" i="8"/>
  <c r="W790" i="8" s="1"/>
  <c r="FL187" i="19"/>
  <c r="X786" i="8"/>
  <c r="X790" i="8" s="1"/>
  <c r="FN187" i="19"/>
  <c r="Z786" i="8"/>
  <c r="Z790" i="8" s="1"/>
  <c r="FG187" i="19"/>
  <c r="S786" i="8"/>
  <c r="S790" i="8" s="1"/>
  <c r="FC183" i="19"/>
  <c r="AB778" i="8" s="1"/>
  <c r="FC14" i="19"/>
  <c r="FH14" i="19"/>
  <c r="FH183" i="19"/>
  <c r="FF14" i="19"/>
  <c r="FF183" i="19"/>
  <c r="FM14" i="19"/>
  <c r="FM183" i="19"/>
  <c r="M299" i="26"/>
  <c r="I32" i="18" s="1"/>
  <c r="K277" i="26"/>
  <c r="K297" i="26"/>
  <c r="L297" i="26"/>
  <c r="L277" i="26"/>
  <c r="K263" i="26"/>
  <c r="L267" i="26"/>
  <c r="L270" i="26" s="1"/>
  <c r="L281" i="26"/>
  <c r="L282" i="26" s="1"/>
  <c r="L263" i="26"/>
  <c r="M194" i="26"/>
  <c r="FF187" i="19" l="1"/>
  <c r="R786" i="8"/>
  <c r="FM187" i="19"/>
  <c r="Y786" i="8"/>
  <c r="Y790" i="8" s="1"/>
  <c r="FH187" i="19"/>
  <c r="T786" i="8"/>
  <c r="T790" i="8" s="1"/>
  <c r="FQ188" i="19"/>
  <c r="H47" i="18" s="1"/>
  <c r="L299" i="26"/>
  <c r="H32" i="18" s="1"/>
  <c r="N194" i="26"/>
  <c r="R790" i="8" l="1"/>
  <c r="AD786" i="8"/>
  <c r="AD790" i="8" s="1"/>
  <c r="J140" i="26"/>
  <c r="J154" i="26" s="1"/>
  <c r="E8" i="26"/>
  <c r="F8" i="26"/>
  <c r="G8" i="26"/>
  <c r="H8" i="26"/>
  <c r="I8" i="26"/>
  <c r="J8" i="26"/>
  <c r="K8" i="26"/>
  <c r="L8" i="26"/>
  <c r="E9" i="26"/>
  <c r="F9" i="26"/>
  <c r="G9" i="26"/>
  <c r="H9" i="26"/>
  <c r="I9" i="26"/>
  <c r="J9" i="26"/>
  <c r="K9" i="26"/>
  <c r="L9" i="26"/>
  <c r="E10" i="26"/>
  <c r="F10" i="26"/>
  <c r="G10" i="26"/>
  <c r="H10" i="26"/>
  <c r="I10" i="26"/>
  <c r="J10" i="26"/>
  <c r="K10" i="26"/>
  <c r="L10" i="26"/>
  <c r="E11" i="26"/>
  <c r="F11" i="26"/>
  <c r="G11" i="26"/>
  <c r="H11" i="26"/>
  <c r="J330" i="26" s="1"/>
  <c r="J348" i="26" s="1"/>
  <c r="I11" i="26"/>
  <c r="K330" i="26" s="1"/>
  <c r="K348" i="26" s="1"/>
  <c r="J11" i="26"/>
  <c r="L330" i="26" s="1"/>
  <c r="L348" i="26" s="1"/>
  <c r="K11" i="26"/>
  <c r="M330" i="26" s="1"/>
  <c r="M348" i="26" s="1"/>
  <c r="L11" i="26"/>
  <c r="N330" i="26" s="1"/>
  <c r="N348" i="26" s="1"/>
  <c r="E12" i="26"/>
  <c r="F12" i="26"/>
  <c r="G12" i="26"/>
  <c r="H12" i="26"/>
  <c r="I12" i="26"/>
  <c r="J12" i="26"/>
  <c r="K12" i="26"/>
  <c r="L12" i="26"/>
  <c r="E15" i="26"/>
  <c r="F15" i="26"/>
  <c r="G15" i="26"/>
  <c r="H15" i="26"/>
  <c r="I15" i="26"/>
  <c r="J15" i="26"/>
  <c r="K15" i="26"/>
  <c r="L15" i="26"/>
  <c r="E16" i="26"/>
  <c r="F16" i="26"/>
  <c r="G16" i="26"/>
  <c r="H16" i="26"/>
  <c r="I16" i="26"/>
  <c r="J16" i="26"/>
  <c r="K16" i="26"/>
  <c r="L16" i="26"/>
  <c r="E17" i="26"/>
  <c r="F17" i="26"/>
  <c r="G17" i="26"/>
  <c r="H17" i="26"/>
  <c r="I17" i="26"/>
  <c r="J17" i="26"/>
  <c r="K17" i="26"/>
  <c r="L17" i="26"/>
  <c r="E18" i="26"/>
  <c r="F18" i="26"/>
  <c r="G18" i="26"/>
  <c r="H18" i="26"/>
  <c r="I18" i="26"/>
  <c r="J18" i="26"/>
  <c r="K18" i="26"/>
  <c r="L18" i="26"/>
  <c r="E19" i="26"/>
  <c r="F19" i="26"/>
  <c r="G19" i="26"/>
  <c r="H19" i="26"/>
  <c r="I19" i="26"/>
  <c r="J19" i="26"/>
  <c r="K19" i="26"/>
  <c r="L19" i="26"/>
  <c r="E20" i="26"/>
  <c r="F20" i="26"/>
  <c r="G20" i="26"/>
  <c r="H20" i="26"/>
  <c r="I20" i="26"/>
  <c r="J20" i="26"/>
  <c r="K20" i="26"/>
  <c r="E21" i="26"/>
  <c r="F21" i="26"/>
  <c r="G21" i="26"/>
  <c r="G24" i="26" s="1"/>
  <c r="H21" i="26"/>
  <c r="I21" i="26"/>
  <c r="J21" i="26"/>
  <c r="K21" i="26"/>
  <c r="L21" i="26"/>
  <c r="E22" i="26"/>
  <c r="F22" i="26"/>
  <c r="G22" i="26"/>
  <c r="H22" i="26"/>
  <c r="I22" i="26"/>
  <c r="J22" i="26"/>
  <c r="K22" i="26"/>
  <c r="L22" i="26"/>
  <c r="E23" i="26"/>
  <c r="F23" i="26"/>
  <c r="G23" i="26"/>
  <c r="H23" i="26"/>
  <c r="I23" i="26"/>
  <c r="J23" i="26"/>
  <c r="K23" i="26"/>
  <c r="L23" i="26"/>
  <c r="F6" i="26"/>
  <c r="G6" i="26"/>
  <c r="H6" i="26"/>
  <c r="I6" i="26"/>
  <c r="J6" i="26"/>
  <c r="K6" i="26"/>
  <c r="L6" i="26"/>
  <c r="E6" i="26"/>
  <c r="N332" i="26" l="1"/>
  <c r="N333" i="26" s="1"/>
  <c r="N337" i="26"/>
  <c r="N338" i="26" s="1"/>
  <c r="K43" i="18" s="1"/>
  <c r="J337" i="26"/>
  <c r="J338" i="26" s="1"/>
  <c r="G43" i="18" s="1"/>
  <c r="J332" i="26"/>
  <c r="J333" i="26" s="1"/>
  <c r="M337" i="26"/>
  <c r="M338" i="26" s="1"/>
  <c r="J43" i="18" s="1"/>
  <c r="M332" i="26"/>
  <c r="M333" i="26" s="1"/>
  <c r="L337" i="26"/>
  <c r="L338" i="26" s="1"/>
  <c r="I43" i="18" s="1"/>
  <c r="L332" i="26"/>
  <c r="L333" i="26" s="1"/>
  <c r="K337" i="26"/>
  <c r="K338" i="26" s="1"/>
  <c r="H43" i="18" s="1"/>
  <c r="K332" i="26"/>
  <c r="K333" i="26" s="1"/>
  <c r="M32" i="26"/>
  <c r="J32" i="26"/>
  <c r="M135" i="26"/>
  <c r="N84" i="26"/>
  <c r="L135" i="26"/>
  <c r="M84" i="26"/>
  <c r="K135" i="26"/>
  <c r="L84" i="26"/>
  <c r="N135" i="26"/>
  <c r="O84" i="26"/>
  <c r="J135" i="26"/>
  <c r="K84" i="26"/>
  <c r="I25" i="26"/>
  <c r="J158" i="26"/>
  <c r="K25" i="26"/>
  <c r="L25" i="26"/>
  <c r="J25" i="26"/>
  <c r="H25" i="26"/>
  <c r="L242" i="26" l="1"/>
  <c r="N75" i="26"/>
  <c r="N73" i="26"/>
  <c r="N72" i="26"/>
  <c r="N77" i="26"/>
  <c r="N74" i="26"/>
  <c r="N76" i="26"/>
  <c r="K76" i="26"/>
  <c r="K73" i="26"/>
  <c r="K77" i="26"/>
  <c r="K74" i="26"/>
  <c r="K72" i="26"/>
  <c r="K75" i="26"/>
  <c r="L264" i="26"/>
  <c r="L271" i="26"/>
  <c r="L278" i="26"/>
  <c r="N171" i="26"/>
  <c r="O242" i="26"/>
  <c r="L171" i="26"/>
  <c r="M242" i="26"/>
  <c r="N281" i="26"/>
  <c r="N282" i="26" s="1"/>
  <c r="N268" i="26"/>
  <c r="N267" i="26"/>
  <c r="N269" i="26"/>
  <c r="O269" i="26"/>
  <c r="O268" i="26"/>
  <c r="O267" i="26"/>
  <c r="O281" i="26"/>
  <c r="O282" i="26" s="1"/>
  <c r="J171" i="26"/>
  <c r="K242" i="26"/>
  <c r="M171" i="26"/>
  <c r="N242" i="26"/>
  <c r="K267" i="26"/>
  <c r="K281" i="26"/>
  <c r="K282" i="26" s="1"/>
  <c r="K268" i="26"/>
  <c r="K269" i="26"/>
  <c r="I42" i="18"/>
  <c r="L350" i="26"/>
  <c r="I44" i="18" s="1"/>
  <c r="G42" i="18"/>
  <c r="J350" i="26"/>
  <c r="G44" i="18" s="1"/>
  <c r="H42" i="18"/>
  <c r="K350" i="26"/>
  <c r="H44" i="18" s="1"/>
  <c r="J42" i="18"/>
  <c r="M350" i="26"/>
  <c r="J44" i="18" s="1"/>
  <c r="K42" i="18"/>
  <c r="N350" i="26"/>
  <c r="K44" i="18" s="1"/>
  <c r="J159" i="26"/>
  <c r="M105" i="26"/>
  <c r="M121" i="26"/>
  <c r="K121" i="26"/>
  <c r="K105" i="26"/>
  <c r="L195" i="26"/>
  <c r="L121" i="26"/>
  <c r="L105" i="26"/>
  <c r="N105" i="26"/>
  <c r="N121" i="26"/>
  <c r="O121" i="26"/>
  <c r="O105" i="26"/>
  <c r="K171" i="26"/>
  <c r="K158" i="26"/>
  <c r="K159" i="26" s="1"/>
  <c r="L154" i="26"/>
  <c r="L157" i="26"/>
  <c r="L155" i="26"/>
  <c r="L156" i="26"/>
  <c r="M195" i="26" l="1"/>
  <c r="K270" i="26"/>
  <c r="K271" i="26" s="1"/>
  <c r="N195" i="26"/>
  <c r="K78" i="26"/>
  <c r="N78" i="26"/>
  <c r="J195" i="26"/>
  <c r="N270" i="26"/>
  <c r="N264" i="26"/>
  <c r="N278" i="26"/>
  <c r="M278" i="26"/>
  <c r="M264" i="26"/>
  <c r="M271" i="26"/>
  <c r="O270" i="26"/>
  <c r="K278" i="26"/>
  <c r="K264" i="26"/>
  <c r="O278" i="26"/>
  <c r="O264" i="26"/>
  <c r="K195" i="26"/>
  <c r="M155" i="26"/>
  <c r="M157" i="26"/>
  <c r="M154" i="26"/>
  <c r="L158" i="26"/>
  <c r="L159" i="26" s="1"/>
  <c r="M156" i="26"/>
  <c r="K299" i="26" l="1"/>
  <c r="G32" i="18" s="1"/>
  <c r="J28" i="18"/>
  <c r="N79" i="26"/>
  <c r="K79" i="26"/>
  <c r="G28" i="18"/>
  <c r="N271" i="26"/>
  <c r="N299" i="26"/>
  <c r="J32" i="18" s="1"/>
  <c r="O271" i="26"/>
  <c r="O299" i="26"/>
  <c r="K32" i="18" s="1"/>
  <c r="N156" i="26"/>
  <c r="N157" i="26"/>
  <c r="N155" i="26"/>
  <c r="N154" i="26" l="1"/>
  <c r="M158" i="26"/>
  <c r="M159" i="26" s="1"/>
  <c r="N158" i="26" l="1"/>
  <c r="N159" i="26" s="1"/>
  <c r="E41" i="18" l="1"/>
  <c r="D247" i="26" l="1"/>
  <c r="D246" i="26"/>
  <c r="Y591" i="8" l="1"/>
  <c r="Z591" i="8" s="1"/>
  <c r="Q584" i="8" s="1"/>
  <c r="O592" i="8" l="1"/>
  <c r="H51" i="18"/>
  <c r="G51" i="18"/>
  <c r="G34" i="21"/>
  <c r="G33" i="21"/>
  <c r="G29" i="21"/>
  <c r="G28" i="21"/>
  <c r="H28" i="21" s="1"/>
  <c r="G23" i="21"/>
  <c r="G22" i="21"/>
  <c r="H22" i="21" s="1"/>
  <c r="G18" i="21"/>
  <c r="G17" i="21"/>
  <c r="H17" i="21" s="1"/>
  <c r="H12" i="21"/>
  <c r="H11" i="21"/>
  <c r="H34" i="21"/>
  <c r="H33" i="21"/>
  <c r="H29" i="21"/>
  <c r="H23" i="21"/>
  <c r="H18" i="21"/>
  <c r="H35" i="21" l="1"/>
  <c r="K51" i="18" s="1"/>
  <c r="H30" i="21"/>
  <c r="J51" i="18" s="1"/>
  <c r="H24" i="21"/>
  <c r="I51" i="18" s="1"/>
  <c r="H19" i="21"/>
  <c r="H13" i="21"/>
  <c r="F148" i="1"/>
  <c r="AQ69" i="19" l="1"/>
  <c r="AR69" i="19" s="1"/>
  <c r="AS69" i="19" s="1"/>
  <c r="AT69" i="19" s="1"/>
  <c r="AU69" i="19" s="1"/>
  <c r="AV69" i="19" s="1"/>
  <c r="AW69" i="19" s="1"/>
  <c r="AX69" i="19" s="1"/>
  <c r="AY69" i="19" s="1"/>
  <c r="AZ69" i="19" s="1"/>
  <c r="BA69" i="19" s="1"/>
  <c r="AQ70" i="19"/>
  <c r="AR70" i="19" s="1"/>
  <c r="AS70" i="19" s="1"/>
  <c r="AT70" i="19" s="1"/>
  <c r="AU70" i="19" s="1"/>
  <c r="AV70" i="19" s="1"/>
  <c r="AW70" i="19" s="1"/>
  <c r="AX70" i="19" s="1"/>
  <c r="AY70" i="19" s="1"/>
  <c r="AZ70" i="19" s="1"/>
  <c r="BA70" i="19" s="1"/>
  <c r="AQ71" i="19"/>
  <c r="AR71" i="19" s="1"/>
  <c r="AS71" i="19" s="1"/>
  <c r="AT71" i="19" s="1"/>
  <c r="AU71" i="19" s="1"/>
  <c r="AV71" i="19" s="1"/>
  <c r="AW71" i="19" s="1"/>
  <c r="AX71" i="19" s="1"/>
  <c r="AY71" i="19" s="1"/>
  <c r="AZ71" i="19" s="1"/>
  <c r="BA71" i="19" s="1"/>
  <c r="AQ72" i="19"/>
  <c r="AR72" i="19" s="1"/>
  <c r="AS72" i="19" s="1"/>
  <c r="AT72" i="19" s="1"/>
  <c r="AU72" i="19" s="1"/>
  <c r="AV72" i="19" s="1"/>
  <c r="AW72" i="19" s="1"/>
  <c r="AX72" i="19" s="1"/>
  <c r="AY72" i="19" s="1"/>
  <c r="AZ72" i="19" s="1"/>
  <c r="BA72" i="19" s="1"/>
  <c r="AQ73" i="19"/>
  <c r="AR73" i="19" s="1"/>
  <c r="AS73" i="19" s="1"/>
  <c r="AT73" i="19" s="1"/>
  <c r="AU73" i="19" s="1"/>
  <c r="AV73" i="19" s="1"/>
  <c r="AW73" i="19" s="1"/>
  <c r="AX73" i="19" s="1"/>
  <c r="AY73" i="19" s="1"/>
  <c r="AZ73" i="19" s="1"/>
  <c r="BA73" i="19" s="1"/>
  <c r="AQ74" i="19"/>
  <c r="AR74" i="19" s="1"/>
  <c r="AS74" i="19" s="1"/>
  <c r="AT74" i="19" s="1"/>
  <c r="AU74" i="19" s="1"/>
  <c r="AV74" i="19" s="1"/>
  <c r="AW74" i="19" s="1"/>
  <c r="AX74" i="19" s="1"/>
  <c r="AY74" i="19" s="1"/>
  <c r="AZ74" i="19" s="1"/>
  <c r="BA74" i="19" s="1"/>
  <c r="AQ75" i="19"/>
  <c r="AR75" i="19" s="1"/>
  <c r="AS75" i="19" s="1"/>
  <c r="AT75" i="19" s="1"/>
  <c r="AU75" i="19" s="1"/>
  <c r="AV75" i="19" s="1"/>
  <c r="AW75" i="19" s="1"/>
  <c r="AX75" i="19" s="1"/>
  <c r="AY75" i="19" s="1"/>
  <c r="AZ75" i="19" s="1"/>
  <c r="BA75" i="19" s="1"/>
  <c r="AQ76" i="19"/>
  <c r="AR76" i="19" s="1"/>
  <c r="AS76" i="19" s="1"/>
  <c r="AT76" i="19" s="1"/>
  <c r="AU76" i="19" s="1"/>
  <c r="AV76" i="19" s="1"/>
  <c r="AW76" i="19" s="1"/>
  <c r="AX76" i="19" s="1"/>
  <c r="AY76" i="19" s="1"/>
  <c r="AZ76" i="19" s="1"/>
  <c r="BA76" i="19" s="1"/>
  <c r="AQ77" i="19"/>
  <c r="AR77" i="19" s="1"/>
  <c r="AS77" i="19" s="1"/>
  <c r="AT77" i="19" s="1"/>
  <c r="AU77" i="19" s="1"/>
  <c r="AV77" i="19" s="1"/>
  <c r="AW77" i="19" s="1"/>
  <c r="AX77" i="19" s="1"/>
  <c r="AY77" i="19" s="1"/>
  <c r="AZ77" i="19" s="1"/>
  <c r="BA77" i="19" s="1"/>
  <c r="EI78" i="19" l="1"/>
  <c r="EJ78" i="19"/>
  <c r="EK78" i="19"/>
  <c r="EL78" i="19"/>
  <c r="EM78" i="19"/>
  <c r="EN78" i="19"/>
  <c r="EO78" i="19"/>
  <c r="EP78" i="19"/>
  <c r="EQ78" i="19"/>
  <c r="EH78" i="19"/>
  <c r="EG78" i="19"/>
  <c r="M54" i="18" l="1"/>
  <c r="N54" i="18"/>
  <c r="O54" i="18"/>
  <c r="M55" i="18"/>
  <c r="N55" i="18"/>
  <c r="O55" i="18"/>
  <c r="R320" i="8"/>
  <c r="P321" i="8"/>
  <c r="R321" i="8" s="1"/>
  <c r="R322" i="8" s="1"/>
  <c r="Q317" i="8" l="1"/>
  <c r="F54" i="18" s="1"/>
  <c r="AF174" i="8" l="1"/>
  <c r="AF175" i="8"/>
  <c r="AF173" i="8"/>
  <c r="AC197" i="8" l="1"/>
  <c r="AB197" i="8"/>
  <c r="AA197" i="8"/>
  <c r="Q189" i="8" l="1"/>
  <c r="R189" i="8"/>
  <c r="S189" i="8"/>
  <c r="T189" i="8"/>
  <c r="U189" i="8"/>
  <c r="P189" i="8"/>
  <c r="F172" i="8"/>
  <c r="G172" i="8" s="1"/>
  <c r="F173" i="8"/>
  <c r="G173" i="8" s="1"/>
  <c r="F171" i="8"/>
  <c r="G171" i="8" s="1"/>
  <c r="F2" i="22" l="1"/>
  <c r="E30" i="22"/>
  <c r="Q42" i="22"/>
  <c r="Q41" i="22"/>
  <c r="P41" i="22"/>
  <c r="E44" i="22"/>
  <c r="E57" i="22"/>
  <c r="P57" i="22"/>
  <c r="P53" i="22"/>
  <c r="P44" i="22"/>
  <c r="P36" i="22"/>
  <c r="P37" i="22"/>
  <c r="P38" i="22"/>
  <c r="P39" i="22"/>
  <c r="P40" i="22"/>
  <c r="P42" i="22"/>
  <c r="P30" i="22"/>
  <c r="P11" i="22" s="1"/>
  <c r="P22" i="22"/>
  <c r="P23" i="22"/>
  <c r="P24" i="22"/>
  <c r="P25" i="22"/>
  <c r="P26" i="22"/>
  <c r="P27" i="22"/>
  <c r="P28" i="22"/>
  <c r="P21" i="22"/>
  <c r="P16" i="22"/>
  <c r="P14" i="22"/>
  <c r="Q14" i="22"/>
  <c r="E52" i="22" l="1"/>
  <c r="P52" i="22" s="1"/>
  <c r="E35" i="22"/>
  <c r="P35" i="22" s="1"/>
  <c r="P10" i="22" s="1"/>
  <c r="E21" i="22"/>
  <c r="P9" i="22" l="1"/>
  <c r="E9" i="22"/>
  <c r="E11" i="22"/>
  <c r="E10" i="22"/>
  <c r="G47" i="22" l="1"/>
  <c r="H62" i="22"/>
  <c r="G62" i="22"/>
  <c r="Q61" i="22"/>
  <c r="O61" i="22"/>
  <c r="N61" i="22"/>
  <c r="Q60" i="22"/>
  <c r="O60" i="22"/>
  <c r="N60" i="22"/>
  <c r="O59" i="22"/>
  <c r="N59" i="22"/>
  <c r="F59" i="22"/>
  <c r="Q58" i="22"/>
  <c r="O58" i="22"/>
  <c r="N58" i="22"/>
  <c r="D57" i="22"/>
  <c r="O57" i="22" s="1"/>
  <c r="C57" i="22"/>
  <c r="N57" i="22" s="1"/>
  <c r="Q55" i="22"/>
  <c r="O55" i="22"/>
  <c r="N55" i="22"/>
  <c r="Q54" i="22"/>
  <c r="O54" i="22"/>
  <c r="N54" i="22"/>
  <c r="F53" i="22"/>
  <c r="Q53" i="22" s="1"/>
  <c r="D53" i="22"/>
  <c r="C53" i="22"/>
  <c r="N53" i="22" s="1"/>
  <c r="Q47" i="22"/>
  <c r="O47" i="22"/>
  <c r="N47" i="22"/>
  <c r="Q46" i="22"/>
  <c r="O46" i="22"/>
  <c r="N46" i="22"/>
  <c r="O45" i="22"/>
  <c r="N45" i="22"/>
  <c r="F45" i="22"/>
  <c r="Q45" i="22" s="1"/>
  <c r="L44" i="22"/>
  <c r="K44" i="22"/>
  <c r="J44" i="22"/>
  <c r="I44" i="22"/>
  <c r="H44" i="22"/>
  <c r="D44" i="22"/>
  <c r="O44" i="22" s="1"/>
  <c r="C44" i="22"/>
  <c r="N44" i="22" s="1"/>
  <c r="O42" i="22"/>
  <c r="N42" i="22"/>
  <c r="O41" i="22"/>
  <c r="N41" i="22"/>
  <c r="Q40" i="22"/>
  <c r="O40" i="22"/>
  <c r="N40" i="22"/>
  <c r="Q39" i="22"/>
  <c r="O39" i="22"/>
  <c r="N39" i="22"/>
  <c r="Q38" i="22"/>
  <c r="O38" i="22"/>
  <c r="N38" i="22"/>
  <c r="Q37" i="22"/>
  <c r="O37" i="22"/>
  <c r="N37" i="22"/>
  <c r="L36" i="22"/>
  <c r="K36" i="22"/>
  <c r="J36" i="22"/>
  <c r="I36" i="22"/>
  <c r="H36" i="22"/>
  <c r="H35" i="22" s="1"/>
  <c r="F36" i="22"/>
  <c r="Q36" i="22" s="1"/>
  <c r="D36" i="22"/>
  <c r="C36" i="22"/>
  <c r="N36" i="22" s="1"/>
  <c r="L35" i="22"/>
  <c r="K35" i="22"/>
  <c r="J35" i="22"/>
  <c r="F35" i="22"/>
  <c r="Q35" i="22" s="1"/>
  <c r="Q33" i="22"/>
  <c r="O33" i="22"/>
  <c r="N33" i="22"/>
  <c r="Q32" i="22"/>
  <c r="O32" i="22"/>
  <c r="N32" i="22"/>
  <c r="Q31" i="22"/>
  <c r="O31" i="22"/>
  <c r="N31" i="22"/>
  <c r="L30" i="22"/>
  <c r="L10" i="22" s="1"/>
  <c r="K30" i="22"/>
  <c r="J30" i="22"/>
  <c r="I30" i="22"/>
  <c r="H30" i="22"/>
  <c r="F30" i="22"/>
  <c r="Q30" i="22" s="1"/>
  <c r="Q9" i="22" s="1"/>
  <c r="D30" i="22"/>
  <c r="O30" i="22" s="1"/>
  <c r="C30" i="22"/>
  <c r="Q28" i="22"/>
  <c r="O28" i="22"/>
  <c r="N28" i="22"/>
  <c r="Q27" i="22"/>
  <c r="O27" i="22"/>
  <c r="N27" i="22"/>
  <c r="Q26" i="22"/>
  <c r="O26" i="22"/>
  <c r="N26" i="22"/>
  <c r="Q25" i="22"/>
  <c r="O25" i="22"/>
  <c r="N25" i="22"/>
  <c r="Q24" i="22"/>
  <c r="O24" i="22"/>
  <c r="N24" i="22"/>
  <c r="Q23" i="22"/>
  <c r="O23" i="22"/>
  <c r="N23" i="22"/>
  <c r="Q22" i="22"/>
  <c r="O22" i="22"/>
  <c r="N22" i="22"/>
  <c r="L21" i="22"/>
  <c r="L11" i="22" s="1"/>
  <c r="K21" i="22"/>
  <c r="J21" i="22"/>
  <c r="I21" i="22"/>
  <c r="H21" i="22"/>
  <c r="F21" i="22"/>
  <c r="D21" i="22"/>
  <c r="O21" i="22" s="1"/>
  <c r="C21" i="22"/>
  <c r="N21" i="22" s="1"/>
  <c r="Q19" i="22"/>
  <c r="O19" i="22"/>
  <c r="N19" i="22"/>
  <c r="Q18" i="22"/>
  <c r="O18" i="22"/>
  <c r="N18" i="22"/>
  <c r="Q17" i="22"/>
  <c r="O17" i="22"/>
  <c r="N17" i="22"/>
  <c r="L16" i="22"/>
  <c r="K16" i="22"/>
  <c r="J16" i="22"/>
  <c r="I16" i="22"/>
  <c r="H16" i="22"/>
  <c r="F16" i="22"/>
  <c r="Q16" i="22" s="1"/>
  <c r="D16" i="22"/>
  <c r="C16" i="22"/>
  <c r="O14" i="22"/>
  <c r="N14" i="22"/>
  <c r="S701" i="8"/>
  <c r="T701" i="8"/>
  <c r="U701" i="8"/>
  <c r="V701" i="8"/>
  <c r="W701" i="8"/>
  <c r="X701" i="8"/>
  <c r="Y701" i="8"/>
  <c r="Z701" i="8"/>
  <c r="AA701" i="8"/>
  <c r="AB701" i="8"/>
  <c r="AC701" i="8"/>
  <c r="S702" i="8"/>
  <c r="T702" i="8"/>
  <c r="U702" i="8"/>
  <c r="V702" i="8"/>
  <c r="W702" i="8"/>
  <c r="X702" i="8"/>
  <c r="Y702" i="8"/>
  <c r="Z702" i="8"/>
  <c r="AA702" i="8"/>
  <c r="AB702" i="8"/>
  <c r="AC702" i="8"/>
  <c r="S703" i="8"/>
  <c r="T703" i="8"/>
  <c r="U703" i="8"/>
  <c r="V703" i="8"/>
  <c r="W703" i="8"/>
  <c r="X703" i="8"/>
  <c r="Y703" i="8"/>
  <c r="Z703" i="8"/>
  <c r="AA703" i="8"/>
  <c r="AB703" i="8"/>
  <c r="AC703" i="8"/>
  <c r="S704" i="8"/>
  <c r="T704" i="8"/>
  <c r="U704" i="8"/>
  <c r="V704" i="8"/>
  <c r="W704" i="8"/>
  <c r="X704" i="8"/>
  <c r="Y704" i="8"/>
  <c r="Z704" i="8"/>
  <c r="AA704" i="8"/>
  <c r="AB704" i="8"/>
  <c r="AC704" i="8"/>
  <c r="R702" i="8"/>
  <c r="R703" i="8"/>
  <c r="R704" i="8"/>
  <c r="R701" i="8"/>
  <c r="S693" i="8"/>
  <c r="T693" i="8"/>
  <c r="U693" i="8"/>
  <c r="V693" i="8"/>
  <c r="W693" i="8"/>
  <c r="X693" i="8"/>
  <c r="Y693" i="8"/>
  <c r="Z693" i="8"/>
  <c r="AA693" i="8"/>
  <c r="AB693" i="8"/>
  <c r="AC693" i="8"/>
  <c r="S694" i="8"/>
  <c r="T694" i="8"/>
  <c r="U694" i="8"/>
  <c r="V694" i="8"/>
  <c r="W694" i="8"/>
  <c r="X694" i="8"/>
  <c r="Y694" i="8"/>
  <c r="Z694" i="8"/>
  <c r="AA694" i="8"/>
  <c r="AB694" i="8"/>
  <c r="AC694" i="8"/>
  <c r="S695" i="8"/>
  <c r="T695" i="8"/>
  <c r="U695" i="8"/>
  <c r="V695" i="8"/>
  <c r="W695" i="8"/>
  <c r="X695" i="8"/>
  <c r="Y695" i="8"/>
  <c r="Z695" i="8"/>
  <c r="AA695" i="8"/>
  <c r="AB695" i="8"/>
  <c r="AC695" i="8"/>
  <c r="S696" i="8"/>
  <c r="T696" i="8"/>
  <c r="U696" i="8"/>
  <c r="V696" i="8"/>
  <c r="W696" i="8"/>
  <c r="X696" i="8"/>
  <c r="Y696" i="8"/>
  <c r="Z696" i="8"/>
  <c r="AA696" i="8"/>
  <c r="AB696" i="8"/>
  <c r="AC696" i="8"/>
  <c r="R694" i="8"/>
  <c r="R695" i="8"/>
  <c r="R696" i="8"/>
  <c r="R693" i="8"/>
  <c r="S685" i="8"/>
  <c r="T685" i="8"/>
  <c r="U685" i="8"/>
  <c r="V685" i="8"/>
  <c r="W685" i="8"/>
  <c r="X685" i="8"/>
  <c r="Y685" i="8"/>
  <c r="Z685" i="8"/>
  <c r="AA685" i="8"/>
  <c r="AB685" i="8"/>
  <c r="AC685" i="8"/>
  <c r="S686" i="8"/>
  <c r="T686" i="8"/>
  <c r="U686" i="8"/>
  <c r="V686" i="8"/>
  <c r="W686" i="8"/>
  <c r="X686" i="8"/>
  <c r="Y686" i="8"/>
  <c r="Z686" i="8"/>
  <c r="AA686" i="8"/>
  <c r="AB686" i="8"/>
  <c r="AC686" i="8"/>
  <c r="S687" i="8"/>
  <c r="T687" i="8"/>
  <c r="U687" i="8"/>
  <c r="V687" i="8"/>
  <c r="W687" i="8"/>
  <c r="X687" i="8"/>
  <c r="Y687" i="8"/>
  <c r="Z687" i="8"/>
  <c r="AA687" i="8"/>
  <c r="AB687" i="8"/>
  <c r="AC687" i="8"/>
  <c r="S688" i="8"/>
  <c r="T688" i="8"/>
  <c r="U688" i="8"/>
  <c r="V688" i="8"/>
  <c r="W688" i="8"/>
  <c r="X688" i="8"/>
  <c r="Y688" i="8"/>
  <c r="Z688" i="8"/>
  <c r="AA688" i="8"/>
  <c r="AB688" i="8"/>
  <c r="AC688" i="8"/>
  <c r="R686" i="8"/>
  <c r="R687" i="8"/>
  <c r="R688" i="8"/>
  <c r="R685" i="8"/>
  <c r="S648" i="8"/>
  <c r="T648" i="8"/>
  <c r="U648" i="8"/>
  <c r="V648" i="8"/>
  <c r="W648" i="8"/>
  <c r="X648" i="8"/>
  <c r="Y648" i="8"/>
  <c r="Z648" i="8"/>
  <c r="AA648" i="8"/>
  <c r="AB648" i="8"/>
  <c r="AC648" i="8"/>
  <c r="S649" i="8"/>
  <c r="T649" i="8"/>
  <c r="U649" i="8"/>
  <c r="V649" i="8"/>
  <c r="W649" i="8"/>
  <c r="X649" i="8"/>
  <c r="Y649" i="8"/>
  <c r="Z649" i="8"/>
  <c r="AA649" i="8"/>
  <c r="AB649" i="8"/>
  <c r="AC649" i="8"/>
  <c r="S650" i="8"/>
  <c r="T650" i="8"/>
  <c r="U650" i="8"/>
  <c r="V650" i="8"/>
  <c r="W650" i="8"/>
  <c r="X650" i="8"/>
  <c r="Y650" i="8"/>
  <c r="Z650" i="8"/>
  <c r="AA650" i="8"/>
  <c r="AB650" i="8"/>
  <c r="AC650" i="8"/>
  <c r="R648" i="8"/>
  <c r="R649" i="8"/>
  <c r="R650" i="8"/>
  <c r="S640" i="8"/>
  <c r="T640" i="8"/>
  <c r="U640" i="8"/>
  <c r="V640" i="8"/>
  <c r="W640" i="8"/>
  <c r="X640" i="8"/>
  <c r="Y640" i="8"/>
  <c r="Z640" i="8"/>
  <c r="AA640" i="8"/>
  <c r="AB640" i="8"/>
  <c r="AC640" i="8"/>
  <c r="S641" i="8"/>
  <c r="T641" i="8"/>
  <c r="U641" i="8"/>
  <c r="V641" i="8"/>
  <c r="W641" i="8"/>
  <c r="X641" i="8"/>
  <c r="Y641" i="8"/>
  <c r="Z641" i="8"/>
  <c r="AA641" i="8"/>
  <c r="AB641" i="8"/>
  <c r="AC641" i="8"/>
  <c r="S642" i="8"/>
  <c r="T642" i="8"/>
  <c r="U642" i="8"/>
  <c r="V642" i="8"/>
  <c r="W642" i="8"/>
  <c r="X642" i="8"/>
  <c r="Y642" i="8"/>
  <c r="Z642" i="8"/>
  <c r="AA642" i="8"/>
  <c r="AB642" i="8"/>
  <c r="AC642" i="8"/>
  <c r="R640" i="8"/>
  <c r="R641" i="8"/>
  <c r="R642" i="8"/>
  <c r="Q178" i="19"/>
  <c r="R178" i="19"/>
  <c r="S178" i="19"/>
  <c r="T178" i="19"/>
  <c r="U178" i="19"/>
  <c r="V178" i="19"/>
  <c r="P178" i="19"/>
  <c r="Q132" i="19"/>
  <c r="R132" i="19"/>
  <c r="S132" i="19"/>
  <c r="T132" i="19"/>
  <c r="U132" i="19"/>
  <c r="V132" i="19"/>
  <c r="P132" i="19"/>
  <c r="Q79" i="19"/>
  <c r="R79" i="19"/>
  <c r="S79" i="19"/>
  <c r="T79" i="19"/>
  <c r="U79" i="19"/>
  <c r="V79" i="19"/>
  <c r="P79" i="19"/>
  <c r="Q36" i="19"/>
  <c r="R36" i="19"/>
  <c r="S36" i="19"/>
  <c r="T36" i="19"/>
  <c r="U36" i="19"/>
  <c r="V36" i="19"/>
  <c r="P36" i="19"/>
  <c r="AC26" i="19"/>
  <c r="AB705" i="8" l="1"/>
  <c r="X705" i="8"/>
  <c r="T705" i="8"/>
  <c r="Z705" i="8"/>
  <c r="H10" i="22"/>
  <c r="I11" i="22"/>
  <c r="K10" i="22"/>
  <c r="C11" i="22"/>
  <c r="N30" i="22"/>
  <c r="N16" i="22"/>
  <c r="C35" i="22"/>
  <c r="H11" i="22"/>
  <c r="F44" i="22"/>
  <c r="Q44" i="22" s="1"/>
  <c r="C52" i="22"/>
  <c r="N52" i="22" s="1"/>
  <c r="D35" i="22"/>
  <c r="O35" i="22" s="1"/>
  <c r="O36" i="22"/>
  <c r="O16" i="22"/>
  <c r="J10" i="22"/>
  <c r="D11" i="22"/>
  <c r="N11" i="22"/>
  <c r="J11" i="22"/>
  <c r="K11" i="22"/>
  <c r="O11" i="22"/>
  <c r="Q21" i="22"/>
  <c r="Q11" i="22" s="1"/>
  <c r="F11" i="22"/>
  <c r="I35" i="22"/>
  <c r="I10" i="22" s="1"/>
  <c r="D52" i="22"/>
  <c r="O52" i="22" s="1"/>
  <c r="O53" i="22"/>
  <c r="Q59" i="22"/>
  <c r="F57" i="22"/>
  <c r="AC705" i="8"/>
  <c r="Y705" i="8"/>
  <c r="AA705" i="8"/>
  <c r="W705" i="8"/>
  <c r="S705" i="8"/>
  <c r="V705" i="8"/>
  <c r="U705" i="8"/>
  <c r="R705" i="8"/>
  <c r="AA689" i="8"/>
  <c r="S689" i="8"/>
  <c r="S697" i="8"/>
  <c r="Z697" i="8"/>
  <c r="W697" i="8"/>
  <c r="W689" i="8"/>
  <c r="AA697" i="8"/>
  <c r="T689" i="8"/>
  <c r="X689" i="8"/>
  <c r="AB689" i="8"/>
  <c r="T697" i="8"/>
  <c r="X697" i="8"/>
  <c r="AB697" i="8"/>
  <c r="U689" i="8"/>
  <c r="Y689" i="8"/>
  <c r="AC689" i="8"/>
  <c r="U697" i="8"/>
  <c r="Y697" i="8"/>
  <c r="AC697" i="8"/>
  <c r="R689" i="8"/>
  <c r="V689" i="8"/>
  <c r="Z689" i="8"/>
  <c r="R697" i="8"/>
  <c r="V697" i="8"/>
  <c r="D10" i="22" l="1"/>
  <c r="F10" i="22"/>
  <c r="N35" i="22"/>
  <c r="N9" i="22" s="1"/>
  <c r="C10" i="22"/>
  <c r="C9" i="22"/>
  <c r="O9" i="22"/>
  <c r="O10" i="22"/>
  <c r="F52" i="22"/>
  <c r="Q57" i="22"/>
  <c r="Q10" i="22"/>
  <c r="D9" i="22"/>
  <c r="N10" i="22" l="1"/>
  <c r="F9" i="22"/>
  <c r="Q52" i="22"/>
  <c r="AW351" i="8" l="1"/>
  <c r="AV351" i="8"/>
  <c r="AU351" i="8"/>
  <c r="AT351" i="8"/>
  <c r="AP351" i="8"/>
  <c r="AO351" i="8"/>
  <c r="AN351" i="8"/>
  <c r="AM351" i="8"/>
  <c r="H6" i="21"/>
  <c r="H5" i="21"/>
  <c r="H7" i="21" l="1"/>
  <c r="G46" i="22" l="1"/>
  <c r="F51" i="18"/>
  <c r="F68" i="18"/>
  <c r="G68" i="18"/>
  <c r="Q68" i="18" s="1"/>
  <c r="H79" i="20"/>
  <c r="G79" i="20"/>
  <c r="F79" i="20"/>
  <c r="E79" i="20"/>
  <c r="D79" i="20"/>
  <c r="C79" i="20"/>
  <c r="I26" i="20"/>
  <c r="L58" i="22" s="1"/>
  <c r="H26" i="20"/>
  <c r="K58" i="22" s="1"/>
  <c r="G26" i="20"/>
  <c r="J58" i="22" s="1"/>
  <c r="F26" i="20"/>
  <c r="I58" i="22" s="1"/>
  <c r="E26" i="20"/>
  <c r="H58" i="22" s="1"/>
  <c r="D26" i="20"/>
  <c r="G58" i="22" s="1"/>
  <c r="C26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G13" i="20" l="1"/>
  <c r="C13" i="20"/>
  <c r="C17" i="20" s="1"/>
  <c r="J64" i="18"/>
  <c r="H13" i="20"/>
  <c r="E13" i="20"/>
  <c r="I13" i="20"/>
  <c r="F13" i="20"/>
  <c r="I64" i="18"/>
  <c r="H64" i="18"/>
  <c r="K64" i="18"/>
  <c r="G64" i="18"/>
  <c r="D13" i="20"/>
  <c r="D17" i="20" l="1"/>
  <c r="E17" i="20" s="1"/>
  <c r="F17" i="20" s="1"/>
  <c r="G17" i="20" s="1"/>
  <c r="H17" i="20" s="1"/>
  <c r="I17" i="20" s="1"/>
  <c r="H22" i="20"/>
  <c r="J60" i="18" l="1"/>
  <c r="K54" i="22"/>
  <c r="I22" i="20"/>
  <c r="K60" i="18" l="1"/>
  <c r="L54" i="22"/>
  <c r="G22" i="20"/>
  <c r="F22" i="20"/>
  <c r="I60" i="18" l="1"/>
  <c r="J54" i="22"/>
  <c r="H60" i="18"/>
  <c r="I54" i="22"/>
  <c r="C22" i="20"/>
  <c r="D22" i="20"/>
  <c r="E22" i="20"/>
  <c r="G54" i="22" l="1"/>
  <c r="G60" i="18"/>
  <c r="H54" i="22"/>
  <c r="C54" i="20"/>
  <c r="E54" i="20"/>
  <c r="F54" i="20"/>
  <c r="H54" i="20"/>
  <c r="G54" i="20"/>
  <c r="D54" i="20"/>
  <c r="C57" i="20" l="1"/>
  <c r="C58" i="20"/>
  <c r="C55" i="20" l="1"/>
  <c r="C69" i="20" s="1"/>
  <c r="C56" i="20" l="1"/>
  <c r="C78" i="20" s="1"/>
  <c r="C64" i="20" l="1"/>
  <c r="C65" i="20" l="1"/>
  <c r="C66" i="20" s="1"/>
  <c r="C62" i="20" l="1"/>
  <c r="C9" i="20"/>
  <c r="C63" i="20"/>
  <c r="C68" i="20" s="1"/>
  <c r="C11" i="20"/>
  <c r="C28" i="20" l="1"/>
  <c r="J28" i="20" s="1"/>
  <c r="J26" i="20"/>
  <c r="J22" i="20"/>
  <c r="C59" i="20"/>
  <c r="C67" i="20"/>
  <c r="E23" i="20" l="1"/>
  <c r="H23" i="20"/>
  <c r="C27" i="20"/>
  <c r="D23" i="20"/>
  <c r="F23" i="20"/>
  <c r="C23" i="20"/>
  <c r="G23" i="20"/>
  <c r="E21" i="20"/>
  <c r="I23" i="20"/>
  <c r="G55" i="22" l="1"/>
  <c r="G53" i="22" s="1"/>
  <c r="J61" i="18"/>
  <c r="K55" i="22"/>
  <c r="K53" i="22" s="1"/>
  <c r="I61" i="18"/>
  <c r="J55" i="22"/>
  <c r="J53" i="22" s="1"/>
  <c r="K61" i="18"/>
  <c r="L55" i="22"/>
  <c r="L53" i="22" s="1"/>
  <c r="H61" i="18"/>
  <c r="I55" i="22"/>
  <c r="I53" i="22" s="1"/>
  <c r="G61" i="18"/>
  <c r="H55" i="22"/>
  <c r="H53" i="22" s="1"/>
  <c r="I21" i="20"/>
  <c r="J23" i="20"/>
  <c r="J21" i="20" s="1"/>
  <c r="C21" i="20"/>
  <c r="C35" i="20"/>
  <c r="J27" i="20"/>
  <c r="F21" i="20"/>
  <c r="G21" i="20"/>
  <c r="D21" i="20"/>
  <c r="H21" i="20"/>
  <c r="G37" i="20" l="1"/>
  <c r="F37" i="20"/>
  <c r="H37" i="20"/>
  <c r="E37" i="20"/>
  <c r="C43" i="20" l="1"/>
  <c r="C29" i="20" s="1"/>
  <c r="C25" i="20" s="1"/>
  <c r="C19" i="20" s="1"/>
  <c r="C20" i="20" s="1"/>
  <c r="J29" i="20" l="1"/>
  <c r="J25" i="20" s="1"/>
  <c r="J19" i="20" s="1"/>
  <c r="D57" i="20" l="1"/>
  <c r="D58" i="20"/>
  <c r="D76" i="20" s="1"/>
  <c r="D55" i="20" l="1"/>
  <c r="D69" i="20" s="1"/>
  <c r="D74" i="20" s="1"/>
  <c r="E57" i="20" l="1"/>
  <c r="E58" i="20"/>
  <c r="E76" i="20" s="1"/>
  <c r="E55" i="20" l="1"/>
  <c r="E69" i="20" s="1"/>
  <c r="E74" i="20" s="1"/>
  <c r="F57" i="20" l="1"/>
  <c r="F58" i="20"/>
  <c r="F76" i="20" s="1"/>
  <c r="F55" i="20" l="1"/>
  <c r="F69" i="20" s="1"/>
  <c r="F74" i="20" s="1"/>
  <c r="G57" i="20" l="1"/>
  <c r="G58" i="20"/>
  <c r="G76" i="20" s="1"/>
  <c r="G55" i="20" l="1"/>
  <c r="G69" i="20" s="1"/>
  <c r="G74" i="20" s="1"/>
  <c r="H57" i="20" l="1"/>
  <c r="H58" i="20"/>
  <c r="H76" i="20" s="1"/>
  <c r="H55" i="20" l="1"/>
  <c r="H69" i="20" s="1"/>
  <c r="H74" i="20" s="1"/>
  <c r="D64" i="20" l="1"/>
  <c r="D71" i="20" s="1"/>
  <c r="D56" i="20"/>
  <c r="D78" i="20" s="1"/>
  <c r="D65" i="20" l="1"/>
  <c r="D66" i="20" s="1"/>
  <c r="D63" i="20" l="1"/>
  <c r="D68" i="20" s="1"/>
  <c r="D73" i="20" s="1"/>
  <c r="D9" i="20" l="1"/>
  <c r="D62" i="20"/>
  <c r="D67" i="20" l="1"/>
  <c r="D72" i="20" s="1"/>
  <c r="D59" i="20"/>
  <c r="D11" i="20"/>
  <c r="D28" i="20" l="1"/>
  <c r="G60" i="22" s="1"/>
  <c r="K26" i="20"/>
  <c r="D27" i="20"/>
  <c r="K22" i="20"/>
  <c r="K23" i="20"/>
  <c r="G59" i="22" l="1"/>
  <c r="K28" i="20"/>
  <c r="K21" i="20"/>
  <c r="D35" i="20"/>
  <c r="F38" i="20" l="1"/>
  <c r="I38" i="20"/>
  <c r="H38" i="20"/>
  <c r="G38" i="20"/>
  <c r="D44" i="20" l="1"/>
  <c r="D29" i="20" s="1"/>
  <c r="G61" i="22" l="1"/>
  <c r="G57" i="22" s="1"/>
  <c r="G52" i="22" s="1"/>
  <c r="D25" i="20"/>
  <c r="D19" i="20" s="1"/>
  <c r="D20" i="20" s="1"/>
  <c r="K29" i="20"/>
  <c r="K25" i="20" s="1"/>
  <c r="K19" i="20" s="1"/>
  <c r="E64" i="20" l="1"/>
  <c r="E56" i="20"/>
  <c r="E78" i="20" s="1"/>
  <c r="E65" i="20" l="1"/>
  <c r="E66" i="20" s="1"/>
  <c r="E71" i="20"/>
  <c r="E63" i="20" l="1"/>
  <c r="E68" i="20" s="1"/>
  <c r="E73" i="20" s="1"/>
  <c r="E62" i="20" l="1"/>
  <c r="E9" i="20"/>
  <c r="E67" i="20" l="1"/>
  <c r="E72" i="20" s="1"/>
  <c r="E59" i="20"/>
  <c r="E11" i="20"/>
  <c r="E28" i="20" l="1"/>
  <c r="H60" i="22" s="1"/>
  <c r="L26" i="20"/>
  <c r="E27" i="20"/>
  <c r="L22" i="20"/>
  <c r="L23" i="20"/>
  <c r="G65" i="18" l="1"/>
  <c r="H59" i="22"/>
  <c r="L28" i="20"/>
  <c r="G66" i="18"/>
  <c r="E35" i="20"/>
  <c r="L21" i="20"/>
  <c r="G39" i="20" l="1"/>
  <c r="H39" i="20"/>
  <c r="I39" i="20"/>
  <c r="E45" i="20" l="1"/>
  <c r="E29" i="20" s="1"/>
  <c r="G67" i="18" l="1"/>
  <c r="H61" i="22"/>
  <c r="H57" i="22" s="1"/>
  <c r="H52" i="22" s="1"/>
  <c r="H9" i="22" s="1"/>
  <c r="L29" i="20"/>
  <c r="L25" i="20" s="1"/>
  <c r="L19" i="20" s="1"/>
  <c r="E25" i="20"/>
  <c r="E19" i="20" s="1"/>
  <c r="E20" i="20" s="1"/>
  <c r="F56" i="20" l="1"/>
  <c r="F78" i="20" s="1"/>
  <c r="F64" i="20"/>
  <c r="F71" i="20" s="1"/>
  <c r="F65" i="20" l="1"/>
  <c r="F66" i="20" s="1"/>
  <c r="F63" i="20" l="1"/>
  <c r="F68" i="20" s="1"/>
  <c r="F73" i="20" s="1"/>
  <c r="F9" i="20" l="1"/>
  <c r="F62" i="20"/>
  <c r="F11" i="20" l="1"/>
  <c r="F67" i="20"/>
  <c r="F72" i="20" s="1"/>
  <c r="F59" i="20"/>
  <c r="F27" i="20" l="1"/>
  <c r="F30" i="20"/>
  <c r="M26" i="20"/>
  <c r="F28" i="20"/>
  <c r="I60" i="22" s="1"/>
  <c r="M22" i="20"/>
  <c r="M23" i="20"/>
  <c r="H68" i="18" l="1"/>
  <c r="R68" i="18" s="1"/>
  <c r="I62" i="22"/>
  <c r="H65" i="18"/>
  <c r="I59" i="22"/>
  <c r="M28" i="20"/>
  <c r="H66" i="18"/>
  <c r="M21" i="20"/>
  <c r="F35" i="20"/>
  <c r="H40" i="20" l="1"/>
  <c r="J40" i="20"/>
  <c r="I40" i="20"/>
  <c r="F46" i="20" l="1"/>
  <c r="F29" i="20" s="1"/>
  <c r="I61" i="22" s="1"/>
  <c r="I57" i="22" s="1"/>
  <c r="I52" i="22" s="1"/>
  <c r="I9" i="22" s="1"/>
  <c r="M29" i="20" l="1"/>
  <c r="M25" i="20" s="1"/>
  <c r="M19" i="20" s="1"/>
  <c r="H67" i="18"/>
  <c r="F25" i="20"/>
  <c r="F19" i="20" s="1"/>
  <c r="F20" i="20" s="1"/>
  <c r="G64" i="20" l="1"/>
  <c r="G71" i="20" s="1"/>
  <c r="G56" i="20"/>
  <c r="G78" i="20" s="1"/>
  <c r="G65" i="20" l="1"/>
  <c r="G66" i="20" s="1"/>
  <c r="G63" i="20" l="1"/>
  <c r="G68" i="20" s="1"/>
  <c r="G73" i="20" s="1"/>
  <c r="G62" i="20" l="1"/>
  <c r="G9" i="20"/>
  <c r="G11" i="20" l="1"/>
  <c r="G59" i="20"/>
  <c r="G67" i="20"/>
  <c r="G72" i="20" s="1"/>
  <c r="G30" i="20" l="1"/>
  <c r="G28" i="20"/>
  <c r="J60" i="22" s="1"/>
  <c r="N26" i="20"/>
  <c r="G27" i="20"/>
  <c r="N22" i="20"/>
  <c r="N23" i="20"/>
  <c r="I65" i="18" l="1"/>
  <c r="J59" i="22"/>
  <c r="I68" i="18"/>
  <c r="S68" i="18" s="1"/>
  <c r="J62" i="22"/>
  <c r="N28" i="20"/>
  <c r="I66" i="18"/>
  <c r="N21" i="20"/>
  <c r="G35" i="20"/>
  <c r="K41" i="20" l="1"/>
  <c r="J41" i="20"/>
  <c r="I41" i="20"/>
  <c r="G47" i="20" l="1"/>
  <c r="G29" i="20" s="1"/>
  <c r="I67" i="18" s="1"/>
  <c r="G25" i="20" l="1"/>
  <c r="G19" i="20" s="1"/>
  <c r="G20" i="20" s="1"/>
  <c r="N29" i="20"/>
  <c r="N25" i="20" s="1"/>
  <c r="N19" i="20" s="1"/>
  <c r="J61" i="22"/>
  <c r="J57" i="22" s="1"/>
  <c r="J52" i="22" s="1"/>
  <c r="J9" i="22" s="1"/>
  <c r="H56" i="20"/>
  <c r="H78" i="20" s="1"/>
  <c r="H64" i="20"/>
  <c r="H71" i="20" s="1"/>
  <c r="H65" i="20" l="1"/>
  <c r="H66" i="20" s="1"/>
  <c r="H63" i="20" l="1"/>
  <c r="H68" i="20" s="1"/>
  <c r="H73" i="20" s="1"/>
  <c r="H9" i="20" l="1"/>
  <c r="H62" i="20"/>
  <c r="H11" i="20" l="1"/>
  <c r="H67" i="20"/>
  <c r="H72" i="20" s="1"/>
  <c r="H59" i="20"/>
  <c r="H28" i="20" l="1"/>
  <c r="K60" i="22" s="1"/>
  <c r="H30" i="20"/>
  <c r="O26" i="20"/>
  <c r="H27" i="20"/>
  <c r="O22" i="20"/>
  <c r="O23" i="20"/>
  <c r="J65" i="18" l="1"/>
  <c r="K59" i="22"/>
  <c r="J68" i="18"/>
  <c r="T68" i="18" s="1"/>
  <c r="K62" i="22"/>
  <c r="O21" i="20"/>
  <c r="O28" i="20"/>
  <c r="J66" i="18"/>
  <c r="H35" i="20"/>
  <c r="J42" i="20" l="1"/>
  <c r="K42" i="20"/>
  <c r="L42" i="20"/>
  <c r="H48" i="20" l="1"/>
  <c r="H29" i="20" s="1"/>
  <c r="J67" i="18" l="1"/>
  <c r="K61" i="22"/>
  <c r="K57" i="22" s="1"/>
  <c r="K52" i="22" s="1"/>
  <c r="K9" i="22" s="1"/>
  <c r="H25" i="20"/>
  <c r="H19" i="20" s="1"/>
  <c r="H20" i="20" s="1"/>
  <c r="O29" i="20"/>
  <c r="O25" i="20" s="1"/>
  <c r="O19" i="20" s="1"/>
  <c r="I9" i="20" l="1"/>
  <c r="I11" i="20" l="1"/>
  <c r="I28" i="20" l="1"/>
  <c r="L60" i="22" s="1"/>
  <c r="P26" i="20"/>
  <c r="I30" i="20"/>
  <c r="I27" i="20"/>
  <c r="P22" i="20"/>
  <c r="P23" i="20"/>
  <c r="K65" i="18" l="1"/>
  <c r="L59" i="22"/>
  <c r="K68" i="18"/>
  <c r="U68" i="18" s="1"/>
  <c r="L62" i="22"/>
  <c r="P28" i="20"/>
  <c r="K66" i="18"/>
  <c r="I35" i="20"/>
  <c r="P21" i="20"/>
  <c r="L43" i="20" l="1"/>
  <c r="K43" i="20"/>
  <c r="M43" i="20"/>
  <c r="E50" i="18"/>
  <c r="E65" i="18"/>
  <c r="I49" i="20" l="1"/>
  <c r="I29" i="20" s="1"/>
  <c r="P29" i="20" s="1"/>
  <c r="P25" i="20" s="1"/>
  <c r="P19" i="20" s="1"/>
  <c r="D49" i="18"/>
  <c r="E49" i="18"/>
  <c r="O49" i="18" s="1"/>
  <c r="C49" i="18"/>
  <c r="C41" i="18"/>
  <c r="C40" i="18" s="1"/>
  <c r="O749" i="8"/>
  <c r="O750" i="8" s="1"/>
  <c r="U761" i="8"/>
  <c r="T761" i="8"/>
  <c r="S761" i="8"/>
  <c r="R761" i="8"/>
  <c r="Q761" i="8"/>
  <c r="P761" i="8"/>
  <c r="O761" i="8"/>
  <c r="V760" i="8"/>
  <c r="V759" i="8" s="1"/>
  <c r="I25" i="20" l="1"/>
  <c r="I19" i="20" s="1"/>
  <c r="K67" i="18"/>
  <c r="L61" i="22"/>
  <c r="L57" i="22" s="1"/>
  <c r="L52" i="22" s="1"/>
  <c r="L9" i="22" s="1"/>
  <c r="O738" i="8"/>
  <c r="Y723" i="8"/>
  <c r="U738" i="8"/>
  <c r="T738" i="8"/>
  <c r="S738" i="8"/>
  <c r="R738" i="8"/>
  <c r="Q738" i="8"/>
  <c r="P738" i="8"/>
  <c r="X737" i="8"/>
  <c r="W737" i="8"/>
  <c r="V737" i="8"/>
  <c r="X724" i="8"/>
  <c r="W724" i="8"/>
  <c r="V724" i="8"/>
  <c r="U724" i="8"/>
  <c r="T724" i="8"/>
  <c r="S724" i="8"/>
  <c r="R724" i="8"/>
  <c r="Q724" i="8"/>
  <c r="P724" i="8"/>
  <c r="O724" i="8"/>
  <c r="Y737" i="8" l="1"/>
  <c r="AB722" i="8"/>
  <c r="AB724" i="8" s="1"/>
  <c r="AC722" i="8"/>
  <c r="AC724" i="8" s="1"/>
  <c r="S647" i="8" l="1"/>
  <c r="S651" i="8" s="1"/>
  <c r="W647" i="8"/>
  <c r="W651" i="8" s="1"/>
  <c r="AA647" i="8"/>
  <c r="AA651" i="8" s="1"/>
  <c r="S639" i="8"/>
  <c r="S643" i="8" s="1"/>
  <c r="W639" i="8"/>
  <c r="W643" i="8" s="1"/>
  <c r="AA639" i="8"/>
  <c r="AA643" i="8" s="1"/>
  <c r="V647" i="8"/>
  <c r="V651" i="8" s="1"/>
  <c r="Z639" i="8"/>
  <c r="Z643" i="8" s="1"/>
  <c r="T647" i="8"/>
  <c r="T651" i="8" s="1"/>
  <c r="X647" i="8"/>
  <c r="X651" i="8" s="1"/>
  <c r="AB647" i="8"/>
  <c r="AB651" i="8" s="1"/>
  <c r="T639" i="8"/>
  <c r="T643" i="8" s="1"/>
  <c r="X639" i="8"/>
  <c r="X643" i="8" s="1"/>
  <c r="AB639" i="8"/>
  <c r="AB643" i="8" s="1"/>
  <c r="V639" i="8"/>
  <c r="V643" i="8" s="1"/>
  <c r="U647" i="8"/>
  <c r="U651" i="8" s="1"/>
  <c r="Y647" i="8"/>
  <c r="Y651" i="8" s="1"/>
  <c r="AC647" i="8"/>
  <c r="AC651" i="8" s="1"/>
  <c r="U639" i="8"/>
  <c r="U643" i="8" s="1"/>
  <c r="Y639" i="8"/>
  <c r="Y643" i="8" s="1"/>
  <c r="AC639" i="8"/>
  <c r="AC643" i="8" s="1"/>
  <c r="Z647" i="8"/>
  <c r="Z651" i="8" s="1"/>
  <c r="R647" i="8"/>
  <c r="R651" i="8" s="1"/>
  <c r="R639" i="8"/>
  <c r="R643" i="8" s="1"/>
  <c r="D63" i="18"/>
  <c r="N63" i="18" s="1"/>
  <c r="E63" i="18"/>
  <c r="F63" i="18"/>
  <c r="G63" i="18"/>
  <c r="H63" i="18"/>
  <c r="I63" i="18"/>
  <c r="S63" i="18" s="1"/>
  <c r="J63" i="18"/>
  <c r="K63" i="18"/>
  <c r="C63" i="18"/>
  <c r="M63" i="18" s="1"/>
  <c r="D59" i="18"/>
  <c r="E59" i="18"/>
  <c r="F59" i="18"/>
  <c r="G59" i="18"/>
  <c r="H59" i="18"/>
  <c r="I59" i="18"/>
  <c r="J59" i="18"/>
  <c r="K59" i="18"/>
  <c r="C59" i="18"/>
  <c r="M59" i="18" s="1"/>
  <c r="N49" i="18"/>
  <c r="M49" i="18"/>
  <c r="K41" i="18"/>
  <c r="K40" i="18" s="1"/>
  <c r="J41" i="18"/>
  <c r="J40" i="18" s="1"/>
  <c r="I41" i="18"/>
  <c r="I40" i="18" s="1"/>
  <c r="H41" i="18"/>
  <c r="G41" i="18"/>
  <c r="E40" i="18"/>
  <c r="D41" i="18"/>
  <c r="N41" i="18" s="1"/>
  <c r="D35" i="18"/>
  <c r="E35" i="18"/>
  <c r="G35" i="18"/>
  <c r="Q35" i="18" s="1"/>
  <c r="H35" i="18"/>
  <c r="I35" i="18"/>
  <c r="J35" i="18"/>
  <c r="K35" i="18"/>
  <c r="C35" i="18"/>
  <c r="D25" i="18"/>
  <c r="N25" i="18" s="1"/>
  <c r="E25" i="18"/>
  <c r="O25" i="18" s="1"/>
  <c r="C25" i="18"/>
  <c r="M25" i="18" s="1"/>
  <c r="D20" i="18"/>
  <c r="E20" i="18"/>
  <c r="O20" i="18" s="1"/>
  <c r="C20" i="18"/>
  <c r="M20" i="18" s="1"/>
  <c r="O67" i="18"/>
  <c r="N67" i="18"/>
  <c r="M67" i="18"/>
  <c r="O66" i="18"/>
  <c r="N66" i="18"/>
  <c r="M66" i="18"/>
  <c r="O65" i="18"/>
  <c r="N65" i="18"/>
  <c r="M65" i="18"/>
  <c r="O64" i="18"/>
  <c r="N64" i="18"/>
  <c r="M64" i="18"/>
  <c r="O63" i="18"/>
  <c r="O61" i="18"/>
  <c r="N61" i="18"/>
  <c r="M61" i="18"/>
  <c r="O60" i="18"/>
  <c r="N60" i="18"/>
  <c r="M60" i="18"/>
  <c r="N59" i="18"/>
  <c r="O53" i="18"/>
  <c r="N53" i="18"/>
  <c r="M53" i="18"/>
  <c r="O51" i="18"/>
  <c r="N51" i="18"/>
  <c r="M51" i="18"/>
  <c r="O50" i="18"/>
  <c r="N50" i="18"/>
  <c r="M50" i="18"/>
  <c r="O47" i="18"/>
  <c r="N47" i="18"/>
  <c r="M47" i="18"/>
  <c r="O46" i="18"/>
  <c r="N46" i="18"/>
  <c r="M46" i="18"/>
  <c r="O45" i="18"/>
  <c r="N45" i="18"/>
  <c r="M45" i="18"/>
  <c r="O44" i="18"/>
  <c r="N44" i="18"/>
  <c r="M44" i="18"/>
  <c r="O43" i="18"/>
  <c r="N43" i="18"/>
  <c r="M43" i="18"/>
  <c r="O42" i="18"/>
  <c r="N42" i="18"/>
  <c r="M42" i="18"/>
  <c r="M41" i="18"/>
  <c r="O37" i="18"/>
  <c r="N37" i="18"/>
  <c r="M37" i="18"/>
  <c r="O36" i="18"/>
  <c r="N36" i="18"/>
  <c r="M36" i="18"/>
  <c r="N35" i="18"/>
  <c r="O33" i="18"/>
  <c r="N33" i="18"/>
  <c r="M33" i="18"/>
  <c r="O32" i="18"/>
  <c r="N32" i="18"/>
  <c r="M32" i="18"/>
  <c r="O31" i="18"/>
  <c r="N31" i="18"/>
  <c r="M31" i="18"/>
  <c r="O30" i="18"/>
  <c r="N30" i="18"/>
  <c r="M30" i="18"/>
  <c r="O29" i="18"/>
  <c r="N29" i="18"/>
  <c r="M29" i="18"/>
  <c r="O28" i="18"/>
  <c r="N28" i="18"/>
  <c r="M28" i="18"/>
  <c r="O26" i="18"/>
  <c r="N26" i="18"/>
  <c r="M26" i="18"/>
  <c r="O23" i="18"/>
  <c r="N23" i="18"/>
  <c r="M23" i="18"/>
  <c r="O22" i="18"/>
  <c r="N22" i="18"/>
  <c r="M22" i="18"/>
  <c r="O21" i="18"/>
  <c r="N21" i="18"/>
  <c r="M21" i="18"/>
  <c r="N20" i="18"/>
  <c r="O18" i="18"/>
  <c r="N18" i="18"/>
  <c r="DN12" i="19"/>
  <c r="DN13" i="19" s="1"/>
  <c r="K137" i="17"/>
  <c r="J58" i="18" l="1"/>
  <c r="H58" i="18"/>
  <c r="I58" i="18"/>
  <c r="D14" i="18"/>
  <c r="D13" i="18"/>
  <c r="M35" i="18"/>
  <c r="C13" i="18"/>
  <c r="C14" i="18"/>
  <c r="C12" i="18"/>
  <c r="N13" i="18"/>
  <c r="N14" i="18"/>
  <c r="O35" i="18"/>
  <c r="E14" i="18"/>
  <c r="E13" i="18"/>
  <c r="O40" i="18"/>
  <c r="E12" i="18"/>
  <c r="R674" i="8"/>
  <c r="T674" i="8"/>
  <c r="R613" i="8"/>
  <c r="O59" i="18"/>
  <c r="E58" i="18"/>
  <c r="C58" i="18"/>
  <c r="M58" i="18" s="1"/>
  <c r="F58" i="18"/>
  <c r="O41" i="18"/>
  <c r="E11" i="18"/>
  <c r="E9" i="18" s="1"/>
  <c r="O9" i="18" s="1"/>
  <c r="D58" i="18"/>
  <c r="N58" i="18" s="1"/>
  <c r="T613" i="8"/>
  <c r="S613" i="8"/>
  <c r="O58" i="18"/>
  <c r="K58" i="18"/>
  <c r="G58" i="18"/>
  <c r="D40" i="18"/>
  <c r="D12" i="18" s="1"/>
  <c r="M40" i="18"/>
  <c r="C11" i="18"/>
  <c r="C9" i="18" s="1"/>
  <c r="M9" i="18" s="1"/>
  <c r="O12" i="18" l="1"/>
  <c r="O11" i="18"/>
  <c r="M13" i="18"/>
  <c r="M14" i="18"/>
  <c r="M11" i="18"/>
  <c r="M12" i="18"/>
  <c r="O14" i="18"/>
  <c r="O13" i="18"/>
  <c r="S629" i="8"/>
  <c r="S674" i="8"/>
  <c r="T629" i="8"/>
  <c r="R629" i="8"/>
  <c r="R631" i="8" s="1"/>
  <c r="D11" i="18"/>
  <c r="D9" i="18" s="1"/>
  <c r="N9" i="18" s="1"/>
  <c r="N40" i="18"/>
  <c r="N11" i="18" l="1"/>
  <c r="N12" i="18"/>
  <c r="EG15" i="19" l="1"/>
  <c r="EQ147" i="19"/>
  <c r="ES151" i="19" s="1"/>
  <c r="ET152" i="19" s="1"/>
  <c r="EU153" i="19" s="1"/>
  <c r="EV154" i="19" s="1"/>
  <c r="EQ54" i="19"/>
  <c r="ES58" i="19" s="1"/>
  <c r="EQ11" i="19"/>
  <c r="ES15" i="19" s="1"/>
  <c r="ES26" i="19" s="1"/>
  <c r="EQ101" i="19"/>
  <c r="ES105" i="19" s="1"/>
  <c r="ET106" i="19" s="1"/>
  <c r="EU107" i="19" s="1"/>
  <c r="EV108" i="19" s="1"/>
  <c r="EP11" i="19"/>
  <c r="EP54" i="19"/>
  <c r="EP101" i="19"/>
  <c r="EP147" i="19"/>
  <c r="EO11" i="19"/>
  <c r="EO54" i="19"/>
  <c r="EO101" i="19"/>
  <c r="EO147" i="19"/>
  <c r="EN11" i="19"/>
  <c r="EN54" i="19"/>
  <c r="EN101" i="19"/>
  <c r="EN147" i="19"/>
  <c r="EM54" i="19"/>
  <c r="EM101" i="19"/>
  <c r="EM147" i="19"/>
  <c r="EM11" i="19"/>
  <c r="EL11" i="19"/>
  <c r="EL54" i="19"/>
  <c r="EL101" i="19"/>
  <c r="EL147" i="19"/>
  <c r="EH11" i="19"/>
  <c r="EH15" i="19" s="1"/>
  <c r="ES69" i="19" l="1"/>
  <c r="ET59" i="19"/>
  <c r="EV165" i="19"/>
  <c r="EW155" i="19"/>
  <c r="EV119" i="19"/>
  <c r="EW109" i="19"/>
  <c r="EV176" i="19" l="1"/>
  <c r="EV130" i="19"/>
  <c r="EW120" i="19"/>
  <c r="EX110" i="19"/>
  <c r="EW166" i="19"/>
  <c r="EX156" i="19"/>
  <c r="EU60" i="19"/>
  <c r="ET70" i="19"/>
  <c r="X243" i="8"/>
  <c r="EX167" i="19" l="1"/>
  <c r="EY157" i="19"/>
  <c r="EX121" i="19"/>
  <c r="EY111" i="19"/>
  <c r="EU71" i="19"/>
  <c r="EV61" i="19"/>
  <c r="AD722" i="8"/>
  <c r="AD724" i="8" s="1"/>
  <c r="C2" i="20"/>
  <c r="C6" i="20" s="1"/>
  <c r="EV72" i="19" l="1"/>
  <c r="EW62" i="19"/>
  <c r="EY168" i="19"/>
  <c r="EZ158" i="19"/>
  <c r="EY122" i="19"/>
  <c r="EZ112" i="19"/>
  <c r="E7" i="18"/>
  <c r="F7" i="22"/>
  <c r="EW73" i="19" l="1"/>
  <c r="EX63" i="19"/>
  <c r="EZ123" i="19"/>
  <c r="FA113" i="19"/>
  <c r="EZ169" i="19"/>
  <c r="FA159" i="19"/>
  <c r="U613" i="8"/>
  <c r="FA124" i="19" l="1"/>
  <c r="FB114" i="19"/>
  <c r="FA170" i="19"/>
  <c r="FB160" i="19"/>
  <c r="EX74" i="19"/>
  <c r="EY64" i="19"/>
  <c r="U629" i="8"/>
  <c r="AE737" i="8"/>
  <c r="AE734" i="8"/>
  <c r="AE722" i="8"/>
  <c r="AE724" i="8" s="1"/>
  <c r="FB171" i="19" l="1"/>
  <c r="FC161" i="19"/>
  <c r="EY75" i="19"/>
  <c r="EZ65" i="19"/>
  <c r="FB125" i="19"/>
  <c r="FC115" i="19"/>
  <c r="U674" i="8"/>
  <c r="V613" i="8"/>
  <c r="AF722" i="8"/>
  <c r="AF724" i="8" s="1"/>
  <c r="AF737" i="8"/>
  <c r="AF734" i="8"/>
  <c r="EZ76" i="19" l="1"/>
  <c r="FA66" i="19"/>
  <c r="FC126" i="19"/>
  <c r="FD116" i="19"/>
  <c r="FC172" i="19"/>
  <c r="FD162" i="19"/>
  <c r="V629" i="8"/>
  <c r="W613" i="8"/>
  <c r="W674" i="8"/>
  <c r="FD127" i="19" l="1"/>
  <c r="FD102" i="19" s="1"/>
  <c r="FD100" i="19"/>
  <c r="FD173" i="19"/>
  <c r="FD148" i="19" s="1"/>
  <c r="FD146" i="19"/>
  <c r="FA77" i="19"/>
  <c r="FA55" i="19" s="1"/>
  <c r="FA53" i="19"/>
  <c r="W629" i="8"/>
  <c r="V674" i="8"/>
  <c r="AH722" i="8" l="1"/>
  <c r="AG734" i="8"/>
  <c r="AG737" i="8"/>
  <c r="AG722" i="8"/>
  <c r="AI724" i="8" s="1"/>
  <c r="X610" i="8"/>
  <c r="X626" i="8" l="1"/>
  <c r="X625" i="8"/>
  <c r="X627" i="8"/>
  <c r="X628" i="8"/>
  <c r="Y610" i="8"/>
  <c r="X613" i="8"/>
  <c r="AH723" i="8"/>
  <c r="X667" i="8"/>
  <c r="AH737" i="8"/>
  <c r="AH734" i="8"/>
  <c r="Y667" i="8" l="1"/>
  <c r="X673" i="8"/>
  <c r="X671" i="8"/>
  <c r="X670" i="8"/>
  <c r="X672" i="8"/>
  <c r="Y627" i="8"/>
  <c r="Y628" i="8"/>
  <c r="Y625" i="8"/>
  <c r="Y626" i="8"/>
  <c r="Y613" i="8"/>
  <c r="X629" i="8"/>
  <c r="Y670" i="8" l="1"/>
  <c r="Y672" i="8"/>
  <c r="Y671" i="8"/>
  <c r="Y673" i="8"/>
  <c r="Y629" i="8"/>
  <c r="X674" i="8"/>
  <c r="AI737" i="8"/>
  <c r="AI734" i="8"/>
  <c r="AI722" i="8"/>
  <c r="Y674" i="8" l="1"/>
  <c r="AI723" i="8"/>
  <c r="Z610" i="8"/>
  <c r="Z628" i="8" l="1"/>
  <c r="Z627" i="8"/>
  <c r="Z625" i="8"/>
  <c r="Z626" i="8"/>
  <c r="Z667" i="8"/>
  <c r="Z613" i="8"/>
  <c r="Z671" i="8" l="1"/>
  <c r="Z673" i="8"/>
  <c r="Z670" i="8"/>
  <c r="Z672" i="8"/>
  <c r="AJ737" i="8"/>
  <c r="AJ734" i="8"/>
  <c r="AJ722" i="8"/>
  <c r="Z629" i="8"/>
  <c r="Z674" i="8" l="1"/>
  <c r="AJ723" i="8"/>
  <c r="AA610" i="8"/>
  <c r="AA625" i="8" l="1"/>
  <c r="AA626" i="8"/>
  <c r="AA627" i="8"/>
  <c r="AA628" i="8"/>
  <c r="AA667" i="8"/>
  <c r="AK737" i="8"/>
  <c r="AK734" i="8"/>
  <c r="AK722" i="8"/>
  <c r="AA613" i="8"/>
  <c r="AA672" i="8" l="1"/>
  <c r="AA673" i="8"/>
  <c r="AA670" i="8"/>
  <c r="AA671" i="8"/>
  <c r="AA629" i="8"/>
  <c r="AK723" i="8"/>
  <c r="AB667" i="8"/>
  <c r="AB610" i="8"/>
  <c r="AB673" i="8" l="1"/>
  <c r="AB672" i="8"/>
  <c r="AB670" i="8"/>
  <c r="AB671" i="8"/>
  <c r="AB626" i="8"/>
  <c r="AB627" i="8"/>
  <c r="AB628" i="8"/>
  <c r="AB625" i="8"/>
  <c r="AA674" i="8"/>
  <c r="AB613" i="8"/>
  <c r="AB629" i="8" l="1"/>
  <c r="AB674" i="8"/>
  <c r="AL737" i="8" l="1"/>
  <c r="AL734" i="8"/>
  <c r="AL722" i="8"/>
  <c r="AC610" i="8"/>
  <c r="AC627" i="8" l="1"/>
  <c r="AC626" i="8"/>
  <c r="AC628" i="8"/>
  <c r="AC625" i="8"/>
  <c r="AC667" i="8"/>
  <c r="AC613" i="8"/>
  <c r="AD613" i="8" s="1"/>
  <c r="AL723" i="8"/>
  <c r="AC670" i="8" l="1"/>
  <c r="AC673" i="8"/>
  <c r="AC671" i="8"/>
  <c r="AC672" i="8"/>
  <c r="AM737" i="8"/>
  <c r="AN737" i="8" s="1"/>
  <c r="AM734" i="8"/>
  <c r="AM722" i="8"/>
  <c r="AM723" i="8" s="1"/>
  <c r="AC629" i="8"/>
  <c r="AC750" i="8" l="1"/>
  <c r="AC674" i="8"/>
  <c r="AN723" i="8"/>
  <c r="Q712" i="8" s="1"/>
  <c r="G38" i="22"/>
  <c r="G39" i="22" l="1"/>
  <c r="G37" i="22"/>
  <c r="H5" i="22" l="1"/>
  <c r="H6" i="22" s="1"/>
  <c r="E2" i="20"/>
  <c r="G49" i="18" l="1"/>
  <c r="Q49" i="18" s="1"/>
  <c r="Q54" i="18"/>
  <c r="Q55" i="18"/>
  <c r="Q66" i="18"/>
  <c r="Q37" i="18"/>
  <c r="Q64" i="18"/>
  <c r="Q18" i="18"/>
  <c r="Q26" i="18"/>
  <c r="Q41" i="18"/>
  <c r="Q63" i="18"/>
  <c r="Q53" i="18"/>
  <c r="Q65" i="18"/>
  <c r="Q28" i="18"/>
  <c r="Q32" i="18"/>
  <c r="Q42" i="18"/>
  <c r="Q51" i="18"/>
  <c r="Q61" i="18"/>
  <c r="Q33" i="18"/>
  <c r="Q59" i="18"/>
  <c r="Q60" i="18"/>
  <c r="Q44" i="18"/>
  <c r="Q22" i="18"/>
  <c r="Q45" i="18"/>
  <c r="Q43" i="18"/>
  <c r="Q67" i="18"/>
  <c r="Q58" i="18"/>
  <c r="E3" i="20"/>
  <c r="E6" i="20"/>
  <c r="S36" i="22"/>
  <c r="S59" i="22"/>
  <c r="S32" i="22"/>
  <c r="S23" i="22"/>
  <c r="S39" i="22"/>
  <c r="S45" i="22"/>
  <c r="S24" i="22"/>
  <c r="S16" i="22"/>
  <c r="S40" i="22"/>
  <c r="S58" i="22"/>
  <c r="S30" i="22"/>
  <c r="S21" i="22"/>
  <c r="S37" i="22"/>
  <c r="S31" i="22"/>
  <c r="S22" i="22"/>
  <c r="S33" i="22"/>
  <c r="S61" i="22"/>
  <c r="S38" i="22"/>
  <c r="S35" i="22"/>
  <c r="S41" i="22"/>
  <c r="S26" i="22"/>
  <c r="S44" i="22"/>
  <c r="S53" i="22"/>
  <c r="S47" i="22"/>
  <c r="S42" i="22"/>
  <c r="S54" i="22"/>
  <c r="S27" i="22"/>
  <c r="S18" i="22"/>
  <c r="S17" i="22"/>
  <c r="S28" i="22"/>
  <c r="S19" i="22"/>
  <c r="S60" i="22"/>
  <c r="S46" i="22"/>
  <c r="S25" i="22"/>
  <c r="S14" i="22"/>
  <c r="S55" i="22"/>
  <c r="S57" i="22"/>
  <c r="S52" i="22"/>
  <c r="Q50" i="18" l="1"/>
  <c r="J199" i="26"/>
  <c r="K108" i="26"/>
  <c r="K110" i="26"/>
  <c r="R109" i="26"/>
  <c r="J165" i="26"/>
  <c r="K109" i="26"/>
  <c r="R108" i="26"/>
  <c r="R110" i="26"/>
  <c r="J164" i="26"/>
  <c r="J200" i="26"/>
  <c r="J198" i="26"/>
  <c r="J201" i="26"/>
  <c r="J163" i="26"/>
  <c r="J162" i="26"/>
  <c r="S9" i="22"/>
  <c r="G7" i="18"/>
  <c r="H7" i="22"/>
  <c r="S10" i="22"/>
  <c r="S11" i="22"/>
  <c r="J166" i="26" l="1"/>
  <c r="J167" i="26" s="1"/>
  <c r="J202" i="26"/>
  <c r="R111" i="26"/>
  <c r="R112" i="26" s="1"/>
  <c r="K111" i="26"/>
  <c r="I5" i="22"/>
  <c r="I6" i="22" s="1"/>
  <c r="F2" i="20"/>
  <c r="G21" i="18" l="1"/>
  <c r="Q21" i="18" s="1"/>
  <c r="K112" i="26"/>
  <c r="K124" i="26"/>
  <c r="J203" i="26"/>
  <c r="G23" i="18"/>
  <c r="Q23" i="18" s="1"/>
  <c r="H49" i="18"/>
  <c r="R55" i="18"/>
  <c r="R54" i="18"/>
  <c r="R65" i="18"/>
  <c r="R32" i="18"/>
  <c r="R59" i="18"/>
  <c r="R51" i="18"/>
  <c r="R64" i="18"/>
  <c r="R28" i="18"/>
  <c r="R47" i="18"/>
  <c r="R50" i="18"/>
  <c r="R60" i="18"/>
  <c r="R18" i="18"/>
  <c r="R35" i="18"/>
  <c r="R58" i="18"/>
  <c r="R43" i="18"/>
  <c r="R67" i="18"/>
  <c r="R33" i="18"/>
  <c r="R44" i="18"/>
  <c r="R61" i="18"/>
  <c r="R42" i="18"/>
  <c r="R66" i="18"/>
  <c r="R22" i="18"/>
  <c r="R53" i="18"/>
  <c r="R26" i="18"/>
  <c r="R37" i="18"/>
  <c r="R63" i="18"/>
  <c r="R41" i="18"/>
  <c r="R45" i="18"/>
  <c r="F4" i="20"/>
  <c r="F3" i="20"/>
  <c r="F6" i="20"/>
  <c r="T55" i="22"/>
  <c r="T37" i="22"/>
  <c r="T31" i="22"/>
  <c r="T22" i="22"/>
  <c r="T40" i="22"/>
  <c r="T32" i="22"/>
  <c r="T18" i="22"/>
  <c r="T59" i="22"/>
  <c r="T44" i="22"/>
  <c r="T17" i="22"/>
  <c r="T28" i="22"/>
  <c r="T19" i="22"/>
  <c r="T38" i="22"/>
  <c r="T27" i="22"/>
  <c r="T46" i="22"/>
  <c r="T54" i="22"/>
  <c r="T53" i="22"/>
  <c r="T60" i="22"/>
  <c r="T45" i="22"/>
  <c r="T24" i="22"/>
  <c r="T21" i="22"/>
  <c r="T25" i="22"/>
  <c r="T41" i="22"/>
  <c r="T14" i="22"/>
  <c r="T26" i="22"/>
  <c r="T47" i="22"/>
  <c r="T33" i="22"/>
  <c r="T58" i="22"/>
  <c r="T30" i="22"/>
  <c r="T61" i="22"/>
  <c r="T39" i="22"/>
  <c r="T42" i="22"/>
  <c r="T23" i="22"/>
  <c r="T36" i="22"/>
  <c r="T16" i="22"/>
  <c r="T35" i="22"/>
  <c r="T52" i="22"/>
  <c r="T57" i="22"/>
  <c r="G20" i="18" l="1"/>
  <c r="Q20" i="18" s="1"/>
  <c r="S108" i="26"/>
  <c r="L108" i="26"/>
  <c r="L110" i="26"/>
  <c r="S109" i="26"/>
  <c r="L109" i="26"/>
  <c r="S110" i="26"/>
  <c r="K165" i="26"/>
  <c r="K164" i="26"/>
  <c r="K198" i="26"/>
  <c r="K163" i="26"/>
  <c r="K199" i="26"/>
  <c r="K200" i="26"/>
  <c r="K162" i="26"/>
  <c r="K201" i="26"/>
  <c r="G31" i="18"/>
  <c r="K125" i="26"/>
  <c r="R49" i="18"/>
  <c r="T9" i="22"/>
  <c r="T11" i="22"/>
  <c r="T10" i="22"/>
  <c r="H7" i="18"/>
  <c r="I7" i="22"/>
  <c r="L111" i="26" l="1"/>
  <c r="L112" i="26" s="1"/>
  <c r="G25" i="18"/>
  <c r="Q31" i="18"/>
  <c r="K166" i="26"/>
  <c r="K202" i="26"/>
  <c r="S111" i="26"/>
  <c r="S112" i="26" s="1"/>
  <c r="J5" i="22"/>
  <c r="J6" i="22" s="1"/>
  <c r="G2" i="20"/>
  <c r="L124" i="26" l="1"/>
  <c r="L125" i="26" s="1"/>
  <c r="Q25" i="18"/>
  <c r="G13" i="18"/>
  <c r="G14" i="18"/>
  <c r="K203" i="26"/>
  <c r="H23" i="18"/>
  <c r="R23" i="18" s="1"/>
  <c r="H21" i="18"/>
  <c r="K167" i="26"/>
  <c r="I49" i="18"/>
  <c r="S49" i="18" s="1"/>
  <c r="S54" i="18"/>
  <c r="S55" i="18"/>
  <c r="G3" i="20"/>
  <c r="G4" i="20"/>
  <c r="G6" i="20"/>
  <c r="U28" i="22"/>
  <c r="U19" i="22"/>
  <c r="U38" i="22"/>
  <c r="U27" i="22"/>
  <c r="U60" i="22"/>
  <c r="U17" i="22"/>
  <c r="U39" i="22"/>
  <c r="U26" i="22"/>
  <c r="U47" i="22"/>
  <c r="U33" i="22"/>
  <c r="U25" i="22"/>
  <c r="U55" i="22"/>
  <c r="U14" i="22"/>
  <c r="U30" i="22"/>
  <c r="U22" i="22"/>
  <c r="U32" i="22"/>
  <c r="U44" i="22"/>
  <c r="U45" i="22"/>
  <c r="U24" i="22"/>
  <c r="U42" i="22"/>
  <c r="U46" i="22"/>
  <c r="U23" i="22"/>
  <c r="U37" i="22"/>
  <c r="U41" i="22"/>
  <c r="U21" i="22"/>
  <c r="U54" i="22"/>
  <c r="U16" i="22"/>
  <c r="U31" i="22"/>
  <c r="U40" i="22"/>
  <c r="U18" i="22"/>
  <c r="U35" i="22"/>
  <c r="U58" i="22"/>
  <c r="U36" i="22"/>
  <c r="U61" i="22"/>
  <c r="U59" i="22"/>
  <c r="U53" i="22"/>
  <c r="U57" i="22"/>
  <c r="U52" i="22"/>
  <c r="S61" i="18"/>
  <c r="S50" i="18"/>
  <c r="S53" i="18"/>
  <c r="S66" i="18"/>
  <c r="S40" i="18"/>
  <c r="S18" i="18"/>
  <c r="S51" i="18"/>
  <c r="S35" i="18"/>
  <c r="S67" i="18"/>
  <c r="S45" i="18"/>
  <c r="S47" i="18"/>
  <c r="S33" i="18"/>
  <c r="S41" i="18"/>
  <c r="S64" i="18"/>
  <c r="S44" i="18"/>
  <c r="S60" i="18"/>
  <c r="S43" i="18"/>
  <c r="S46" i="18"/>
  <c r="S32" i="18"/>
  <c r="S28" i="18"/>
  <c r="S37" i="18"/>
  <c r="S65" i="18"/>
  <c r="S59" i="18"/>
  <c r="S22" i="18"/>
  <c r="S42" i="18"/>
  <c r="S26" i="18"/>
  <c r="S58" i="18"/>
  <c r="H31" i="18" l="1"/>
  <c r="H25" i="18" s="1"/>
  <c r="R25" i="18" s="1"/>
  <c r="Q14" i="18"/>
  <c r="Q13" i="18"/>
  <c r="T108" i="26"/>
  <c r="T109" i="26"/>
  <c r="M108" i="26"/>
  <c r="M109" i="26"/>
  <c r="T110" i="26"/>
  <c r="M110" i="26"/>
  <c r="L201" i="26"/>
  <c r="L199" i="26"/>
  <c r="L198" i="26"/>
  <c r="L200" i="26"/>
  <c r="L162" i="26"/>
  <c r="L163" i="26"/>
  <c r="L164" i="26"/>
  <c r="L165" i="26"/>
  <c r="H20" i="18"/>
  <c r="R21" i="18"/>
  <c r="U9" i="22"/>
  <c r="U11" i="22"/>
  <c r="U10" i="22"/>
  <c r="I7" i="18"/>
  <c r="J7" i="22"/>
  <c r="R31" i="18" l="1"/>
  <c r="L166" i="26"/>
  <c r="I21" i="18" s="1"/>
  <c r="M111" i="26"/>
  <c r="M112" i="26" s="1"/>
  <c r="L202" i="26"/>
  <c r="R20" i="18"/>
  <c r="H14" i="18"/>
  <c r="H13" i="18"/>
  <c r="T111" i="26"/>
  <c r="T112" i="26" s="1"/>
  <c r="K5" i="22"/>
  <c r="K6" i="22" s="1"/>
  <c r="H2" i="20"/>
  <c r="L167" i="26" l="1"/>
  <c r="M124" i="26"/>
  <c r="M125" i="26" s="1"/>
  <c r="S21" i="18"/>
  <c r="R14" i="18"/>
  <c r="R13" i="18"/>
  <c r="L203" i="26"/>
  <c r="I23" i="18"/>
  <c r="S23" i="18" s="1"/>
  <c r="J49" i="18"/>
  <c r="T49" i="18" s="1"/>
  <c r="T55" i="18"/>
  <c r="T54" i="18"/>
  <c r="H4" i="20"/>
  <c r="H3" i="20"/>
  <c r="H6" i="20"/>
  <c r="V19" i="22"/>
  <c r="V22" i="22"/>
  <c r="V24" i="22"/>
  <c r="V59" i="22"/>
  <c r="V30" i="22"/>
  <c r="V58" i="22"/>
  <c r="V60" i="22"/>
  <c r="V38" i="22"/>
  <c r="V46" i="22"/>
  <c r="V23" i="22"/>
  <c r="V37" i="22"/>
  <c r="V31" i="22"/>
  <c r="V45" i="22"/>
  <c r="V54" i="22"/>
  <c r="V28" i="22"/>
  <c r="V61" i="22"/>
  <c r="V44" i="22"/>
  <c r="V27" i="22"/>
  <c r="V14" i="22"/>
  <c r="V47" i="22"/>
  <c r="V36" i="22"/>
  <c r="V32" i="22"/>
  <c r="V18" i="22"/>
  <c r="V17" i="22"/>
  <c r="V35" i="22"/>
  <c r="V55" i="22"/>
  <c r="V42" i="22"/>
  <c r="V33" i="22"/>
  <c r="V41" i="22"/>
  <c r="V21" i="22"/>
  <c r="V39" i="22"/>
  <c r="V26" i="22"/>
  <c r="V25" i="22"/>
  <c r="V40" i="22"/>
  <c r="V16" i="22"/>
  <c r="V57" i="22"/>
  <c r="V53" i="22"/>
  <c r="V52" i="22"/>
  <c r="T60" i="18"/>
  <c r="T43" i="18"/>
  <c r="T47" i="18"/>
  <c r="T33" i="18"/>
  <c r="T63" i="18"/>
  <c r="T65" i="18"/>
  <c r="T61" i="18"/>
  <c r="T58" i="18"/>
  <c r="T59" i="18"/>
  <c r="T46" i="18"/>
  <c r="T32" i="18"/>
  <c r="T28" i="18"/>
  <c r="T37" i="18"/>
  <c r="T53" i="18"/>
  <c r="T51" i="18"/>
  <c r="T50" i="18"/>
  <c r="T35" i="18"/>
  <c r="T42" i="18"/>
  <c r="T26" i="18"/>
  <c r="T45" i="18"/>
  <c r="T22" i="18"/>
  <c r="T44" i="18"/>
  <c r="T67" i="18"/>
  <c r="T66" i="18"/>
  <c r="T40" i="18"/>
  <c r="T64" i="18"/>
  <c r="T18" i="18"/>
  <c r="T41" i="18"/>
  <c r="I31" i="18" l="1"/>
  <c r="I25" i="18" s="1"/>
  <c r="S25" i="18" s="1"/>
  <c r="N108" i="26"/>
  <c r="U110" i="26"/>
  <c r="U108" i="26"/>
  <c r="N110" i="26"/>
  <c r="N109" i="26"/>
  <c r="U109" i="26"/>
  <c r="M198" i="26"/>
  <c r="M199" i="26"/>
  <c r="M201" i="26"/>
  <c r="M200" i="26"/>
  <c r="M162" i="26"/>
  <c r="M163" i="26"/>
  <c r="M164" i="26"/>
  <c r="M165" i="26"/>
  <c r="I20" i="18"/>
  <c r="V9" i="22"/>
  <c r="J7" i="18"/>
  <c r="K7" i="22"/>
  <c r="V11" i="22"/>
  <c r="V10" i="22"/>
  <c r="S31" i="18" l="1"/>
  <c r="N111" i="26"/>
  <c r="S20" i="18"/>
  <c r="I11" i="18"/>
  <c r="I9" i="18" s="1"/>
  <c r="S9" i="18" s="1"/>
  <c r="I14" i="18"/>
  <c r="I12" i="18"/>
  <c r="I13" i="18"/>
  <c r="M166" i="26"/>
  <c r="M202" i="26"/>
  <c r="U111" i="26"/>
  <c r="U112" i="26" s="1"/>
  <c r="L5" i="22"/>
  <c r="L6" i="22" s="1"/>
  <c r="I2" i="20"/>
  <c r="S12" i="18" l="1"/>
  <c r="S13" i="18"/>
  <c r="S14" i="18"/>
  <c r="S11" i="18"/>
  <c r="M203" i="26"/>
  <c r="J23" i="18"/>
  <c r="T23" i="18" s="1"/>
  <c r="J21" i="18"/>
  <c r="M167" i="26"/>
  <c r="N112" i="26"/>
  <c r="N124" i="26"/>
  <c r="K49" i="18"/>
  <c r="U49" i="18" s="1"/>
  <c r="U54" i="18"/>
  <c r="U55" i="18"/>
  <c r="I4" i="20"/>
  <c r="I3" i="20"/>
  <c r="I6" i="20"/>
  <c r="W36" i="22"/>
  <c r="W38" i="22"/>
  <c r="W42" i="22"/>
  <c r="W55" i="22"/>
  <c r="W59" i="22"/>
  <c r="W32" i="22"/>
  <c r="W23" i="22"/>
  <c r="W41" i="22"/>
  <c r="W14" i="22"/>
  <c r="W26" i="22"/>
  <c r="W54" i="22"/>
  <c r="W18" i="22"/>
  <c r="W31" i="22"/>
  <c r="W46" i="22"/>
  <c r="W53" i="22"/>
  <c r="W61" i="22"/>
  <c r="W33" i="22"/>
  <c r="W35" i="22"/>
  <c r="W58" i="22"/>
  <c r="W30" i="22"/>
  <c r="W21" i="22"/>
  <c r="W39" i="22"/>
  <c r="W45" i="22"/>
  <c r="W24" i="22"/>
  <c r="W40" i="22"/>
  <c r="W16" i="22"/>
  <c r="W47" i="22"/>
  <c r="W60" i="22"/>
  <c r="W27" i="22"/>
  <c r="W37" i="22"/>
  <c r="W22" i="22"/>
  <c r="W25" i="22"/>
  <c r="W17" i="22"/>
  <c r="W19" i="22"/>
  <c r="W28" i="22"/>
  <c r="W44" i="22"/>
  <c r="W57" i="22"/>
  <c r="W52" i="22"/>
  <c r="U66" i="18"/>
  <c r="U40" i="18"/>
  <c r="U18" i="18"/>
  <c r="U53" i="18"/>
  <c r="U51" i="18"/>
  <c r="U47" i="18"/>
  <c r="U33" i="18"/>
  <c r="U67" i="18"/>
  <c r="U45" i="18"/>
  <c r="U22" i="18"/>
  <c r="U44" i="18"/>
  <c r="U50" i="18"/>
  <c r="U35" i="18"/>
  <c r="U46" i="18"/>
  <c r="U32" i="18"/>
  <c r="U28" i="18"/>
  <c r="U60" i="18"/>
  <c r="U41" i="18"/>
  <c r="U64" i="18"/>
  <c r="U37" i="18"/>
  <c r="U43" i="18"/>
  <c r="U42" i="18"/>
  <c r="U26" i="18"/>
  <c r="U65" i="18"/>
  <c r="U61" i="18"/>
  <c r="U63" i="18"/>
  <c r="U59" i="18"/>
  <c r="U58" i="18"/>
  <c r="J20" i="18" l="1"/>
  <c r="T21" i="18"/>
  <c r="O108" i="26"/>
  <c r="V110" i="26"/>
  <c r="V109" i="26"/>
  <c r="V108" i="26"/>
  <c r="O109" i="26"/>
  <c r="N200" i="26"/>
  <c r="O110" i="26"/>
  <c r="N201" i="26"/>
  <c r="N198" i="26"/>
  <c r="N199" i="26"/>
  <c r="N163" i="26"/>
  <c r="N164" i="26"/>
  <c r="N165" i="26"/>
  <c r="N162" i="26"/>
  <c r="J31" i="18"/>
  <c r="N125" i="26"/>
  <c r="W9" i="22"/>
  <c r="W10" i="22"/>
  <c r="W11" i="22"/>
  <c r="K7" i="18"/>
  <c r="L7" i="22"/>
  <c r="N166" i="26" l="1"/>
  <c r="K21" i="18" s="1"/>
  <c r="O111" i="26"/>
  <c r="O112" i="26" s="1"/>
  <c r="N202" i="26"/>
  <c r="V111" i="26"/>
  <c r="V112" i="26" s="1"/>
  <c r="J25" i="18"/>
  <c r="T25" i="18" s="1"/>
  <c r="T31" i="18"/>
  <c r="T20" i="18"/>
  <c r="G5" i="22"/>
  <c r="D2" i="20"/>
  <c r="AQ176" i="19"/>
  <c r="AR176" i="19" s="1"/>
  <c r="AS176" i="19" s="1"/>
  <c r="AT176" i="19" s="1"/>
  <c r="AU176" i="19" s="1"/>
  <c r="AV176" i="19" s="1"/>
  <c r="AW176" i="19" s="1"/>
  <c r="AX176" i="19" s="1"/>
  <c r="AY176" i="19" s="1"/>
  <c r="AZ176" i="19" s="1"/>
  <c r="BA176" i="19" s="1"/>
  <c r="AH176" i="19"/>
  <c r="DW176" i="19" s="1"/>
  <c r="AG176" i="19"/>
  <c r="AF176" i="19"/>
  <c r="AC176" i="19"/>
  <c r="EF175" i="19"/>
  <c r="DX175" i="19"/>
  <c r="DW175" i="19"/>
  <c r="DV175" i="19"/>
  <c r="DU175" i="19"/>
  <c r="AQ175" i="19"/>
  <c r="AI175" i="19"/>
  <c r="AG175" i="19"/>
  <c r="AF175" i="19"/>
  <c r="AE175" i="19"/>
  <c r="EF174" i="19"/>
  <c r="AQ174" i="19"/>
  <c r="AI174" i="19"/>
  <c r="AH174" i="19"/>
  <c r="DX174" i="19" s="1"/>
  <c r="AF174" i="19"/>
  <c r="AE174" i="19"/>
  <c r="AD174" i="19"/>
  <c r="AQ173" i="19"/>
  <c r="AR173" i="19" s="1"/>
  <c r="AS173" i="19" s="1"/>
  <c r="AT173" i="19" s="1"/>
  <c r="AU173" i="19" s="1"/>
  <c r="AV173" i="19" s="1"/>
  <c r="AW173" i="19" s="1"/>
  <c r="AX173" i="19" s="1"/>
  <c r="AY173" i="19" s="1"/>
  <c r="AZ173" i="19" s="1"/>
  <c r="BA173" i="19" s="1"/>
  <c r="AI173" i="19"/>
  <c r="AH173" i="19"/>
  <c r="DV173" i="19" s="1"/>
  <c r="AG173" i="19"/>
  <c r="AE173" i="19"/>
  <c r="AD173" i="19"/>
  <c r="AC173" i="19"/>
  <c r="AQ172" i="19"/>
  <c r="AR172" i="19" s="1"/>
  <c r="AS172" i="19" s="1"/>
  <c r="AT172" i="19" s="1"/>
  <c r="AU172" i="19" s="1"/>
  <c r="AV172" i="19" s="1"/>
  <c r="AW172" i="19" s="1"/>
  <c r="AX172" i="19" s="1"/>
  <c r="AY172" i="19" s="1"/>
  <c r="AZ172" i="19" s="1"/>
  <c r="BA172" i="19" s="1"/>
  <c r="AH172" i="19"/>
  <c r="DU172" i="19" s="1"/>
  <c r="AG172" i="19"/>
  <c r="AF172" i="19"/>
  <c r="AD172" i="19"/>
  <c r="AC172" i="19"/>
  <c r="DX171" i="19"/>
  <c r="DW171" i="19"/>
  <c r="DV171" i="19"/>
  <c r="DU171" i="19"/>
  <c r="AQ171" i="19"/>
  <c r="AR171" i="19" s="1"/>
  <c r="AS171" i="19" s="1"/>
  <c r="AT171" i="19" s="1"/>
  <c r="AU171" i="19" s="1"/>
  <c r="AV171" i="19" s="1"/>
  <c r="AW171" i="19" s="1"/>
  <c r="AX171" i="19" s="1"/>
  <c r="AY171" i="19" s="1"/>
  <c r="AZ171" i="19" s="1"/>
  <c r="BA171" i="19" s="1"/>
  <c r="AI171" i="19"/>
  <c r="AG171" i="19"/>
  <c r="AF171" i="19"/>
  <c r="AE171" i="19"/>
  <c r="AC171" i="19"/>
  <c r="AQ170" i="19"/>
  <c r="AR170" i="19" s="1"/>
  <c r="AS170" i="19" s="1"/>
  <c r="AT170" i="19" s="1"/>
  <c r="AU170" i="19" s="1"/>
  <c r="AV170" i="19" s="1"/>
  <c r="AW170" i="19" s="1"/>
  <c r="AX170" i="19" s="1"/>
  <c r="AY170" i="19" s="1"/>
  <c r="AZ170" i="19" s="1"/>
  <c r="BA170" i="19" s="1"/>
  <c r="AH170" i="19"/>
  <c r="DU170" i="19" s="1"/>
  <c r="AF170" i="19"/>
  <c r="AE170" i="19"/>
  <c r="AD170" i="19"/>
  <c r="AC170" i="19"/>
  <c r="DW169" i="19"/>
  <c r="DV169" i="19"/>
  <c r="DU169" i="19"/>
  <c r="AQ169" i="19"/>
  <c r="AR169" i="19" s="1"/>
  <c r="AS169" i="19" s="1"/>
  <c r="AT169" i="19" s="1"/>
  <c r="AU169" i="19" s="1"/>
  <c r="AV169" i="19" s="1"/>
  <c r="AW169" i="19" s="1"/>
  <c r="AX169" i="19" s="1"/>
  <c r="AY169" i="19" s="1"/>
  <c r="AZ169" i="19" s="1"/>
  <c r="BA169" i="19" s="1"/>
  <c r="AG169" i="19"/>
  <c r="AE169" i="19"/>
  <c r="AD169" i="19"/>
  <c r="AC169" i="19"/>
  <c r="DV168" i="19"/>
  <c r="DU168" i="19"/>
  <c r="AQ168" i="19"/>
  <c r="AR168" i="19" s="1"/>
  <c r="AS168" i="19" s="1"/>
  <c r="AT168" i="19" s="1"/>
  <c r="AU168" i="19" s="1"/>
  <c r="AV168" i="19" s="1"/>
  <c r="AW168" i="19" s="1"/>
  <c r="AX168" i="19" s="1"/>
  <c r="AY168" i="19" s="1"/>
  <c r="AZ168" i="19" s="1"/>
  <c r="BA168" i="19" s="1"/>
  <c r="AI168" i="19"/>
  <c r="AF168" i="19"/>
  <c r="AD168" i="19"/>
  <c r="AC168" i="19"/>
  <c r="AQ167" i="19"/>
  <c r="AR167" i="19" s="1"/>
  <c r="AS167" i="19" s="1"/>
  <c r="AT167" i="19" s="1"/>
  <c r="AU167" i="19" s="1"/>
  <c r="AV167" i="19" s="1"/>
  <c r="AW167" i="19" s="1"/>
  <c r="AX167" i="19" s="1"/>
  <c r="AY167" i="19" s="1"/>
  <c r="AZ167" i="19" s="1"/>
  <c r="BA167" i="19" s="1"/>
  <c r="AI167" i="19"/>
  <c r="AH167" i="19"/>
  <c r="DU167" i="19" s="1"/>
  <c r="AE167" i="19"/>
  <c r="AC167" i="19"/>
  <c r="AQ166" i="19"/>
  <c r="AR166" i="19" s="1"/>
  <c r="AS166" i="19" s="1"/>
  <c r="AT166" i="19" s="1"/>
  <c r="AU166" i="19" s="1"/>
  <c r="AV166" i="19" s="1"/>
  <c r="AW166" i="19" s="1"/>
  <c r="AX166" i="19" s="1"/>
  <c r="AY166" i="19" s="1"/>
  <c r="AZ166" i="19" s="1"/>
  <c r="BA166" i="19" s="1"/>
  <c r="AI166" i="19"/>
  <c r="AH166" i="19"/>
  <c r="AG166" i="19"/>
  <c r="AD166" i="19"/>
  <c r="AQ165" i="19"/>
  <c r="AR165" i="19" s="1"/>
  <c r="AS165" i="19" s="1"/>
  <c r="AT165" i="19" s="1"/>
  <c r="AU165" i="19" s="1"/>
  <c r="AV165" i="19" s="1"/>
  <c r="AW165" i="19" s="1"/>
  <c r="AX165" i="19" s="1"/>
  <c r="AY165" i="19" s="1"/>
  <c r="AZ165" i="19" s="1"/>
  <c r="BA165" i="19" s="1"/>
  <c r="AI165" i="19"/>
  <c r="AH165" i="19"/>
  <c r="AG165" i="19"/>
  <c r="AF165" i="19"/>
  <c r="AC165" i="19"/>
  <c r="EA162" i="19"/>
  <c r="EA161" i="19"/>
  <c r="EA160" i="19"/>
  <c r="EA159" i="19"/>
  <c r="EA158" i="19"/>
  <c r="EA157" i="19"/>
  <c r="EA156" i="19"/>
  <c r="EA155" i="19"/>
  <c r="EA154" i="19"/>
  <c r="H154" i="19"/>
  <c r="I154" i="19" s="1"/>
  <c r="EA153" i="19"/>
  <c r="I153" i="19"/>
  <c r="EA152" i="19"/>
  <c r="DU152" i="19"/>
  <c r="DO152" i="19"/>
  <c r="DP153" i="19" s="1"/>
  <c r="I152" i="19"/>
  <c r="I151" i="19"/>
  <c r="I150" i="19"/>
  <c r="I149" i="19"/>
  <c r="DZ148" i="19"/>
  <c r="DT148" i="19"/>
  <c r="DT149" i="19" s="1"/>
  <c r="DN148" i="19"/>
  <c r="DN149" i="19" s="1"/>
  <c r="I148" i="19"/>
  <c r="EQ151" i="19"/>
  <c r="ES152" i="19" s="1"/>
  <c r="EP151" i="19"/>
  <c r="EM151" i="19"/>
  <c r="EN152" i="19" s="1"/>
  <c r="EO153" i="19" s="1"/>
  <c r="EP154" i="19" s="1"/>
  <c r="EL151" i="19"/>
  <c r="EI151" i="19"/>
  <c r="EJ152" i="19" s="1"/>
  <c r="EK153" i="19" s="1"/>
  <c r="EL154" i="19" s="1"/>
  <c r="EH151" i="19"/>
  <c r="EI152" i="19" s="1"/>
  <c r="DT147" i="19"/>
  <c r="DN147" i="19"/>
  <c r="V147" i="19"/>
  <c r="U147" i="19"/>
  <c r="T147" i="19"/>
  <c r="S147" i="19"/>
  <c r="R147" i="19"/>
  <c r="Q147" i="19"/>
  <c r="P147" i="19"/>
  <c r="I147" i="19"/>
  <c r="DZ146" i="19"/>
  <c r="DT146" i="19"/>
  <c r="DN146" i="19"/>
  <c r="V146" i="19"/>
  <c r="V179" i="19" s="1"/>
  <c r="U146" i="19"/>
  <c r="U179" i="19" s="1"/>
  <c r="T146" i="19"/>
  <c r="T179" i="19" s="1"/>
  <c r="S146" i="19"/>
  <c r="S179" i="19" s="1"/>
  <c r="R146" i="19"/>
  <c r="R179" i="19" s="1"/>
  <c r="Q146" i="19"/>
  <c r="Q179" i="19" s="1"/>
  <c r="P146" i="19"/>
  <c r="P179" i="19" s="1"/>
  <c r="I146" i="19"/>
  <c r="DZ145" i="19"/>
  <c r="DT145" i="19"/>
  <c r="DN145" i="19"/>
  <c r="V145" i="19"/>
  <c r="U145" i="19"/>
  <c r="T145" i="19"/>
  <c r="S145" i="19"/>
  <c r="R145" i="19"/>
  <c r="Q145" i="19"/>
  <c r="P145" i="19"/>
  <c r="I145" i="19"/>
  <c r="DT144" i="19"/>
  <c r="DN144" i="19"/>
  <c r="V144" i="19"/>
  <c r="U144" i="19"/>
  <c r="T144" i="19"/>
  <c r="S144" i="19"/>
  <c r="R144" i="19"/>
  <c r="Q144" i="19"/>
  <c r="P144" i="19"/>
  <c r="I144" i="19"/>
  <c r="DT143" i="19"/>
  <c r="DN143" i="19"/>
  <c r="V143" i="19"/>
  <c r="AI148" i="19" s="1"/>
  <c r="U143" i="19"/>
  <c r="AH148" i="19" s="1"/>
  <c r="T143" i="19"/>
  <c r="AG148" i="19" s="1"/>
  <c r="S143" i="19"/>
  <c r="AF148" i="19" s="1"/>
  <c r="R143" i="19"/>
  <c r="AE148" i="19" s="1"/>
  <c r="Q143" i="19"/>
  <c r="AD148" i="19" s="1"/>
  <c r="P143" i="19"/>
  <c r="AC148" i="19" s="1"/>
  <c r="I143" i="19"/>
  <c r="I142" i="19"/>
  <c r="AQ130" i="19"/>
  <c r="AR130" i="19" s="1"/>
  <c r="AS130" i="19" s="1"/>
  <c r="AT130" i="19" s="1"/>
  <c r="AU130" i="19" s="1"/>
  <c r="AV130" i="19" s="1"/>
  <c r="AW130" i="19" s="1"/>
  <c r="AX130" i="19" s="1"/>
  <c r="AY130" i="19" s="1"/>
  <c r="AZ130" i="19" s="1"/>
  <c r="BA130" i="19" s="1"/>
  <c r="AH130" i="19"/>
  <c r="AG130" i="19"/>
  <c r="AF130" i="19"/>
  <c r="AE130" i="19"/>
  <c r="AD130" i="19"/>
  <c r="AC130" i="19"/>
  <c r="EF129" i="19"/>
  <c r="DX129" i="19"/>
  <c r="DW129" i="19"/>
  <c r="DV129" i="19"/>
  <c r="DU129" i="19"/>
  <c r="DT129" i="19"/>
  <c r="AQ129" i="19"/>
  <c r="AI129" i="19"/>
  <c r="AG129" i="19"/>
  <c r="AF129" i="19"/>
  <c r="AE129" i="19"/>
  <c r="AD129" i="19"/>
  <c r="AC129" i="19"/>
  <c r="EF128" i="19"/>
  <c r="AQ128" i="19"/>
  <c r="AI128" i="19"/>
  <c r="AH128" i="19"/>
  <c r="DX128" i="19" s="1"/>
  <c r="AF128" i="19"/>
  <c r="AE128" i="19"/>
  <c r="AD128" i="19"/>
  <c r="AC128" i="19"/>
  <c r="AQ127" i="19"/>
  <c r="AR127" i="19" s="1"/>
  <c r="AS127" i="19" s="1"/>
  <c r="AT127" i="19" s="1"/>
  <c r="AU127" i="19" s="1"/>
  <c r="AV127" i="19" s="1"/>
  <c r="AW127" i="19" s="1"/>
  <c r="AX127" i="19" s="1"/>
  <c r="AY127" i="19" s="1"/>
  <c r="AZ127" i="19" s="1"/>
  <c r="BA127" i="19" s="1"/>
  <c r="AI127" i="19"/>
  <c r="AH127" i="19"/>
  <c r="DU127" i="19" s="1"/>
  <c r="AG127" i="19"/>
  <c r="AE127" i="19"/>
  <c r="AD127" i="19"/>
  <c r="AC127" i="19"/>
  <c r="AQ126" i="19"/>
  <c r="AR126" i="19" s="1"/>
  <c r="AS126" i="19" s="1"/>
  <c r="AT126" i="19" s="1"/>
  <c r="AU126" i="19" s="1"/>
  <c r="AV126" i="19" s="1"/>
  <c r="AW126" i="19" s="1"/>
  <c r="AX126" i="19" s="1"/>
  <c r="AY126" i="19" s="1"/>
  <c r="AZ126" i="19" s="1"/>
  <c r="BA126" i="19" s="1"/>
  <c r="AI126" i="19"/>
  <c r="AH126" i="19"/>
  <c r="DX126" i="19" s="1"/>
  <c r="AG126" i="19"/>
  <c r="AF126" i="19"/>
  <c r="AD126" i="19"/>
  <c r="AC126" i="19"/>
  <c r="AQ125" i="19"/>
  <c r="AR125" i="19" s="1"/>
  <c r="AS125" i="19" s="1"/>
  <c r="AT125" i="19" s="1"/>
  <c r="AU125" i="19" s="1"/>
  <c r="AV125" i="19" s="1"/>
  <c r="AW125" i="19" s="1"/>
  <c r="AX125" i="19" s="1"/>
  <c r="AY125" i="19" s="1"/>
  <c r="AZ125" i="19" s="1"/>
  <c r="BA125" i="19" s="1"/>
  <c r="AI125" i="19"/>
  <c r="AH125" i="19"/>
  <c r="DU125" i="19" s="1"/>
  <c r="AG125" i="19"/>
  <c r="AF125" i="19"/>
  <c r="AE125" i="19"/>
  <c r="AC125" i="19"/>
  <c r="AQ124" i="19"/>
  <c r="AR124" i="19" s="1"/>
  <c r="AS124" i="19" s="1"/>
  <c r="AT124" i="19" s="1"/>
  <c r="AU124" i="19" s="1"/>
  <c r="AV124" i="19" s="1"/>
  <c r="AW124" i="19" s="1"/>
  <c r="AX124" i="19" s="1"/>
  <c r="AY124" i="19" s="1"/>
  <c r="AZ124" i="19" s="1"/>
  <c r="BA124" i="19" s="1"/>
  <c r="AH124" i="19"/>
  <c r="DU124" i="19" s="1"/>
  <c r="AG124" i="19"/>
  <c r="AF124" i="19"/>
  <c r="AE124" i="19"/>
  <c r="AD124" i="19"/>
  <c r="AC124" i="19"/>
  <c r="DW123" i="19"/>
  <c r="DV123" i="19"/>
  <c r="DU123" i="19"/>
  <c r="AQ123" i="19"/>
  <c r="AR123" i="19" s="1"/>
  <c r="AS123" i="19" s="1"/>
  <c r="AT123" i="19" s="1"/>
  <c r="AU123" i="19" s="1"/>
  <c r="AV123" i="19" s="1"/>
  <c r="AW123" i="19" s="1"/>
  <c r="AX123" i="19" s="1"/>
  <c r="AY123" i="19" s="1"/>
  <c r="AZ123" i="19" s="1"/>
  <c r="BA123" i="19" s="1"/>
  <c r="AI123" i="19"/>
  <c r="AG123" i="19"/>
  <c r="AF123" i="19"/>
  <c r="AE123" i="19"/>
  <c r="AD123" i="19"/>
  <c r="AC123" i="19"/>
  <c r="AQ122" i="19"/>
  <c r="AR122" i="19" s="1"/>
  <c r="AS122" i="19" s="1"/>
  <c r="AT122" i="19" s="1"/>
  <c r="AU122" i="19" s="1"/>
  <c r="AV122" i="19" s="1"/>
  <c r="AW122" i="19" s="1"/>
  <c r="AX122" i="19" s="1"/>
  <c r="AY122" i="19" s="1"/>
  <c r="AZ122" i="19" s="1"/>
  <c r="BA122" i="19" s="1"/>
  <c r="AI122" i="19"/>
  <c r="AH122" i="19"/>
  <c r="DV122" i="19" s="1"/>
  <c r="AF122" i="19"/>
  <c r="AE122" i="19"/>
  <c r="AD122" i="19"/>
  <c r="AC122" i="19"/>
  <c r="AQ121" i="19"/>
  <c r="AR121" i="19" s="1"/>
  <c r="AS121" i="19" s="1"/>
  <c r="AT121" i="19" s="1"/>
  <c r="AU121" i="19" s="1"/>
  <c r="AV121" i="19" s="1"/>
  <c r="AW121" i="19" s="1"/>
  <c r="AX121" i="19" s="1"/>
  <c r="AY121" i="19" s="1"/>
  <c r="AZ121" i="19" s="1"/>
  <c r="BA121" i="19" s="1"/>
  <c r="AI121" i="19"/>
  <c r="AH121" i="19"/>
  <c r="DU121" i="19" s="1"/>
  <c r="AG121" i="19"/>
  <c r="AE121" i="19"/>
  <c r="AD121" i="19"/>
  <c r="AC121" i="19"/>
  <c r="AQ120" i="19"/>
  <c r="AR120" i="19" s="1"/>
  <c r="AS120" i="19" s="1"/>
  <c r="AT120" i="19" s="1"/>
  <c r="AU120" i="19" s="1"/>
  <c r="AV120" i="19" s="1"/>
  <c r="AW120" i="19" s="1"/>
  <c r="AX120" i="19" s="1"/>
  <c r="AY120" i="19" s="1"/>
  <c r="AZ120" i="19" s="1"/>
  <c r="BA120" i="19" s="1"/>
  <c r="AI120" i="19"/>
  <c r="AH120" i="19"/>
  <c r="AG120" i="19"/>
  <c r="AF120" i="19"/>
  <c r="AD120" i="19"/>
  <c r="AC120" i="19"/>
  <c r="AQ119" i="19"/>
  <c r="AR119" i="19" s="1"/>
  <c r="AS119" i="19" s="1"/>
  <c r="AT119" i="19" s="1"/>
  <c r="AU119" i="19" s="1"/>
  <c r="AV119" i="19" s="1"/>
  <c r="AW119" i="19" s="1"/>
  <c r="AX119" i="19" s="1"/>
  <c r="AY119" i="19" s="1"/>
  <c r="AZ119" i="19" s="1"/>
  <c r="BA119" i="19" s="1"/>
  <c r="AI119" i="19"/>
  <c r="AH119" i="19"/>
  <c r="AG119" i="19"/>
  <c r="AF119" i="19"/>
  <c r="AE119" i="19"/>
  <c r="AC119" i="19"/>
  <c r="EA116" i="19"/>
  <c r="EA115" i="19"/>
  <c r="EA114" i="19"/>
  <c r="EA113" i="19"/>
  <c r="EA112" i="19"/>
  <c r="EA111" i="19"/>
  <c r="EA110" i="19"/>
  <c r="EA109" i="19"/>
  <c r="EB110" i="19" s="1"/>
  <c r="EA108" i="19"/>
  <c r="EB109" i="19" s="1"/>
  <c r="EC110" i="19" s="1"/>
  <c r="H108" i="19"/>
  <c r="I108" i="19" s="1"/>
  <c r="EA107" i="19"/>
  <c r="EB108" i="19" s="1"/>
  <c r="I107" i="19"/>
  <c r="EA106" i="19"/>
  <c r="DU106" i="19"/>
  <c r="DO106" i="19"/>
  <c r="I106" i="19"/>
  <c r="I105" i="19"/>
  <c r="I104" i="19"/>
  <c r="I103" i="19"/>
  <c r="I102" i="19"/>
  <c r="EQ105" i="19"/>
  <c r="ES106" i="19" s="1"/>
  <c r="EP105" i="19"/>
  <c r="EN105" i="19"/>
  <c r="EO106" i="19" s="1"/>
  <c r="EP107" i="19" s="1"/>
  <c r="EM105" i="19"/>
  <c r="EL105" i="19"/>
  <c r="EK105" i="19"/>
  <c r="EJ105" i="19"/>
  <c r="EK106" i="19" s="1"/>
  <c r="EL107" i="19" s="1"/>
  <c r="EM108" i="19" s="1"/>
  <c r="EH105" i="19"/>
  <c r="DT101" i="19"/>
  <c r="DN101" i="19"/>
  <c r="V101" i="19"/>
  <c r="U101" i="19"/>
  <c r="T101" i="19"/>
  <c r="S101" i="19"/>
  <c r="R101" i="19"/>
  <c r="Q101" i="19"/>
  <c r="P101" i="19"/>
  <c r="I101" i="19"/>
  <c r="DZ100" i="19"/>
  <c r="DT100" i="19"/>
  <c r="DN100" i="19"/>
  <c r="V100" i="19"/>
  <c r="V133" i="19" s="1"/>
  <c r="U100" i="19"/>
  <c r="U133" i="19" s="1"/>
  <c r="T100" i="19"/>
  <c r="T133" i="19" s="1"/>
  <c r="S100" i="19"/>
  <c r="S133" i="19" s="1"/>
  <c r="R100" i="19"/>
  <c r="R133" i="19" s="1"/>
  <c r="Q100" i="19"/>
  <c r="Q133" i="19" s="1"/>
  <c r="P100" i="19"/>
  <c r="P133" i="19" s="1"/>
  <c r="I100" i="19"/>
  <c r="DZ99" i="19"/>
  <c r="DT99" i="19"/>
  <c r="DN99" i="19"/>
  <c r="V99" i="19"/>
  <c r="U99" i="19"/>
  <c r="T99" i="19"/>
  <c r="S99" i="19"/>
  <c r="R99" i="19"/>
  <c r="Q99" i="19"/>
  <c r="P99" i="19"/>
  <c r="I99" i="19"/>
  <c r="DT98" i="19"/>
  <c r="DN98" i="19"/>
  <c r="V98" i="19"/>
  <c r="U98" i="19"/>
  <c r="T98" i="19"/>
  <c r="S98" i="19"/>
  <c r="R98" i="19"/>
  <c r="Q98" i="19"/>
  <c r="P98" i="19"/>
  <c r="I98" i="19"/>
  <c r="DT97" i="19"/>
  <c r="DN97" i="19"/>
  <c r="V97" i="19"/>
  <c r="AI102" i="19" s="1"/>
  <c r="U97" i="19"/>
  <c r="AH102" i="19" s="1"/>
  <c r="T97" i="19"/>
  <c r="AG102" i="19" s="1"/>
  <c r="S97" i="19"/>
  <c r="AF102" i="19" s="1"/>
  <c r="R97" i="19"/>
  <c r="AE102" i="19" s="1"/>
  <c r="Q97" i="19"/>
  <c r="AD102" i="19" s="1"/>
  <c r="P97" i="19"/>
  <c r="AC102" i="19" s="1"/>
  <c r="I97" i="19"/>
  <c r="I96" i="19"/>
  <c r="EF78" i="19"/>
  <c r="AI77" i="19"/>
  <c r="AH77" i="19"/>
  <c r="DW77" i="19" s="1"/>
  <c r="AG77" i="19"/>
  <c r="AF77" i="19"/>
  <c r="AE77" i="19"/>
  <c r="AD77" i="19"/>
  <c r="AC77" i="19"/>
  <c r="AI76" i="19"/>
  <c r="AH76" i="19"/>
  <c r="AG76" i="19"/>
  <c r="AF76" i="19"/>
  <c r="AE76" i="19"/>
  <c r="AD76" i="19"/>
  <c r="AC76" i="19"/>
  <c r="AI75" i="19"/>
  <c r="AH75" i="19"/>
  <c r="AG75" i="19"/>
  <c r="AF75" i="19"/>
  <c r="AE75" i="19"/>
  <c r="AD75" i="19"/>
  <c r="AC75" i="19"/>
  <c r="AI74" i="19"/>
  <c r="AH74" i="19"/>
  <c r="DW74" i="19" s="1"/>
  <c r="AG74" i="19"/>
  <c r="AF74" i="19"/>
  <c r="AE74" i="19"/>
  <c r="AD74" i="19"/>
  <c r="AC74" i="19"/>
  <c r="AI73" i="19"/>
  <c r="AH73" i="19"/>
  <c r="DU73" i="19" s="1"/>
  <c r="AG73" i="19"/>
  <c r="AF73" i="19"/>
  <c r="AE73" i="19"/>
  <c r="AD73" i="19"/>
  <c r="AC73" i="19"/>
  <c r="AI72" i="19"/>
  <c r="AH72" i="19"/>
  <c r="DU72" i="19" s="1"/>
  <c r="AG72" i="19"/>
  <c r="AF72" i="19"/>
  <c r="AE72" i="19"/>
  <c r="AD72" i="19"/>
  <c r="AC72" i="19"/>
  <c r="AI71" i="19"/>
  <c r="AH71" i="19"/>
  <c r="DU71" i="19" s="1"/>
  <c r="AG71" i="19"/>
  <c r="AF71" i="19"/>
  <c r="AE71" i="19"/>
  <c r="AD71" i="19"/>
  <c r="AC71" i="19"/>
  <c r="AI70" i="19"/>
  <c r="AH70" i="19"/>
  <c r="AG70" i="19"/>
  <c r="AF70" i="19"/>
  <c r="AE70" i="19"/>
  <c r="AD70" i="19"/>
  <c r="AC70" i="19"/>
  <c r="AI69" i="19"/>
  <c r="AH69" i="19"/>
  <c r="AG69" i="19"/>
  <c r="AF69" i="19"/>
  <c r="AE69" i="19"/>
  <c r="AD69" i="19"/>
  <c r="AC69" i="19"/>
  <c r="EA66" i="19"/>
  <c r="Y66" i="19"/>
  <c r="EA65" i="19"/>
  <c r="EA64" i="19"/>
  <c r="EA63" i="19"/>
  <c r="EA62" i="19"/>
  <c r="EA61" i="19"/>
  <c r="EB62" i="19" s="1"/>
  <c r="EA60" i="19"/>
  <c r="EB61" i="19" s="1"/>
  <c r="EA59" i="19"/>
  <c r="DU59" i="19"/>
  <c r="DO59" i="19"/>
  <c r="G58" i="19"/>
  <c r="D58" i="19"/>
  <c r="C58" i="19"/>
  <c r="H57" i="19"/>
  <c r="H56" i="19"/>
  <c r="DZ55" i="19"/>
  <c r="DT55" i="19"/>
  <c r="DT56" i="19" s="1"/>
  <c r="DN55" i="19"/>
  <c r="DN56" i="19" s="1"/>
  <c r="H55" i="19"/>
  <c r="EO58" i="19"/>
  <c r="EK58" i="19"/>
  <c r="EK69" i="19" s="1"/>
  <c r="EG58" i="19"/>
  <c r="EG69" i="19" s="1"/>
  <c r="DT54" i="19"/>
  <c r="DN54" i="19"/>
  <c r="V54" i="19"/>
  <c r="U54" i="19"/>
  <c r="T54" i="19"/>
  <c r="S54" i="19"/>
  <c r="R54" i="19"/>
  <c r="Q54" i="19"/>
  <c r="P54" i="19"/>
  <c r="H54" i="19"/>
  <c r="DZ53" i="19"/>
  <c r="DT53" i="19"/>
  <c r="DN53" i="19"/>
  <c r="V53" i="19"/>
  <c r="V80" i="19" s="1"/>
  <c r="U53" i="19"/>
  <c r="U80" i="19" s="1"/>
  <c r="T53" i="19"/>
  <c r="T80" i="19" s="1"/>
  <c r="S53" i="19"/>
  <c r="S80" i="19" s="1"/>
  <c r="R53" i="19"/>
  <c r="R80" i="19" s="1"/>
  <c r="Q53" i="19"/>
  <c r="Q80" i="19" s="1"/>
  <c r="P53" i="19"/>
  <c r="P80" i="19" s="1"/>
  <c r="H53" i="19"/>
  <c r="DZ52" i="19"/>
  <c r="DT52" i="19"/>
  <c r="DN52" i="19"/>
  <c r="V52" i="19"/>
  <c r="U52" i="19"/>
  <c r="T52" i="19"/>
  <c r="S52" i="19"/>
  <c r="R52" i="19"/>
  <c r="Q52" i="19"/>
  <c r="P52" i="19"/>
  <c r="H52" i="19"/>
  <c r="DT51" i="19"/>
  <c r="DN51" i="19"/>
  <c r="V51" i="19"/>
  <c r="U51" i="19"/>
  <c r="T51" i="19"/>
  <c r="S51" i="19"/>
  <c r="R51" i="19"/>
  <c r="Q51" i="19"/>
  <c r="P51" i="19"/>
  <c r="H51" i="19"/>
  <c r="DT50" i="19"/>
  <c r="DN50" i="19"/>
  <c r="V50" i="19"/>
  <c r="AI55" i="19" s="1"/>
  <c r="U50" i="19"/>
  <c r="AH55" i="19" s="1"/>
  <c r="T50" i="19"/>
  <c r="AG55" i="19" s="1"/>
  <c r="S50" i="19"/>
  <c r="AF55" i="19" s="1"/>
  <c r="R50" i="19"/>
  <c r="AE55" i="19" s="1"/>
  <c r="Q50" i="19"/>
  <c r="AD55" i="19" s="1"/>
  <c r="P50" i="19"/>
  <c r="AC55" i="19" s="1"/>
  <c r="H50" i="19"/>
  <c r="H49" i="19"/>
  <c r="AQ34" i="19"/>
  <c r="AR34" i="19" s="1"/>
  <c r="AS34" i="19" s="1"/>
  <c r="AT34" i="19" s="1"/>
  <c r="AU34" i="19" s="1"/>
  <c r="AV34" i="19" s="1"/>
  <c r="AW34" i="19" s="1"/>
  <c r="AX34" i="19" s="1"/>
  <c r="AY34" i="19" s="1"/>
  <c r="AZ34" i="19" s="1"/>
  <c r="BA34" i="19" s="1"/>
  <c r="AI34" i="19"/>
  <c r="AK34" i="19" s="1"/>
  <c r="AL34" i="19" s="1"/>
  <c r="AM34" i="19" s="1"/>
  <c r="AN34" i="19" s="1"/>
  <c r="AO34" i="19" s="1"/>
  <c r="AH34" i="19"/>
  <c r="DV34" i="19" s="1"/>
  <c r="AG34" i="19"/>
  <c r="AF34" i="19"/>
  <c r="AE34" i="19"/>
  <c r="AD34" i="19"/>
  <c r="AC34" i="19"/>
  <c r="AQ33" i="19"/>
  <c r="AR33" i="19" s="1"/>
  <c r="AS33" i="19" s="1"/>
  <c r="AT33" i="19" s="1"/>
  <c r="AU33" i="19" s="1"/>
  <c r="AV33" i="19" s="1"/>
  <c r="AW33" i="19" s="1"/>
  <c r="AX33" i="19" s="1"/>
  <c r="AY33" i="19" s="1"/>
  <c r="AZ33" i="19" s="1"/>
  <c r="BA33" i="19" s="1"/>
  <c r="AI33" i="19"/>
  <c r="AK33" i="19" s="1"/>
  <c r="AL33" i="19" s="1"/>
  <c r="AM33" i="19" s="1"/>
  <c r="AN33" i="19" s="1"/>
  <c r="AO33" i="19" s="1"/>
  <c r="AH33" i="19"/>
  <c r="DV33" i="19" s="1"/>
  <c r="AG33" i="19"/>
  <c r="AF33" i="19"/>
  <c r="AE33" i="19"/>
  <c r="AD33" i="19"/>
  <c r="AC33" i="19"/>
  <c r="AQ32" i="19"/>
  <c r="AR32" i="19" s="1"/>
  <c r="AS32" i="19" s="1"/>
  <c r="AT32" i="19" s="1"/>
  <c r="AU32" i="19" s="1"/>
  <c r="AV32" i="19" s="1"/>
  <c r="AW32" i="19" s="1"/>
  <c r="AX32" i="19" s="1"/>
  <c r="AY32" i="19" s="1"/>
  <c r="AZ32" i="19" s="1"/>
  <c r="BA32" i="19" s="1"/>
  <c r="AI32" i="19"/>
  <c r="AK32" i="19" s="1"/>
  <c r="AL32" i="19" s="1"/>
  <c r="AM32" i="19" s="1"/>
  <c r="AN32" i="19" s="1"/>
  <c r="AO32" i="19" s="1"/>
  <c r="AH32" i="19"/>
  <c r="DV32" i="19" s="1"/>
  <c r="AG32" i="19"/>
  <c r="AF32" i="19"/>
  <c r="AE32" i="19"/>
  <c r="AD32" i="19"/>
  <c r="AC32" i="19"/>
  <c r="AQ31" i="19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AI31" i="19"/>
  <c r="AK31" i="19" s="1"/>
  <c r="AL31" i="19" s="1"/>
  <c r="AM31" i="19" s="1"/>
  <c r="AN31" i="19" s="1"/>
  <c r="AO31" i="19" s="1"/>
  <c r="AH31" i="19"/>
  <c r="DV31" i="19" s="1"/>
  <c r="AG31" i="19"/>
  <c r="AF31" i="19"/>
  <c r="AE31" i="19"/>
  <c r="AD31" i="19"/>
  <c r="AC31" i="19"/>
  <c r="AQ30" i="19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AI30" i="19"/>
  <c r="AK30" i="19" s="1"/>
  <c r="AL30" i="19" s="1"/>
  <c r="AM30" i="19" s="1"/>
  <c r="AN30" i="19" s="1"/>
  <c r="AO30" i="19" s="1"/>
  <c r="AH30" i="19"/>
  <c r="DV30" i="19" s="1"/>
  <c r="AG30" i="19"/>
  <c r="AF30" i="19"/>
  <c r="AE30" i="19"/>
  <c r="AD30" i="19"/>
  <c r="AC30" i="19"/>
  <c r="AQ29" i="19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AI29" i="19"/>
  <c r="AK29" i="19" s="1"/>
  <c r="AL29" i="19" s="1"/>
  <c r="AM29" i="19" s="1"/>
  <c r="AN29" i="19" s="1"/>
  <c r="AO29" i="19" s="1"/>
  <c r="AH29" i="19"/>
  <c r="DU29" i="19" s="1"/>
  <c r="AG29" i="19"/>
  <c r="AF29" i="19"/>
  <c r="AE29" i="19"/>
  <c r="AD29" i="19"/>
  <c r="AC29" i="19"/>
  <c r="AQ28" i="19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AK28" i="19"/>
  <c r="AL28" i="19" s="1"/>
  <c r="AM28" i="19" s="1"/>
  <c r="AN28" i="19" s="1"/>
  <c r="AO28" i="19" s="1"/>
  <c r="AI28" i="19"/>
  <c r="AH28" i="19"/>
  <c r="DU28" i="19" s="1"/>
  <c r="AG28" i="19"/>
  <c r="AF28" i="19"/>
  <c r="AE28" i="19"/>
  <c r="AD28" i="19"/>
  <c r="AC28" i="19"/>
  <c r="AQ27" i="19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AI27" i="19"/>
  <c r="AK27" i="19" s="1"/>
  <c r="AL27" i="19" s="1"/>
  <c r="AM27" i="19" s="1"/>
  <c r="AN27" i="19" s="1"/>
  <c r="AO27" i="19" s="1"/>
  <c r="AH27" i="19"/>
  <c r="AG27" i="19"/>
  <c r="AF27" i="19"/>
  <c r="AE27" i="19"/>
  <c r="AD27" i="19"/>
  <c r="AC27" i="19"/>
  <c r="AQ26" i="19"/>
  <c r="AI26" i="19"/>
  <c r="AK26" i="19" s="1"/>
  <c r="AL26" i="19" s="1"/>
  <c r="AM26" i="19" s="1"/>
  <c r="AN26" i="19" s="1"/>
  <c r="AO26" i="19" s="1"/>
  <c r="AH26" i="19"/>
  <c r="AG26" i="19"/>
  <c r="AF26" i="19"/>
  <c r="AE26" i="19"/>
  <c r="AD26" i="19"/>
  <c r="EA23" i="19"/>
  <c r="EB22" i="19"/>
  <c r="EA22" i="19"/>
  <c r="EA21" i="19"/>
  <c r="EA20" i="19"/>
  <c r="EA19" i="19"/>
  <c r="EB20" i="19" s="1"/>
  <c r="G19" i="19"/>
  <c r="EA18" i="19"/>
  <c r="F18" i="19"/>
  <c r="D18" i="19"/>
  <c r="C18" i="19"/>
  <c r="EA17" i="19"/>
  <c r="G17" i="19"/>
  <c r="EA16" i="19"/>
  <c r="DU16" i="19"/>
  <c r="DO16" i="19"/>
  <c r="DP17" i="19" s="1"/>
  <c r="DQ18" i="19" s="1"/>
  <c r="G16" i="19"/>
  <c r="G15" i="19"/>
  <c r="G14" i="19"/>
  <c r="G13" i="19"/>
  <c r="DZ12" i="19"/>
  <c r="DT12" i="19"/>
  <c r="DT13" i="19" s="1"/>
  <c r="G12" i="19"/>
  <c r="EQ15" i="19"/>
  <c r="ES16" i="19" s="1"/>
  <c r="ES27" i="19" s="1"/>
  <c r="EP15" i="19"/>
  <c r="EN15" i="19"/>
  <c r="EM15" i="19"/>
  <c r="EL15" i="19"/>
  <c r="EJ15" i="19"/>
  <c r="EI15" i="19"/>
  <c r="DT11" i="19"/>
  <c r="DN11" i="19"/>
  <c r="V11" i="19"/>
  <c r="U11" i="19"/>
  <c r="T11" i="19"/>
  <c r="S11" i="19"/>
  <c r="R11" i="19"/>
  <c r="Q11" i="19"/>
  <c r="P11" i="19"/>
  <c r="G11" i="19"/>
  <c r="DZ10" i="19"/>
  <c r="DT10" i="19"/>
  <c r="DN10" i="19"/>
  <c r="V10" i="19"/>
  <c r="V37" i="19" s="1"/>
  <c r="U10" i="19"/>
  <c r="U37" i="19" s="1"/>
  <c r="T10" i="19"/>
  <c r="T37" i="19" s="1"/>
  <c r="S10" i="19"/>
  <c r="S37" i="19" s="1"/>
  <c r="R10" i="19"/>
  <c r="R37" i="19" s="1"/>
  <c r="Q10" i="19"/>
  <c r="Q37" i="19" s="1"/>
  <c r="P10" i="19"/>
  <c r="P37" i="19" s="1"/>
  <c r="G10" i="19"/>
  <c r="DZ9" i="19"/>
  <c r="DT9" i="19"/>
  <c r="DN9" i="19"/>
  <c r="V9" i="19"/>
  <c r="U9" i="19"/>
  <c r="T9" i="19"/>
  <c r="S9" i="19"/>
  <c r="R9" i="19"/>
  <c r="Q9" i="19"/>
  <c r="P9" i="19"/>
  <c r="G9" i="19"/>
  <c r="DT8" i="19"/>
  <c r="DN8" i="19"/>
  <c r="V8" i="19"/>
  <c r="U8" i="19"/>
  <c r="T8" i="19"/>
  <c r="S8" i="19"/>
  <c r="R8" i="19"/>
  <c r="Q8" i="19"/>
  <c r="P8" i="19"/>
  <c r="DT7" i="19"/>
  <c r="DN7" i="19"/>
  <c r="V7" i="19"/>
  <c r="AI12" i="19" s="1"/>
  <c r="U7" i="19"/>
  <c r="AH12" i="19" s="1"/>
  <c r="T7" i="19"/>
  <c r="AG12" i="19" s="1"/>
  <c r="S7" i="19"/>
  <c r="AF12" i="19" s="1"/>
  <c r="R7" i="19"/>
  <c r="AE12" i="19" s="1"/>
  <c r="Q7" i="19"/>
  <c r="AD12" i="19" s="1"/>
  <c r="P7" i="19"/>
  <c r="AC12" i="19" s="1"/>
  <c r="AX134" i="17"/>
  <c r="AY134" i="17"/>
  <c r="AZ134" i="17"/>
  <c r="BA134" i="17"/>
  <c r="BB134" i="17"/>
  <c r="BC134" i="17"/>
  <c r="BD134" i="17"/>
  <c r="AF130" i="17"/>
  <c r="AG130" i="17" s="1"/>
  <c r="AH130" i="17" s="1"/>
  <c r="AI130" i="17" s="1"/>
  <c r="AJ130" i="17" s="1"/>
  <c r="AK130" i="17" s="1"/>
  <c r="AL130" i="17" s="1"/>
  <c r="AM130" i="17" s="1"/>
  <c r="AN130" i="17" s="1"/>
  <c r="AO130" i="17" s="1"/>
  <c r="AP130" i="17" s="1"/>
  <c r="AQ130" i="17" s="1"/>
  <c r="AR130" i="17" s="1"/>
  <c r="AS130" i="17" s="1"/>
  <c r="AT130" i="17" s="1"/>
  <c r="AU130" i="17" s="1"/>
  <c r="AV130" i="17" s="1"/>
  <c r="AW130" i="17" s="1"/>
  <c r="AE129" i="17"/>
  <c r="AF129" i="17" s="1"/>
  <c r="AG129" i="17" s="1"/>
  <c r="AH129" i="17" s="1"/>
  <c r="AI129" i="17" s="1"/>
  <c r="AJ129" i="17" s="1"/>
  <c r="AK129" i="17" s="1"/>
  <c r="AL129" i="17" s="1"/>
  <c r="AM129" i="17" s="1"/>
  <c r="AN129" i="17" s="1"/>
  <c r="AO129" i="17" s="1"/>
  <c r="AP129" i="17" s="1"/>
  <c r="AQ129" i="17" s="1"/>
  <c r="AR129" i="17" s="1"/>
  <c r="AS129" i="17" s="1"/>
  <c r="AT129" i="17" s="1"/>
  <c r="AU129" i="17" s="1"/>
  <c r="AV129" i="17" s="1"/>
  <c r="AD128" i="17"/>
  <c r="AE128" i="17" s="1"/>
  <c r="AF128" i="17" s="1"/>
  <c r="AG128" i="17" s="1"/>
  <c r="AH128" i="17" s="1"/>
  <c r="AI128" i="17" s="1"/>
  <c r="AJ128" i="17" s="1"/>
  <c r="AK128" i="17" s="1"/>
  <c r="AL128" i="17" s="1"/>
  <c r="AM128" i="17" s="1"/>
  <c r="AN128" i="17" s="1"/>
  <c r="AO128" i="17" s="1"/>
  <c r="AP128" i="17" s="1"/>
  <c r="AQ128" i="17" s="1"/>
  <c r="AR128" i="17" s="1"/>
  <c r="AS128" i="17" s="1"/>
  <c r="AT128" i="17" s="1"/>
  <c r="AU128" i="17" s="1"/>
  <c r="AC127" i="17"/>
  <c r="AD127" i="17" s="1"/>
  <c r="AE127" i="17" s="1"/>
  <c r="AF127" i="17" s="1"/>
  <c r="AG127" i="17" s="1"/>
  <c r="AH127" i="17" s="1"/>
  <c r="AI127" i="17" s="1"/>
  <c r="AJ127" i="17" s="1"/>
  <c r="AK127" i="17" s="1"/>
  <c r="AL127" i="17" s="1"/>
  <c r="AM127" i="17" s="1"/>
  <c r="AN127" i="17" s="1"/>
  <c r="AO127" i="17" s="1"/>
  <c r="AP127" i="17" s="1"/>
  <c r="AQ127" i="17" s="1"/>
  <c r="AR127" i="17" s="1"/>
  <c r="AS127" i="17" s="1"/>
  <c r="AT127" i="17" s="1"/>
  <c r="AB126" i="17"/>
  <c r="AC126" i="17" s="1"/>
  <c r="AD126" i="17" s="1"/>
  <c r="AE126" i="17" s="1"/>
  <c r="AF126" i="17" s="1"/>
  <c r="AG126" i="17" s="1"/>
  <c r="AH126" i="17" s="1"/>
  <c r="AI126" i="17" s="1"/>
  <c r="AJ126" i="17" s="1"/>
  <c r="AK126" i="17" s="1"/>
  <c r="AL126" i="17" s="1"/>
  <c r="AM126" i="17" s="1"/>
  <c r="AN126" i="17" s="1"/>
  <c r="AO126" i="17" s="1"/>
  <c r="AP126" i="17" s="1"/>
  <c r="AQ126" i="17" s="1"/>
  <c r="AR126" i="17" s="1"/>
  <c r="AS126" i="17" s="1"/>
  <c r="AA125" i="17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Z124" i="17"/>
  <c r="AA124" i="17" s="1"/>
  <c r="AB124" i="17" s="1"/>
  <c r="AC124" i="17" s="1"/>
  <c r="AD124" i="17" s="1"/>
  <c r="AE124" i="17" s="1"/>
  <c r="AF124" i="17" s="1"/>
  <c r="AG124" i="17" s="1"/>
  <c r="AH124" i="17" s="1"/>
  <c r="AI124" i="17" s="1"/>
  <c r="AJ124" i="17" s="1"/>
  <c r="AK124" i="17" s="1"/>
  <c r="AL124" i="17" s="1"/>
  <c r="AM124" i="17" s="1"/>
  <c r="AN124" i="17" s="1"/>
  <c r="AO124" i="17" s="1"/>
  <c r="AP124" i="17" s="1"/>
  <c r="AQ124" i="17" s="1"/>
  <c r="Y123" i="17"/>
  <c r="Z123" i="17" s="1"/>
  <c r="AA123" i="17" s="1"/>
  <c r="AB123" i="17" s="1"/>
  <c r="AC123" i="17" s="1"/>
  <c r="AD123" i="17" s="1"/>
  <c r="AE123" i="17" s="1"/>
  <c r="AF123" i="17" s="1"/>
  <c r="AG123" i="17" s="1"/>
  <c r="AH123" i="17" s="1"/>
  <c r="AI123" i="17" s="1"/>
  <c r="AJ123" i="17" s="1"/>
  <c r="AK123" i="17" s="1"/>
  <c r="AL123" i="17" s="1"/>
  <c r="AM123" i="17" s="1"/>
  <c r="AN123" i="17" s="1"/>
  <c r="AO123" i="17" s="1"/>
  <c r="AP123" i="17" s="1"/>
  <c r="X122" i="17"/>
  <c r="Y122" i="17" s="1"/>
  <c r="Z122" i="17" s="1"/>
  <c r="AA122" i="17" s="1"/>
  <c r="AB122" i="17" s="1"/>
  <c r="AC122" i="17" s="1"/>
  <c r="AD122" i="17" s="1"/>
  <c r="AE122" i="17" s="1"/>
  <c r="AF122" i="17" s="1"/>
  <c r="AG122" i="17" s="1"/>
  <c r="AH122" i="17" s="1"/>
  <c r="AI122" i="17" s="1"/>
  <c r="AJ122" i="17" s="1"/>
  <c r="AK122" i="17" s="1"/>
  <c r="AL122" i="17" s="1"/>
  <c r="AM122" i="17" s="1"/>
  <c r="AN122" i="17" s="1"/>
  <c r="AO122" i="17" s="1"/>
  <c r="W121" i="17"/>
  <c r="T119" i="17"/>
  <c r="U119" i="17" s="1"/>
  <c r="V119" i="17" s="1"/>
  <c r="W119" i="17" s="1"/>
  <c r="X119" i="17" s="1"/>
  <c r="Y119" i="17" s="1"/>
  <c r="Z119" i="17" s="1"/>
  <c r="AA119" i="17" s="1"/>
  <c r="AB119" i="17" s="1"/>
  <c r="AC119" i="17" s="1"/>
  <c r="AD119" i="17" s="1"/>
  <c r="AE119" i="17" s="1"/>
  <c r="AF119" i="17" s="1"/>
  <c r="AG119" i="17" s="1"/>
  <c r="AH119" i="17" s="1"/>
  <c r="AI119" i="17" s="1"/>
  <c r="AJ119" i="17" s="1"/>
  <c r="T120" i="17"/>
  <c r="U120" i="17" s="1"/>
  <c r="V120" i="17" s="1"/>
  <c r="W120" i="17" s="1"/>
  <c r="X120" i="17" s="1"/>
  <c r="Y120" i="17" s="1"/>
  <c r="Z120" i="17" s="1"/>
  <c r="AA120" i="17" s="1"/>
  <c r="AB120" i="17" s="1"/>
  <c r="AC120" i="17" s="1"/>
  <c r="AD120" i="17" s="1"/>
  <c r="AE120" i="17" s="1"/>
  <c r="AF120" i="17" s="1"/>
  <c r="AG120" i="17" s="1"/>
  <c r="AH120" i="17" s="1"/>
  <c r="AI120" i="17" s="1"/>
  <c r="AJ120" i="17" s="1"/>
  <c r="T118" i="17"/>
  <c r="U118" i="17" s="1"/>
  <c r="V118" i="17" s="1"/>
  <c r="W118" i="17" s="1"/>
  <c r="X118" i="17" s="1"/>
  <c r="Y118" i="17" s="1"/>
  <c r="Z118" i="17" s="1"/>
  <c r="AA118" i="17" s="1"/>
  <c r="AB118" i="17" s="1"/>
  <c r="AC118" i="17" s="1"/>
  <c r="AD118" i="17" s="1"/>
  <c r="AE118" i="17" s="1"/>
  <c r="AF118" i="17" s="1"/>
  <c r="AG118" i="17" s="1"/>
  <c r="AH118" i="17" s="1"/>
  <c r="AI118" i="17" s="1"/>
  <c r="AJ118" i="17" s="1"/>
  <c r="S115" i="17"/>
  <c r="T115" i="17" s="1"/>
  <c r="U115" i="17" s="1"/>
  <c r="V115" i="17" s="1"/>
  <c r="W115" i="17" s="1"/>
  <c r="X115" i="17" s="1"/>
  <c r="Y115" i="17" s="1"/>
  <c r="Z115" i="17" s="1"/>
  <c r="AA115" i="17" s="1"/>
  <c r="AB115" i="17" s="1"/>
  <c r="AC115" i="17" s="1"/>
  <c r="AD115" i="17" s="1"/>
  <c r="AE115" i="17" s="1"/>
  <c r="S116" i="17"/>
  <c r="T116" i="17" s="1"/>
  <c r="U116" i="17" s="1"/>
  <c r="V116" i="17" s="1"/>
  <c r="W116" i="17" s="1"/>
  <c r="X116" i="17" s="1"/>
  <c r="Y116" i="17" s="1"/>
  <c r="Z116" i="17" s="1"/>
  <c r="AA116" i="17" s="1"/>
  <c r="AB116" i="17" s="1"/>
  <c r="AC116" i="17" s="1"/>
  <c r="AD116" i="17" s="1"/>
  <c r="AE116" i="17" s="1"/>
  <c r="S117" i="17"/>
  <c r="T117" i="17" s="1"/>
  <c r="U117" i="17" s="1"/>
  <c r="V117" i="17" s="1"/>
  <c r="W117" i="17" s="1"/>
  <c r="X117" i="17" s="1"/>
  <c r="Y117" i="17" s="1"/>
  <c r="Z117" i="17" s="1"/>
  <c r="AA117" i="17" s="1"/>
  <c r="AB117" i="17" s="1"/>
  <c r="AC117" i="17" s="1"/>
  <c r="AD117" i="17" s="1"/>
  <c r="AE117" i="17" s="1"/>
  <c r="S114" i="17"/>
  <c r="T114" i="17" s="1"/>
  <c r="U114" i="17" s="1"/>
  <c r="V114" i="17" s="1"/>
  <c r="W114" i="17" s="1"/>
  <c r="X114" i="17" s="1"/>
  <c r="Y114" i="17" s="1"/>
  <c r="Z114" i="17" s="1"/>
  <c r="AA114" i="17" s="1"/>
  <c r="AB114" i="17" s="1"/>
  <c r="AC114" i="17" s="1"/>
  <c r="AD114" i="17" s="1"/>
  <c r="AE114" i="17" s="1"/>
  <c r="Q100" i="17"/>
  <c r="R100" i="17" s="1"/>
  <c r="S100" i="17" s="1"/>
  <c r="T100" i="17" s="1"/>
  <c r="U100" i="17" s="1"/>
  <c r="V100" i="17" s="1"/>
  <c r="W100" i="17" s="1"/>
  <c r="X100" i="17" s="1"/>
  <c r="Y100" i="17" s="1"/>
  <c r="Z100" i="17" s="1"/>
  <c r="AA100" i="17" s="1"/>
  <c r="AB100" i="17" s="1"/>
  <c r="AC100" i="17" s="1"/>
  <c r="AD100" i="17" s="1"/>
  <c r="AE100" i="17" s="1"/>
  <c r="AF100" i="17" s="1"/>
  <c r="AG100" i="17" s="1"/>
  <c r="AH100" i="17" s="1"/>
  <c r="Q101" i="17"/>
  <c r="R101" i="17" s="1"/>
  <c r="S101" i="17" s="1"/>
  <c r="T101" i="17" s="1"/>
  <c r="U101" i="17" s="1"/>
  <c r="V101" i="17" s="1"/>
  <c r="W101" i="17" s="1"/>
  <c r="X101" i="17" s="1"/>
  <c r="Y101" i="17" s="1"/>
  <c r="Z101" i="17" s="1"/>
  <c r="AA101" i="17" s="1"/>
  <c r="AB101" i="17" s="1"/>
  <c r="AC101" i="17" s="1"/>
  <c r="AD101" i="17" s="1"/>
  <c r="AE101" i="17" s="1"/>
  <c r="AF101" i="17" s="1"/>
  <c r="AG101" i="17" s="1"/>
  <c r="AH101" i="17" s="1"/>
  <c r="Q102" i="17"/>
  <c r="R102" i="17" s="1"/>
  <c r="S102" i="17" s="1"/>
  <c r="T102" i="17" s="1"/>
  <c r="U102" i="17" s="1"/>
  <c r="V102" i="17" s="1"/>
  <c r="W102" i="17" s="1"/>
  <c r="X102" i="17" s="1"/>
  <c r="Y102" i="17" s="1"/>
  <c r="Z102" i="17" s="1"/>
  <c r="AA102" i="17" s="1"/>
  <c r="AB102" i="17" s="1"/>
  <c r="AC102" i="17" s="1"/>
  <c r="AD102" i="17" s="1"/>
  <c r="AE102" i="17" s="1"/>
  <c r="AF102" i="17" s="1"/>
  <c r="AG102" i="17" s="1"/>
  <c r="AH102" i="17" s="1"/>
  <c r="Q103" i="17"/>
  <c r="R103" i="17" s="1"/>
  <c r="S103" i="17" s="1"/>
  <c r="T103" i="17" s="1"/>
  <c r="U103" i="17" s="1"/>
  <c r="V103" i="17" s="1"/>
  <c r="W103" i="17" s="1"/>
  <c r="X103" i="17" s="1"/>
  <c r="Y103" i="17" s="1"/>
  <c r="Z103" i="17" s="1"/>
  <c r="AA103" i="17" s="1"/>
  <c r="AB103" i="17" s="1"/>
  <c r="AC103" i="17" s="1"/>
  <c r="AD103" i="17" s="1"/>
  <c r="AE103" i="17" s="1"/>
  <c r="AF103" i="17" s="1"/>
  <c r="AG103" i="17" s="1"/>
  <c r="AH103" i="17" s="1"/>
  <c r="Q104" i="17"/>
  <c r="R104" i="17" s="1"/>
  <c r="S104" i="17" s="1"/>
  <c r="T104" i="17" s="1"/>
  <c r="U104" i="17" s="1"/>
  <c r="V104" i="17" s="1"/>
  <c r="W104" i="17" s="1"/>
  <c r="X104" i="17" s="1"/>
  <c r="Y104" i="17" s="1"/>
  <c r="Z104" i="17" s="1"/>
  <c r="AA104" i="17" s="1"/>
  <c r="AB104" i="17" s="1"/>
  <c r="AC104" i="17" s="1"/>
  <c r="AD104" i="17" s="1"/>
  <c r="AE104" i="17" s="1"/>
  <c r="AF104" i="17" s="1"/>
  <c r="AG104" i="17" s="1"/>
  <c r="AH104" i="17" s="1"/>
  <c r="Q105" i="17"/>
  <c r="R105" i="17" s="1"/>
  <c r="S105" i="17" s="1"/>
  <c r="T105" i="17" s="1"/>
  <c r="U105" i="17" s="1"/>
  <c r="V105" i="17" s="1"/>
  <c r="W105" i="17" s="1"/>
  <c r="X105" i="17" s="1"/>
  <c r="Y105" i="17" s="1"/>
  <c r="Z105" i="17" s="1"/>
  <c r="AA105" i="17" s="1"/>
  <c r="AB105" i="17" s="1"/>
  <c r="AC105" i="17" s="1"/>
  <c r="AD105" i="17" s="1"/>
  <c r="AE105" i="17" s="1"/>
  <c r="AF105" i="17" s="1"/>
  <c r="AG105" i="17" s="1"/>
  <c r="AH105" i="17" s="1"/>
  <c r="Q106" i="17"/>
  <c r="R106" i="17" s="1"/>
  <c r="S106" i="17" s="1"/>
  <c r="T106" i="17" s="1"/>
  <c r="U106" i="17" s="1"/>
  <c r="V106" i="17" s="1"/>
  <c r="W106" i="17" s="1"/>
  <c r="X106" i="17" s="1"/>
  <c r="Y106" i="17" s="1"/>
  <c r="Z106" i="17" s="1"/>
  <c r="AA106" i="17" s="1"/>
  <c r="AB106" i="17" s="1"/>
  <c r="AC106" i="17" s="1"/>
  <c r="AD106" i="17" s="1"/>
  <c r="AE106" i="17" s="1"/>
  <c r="AF106" i="17" s="1"/>
  <c r="AG106" i="17" s="1"/>
  <c r="AH106" i="17" s="1"/>
  <c r="Q107" i="17"/>
  <c r="R107" i="17" s="1"/>
  <c r="S107" i="17" s="1"/>
  <c r="T107" i="17" s="1"/>
  <c r="U107" i="17" s="1"/>
  <c r="V107" i="17" s="1"/>
  <c r="W107" i="17" s="1"/>
  <c r="X107" i="17" s="1"/>
  <c r="Y107" i="17" s="1"/>
  <c r="Z107" i="17" s="1"/>
  <c r="AA107" i="17" s="1"/>
  <c r="AB107" i="17" s="1"/>
  <c r="AC107" i="17" s="1"/>
  <c r="AD107" i="17" s="1"/>
  <c r="AE107" i="17" s="1"/>
  <c r="AF107" i="17" s="1"/>
  <c r="AG107" i="17" s="1"/>
  <c r="AH107" i="17" s="1"/>
  <c r="Q108" i="17"/>
  <c r="R108" i="17" s="1"/>
  <c r="S108" i="17" s="1"/>
  <c r="T108" i="17" s="1"/>
  <c r="U108" i="17" s="1"/>
  <c r="V108" i="17" s="1"/>
  <c r="W108" i="17" s="1"/>
  <c r="X108" i="17" s="1"/>
  <c r="Y108" i="17" s="1"/>
  <c r="Z108" i="17" s="1"/>
  <c r="AA108" i="17" s="1"/>
  <c r="AB108" i="17" s="1"/>
  <c r="AC108" i="17" s="1"/>
  <c r="AD108" i="17" s="1"/>
  <c r="AE108" i="17" s="1"/>
  <c r="AF108" i="17" s="1"/>
  <c r="AG108" i="17" s="1"/>
  <c r="AH108" i="17" s="1"/>
  <c r="Q109" i="17"/>
  <c r="R109" i="17" s="1"/>
  <c r="S109" i="17" s="1"/>
  <c r="T109" i="17" s="1"/>
  <c r="U109" i="17" s="1"/>
  <c r="V109" i="17" s="1"/>
  <c r="W109" i="17" s="1"/>
  <c r="X109" i="17" s="1"/>
  <c r="Y109" i="17" s="1"/>
  <c r="Z109" i="17" s="1"/>
  <c r="AA109" i="17" s="1"/>
  <c r="AB109" i="17" s="1"/>
  <c r="AC109" i="17" s="1"/>
  <c r="AD109" i="17" s="1"/>
  <c r="AE109" i="17" s="1"/>
  <c r="AF109" i="17" s="1"/>
  <c r="AG109" i="17" s="1"/>
  <c r="AH109" i="17" s="1"/>
  <c r="Q110" i="17"/>
  <c r="R110" i="17" s="1"/>
  <c r="S110" i="17" s="1"/>
  <c r="T110" i="17" s="1"/>
  <c r="U110" i="17" s="1"/>
  <c r="V110" i="17" s="1"/>
  <c r="W110" i="17" s="1"/>
  <c r="X110" i="17" s="1"/>
  <c r="Y110" i="17" s="1"/>
  <c r="Z110" i="17" s="1"/>
  <c r="AA110" i="17" s="1"/>
  <c r="AB110" i="17" s="1"/>
  <c r="AC110" i="17" s="1"/>
  <c r="AD110" i="17" s="1"/>
  <c r="AE110" i="17" s="1"/>
  <c r="AF110" i="17" s="1"/>
  <c r="AG110" i="17" s="1"/>
  <c r="AH110" i="17" s="1"/>
  <c r="Q111" i="17"/>
  <c r="R111" i="17" s="1"/>
  <c r="S111" i="17" s="1"/>
  <c r="T111" i="17" s="1"/>
  <c r="U111" i="17" s="1"/>
  <c r="V111" i="17" s="1"/>
  <c r="W111" i="17" s="1"/>
  <c r="X111" i="17" s="1"/>
  <c r="Y111" i="17" s="1"/>
  <c r="Z111" i="17" s="1"/>
  <c r="AA111" i="17" s="1"/>
  <c r="AB111" i="17" s="1"/>
  <c r="AC111" i="17" s="1"/>
  <c r="AD111" i="17" s="1"/>
  <c r="AE111" i="17" s="1"/>
  <c r="AF111" i="17" s="1"/>
  <c r="AG111" i="17" s="1"/>
  <c r="AH111" i="17" s="1"/>
  <c r="Q112" i="17"/>
  <c r="R112" i="17" s="1"/>
  <c r="S112" i="17" s="1"/>
  <c r="T112" i="17" s="1"/>
  <c r="U112" i="17" s="1"/>
  <c r="V112" i="17" s="1"/>
  <c r="W112" i="17" s="1"/>
  <c r="X112" i="17" s="1"/>
  <c r="Y112" i="17" s="1"/>
  <c r="Z112" i="17" s="1"/>
  <c r="AA112" i="17" s="1"/>
  <c r="AB112" i="17" s="1"/>
  <c r="AC112" i="17" s="1"/>
  <c r="AD112" i="17" s="1"/>
  <c r="AE112" i="17" s="1"/>
  <c r="AF112" i="17" s="1"/>
  <c r="AG112" i="17" s="1"/>
  <c r="AH112" i="17" s="1"/>
  <c r="Q113" i="17"/>
  <c r="R113" i="17" s="1"/>
  <c r="S113" i="17" s="1"/>
  <c r="T113" i="17" s="1"/>
  <c r="U113" i="17" s="1"/>
  <c r="V113" i="17" s="1"/>
  <c r="W113" i="17" s="1"/>
  <c r="X113" i="17" s="1"/>
  <c r="Y113" i="17" s="1"/>
  <c r="Z113" i="17" s="1"/>
  <c r="AA113" i="17" s="1"/>
  <c r="AB113" i="17" s="1"/>
  <c r="AC113" i="17" s="1"/>
  <c r="AD113" i="17" s="1"/>
  <c r="AE113" i="17" s="1"/>
  <c r="AF113" i="17" s="1"/>
  <c r="AG113" i="17" s="1"/>
  <c r="AH113" i="17" s="1"/>
  <c r="Q99" i="17"/>
  <c r="R99" i="17" s="1"/>
  <c r="S99" i="17" s="1"/>
  <c r="T99" i="17" s="1"/>
  <c r="U99" i="17" s="1"/>
  <c r="V99" i="17" s="1"/>
  <c r="W99" i="17" s="1"/>
  <c r="X99" i="17" s="1"/>
  <c r="Y99" i="17" s="1"/>
  <c r="Z99" i="17" s="1"/>
  <c r="AA99" i="17" s="1"/>
  <c r="AB99" i="17" s="1"/>
  <c r="AC99" i="17" s="1"/>
  <c r="AD99" i="17" s="1"/>
  <c r="AE99" i="17" s="1"/>
  <c r="AF99" i="17" s="1"/>
  <c r="AG99" i="17" s="1"/>
  <c r="AH99" i="17" s="1"/>
  <c r="X121" i="17" l="1"/>
  <c r="Y121" i="17" s="1"/>
  <c r="Z121" i="17" s="1"/>
  <c r="AA121" i="17" s="1"/>
  <c r="AB121" i="17" s="1"/>
  <c r="AC121" i="17" s="1"/>
  <c r="AD121" i="17" s="1"/>
  <c r="AE121" i="17" s="1"/>
  <c r="AF121" i="17" s="1"/>
  <c r="AG121" i="17" s="1"/>
  <c r="AH121" i="17" s="1"/>
  <c r="AI121" i="17" s="1"/>
  <c r="AJ121" i="17" s="1"/>
  <c r="AK121" i="17" s="1"/>
  <c r="AL121" i="17" s="1"/>
  <c r="AM121" i="17" s="1"/>
  <c r="AN121" i="17" s="1"/>
  <c r="AN134" i="17" s="1"/>
  <c r="AN135" i="17" s="1"/>
  <c r="AP134" i="17"/>
  <c r="AP135" i="17" s="1"/>
  <c r="AT134" i="17"/>
  <c r="AT135" i="17" s="1"/>
  <c r="AO134" i="17"/>
  <c r="AO135" i="17" s="1"/>
  <c r="AQ134" i="17"/>
  <c r="AQ135" i="17" s="1"/>
  <c r="AS134" i="17"/>
  <c r="AS135" i="17" s="1"/>
  <c r="AU134" i="17"/>
  <c r="AU135" i="17" s="1"/>
  <c r="AW134" i="17"/>
  <c r="AW135" i="17" s="1"/>
  <c r="AJ134" i="17"/>
  <c r="AJ135" i="17" s="1"/>
  <c r="AR134" i="17"/>
  <c r="AR135" i="17" s="1"/>
  <c r="N167" i="26"/>
  <c r="J13" i="18"/>
  <c r="O124" i="26"/>
  <c r="O125" i="26" s="1"/>
  <c r="J11" i="18"/>
  <c r="J9" i="18" s="1"/>
  <c r="T9" i="18" s="1"/>
  <c r="J12" i="18"/>
  <c r="J14" i="18"/>
  <c r="U21" i="18"/>
  <c r="T11" i="18"/>
  <c r="T13" i="18"/>
  <c r="T12" i="18"/>
  <c r="T14" i="18"/>
  <c r="N203" i="26"/>
  <c r="K23" i="18"/>
  <c r="U23" i="18" s="1"/>
  <c r="EL165" i="19"/>
  <c r="EL176" i="19" s="1"/>
  <c r="DX34" i="19"/>
  <c r="ET17" i="19"/>
  <c r="ET28" i="19" s="1"/>
  <c r="ET107" i="19"/>
  <c r="DU27" i="19"/>
  <c r="ET153" i="19"/>
  <c r="EM119" i="19"/>
  <c r="EM130" i="19" s="1"/>
  <c r="EA31" i="19"/>
  <c r="EA34" i="19"/>
  <c r="AR175" i="19"/>
  <c r="EG175" i="19"/>
  <c r="H58" i="19"/>
  <c r="AR128" i="19"/>
  <c r="EG128" i="19"/>
  <c r="AR129" i="19"/>
  <c r="EG129" i="19"/>
  <c r="AR174" i="19"/>
  <c r="EG174" i="19"/>
  <c r="EQ16" i="19"/>
  <c r="EM16" i="19"/>
  <c r="EM27" i="19" s="1"/>
  <c r="EQ108" i="19"/>
  <c r="EP165" i="19"/>
  <c r="EO69" i="19"/>
  <c r="DZ14" i="19"/>
  <c r="AC53" i="19"/>
  <c r="AE100" i="19"/>
  <c r="AI100" i="19"/>
  <c r="D4" i="20"/>
  <c r="D3" i="20"/>
  <c r="D6" i="20"/>
  <c r="E4" i="20"/>
  <c r="AD53" i="19"/>
  <c r="AH53" i="19"/>
  <c r="AF100" i="19"/>
  <c r="G18" i="19"/>
  <c r="AJ32" i="19"/>
  <c r="DO32" i="19" s="1"/>
  <c r="AC100" i="19"/>
  <c r="AJ31" i="19"/>
  <c r="DO31" i="19" s="1"/>
  <c r="DW73" i="19"/>
  <c r="AJ125" i="19"/>
  <c r="DP125" i="19" s="1"/>
  <c r="DU126" i="19"/>
  <c r="DU128" i="19"/>
  <c r="DW31" i="19"/>
  <c r="AG53" i="19"/>
  <c r="AJ71" i="19"/>
  <c r="DO71" i="19" s="1"/>
  <c r="AJ74" i="19"/>
  <c r="DP74" i="19" s="1"/>
  <c r="AJ175" i="19"/>
  <c r="DT57" i="19"/>
  <c r="DU70" i="19"/>
  <c r="AG100" i="19"/>
  <c r="AD146" i="19"/>
  <c r="AH146" i="19"/>
  <c r="DV170" i="19"/>
  <c r="AF10" i="19"/>
  <c r="EA33" i="19"/>
  <c r="AJ75" i="19"/>
  <c r="DQ75" i="19" s="1"/>
  <c r="AJ130" i="19"/>
  <c r="DN130" i="19" s="1"/>
  <c r="AE146" i="19"/>
  <c r="AI146" i="19"/>
  <c r="DU166" i="19"/>
  <c r="AC10" i="19"/>
  <c r="AG10" i="19"/>
  <c r="DX31" i="19"/>
  <c r="DW32" i="19"/>
  <c r="DZ57" i="19"/>
  <c r="EB60" i="19"/>
  <c r="AJ69" i="19"/>
  <c r="AK69" i="19" s="1"/>
  <c r="EI105" i="19"/>
  <c r="EJ106" i="19" s="1"/>
  <c r="AJ120" i="19"/>
  <c r="AK120" i="19" s="1"/>
  <c r="AL120" i="19" s="1"/>
  <c r="AM120" i="19" s="1"/>
  <c r="AN120" i="19" s="1"/>
  <c r="AO120" i="19" s="1"/>
  <c r="DU122" i="19"/>
  <c r="AJ124" i="19"/>
  <c r="DV125" i="19"/>
  <c r="DV127" i="19"/>
  <c r="DN150" i="19"/>
  <c r="AJ165" i="19"/>
  <c r="AK165" i="19" s="1"/>
  <c r="AL165" i="19" s="1"/>
  <c r="AM165" i="19" s="1"/>
  <c r="AN165" i="19" s="1"/>
  <c r="AO165" i="19" s="1"/>
  <c r="AJ170" i="19"/>
  <c r="DP170" i="19" s="1"/>
  <c r="DV172" i="19"/>
  <c r="EA29" i="19"/>
  <c r="DN14" i="19"/>
  <c r="EA30" i="19"/>
  <c r="DX32" i="19"/>
  <c r="AJ33" i="19"/>
  <c r="DP33" i="19" s="1"/>
  <c r="DW33" i="19"/>
  <c r="AJ34" i="19"/>
  <c r="DQ34" i="19" s="1"/>
  <c r="DW34" i="19"/>
  <c r="AF53" i="19"/>
  <c r="EI58" i="19"/>
  <c r="EM58" i="19"/>
  <c r="EQ58" i="19"/>
  <c r="AJ70" i="19"/>
  <c r="AK70" i="19" s="1"/>
  <c r="AL70" i="19" s="1"/>
  <c r="AM70" i="19" s="1"/>
  <c r="AN70" i="19" s="1"/>
  <c r="AO70" i="19" s="1"/>
  <c r="AJ123" i="19"/>
  <c r="DP123" i="19" s="1"/>
  <c r="DW125" i="19"/>
  <c r="DW127" i="19"/>
  <c r="AF146" i="19"/>
  <c r="DT150" i="19"/>
  <c r="AJ167" i="19"/>
  <c r="AJ168" i="19"/>
  <c r="DO168" i="19" s="1"/>
  <c r="AJ171" i="19"/>
  <c r="AK171" i="19" s="1"/>
  <c r="AL171" i="19" s="1"/>
  <c r="AM171" i="19" s="1"/>
  <c r="AN171" i="19" s="1"/>
  <c r="AO171" i="19" s="1"/>
  <c r="DU174" i="19"/>
  <c r="AE10" i="19"/>
  <c r="AI10" i="19"/>
  <c r="DT14" i="19"/>
  <c r="EA27" i="19"/>
  <c r="EB19" i="19"/>
  <c r="EC20" i="19" s="1"/>
  <c r="EC31" i="19" s="1"/>
  <c r="EB21" i="19"/>
  <c r="EB23" i="19"/>
  <c r="EB34" i="19" s="1"/>
  <c r="DX33" i="19"/>
  <c r="EJ58" i="19"/>
  <c r="EN58" i="19"/>
  <c r="DN57" i="19"/>
  <c r="DV60" i="19"/>
  <c r="AD100" i="19"/>
  <c r="AH100" i="19"/>
  <c r="AJ121" i="19"/>
  <c r="DO121" i="19" s="1"/>
  <c r="AJ126" i="19"/>
  <c r="DP126" i="19" s="1"/>
  <c r="AJ127" i="19"/>
  <c r="DO127" i="19" s="1"/>
  <c r="AJ128" i="19"/>
  <c r="DP128" i="19" s="1"/>
  <c r="EG151" i="19"/>
  <c r="EH152" i="19" s="1"/>
  <c r="EI153" i="19" s="1"/>
  <c r="EJ154" i="19" s="1"/>
  <c r="EJ165" i="19" s="1"/>
  <c r="DZ150" i="19"/>
  <c r="AJ169" i="19"/>
  <c r="DP169" i="19" s="1"/>
  <c r="AJ173" i="19"/>
  <c r="DQ173" i="19" s="1"/>
  <c r="DW173" i="19"/>
  <c r="AD10" i="19"/>
  <c r="AH10" i="19"/>
  <c r="EK15" i="19"/>
  <c r="EO15" i="19"/>
  <c r="EA28" i="19"/>
  <c r="EB18" i="19"/>
  <c r="EB32" i="19"/>
  <c r="EC22" i="19"/>
  <c r="AJ27" i="19"/>
  <c r="DO27" i="19" s="1"/>
  <c r="AJ29" i="19"/>
  <c r="DQ29" i="19" s="1"/>
  <c r="EB31" i="19"/>
  <c r="EC21" i="19"/>
  <c r="AR26" i="19"/>
  <c r="EH26" i="19" s="1"/>
  <c r="EL106" i="19"/>
  <c r="EM107" i="19" s="1"/>
  <c r="EN108" i="19" s="1"/>
  <c r="EN119" i="19" s="1"/>
  <c r="AJ12" i="19"/>
  <c r="EK16" i="19"/>
  <c r="EB33" i="19"/>
  <c r="EC23" i="19"/>
  <c r="EC34" i="19" s="1"/>
  <c r="DV29" i="19"/>
  <c r="DP32" i="19"/>
  <c r="DU76" i="19"/>
  <c r="DX76" i="19"/>
  <c r="DW76" i="19"/>
  <c r="DV76" i="19"/>
  <c r="DR19" i="19"/>
  <c r="DU30" i="19"/>
  <c r="DW30" i="19"/>
  <c r="EJ16" i="19"/>
  <c r="EN16" i="19"/>
  <c r="EO16" i="19"/>
  <c r="EI16" i="19"/>
  <c r="AJ26" i="19"/>
  <c r="AJ28" i="19"/>
  <c r="AJ30" i="19"/>
  <c r="EC109" i="19"/>
  <c r="DV17" i="19"/>
  <c r="EB17" i="19"/>
  <c r="AE53" i="19"/>
  <c r="AI53" i="19"/>
  <c r="DV71" i="19"/>
  <c r="DW61" i="19"/>
  <c r="EC63" i="19"/>
  <c r="EN106" i="19"/>
  <c r="AJ55" i="19"/>
  <c r="EH59" i="19"/>
  <c r="EH70" i="19" s="1"/>
  <c r="EL59" i="19"/>
  <c r="EL70" i="19" s="1"/>
  <c r="EP59" i="19"/>
  <c r="EC62" i="19"/>
  <c r="DR75" i="19"/>
  <c r="EN109" i="19"/>
  <c r="EN120" i="19" s="1"/>
  <c r="EA32" i="19"/>
  <c r="DR34" i="19"/>
  <c r="EH58" i="19"/>
  <c r="EH69" i="19" s="1"/>
  <c r="EL58" i="19"/>
  <c r="EL69" i="19" s="1"/>
  <c r="EP58" i="19"/>
  <c r="DV72" i="19"/>
  <c r="DU120" i="19"/>
  <c r="DV107" i="19"/>
  <c r="DP60" i="19"/>
  <c r="DU75" i="19"/>
  <c r="DX75" i="19"/>
  <c r="DV75" i="19"/>
  <c r="EO105" i="19"/>
  <c r="EB107" i="19"/>
  <c r="DO124" i="19"/>
  <c r="DR124" i="19"/>
  <c r="DN124" i="19"/>
  <c r="AK124" i="19"/>
  <c r="DQ124" i="19"/>
  <c r="DP124" i="19"/>
  <c r="DO125" i="19"/>
  <c r="DU31" i="19"/>
  <c r="DU32" i="19"/>
  <c r="DU33" i="19"/>
  <c r="DU34" i="19"/>
  <c r="EB63" i="19"/>
  <c r="EB64" i="19"/>
  <c r="EB65" i="19"/>
  <c r="AJ73" i="19"/>
  <c r="DU74" i="19"/>
  <c r="DX74" i="19"/>
  <c r="DV74" i="19"/>
  <c r="DW75" i="19"/>
  <c r="AJ77" i="19"/>
  <c r="EB66" i="19"/>
  <c r="AJ72" i="19"/>
  <c r="DV73" i="19"/>
  <c r="AJ76" i="19"/>
  <c r="DU77" i="19"/>
  <c r="DX77" i="19"/>
  <c r="DV77" i="19"/>
  <c r="EI106" i="19"/>
  <c r="EJ107" i="19" s="1"/>
  <c r="EK108" i="19" s="1"/>
  <c r="EK119" i="19" s="1"/>
  <c r="EM106" i="19"/>
  <c r="EN107" i="19" s="1"/>
  <c r="EO108" i="19" s="1"/>
  <c r="EO119" i="19" s="1"/>
  <c r="EQ106" i="19"/>
  <c r="ES107" i="19" s="1"/>
  <c r="ET108" i="19" s="1"/>
  <c r="ET119" i="19" s="1"/>
  <c r="AJ102" i="19"/>
  <c r="EG105" i="19"/>
  <c r="DO120" i="19"/>
  <c r="DP107" i="19"/>
  <c r="EC111" i="19"/>
  <c r="ED111" i="19"/>
  <c r="DR130" i="19"/>
  <c r="AK130" i="19"/>
  <c r="DP130" i="19"/>
  <c r="DX124" i="19"/>
  <c r="DT124" i="19"/>
  <c r="DW124" i="19"/>
  <c r="DV124" i="19"/>
  <c r="DO126" i="19"/>
  <c r="DR126" i="19"/>
  <c r="DN126" i="19"/>
  <c r="AK126" i="19"/>
  <c r="DQ126" i="19"/>
  <c r="DU130" i="19"/>
  <c r="DX130" i="19"/>
  <c r="DT130" i="19"/>
  <c r="DW130" i="19"/>
  <c r="DV130" i="19"/>
  <c r="EK151" i="19"/>
  <c r="EJ151" i="19"/>
  <c r="EO151" i="19"/>
  <c r="EN151" i="19"/>
  <c r="EQ155" i="19"/>
  <c r="DQ169" i="19"/>
  <c r="DO169" i="19"/>
  <c r="DO123" i="19"/>
  <c r="DO128" i="19"/>
  <c r="DR128" i="19"/>
  <c r="DN128" i="19"/>
  <c r="AK128" i="19"/>
  <c r="DQ128" i="19"/>
  <c r="EJ153" i="19"/>
  <c r="EK154" i="19" s="1"/>
  <c r="EK165" i="19" s="1"/>
  <c r="EB111" i="19"/>
  <c r="EB112" i="19"/>
  <c r="EB113" i="19"/>
  <c r="EB114" i="19"/>
  <c r="EB115" i="19"/>
  <c r="EB116" i="19"/>
  <c r="AJ119" i="19"/>
  <c r="AK119" i="19" s="1"/>
  <c r="AL119" i="19" s="1"/>
  <c r="AM119" i="19" s="1"/>
  <c r="AN119" i="19" s="1"/>
  <c r="AO119" i="19" s="1"/>
  <c r="AJ122" i="19"/>
  <c r="AJ129" i="19"/>
  <c r="AJ148" i="19"/>
  <c r="EM155" i="19"/>
  <c r="EM166" i="19" s="1"/>
  <c r="DT125" i="19"/>
  <c r="DX125" i="19"/>
  <c r="DV126" i="19"/>
  <c r="DT127" i="19"/>
  <c r="DX127" i="19"/>
  <c r="DV128" i="19"/>
  <c r="EM152" i="19"/>
  <c r="EB156" i="19"/>
  <c r="DW126" i="19"/>
  <c r="DW128" i="19"/>
  <c r="EQ152" i="19"/>
  <c r="ES153" i="19" s="1"/>
  <c r="ET154" i="19" s="1"/>
  <c r="ET165" i="19" s="1"/>
  <c r="EB154" i="19"/>
  <c r="DT126" i="19"/>
  <c r="DT128" i="19"/>
  <c r="AC146" i="19"/>
  <c r="AG146" i="19"/>
  <c r="DO167" i="19"/>
  <c r="AK167" i="19"/>
  <c r="AL167" i="19" s="1"/>
  <c r="AM167" i="19" s="1"/>
  <c r="AN167" i="19" s="1"/>
  <c r="AO167" i="19" s="1"/>
  <c r="DV153" i="19"/>
  <c r="EB153" i="19"/>
  <c r="EB155" i="19"/>
  <c r="EB160" i="19"/>
  <c r="DQ175" i="19"/>
  <c r="DP175" i="19"/>
  <c r="DO175" i="19"/>
  <c r="AK175" i="19"/>
  <c r="AL175" i="19" s="1"/>
  <c r="AM175" i="19" s="1"/>
  <c r="AN175" i="19" s="1"/>
  <c r="AO175" i="19" s="1"/>
  <c r="DP167" i="19"/>
  <c r="DQ154" i="19"/>
  <c r="EB157" i="19"/>
  <c r="EB158" i="19"/>
  <c r="EB159" i="19"/>
  <c r="DR175" i="19"/>
  <c r="AJ166" i="19"/>
  <c r="DO171" i="19"/>
  <c r="DV176" i="19"/>
  <c r="DU176" i="19"/>
  <c r="DX176" i="19"/>
  <c r="EB161" i="19"/>
  <c r="EB162" i="19"/>
  <c r="AJ172" i="19"/>
  <c r="AJ176" i="19"/>
  <c r="AJ174" i="19"/>
  <c r="DW170" i="19"/>
  <c r="DW172" i="19"/>
  <c r="DX173" i="19"/>
  <c r="DV174" i="19"/>
  <c r="DX170" i="19"/>
  <c r="DX172" i="19"/>
  <c r="DU173" i="19"/>
  <c r="DW174" i="19"/>
  <c r="AM134" i="17"/>
  <c r="AM135" i="17" s="1"/>
  <c r="AV134" i="17"/>
  <c r="AV135" i="17" s="1"/>
  <c r="AL134" i="17"/>
  <c r="AL135" i="17" s="1"/>
  <c r="AK134" i="17"/>
  <c r="AK135" i="17" s="1"/>
  <c r="AF114" i="17"/>
  <c r="AF116" i="17"/>
  <c r="AF117" i="17"/>
  <c r="AF115" i="17"/>
  <c r="N145" i="17" l="1"/>
  <c r="ET130" i="19"/>
  <c r="ET176" i="19"/>
  <c r="N143" i="17"/>
  <c r="H46" i="18" s="1"/>
  <c r="H40" i="18" s="1"/>
  <c r="K31" i="18"/>
  <c r="K25" i="18" s="1"/>
  <c r="U25" i="18" s="1"/>
  <c r="EU108" i="19"/>
  <c r="EU119" i="19" s="1"/>
  <c r="EU154" i="19"/>
  <c r="EU165" i="19" s="1"/>
  <c r="K20" i="18"/>
  <c r="AK169" i="19"/>
  <c r="AL169" i="19" s="1"/>
  <c r="AM169" i="19" s="1"/>
  <c r="AN169" i="19" s="1"/>
  <c r="AO169" i="19" s="1"/>
  <c r="DQ125" i="19"/>
  <c r="DP34" i="19"/>
  <c r="DO75" i="19"/>
  <c r="DP127" i="19"/>
  <c r="DN125" i="19"/>
  <c r="AK71" i="19"/>
  <c r="AL71" i="19" s="1"/>
  <c r="EN17" i="19"/>
  <c r="EO18" i="19" s="1"/>
  <c r="ET16" i="19"/>
  <c r="ET27" i="19" s="1"/>
  <c r="EU109" i="19"/>
  <c r="EU120" i="19" s="1"/>
  <c r="EU18" i="19"/>
  <c r="EU29" i="19" s="1"/>
  <c r="AK75" i="19"/>
  <c r="AL75" i="19" s="1"/>
  <c r="AM75" i="19" s="1"/>
  <c r="AN75" i="19" s="1"/>
  <c r="AO75" i="19" s="1"/>
  <c r="EQ119" i="19"/>
  <c r="EQ130" i="19" s="1"/>
  <c r="ES109" i="19"/>
  <c r="ES120" i="19" s="1"/>
  <c r="EQ27" i="19"/>
  <c r="ES17" i="19"/>
  <c r="ES28" i="19" s="1"/>
  <c r="EV155" i="19"/>
  <c r="EV166" i="19" s="1"/>
  <c r="EU155" i="19"/>
  <c r="EU166" i="19" s="1"/>
  <c r="EQ166" i="19"/>
  <c r="ES156" i="19"/>
  <c r="ES167" i="19" s="1"/>
  <c r="DO34" i="19"/>
  <c r="DP75" i="19"/>
  <c r="DR31" i="19"/>
  <c r="DQ32" i="19"/>
  <c r="EQ69" i="19"/>
  <c r="ES59" i="19"/>
  <c r="ES70" i="19" s="1"/>
  <c r="AS174" i="19"/>
  <c r="EH174" i="19"/>
  <c r="AS128" i="19"/>
  <c r="EH128" i="19"/>
  <c r="EA175" i="19"/>
  <c r="DP171" i="19"/>
  <c r="DP31" i="19"/>
  <c r="AS175" i="19"/>
  <c r="EH175" i="19"/>
  <c r="DQ33" i="19"/>
  <c r="AS129" i="19"/>
  <c r="EH129" i="19"/>
  <c r="DR171" i="19"/>
  <c r="DQ171" i="19"/>
  <c r="AL69" i="19"/>
  <c r="AM69" i="19" s="1"/>
  <c r="AN69" i="19" s="1"/>
  <c r="AO69" i="19" s="1"/>
  <c r="EP176" i="19"/>
  <c r="EP69" i="19"/>
  <c r="EN130" i="19"/>
  <c r="EJ176" i="19"/>
  <c r="EK130" i="19"/>
  <c r="EK176" i="19"/>
  <c r="EO130" i="19"/>
  <c r="EP70" i="19"/>
  <c r="EJ59" i="19"/>
  <c r="EJ70" i="19" s="1"/>
  <c r="EI69" i="19"/>
  <c r="EO59" i="19"/>
  <c r="EO70" i="19" s="1"/>
  <c r="EN69" i="19"/>
  <c r="AJ53" i="19"/>
  <c r="EK59" i="19"/>
  <c r="EK70" i="19" s="1"/>
  <c r="EJ69" i="19"/>
  <c r="EN59" i="19"/>
  <c r="EN70" i="19" s="1"/>
  <c r="EM69" i="19"/>
  <c r="F7" i="18"/>
  <c r="G7" i="22"/>
  <c r="DO170" i="19"/>
  <c r="DP168" i="19"/>
  <c r="DQ130" i="19"/>
  <c r="DO130" i="19"/>
  <c r="DR125" i="19"/>
  <c r="DQ31" i="19"/>
  <c r="AK173" i="19"/>
  <c r="AL173" i="19" s="1"/>
  <c r="AM173" i="19" s="1"/>
  <c r="AN173" i="19" s="1"/>
  <c r="AO173" i="19" s="1"/>
  <c r="AK125" i="19"/>
  <c r="DZ125" i="19" s="1"/>
  <c r="AK74" i="19"/>
  <c r="AL74" i="19" s="1"/>
  <c r="AM74" i="19" s="1"/>
  <c r="AN74" i="19" s="1"/>
  <c r="AO74" i="19" s="1"/>
  <c r="DR32" i="19"/>
  <c r="DO173" i="19"/>
  <c r="DR127" i="19"/>
  <c r="DN127" i="19"/>
  <c r="DQ127" i="19"/>
  <c r="DO74" i="19"/>
  <c r="DR33" i="19"/>
  <c r="EA120" i="19"/>
  <c r="AJ146" i="19"/>
  <c r="DP173" i="19"/>
  <c r="DQ123" i="19"/>
  <c r="AK127" i="19"/>
  <c r="DZ127" i="19" s="1"/>
  <c r="DQ74" i="19"/>
  <c r="DO33" i="19"/>
  <c r="DR173" i="19"/>
  <c r="EA169" i="19"/>
  <c r="AK123" i="19"/>
  <c r="AL123" i="19" s="1"/>
  <c r="AM123" i="19" s="1"/>
  <c r="EB123" i="19" s="1"/>
  <c r="DR74" i="19"/>
  <c r="AJ10" i="19"/>
  <c r="DO70" i="19"/>
  <c r="EA70" i="19"/>
  <c r="DQ170" i="19"/>
  <c r="DR170" i="19"/>
  <c r="EC61" i="19"/>
  <c r="AK121" i="19"/>
  <c r="AL121" i="19" s="1"/>
  <c r="ED21" i="19"/>
  <c r="EF22" i="19" s="1"/>
  <c r="AJ100" i="19"/>
  <c r="AK168" i="19"/>
  <c r="AL168" i="19" s="1"/>
  <c r="AK170" i="19"/>
  <c r="AL170" i="19" s="1"/>
  <c r="AM170" i="19" s="1"/>
  <c r="AN170" i="19" s="1"/>
  <c r="AO170" i="19" s="1"/>
  <c r="EB30" i="19"/>
  <c r="EN156" i="19"/>
  <c r="EN167" i="19" s="1"/>
  <c r="AN123" i="19"/>
  <c r="AO123" i="19" s="1"/>
  <c r="DP121" i="19"/>
  <c r="DQ108" i="19"/>
  <c r="EQ59" i="19"/>
  <c r="EL16" i="19"/>
  <c r="EB169" i="19"/>
  <c r="EC156" i="19"/>
  <c r="DP122" i="19"/>
  <c r="AK122" i="19"/>
  <c r="AL122" i="19" s="1"/>
  <c r="DO122" i="19"/>
  <c r="EC112" i="19"/>
  <c r="EL155" i="19"/>
  <c r="EL166" i="19" s="1"/>
  <c r="EP152" i="19"/>
  <c r="EK155" i="19"/>
  <c r="EK166" i="19" s="1"/>
  <c r="DT102" i="19"/>
  <c r="DT103" i="19" s="1"/>
  <c r="DT104" i="19" s="1"/>
  <c r="DZ130" i="19"/>
  <c r="AL130" i="19"/>
  <c r="EF112" i="19"/>
  <c r="EL109" i="19"/>
  <c r="EL120" i="19" s="1"/>
  <c r="DO76" i="19"/>
  <c r="AK76" i="19"/>
  <c r="AL76" i="19" s="1"/>
  <c r="DR76" i="19"/>
  <c r="DQ76" i="19"/>
  <c r="DP76" i="19"/>
  <c r="DO77" i="19"/>
  <c r="AK77" i="19"/>
  <c r="AL77" i="19" s="1"/>
  <c r="DR77" i="19"/>
  <c r="DQ77" i="19"/>
  <c r="DP77" i="19"/>
  <c r="EC65" i="19"/>
  <c r="AL124" i="19"/>
  <c r="DZ124" i="19"/>
  <c r="EC108" i="19"/>
  <c r="EM59" i="19"/>
  <c r="EM70" i="19" s="1"/>
  <c r="EO110" i="19"/>
  <c r="EO121" i="19" s="1"/>
  <c r="EM60" i="19"/>
  <c r="EM71" i="19" s="1"/>
  <c r="DW72" i="19"/>
  <c r="DX62" i="19"/>
  <c r="DX73" i="19" s="1"/>
  <c r="DO28" i="19"/>
  <c r="DP28" i="19"/>
  <c r="EJ27" i="19"/>
  <c r="EK17" i="19"/>
  <c r="EL17" i="19"/>
  <c r="EK27" i="19"/>
  <c r="EO109" i="19"/>
  <c r="EO120" i="19" s="1"/>
  <c r="AS26" i="19"/>
  <c r="EH16" i="19"/>
  <c r="EG26" i="19"/>
  <c r="EC159" i="19"/>
  <c r="EC66" i="19"/>
  <c r="EK107" i="19"/>
  <c r="DR30" i="19"/>
  <c r="DO29" i="19"/>
  <c r="DP29" i="19"/>
  <c r="DR174" i="19"/>
  <c r="DQ174" i="19"/>
  <c r="DP174" i="19"/>
  <c r="AK174" i="19"/>
  <c r="AL174" i="19" s="1"/>
  <c r="DO174" i="19"/>
  <c r="EA171" i="19"/>
  <c r="EC114" i="19"/>
  <c r="EC160" i="19"/>
  <c r="EB171" i="19"/>
  <c r="EC158" i="19"/>
  <c r="EB167" i="19"/>
  <c r="EC154" i="19"/>
  <c r="AL128" i="19"/>
  <c r="DZ128" i="19"/>
  <c r="EK152" i="19"/>
  <c r="EL153" i="19" s="1"/>
  <c r="EM154" i="19" s="1"/>
  <c r="EM165" i="19" s="1"/>
  <c r="ED112" i="19"/>
  <c r="EH106" i="19"/>
  <c r="DO73" i="19"/>
  <c r="AK73" i="19"/>
  <c r="AL73" i="19" s="1"/>
  <c r="DQ73" i="19"/>
  <c r="DP73" i="19"/>
  <c r="EC64" i="19"/>
  <c r="EP106" i="19"/>
  <c r="DP71" i="19"/>
  <c r="DQ61" i="19"/>
  <c r="ED62" i="19"/>
  <c r="EI59" i="19"/>
  <c r="EI70" i="19" s="1"/>
  <c r="EI27" i="19"/>
  <c r="EJ17" i="19"/>
  <c r="EN27" i="19"/>
  <c r="EO17" i="19"/>
  <c r="ED23" i="19"/>
  <c r="ED34" i="19" s="1"/>
  <c r="EC33" i="19"/>
  <c r="AK166" i="19"/>
  <c r="AL166" i="19" s="1"/>
  <c r="DO166" i="19"/>
  <c r="DQ168" i="19"/>
  <c r="DR155" i="19"/>
  <c r="DR169" i="19" s="1"/>
  <c r="EA167" i="19"/>
  <c r="EO152" i="19"/>
  <c r="EP153" i="19" s="1"/>
  <c r="ED63" i="19"/>
  <c r="EO107" i="19"/>
  <c r="EP108" i="19" s="1"/>
  <c r="DW18" i="19"/>
  <c r="DV28" i="19"/>
  <c r="DO30" i="19"/>
  <c r="DQ30" i="19"/>
  <c r="DP30" i="19"/>
  <c r="EC19" i="19"/>
  <c r="EB29" i="19"/>
  <c r="EB175" i="19"/>
  <c r="EC162" i="19"/>
  <c r="EN153" i="19"/>
  <c r="EO154" i="19" s="1"/>
  <c r="EO165" i="19" s="1"/>
  <c r="EC116" i="19"/>
  <c r="DP176" i="19"/>
  <c r="DO176" i="19"/>
  <c r="AK176" i="19"/>
  <c r="AL176" i="19" s="1"/>
  <c r="DR176" i="19"/>
  <c r="DQ176" i="19"/>
  <c r="DO172" i="19"/>
  <c r="AK172" i="19"/>
  <c r="AL172" i="19" s="1"/>
  <c r="DR172" i="19"/>
  <c r="DQ172" i="19"/>
  <c r="DP172" i="19"/>
  <c r="EC161" i="19"/>
  <c r="DV167" i="19"/>
  <c r="DW154" i="19"/>
  <c r="EC155" i="19"/>
  <c r="EC157" i="19"/>
  <c r="DQ129" i="19"/>
  <c r="DP129" i="19"/>
  <c r="DO129" i="19"/>
  <c r="AK129" i="19"/>
  <c r="DR129" i="19"/>
  <c r="DN129" i="19"/>
  <c r="EC115" i="19"/>
  <c r="EC113" i="19"/>
  <c r="EL152" i="19"/>
  <c r="AL126" i="19"/>
  <c r="DZ126" i="19"/>
  <c r="EP109" i="19"/>
  <c r="DO72" i="19"/>
  <c r="AK72" i="19"/>
  <c r="AL72" i="19" s="1"/>
  <c r="DP72" i="19"/>
  <c r="DV121" i="19"/>
  <c r="DW108" i="19"/>
  <c r="EQ60" i="19"/>
  <c r="EI60" i="19"/>
  <c r="EI71" i="19" s="1"/>
  <c r="ED64" i="19"/>
  <c r="EC18" i="19"/>
  <c r="EB28" i="19"/>
  <c r="ED110" i="19"/>
  <c r="EP17" i="19"/>
  <c r="EO27" i="19"/>
  <c r="EC32" i="19"/>
  <c r="ED22" i="19"/>
  <c r="EP16" i="19"/>
  <c r="AG115" i="17"/>
  <c r="AG116" i="17"/>
  <c r="AG114" i="17"/>
  <c r="AG117" i="17"/>
  <c r="EU176" i="19" l="1"/>
  <c r="EU130" i="19"/>
  <c r="R46" i="18"/>
  <c r="AG134" i="17"/>
  <c r="AG135" i="17" s="1"/>
  <c r="R40" i="18"/>
  <c r="H12" i="18"/>
  <c r="H11" i="18"/>
  <c r="H9" i="18" s="1"/>
  <c r="R9" i="18" s="1"/>
  <c r="U31" i="18"/>
  <c r="EV109" i="19"/>
  <c r="EV120" i="19" s="1"/>
  <c r="U20" i="18"/>
  <c r="K13" i="18"/>
  <c r="K11" i="18"/>
  <c r="K9" i="18" s="1"/>
  <c r="U9" i="18" s="1"/>
  <c r="K14" i="18"/>
  <c r="K12" i="18"/>
  <c r="EN28" i="19"/>
  <c r="EL60" i="19"/>
  <c r="EL71" i="19" s="1"/>
  <c r="AL127" i="19"/>
  <c r="EB75" i="19"/>
  <c r="EA75" i="19"/>
  <c r="EB173" i="19"/>
  <c r="EA173" i="19"/>
  <c r="AL125" i="19"/>
  <c r="EA170" i="19"/>
  <c r="EB170" i="19"/>
  <c r="DN102" i="19"/>
  <c r="DN103" i="19" s="1"/>
  <c r="DN104" i="19" s="1"/>
  <c r="EA123" i="19"/>
  <c r="AM71" i="19"/>
  <c r="EA71" i="19"/>
  <c r="EK60" i="19"/>
  <c r="EK71" i="19" s="1"/>
  <c r="ET157" i="19"/>
  <c r="ET168" i="19" s="1"/>
  <c r="EW156" i="19"/>
  <c r="EW167" i="19" s="1"/>
  <c r="ET110" i="19"/>
  <c r="ET121" i="19" s="1"/>
  <c r="EV19" i="19"/>
  <c r="EV30" i="19" s="1"/>
  <c r="EU17" i="19"/>
  <c r="EU28" i="19" s="1"/>
  <c r="EV156" i="19"/>
  <c r="EV167" i="19" s="1"/>
  <c r="EO60" i="19"/>
  <c r="EO71" i="19" s="1"/>
  <c r="EQ71" i="19"/>
  <c r="ES61" i="19"/>
  <c r="ES72" i="19" s="1"/>
  <c r="EQ70" i="19"/>
  <c r="ES60" i="19"/>
  <c r="ES71" i="19" s="1"/>
  <c r="ET60" i="19"/>
  <c r="ET71" i="19" s="1"/>
  <c r="EA74" i="19"/>
  <c r="EW110" i="19"/>
  <c r="EW121" i="19" s="1"/>
  <c r="ET18" i="19"/>
  <c r="ET29" i="19" s="1"/>
  <c r="EV110" i="19"/>
  <c r="EV121" i="19" s="1"/>
  <c r="AT175" i="19"/>
  <c r="EI175" i="19"/>
  <c r="AT129" i="19"/>
  <c r="EI129" i="19"/>
  <c r="AT128" i="19"/>
  <c r="EI128" i="19"/>
  <c r="EP60" i="19"/>
  <c r="EQ61" i="19" s="1"/>
  <c r="AT174" i="19"/>
  <c r="EI174" i="19"/>
  <c r="EP119" i="19"/>
  <c r="EQ154" i="19"/>
  <c r="EO176" i="19"/>
  <c r="EM176" i="19"/>
  <c r="EP120" i="19"/>
  <c r="EC74" i="19"/>
  <c r="EB74" i="19"/>
  <c r="ED32" i="19"/>
  <c r="AM168" i="19"/>
  <c r="EA168" i="19"/>
  <c r="AM121" i="19"/>
  <c r="EA121" i="19"/>
  <c r="ED19" i="19"/>
  <c r="EC29" i="19"/>
  <c r="DW168" i="19"/>
  <c r="DX155" i="19"/>
  <c r="DX169" i="19" s="1"/>
  <c r="AM172" i="19"/>
  <c r="EA172" i="19"/>
  <c r="DX19" i="19"/>
  <c r="DX30" i="19" s="1"/>
  <c r="DW29" i="19"/>
  <c r="EQ109" i="19"/>
  <c r="DQ72" i="19"/>
  <c r="DR62" i="19"/>
  <c r="DR73" i="19" s="1"/>
  <c r="EN155" i="19"/>
  <c r="EN166" i="19" s="1"/>
  <c r="ED159" i="19"/>
  <c r="EP110" i="19"/>
  <c r="EN61" i="19"/>
  <c r="EN72" i="19" s="1"/>
  <c r="EN60" i="19"/>
  <c r="EN71" i="19" s="1"/>
  <c r="ED66" i="19"/>
  <c r="AM76" i="19"/>
  <c r="EA76" i="19"/>
  <c r="EF33" i="19"/>
  <c r="EG23" i="19"/>
  <c r="EG34" i="19" s="1"/>
  <c r="EM153" i="19"/>
  <c r="ED20" i="19"/>
  <c r="EC30" i="19"/>
  <c r="EI107" i="19"/>
  <c r="ED115" i="19"/>
  <c r="EL61" i="19"/>
  <c r="EL72" i="19" s="1"/>
  <c r="EP19" i="19"/>
  <c r="EO29" i="19"/>
  <c r="EP111" i="19"/>
  <c r="AM124" i="19"/>
  <c r="EA124" i="19"/>
  <c r="AM77" i="19"/>
  <c r="EA77" i="19"/>
  <c r="EF123" i="19"/>
  <c r="EG113" i="19"/>
  <c r="EG124" i="19" s="1"/>
  <c r="EQ153" i="19"/>
  <c r="ES154" i="19" s="1"/>
  <c r="ES165" i="19" s="1"/>
  <c r="ED113" i="19"/>
  <c r="EC170" i="19"/>
  <c r="ED157" i="19"/>
  <c r="EC123" i="19"/>
  <c r="DW122" i="19"/>
  <c r="DX109" i="19"/>
  <c r="DX123" i="19" s="1"/>
  <c r="ED116" i="19"/>
  <c r="EC171" i="19"/>
  <c r="ED158" i="19"/>
  <c r="EC169" i="19"/>
  <c r="ED156" i="19"/>
  <c r="EC175" i="19"/>
  <c r="ED162" i="19"/>
  <c r="ED74" i="19"/>
  <c r="EF64" i="19"/>
  <c r="EJ28" i="19"/>
  <c r="EK18" i="19"/>
  <c r="EF63" i="19"/>
  <c r="AM73" i="19"/>
  <c r="EA73" i="19"/>
  <c r="EF113" i="19"/>
  <c r="ED155" i="19"/>
  <c r="ED161" i="19"/>
  <c r="AM174" i="19"/>
  <c r="EA174" i="19"/>
  <c r="EC173" i="19"/>
  <c r="ED160" i="19"/>
  <c r="EM18" i="19"/>
  <c r="EL28" i="19"/>
  <c r="ED109" i="19"/>
  <c r="AM125" i="19"/>
  <c r="EA125" i="19"/>
  <c r="EL156" i="19"/>
  <c r="EL167" i="19" s="1"/>
  <c r="EM156" i="19"/>
  <c r="EM167" i="19" s="1"/>
  <c r="EM17" i="19"/>
  <c r="EL27" i="19"/>
  <c r="EQ17" i="19"/>
  <c r="ES18" i="19" s="1"/>
  <c r="ES29" i="19" s="1"/>
  <c r="EP27" i="19"/>
  <c r="ED33" i="19"/>
  <c r="EF23" i="19"/>
  <c r="EF34" i="19" s="1"/>
  <c r="EQ18" i="19"/>
  <c r="EP28" i="19"/>
  <c r="ED114" i="19"/>
  <c r="AM176" i="19"/>
  <c r="EA176" i="19"/>
  <c r="AM166" i="19"/>
  <c r="AN166" i="19" s="1"/>
  <c r="EA166" i="19"/>
  <c r="EP18" i="19"/>
  <c r="EO28" i="19"/>
  <c r="EJ60" i="19"/>
  <c r="EJ71" i="19" s="1"/>
  <c r="EQ107" i="19"/>
  <c r="ES108" i="19" s="1"/>
  <c r="ES119" i="19" s="1"/>
  <c r="AM127" i="19"/>
  <c r="EA127" i="19"/>
  <c r="DQ122" i="19"/>
  <c r="DR109" i="19"/>
  <c r="DR123" i="19" s="1"/>
  <c r="EF111" i="19"/>
  <c r="EJ61" i="19"/>
  <c r="EJ72" i="19" s="1"/>
  <c r="AM72" i="19"/>
  <c r="EA72" i="19"/>
  <c r="AM126" i="19"/>
  <c r="EA126" i="19"/>
  <c r="EP155" i="19"/>
  <c r="EL108" i="19"/>
  <c r="EL119" i="19" s="1"/>
  <c r="EO157" i="19"/>
  <c r="EO168" i="19" s="1"/>
  <c r="ED75" i="19"/>
  <c r="EF65" i="19"/>
  <c r="EQ110" i="19"/>
  <c r="DZ129" i="19"/>
  <c r="DZ102" i="19" s="1"/>
  <c r="DZ104" i="19" s="1"/>
  <c r="AL129" i="19"/>
  <c r="ED65" i="19"/>
  <c r="EC75" i="19"/>
  <c r="AM128" i="19"/>
  <c r="EA128" i="19"/>
  <c r="EI17" i="19"/>
  <c r="EH27" i="19"/>
  <c r="AT26" i="19"/>
  <c r="EI26" i="19"/>
  <c r="EL18" i="19"/>
  <c r="EK28" i="19"/>
  <c r="EM110" i="19"/>
  <c r="EM121" i="19" s="1"/>
  <c r="AM130" i="19"/>
  <c r="EA130" i="19"/>
  <c r="AM122" i="19"/>
  <c r="EA122" i="19"/>
  <c r="AH116" i="17"/>
  <c r="AH117" i="17"/>
  <c r="AH115" i="17"/>
  <c r="AH114" i="17"/>
  <c r="R95" i="17"/>
  <c r="ES176" i="19" l="1"/>
  <c r="ES130" i="19"/>
  <c r="AH134" i="17"/>
  <c r="AH135" i="17" s="1"/>
  <c r="R12" i="18"/>
  <c r="R11" i="18"/>
  <c r="EM61" i="19"/>
  <c r="EM72" i="19" s="1"/>
  <c r="U11" i="18"/>
  <c r="U12" i="18"/>
  <c r="U14" i="18"/>
  <c r="U13" i="18"/>
  <c r="EP71" i="19"/>
  <c r="EP61" i="19"/>
  <c r="EQ62" i="19" s="1"/>
  <c r="AN71" i="19"/>
  <c r="AO71" i="19" s="1"/>
  <c r="EB71" i="19"/>
  <c r="ET109" i="19"/>
  <c r="ET120" i="19" s="1"/>
  <c r="EW20" i="19"/>
  <c r="EW31" i="19" s="1"/>
  <c r="EW111" i="19"/>
  <c r="EW122" i="19" s="1"/>
  <c r="EU61" i="19"/>
  <c r="EU72" i="19" s="1"/>
  <c r="ET62" i="19"/>
  <c r="ET73" i="19" s="1"/>
  <c r="EW157" i="19"/>
  <c r="EW168" i="19" s="1"/>
  <c r="EQ29" i="19"/>
  <c r="ES19" i="19"/>
  <c r="ES30" i="19" s="1"/>
  <c r="ET155" i="19"/>
  <c r="ET166" i="19" s="1"/>
  <c r="EQ165" i="19"/>
  <c r="EQ176" i="19" s="1"/>
  <c r="ES155" i="19"/>
  <c r="ES166" i="19" s="1"/>
  <c r="EU19" i="19"/>
  <c r="EU30" i="19" s="1"/>
  <c r="EU111" i="19"/>
  <c r="EU122" i="19" s="1"/>
  <c r="EU158" i="19"/>
  <c r="EU169" i="19" s="1"/>
  <c r="EX111" i="19"/>
  <c r="EX122" i="19" s="1"/>
  <c r="EX157" i="19"/>
  <c r="EX168" i="19" s="1"/>
  <c r="EQ72" i="19"/>
  <c r="ES62" i="19"/>
  <c r="ES73" i="19" s="1"/>
  <c r="EQ121" i="19"/>
  <c r="ES111" i="19"/>
  <c r="ES122" i="19" s="1"/>
  <c r="ET19" i="19"/>
  <c r="ET30" i="19" s="1"/>
  <c r="EQ120" i="19"/>
  <c r="ES110" i="19"/>
  <c r="ES121" i="19" s="1"/>
  <c r="ES102" i="19" s="1"/>
  <c r="ET61" i="19"/>
  <c r="ET72" i="19" s="1"/>
  <c r="EV18" i="19"/>
  <c r="EV29" i="19" s="1"/>
  <c r="AU174" i="19"/>
  <c r="EJ174" i="19"/>
  <c r="AU129" i="19"/>
  <c r="EJ129" i="19"/>
  <c r="AU128" i="19"/>
  <c r="EJ128" i="19"/>
  <c r="AU175" i="19"/>
  <c r="EJ175" i="19"/>
  <c r="EL130" i="19"/>
  <c r="EP72" i="19"/>
  <c r="EP121" i="19"/>
  <c r="EP166" i="19"/>
  <c r="EP122" i="19"/>
  <c r="EP130" i="19"/>
  <c r="AN168" i="19"/>
  <c r="EB168" i="19"/>
  <c r="AN121" i="19"/>
  <c r="EB121" i="19"/>
  <c r="AU26" i="19"/>
  <c r="EJ26" i="19"/>
  <c r="EI28" i="19"/>
  <c r="EJ18" i="19"/>
  <c r="EF66" i="19"/>
  <c r="EF77" i="19" s="1"/>
  <c r="EF76" i="19"/>
  <c r="EG66" i="19"/>
  <c r="EG77" i="19" s="1"/>
  <c r="AN126" i="19"/>
  <c r="EB126" i="19"/>
  <c r="EG112" i="19"/>
  <c r="EG123" i="19" s="1"/>
  <c r="EF122" i="19"/>
  <c r="EF115" i="19"/>
  <c r="EM28" i="19"/>
  <c r="EN18" i="19"/>
  <c r="ED169" i="19"/>
  <c r="EF156" i="19"/>
  <c r="EF75" i="19"/>
  <c r="EG65" i="19"/>
  <c r="EG76" i="19" s="1"/>
  <c r="EF159" i="19"/>
  <c r="ED171" i="19"/>
  <c r="EF158" i="19"/>
  <c r="EQ112" i="19"/>
  <c r="EO62" i="19"/>
  <c r="EO73" i="19" s="1"/>
  <c r="AN122" i="19"/>
  <c r="EB122" i="19"/>
  <c r="EN111" i="19"/>
  <c r="EN122" i="19" s="1"/>
  <c r="EM19" i="19"/>
  <c r="EL29" i="19"/>
  <c r="AN128" i="19"/>
  <c r="EB128" i="19"/>
  <c r="EM109" i="19"/>
  <c r="EM120" i="19" s="1"/>
  <c r="EQ156" i="19"/>
  <c r="EK62" i="19"/>
  <c r="EK73" i="19" s="1"/>
  <c r="AN127" i="19"/>
  <c r="EB127" i="19"/>
  <c r="EQ19" i="19"/>
  <c r="EP29" i="19"/>
  <c r="AN176" i="19"/>
  <c r="EB176" i="19"/>
  <c r="EN157" i="19"/>
  <c r="EN168" i="19" s="1"/>
  <c r="EN19" i="19"/>
  <c r="EM29" i="19"/>
  <c r="AN174" i="19"/>
  <c r="EB174" i="19"/>
  <c r="EF74" i="19"/>
  <c r="EG64" i="19"/>
  <c r="EG75" i="19" s="1"/>
  <c r="AN77" i="19"/>
  <c r="EB77" i="19"/>
  <c r="EJ108" i="19"/>
  <c r="EJ119" i="19" s="1"/>
  <c r="ED31" i="19"/>
  <c r="EF21" i="19"/>
  <c r="EO156" i="19"/>
  <c r="EO167" i="19" s="1"/>
  <c r="AN172" i="19"/>
  <c r="EB172" i="19"/>
  <c r="EP158" i="19"/>
  <c r="AN72" i="19"/>
  <c r="EB72" i="19"/>
  <c r="EK61" i="19"/>
  <c r="EK72" i="19" s="1"/>
  <c r="AO166" i="19"/>
  <c r="EQ28" i="19"/>
  <c r="AN125" i="19"/>
  <c r="EB125" i="19"/>
  <c r="ED175" i="19"/>
  <c r="EF162" i="19"/>
  <c r="EF173" i="19" s="1"/>
  <c r="EF124" i="19"/>
  <c r="EG114" i="19"/>
  <c r="EG125" i="19" s="1"/>
  <c r="ED170" i="19"/>
  <c r="EF157" i="19"/>
  <c r="EF114" i="19"/>
  <c r="EH114" i="19"/>
  <c r="EH125" i="19" s="1"/>
  <c r="EP30" i="19"/>
  <c r="EQ20" i="19"/>
  <c r="EF116" i="19"/>
  <c r="EF127" i="19" s="1"/>
  <c r="EN154" i="19"/>
  <c r="EN165" i="19" s="1"/>
  <c r="AN76" i="19"/>
  <c r="EB76" i="19"/>
  <c r="EQ111" i="19"/>
  <c r="EF20" i="19"/>
  <c r="ED30" i="19"/>
  <c r="AN130" i="19"/>
  <c r="EB130" i="19"/>
  <c r="AM129" i="19"/>
  <c r="EA129" i="19"/>
  <c r="EM157" i="19"/>
  <c r="EM168" i="19" s="1"/>
  <c r="ED123" i="19"/>
  <c r="EF110" i="19"/>
  <c r="EF161" i="19"/>
  <c r="AN73" i="19"/>
  <c r="EB73" i="19"/>
  <c r="EL19" i="19"/>
  <c r="EK29" i="19"/>
  <c r="EN62" i="19"/>
  <c r="EN73" i="19" s="1"/>
  <c r="AN124" i="19"/>
  <c r="EB124" i="19"/>
  <c r="EM62" i="19"/>
  <c r="EM73" i="19" s="1"/>
  <c r="EO61" i="19"/>
  <c r="EO72" i="19" s="1"/>
  <c r="ED173" i="19"/>
  <c r="EF160" i="19"/>
  <c r="AI117" i="17"/>
  <c r="AI114" i="17"/>
  <c r="AI115" i="17"/>
  <c r="AI116" i="17"/>
  <c r="EY158" i="19" l="1"/>
  <c r="EY169" i="19" s="1"/>
  <c r="EV159" i="19"/>
  <c r="EV170" i="19" s="1"/>
  <c r="ET156" i="19"/>
  <c r="ET167" i="19" s="1"/>
  <c r="EU156" i="19"/>
  <c r="EU167" i="19" s="1"/>
  <c r="EX158" i="19"/>
  <c r="EX169" i="19" s="1"/>
  <c r="EV62" i="19"/>
  <c r="EV73" i="19" s="1"/>
  <c r="EX112" i="19"/>
  <c r="EX123" i="19" s="1"/>
  <c r="EQ31" i="19"/>
  <c r="ES21" i="19"/>
  <c r="ES32" i="19" s="1"/>
  <c r="EQ123" i="19"/>
  <c r="ES113" i="19"/>
  <c r="ES124" i="19" s="1"/>
  <c r="EU62" i="19"/>
  <c r="EU73" i="19" s="1"/>
  <c r="ET63" i="19"/>
  <c r="ET74" i="19" s="1"/>
  <c r="ET20" i="19"/>
  <c r="ET31" i="19" s="1"/>
  <c r="EU63" i="19"/>
  <c r="EU74" i="19" s="1"/>
  <c r="EQ122" i="19"/>
  <c r="ES112" i="19"/>
  <c r="ES123" i="19" s="1"/>
  <c r="EQ30" i="19"/>
  <c r="ES20" i="19"/>
  <c r="ES31" i="19" s="1"/>
  <c r="EY112" i="19"/>
  <c r="EY123" i="19" s="1"/>
  <c r="EU110" i="19"/>
  <c r="EU121" i="19" s="1"/>
  <c r="EQ167" i="19"/>
  <c r="ES157" i="19"/>
  <c r="ES168" i="19" s="1"/>
  <c r="ES148" i="19" s="1"/>
  <c r="EU20" i="19"/>
  <c r="EU31" i="19" s="1"/>
  <c r="EV112" i="19"/>
  <c r="EV123" i="19" s="1"/>
  <c r="EQ73" i="19"/>
  <c r="ES63" i="19"/>
  <c r="ES74" i="19" s="1"/>
  <c r="EW19" i="19"/>
  <c r="EW30" i="19" s="1"/>
  <c r="ET111" i="19"/>
  <c r="ET122" i="19" s="1"/>
  <c r="ET112" i="19"/>
  <c r="ET123" i="19" s="1"/>
  <c r="EV20" i="19"/>
  <c r="EV31" i="19" s="1"/>
  <c r="EX21" i="19"/>
  <c r="EX32" i="19" s="1"/>
  <c r="AV175" i="19"/>
  <c r="EK175" i="19"/>
  <c r="AV129" i="19"/>
  <c r="EK129" i="19"/>
  <c r="AV128" i="19"/>
  <c r="EK128" i="19"/>
  <c r="AV174" i="19"/>
  <c r="EK174" i="19"/>
  <c r="EJ130" i="19"/>
  <c r="EN176" i="19"/>
  <c r="EP169" i="19"/>
  <c r="AO121" i="19"/>
  <c r="AO168" i="19"/>
  <c r="EC168" i="19"/>
  <c r="EF171" i="19"/>
  <c r="EG161" i="19"/>
  <c r="EG172" i="19" s="1"/>
  <c r="EO63" i="19"/>
  <c r="EO74" i="19" s="1"/>
  <c r="EF172" i="19"/>
  <c r="EG162" i="19"/>
  <c r="EG173" i="19" s="1"/>
  <c r="EN158" i="19"/>
  <c r="EN169" i="19" s="1"/>
  <c r="AN129" i="19"/>
  <c r="EB129" i="19"/>
  <c r="EF31" i="19"/>
  <c r="EG21" i="19"/>
  <c r="EF125" i="19"/>
  <c r="EG115" i="19"/>
  <c r="EG126" i="19" s="1"/>
  <c r="EQ159" i="19"/>
  <c r="AO172" i="19"/>
  <c r="ED172" i="19" s="1"/>
  <c r="EC172" i="19"/>
  <c r="EF32" i="19"/>
  <c r="EG22" i="19"/>
  <c r="EL63" i="19"/>
  <c r="EL74" i="19" s="1"/>
  <c r="EF170" i="19"/>
  <c r="EG160" i="19"/>
  <c r="EG171" i="19" s="1"/>
  <c r="EM20" i="19"/>
  <c r="EL30" i="19"/>
  <c r="EO155" i="19"/>
  <c r="EO166" i="19" s="1"/>
  <c r="EH115" i="19"/>
  <c r="EH126" i="19" s="1"/>
  <c r="EL62" i="19"/>
  <c r="EL73" i="19" s="1"/>
  <c r="AO72" i="19"/>
  <c r="EC72" i="19"/>
  <c r="AO77" i="19"/>
  <c r="ED77" i="19" s="1"/>
  <c r="EC77" i="19"/>
  <c r="AO174" i="19"/>
  <c r="ED174" i="19" s="1"/>
  <c r="EC174" i="19"/>
  <c r="AO176" i="19"/>
  <c r="ED176" i="19" s="1"/>
  <c r="EC176" i="19"/>
  <c r="AO127" i="19"/>
  <c r="ED127" i="19" s="1"/>
  <c r="EC127" i="19"/>
  <c r="EP63" i="19"/>
  <c r="EN29" i="19"/>
  <c r="EO19" i="19"/>
  <c r="EF126" i="19"/>
  <c r="EG116" i="19"/>
  <c r="EG127" i="19" s="1"/>
  <c r="EN63" i="19"/>
  <c r="EN74" i="19" s="1"/>
  <c r="AO124" i="19"/>
  <c r="ED124" i="19" s="1"/>
  <c r="EC124" i="19"/>
  <c r="EF121" i="19"/>
  <c r="EG111" i="19"/>
  <c r="EG122" i="19" s="1"/>
  <c r="AO130" i="19"/>
  <c r="ED130" i="19" s="1"/>
  <c r="EC130" i="19"/>
  <c r="EI115" i="19"/>
  <c r="EI126" i="19" s="1"/>
  <c r="AO125" i="19"/>
  <c r="ED125" i="19" s="1"/>
  <c r="EC125" i="19"/>
  <c r="EP157" i="19"/>
  <c r="EH65" i="19"/>
  <c r="EH76" i="19" s="1"/>
  <c r="EN110" i="19"/>
  <c r="EN121" i="19" s="1"/>
  <c r="AO128" i="19"/>
  <c r="ED128" i="19" s="1"/>
  <c r="EC128" i="19"/>
  <c r="EN20" i="19"/>
  <c r="EM30" i="19"/>
  <c r="AO122" i="19"/>
  <c r="EC122" i="19"/>
  <c r="EF169" i="19"/>
  <c r="EG159" i="19"/>
  <c r="EG170" i="19" s="1"/>
  <c r="EG157" i="19"/>
  <c r="EG168" i="19" s="1"/>
  <c r="EF167" i="19"/>
  <c r="AO126" i="19"/>
  <c r="ED126" i="19" s="1"/>
  <c r="EC126" i="19"/>
  <c r="EP62" i="19"/>
  <c r="AO73" i="19"/>
  <c r="ED73" i="19" s="1"/>
  <c r="EC73" i="19"/>
  <c r="AO76" i="19"/>
  <c r="ED76" i="19" s="1"/>
  <c r="EC76" i="19"/>
  <c r="EG158" i="19"/>
  <c r="EG169" i="19" s="1"/>
  <c r="EF168" i="19"/>
  <c r="EK109" i="19"/>
  <c r="EK120" i="19" s="1"/>
  <c r="EN30" i="19"/>
  <c r="EO20" i="19"/>
  <c r="EO158" i="19"/>
  <c r="EO169" i="19" s="1"/>
  <c r="EO112" i="19"/>
  <c r="EO123" i="19" s="1"/>
  <c r="EH66" i="19"/>
  <c r="EH77" i="19" s="1"/>
  <c r="EH113" i="19"/>
  <c r="EH124" i="19" s="1"/>
  <c r="EJ29" i="19"/>
  <c r="EK19" i="19"/>
  <c r="AV26" i="19"/>
  <c r="EK26" i="19"/>
  <c r="AI134" i="17"/>
  <c r="AI135" i="17" s="1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Q95" i="17"/>
  <c r="P95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Z43" i="17"/>
  <c r="Y43" i="17"/>
  <c r="X43" i="17"/>
  <c r="W43" i="17"/>
  <c r="V43" i="17"/>
  <c r="U43" i="17"/>
  <c r="T43" i="17"/>
  <c r="S43" i="17"/>
  <c r="R43" i="17"/>
  <c r="Q43" i="17"/>
  <c r="P43" i="17"/>
  <c r="Y42" i="17"/>
  <c r="X42" i="17"/>
  <c r="W42" i="17"/>
  <c r="V42" i="17"/>
  <c r="U42" i="17"/>
  <c r="T42" i="17"/>
  <c r="S42" i="17"/>
  <c r="R42" i="17"/>
  <c r="Q42" i="17"/>
  <c r="P42" i="17"/>
  <c r="Y41" i="17"/>
  <c r="X41" i="17"/>
  <c r="W41" i="17"/>
  <c r="V41" i="17"/>
  <c r="U41" i="17"/>
  <c r="T41" i="17"/>
  <c r="S41" i="17"/>
  <c r="R41" i="17"/>
  <c r="Q41" i="17"/>
  <c r="P41" i="17"/>
  <c r="Y40" i="17"/>
  <c r="X40" i="17"/>
  <c r="W40" i="17"/>
  <c r="V40" i="17"/>
  <c r="U40" i="17"/>
  <c r="T40" i="17"/>
  <c r="S40" i="17"/>
  <c r="R40" i="17"/>
  <c r="Q40" i="17"/>
  <c r="P40" i="17"/>
  <c r="Y39" i="17"/>
  <c r="X39" i="17"/>
  <c r="W39" i="17"/>
  <c r="V39" i="17"/>
  <c r="U39" i="17"/>
  <c r="T39" i="17"/>
  <c r="S39" i="17"/>
  <c r="R39" i="17"/>
  <c r="Q39" i="17"/>
  <c r="P39" i="17"/>
  <c r="X38" i="17"/>
  <c r="W38" i="17"/>
  <c r="V38" i="17"/>
  <c r="U38" i="17"/>
  <c r="T38" i="17"/>
  <c r="S38" i="17"/>
  <c r="R38" i="17"/>
  <c r="Q38" i="17"/>
  <c r="P38" i="17"/>
  <c r="X37" i="17"/>
  <c r="W37" i="17"/>
  <c r="V37" i="17"/>
  <c r="U37" i="17"/>
  <c r="T37" i="17"/>
  <c r="S37" i="17"/>
  <c r="R37" i="17"/>
  <c r="Q37" i="17"/>
  <c r="P37" i="17"/>
  <c r="W36" i="17"/>
  <c r="V36" i="17"/>
  <c r="U36" i="17"/>
  <c r="T36" i="17"/>
  <c r="S36" i="17"/>
  <c r="R36" i="17"/>
  <c r="Q36" i="17"/>
  <c r="P36" i="17"/>
  <c r="W35" i="17"/>
  <c r="V35" i="17"/>
  <c r="U35" i="17"/>
  <c r="T35" i="17"/>
  <c r="S35" i="17"/>
  <c r="R35" i="17"/>
  <c r="Q35" i="17"/>
  <c r="P35" i="17"/>
  <c r="W34" i="17"/>
  <c r="V34" i="17"/>
  <c r="U34" i="17"/>
  <c r="T34" i="17"/>
  <c r="S34" i="17"/>
  <c r="R34" i="17"/>
  <c r="Q34" i="17"/>
  <c r="P34" i="17"/>
  <c r="W33" i="17"/>
  <c r="V33" i="17"/>
  <c r="U33" i="17"/>
  <c r="T33" i="17"/>
  <c r="S33" i="17"/>
  <c r="R33" i="17"/>
  <c r="Q33" i="17"/>
  <c r="P33" i="17"/>
  <c r="W32" i="17"/>
  <c r="V32" i="17"/>
  <c r="U32" i="17"/>
  <c r="T32" i="17"/>
  <c r="S32" i="17"/>
  <c r="R32" i="17"/>
  <c r="Q32" i="17"/>
  <c r="P32" i="17"/>
  <c r="W31" i="17"/>
  <c r="V31" i="17"/>
  <c r="U31" i="17"/>
  <c r="T31" i="17"/>
  <c r="S31" i="17"/>
  <c r="R31" i="17"/>
  <c r="Q31" i="17"/>
  <c r="P31" i="17"/>
  <c r="W30" i="17"/>
  <c r="V30" i="17"/>
  <c r="U30" i="17"/>
  <c r="T30" i="17"/>
  <c r="S30" i="17"/>
  <c r="R30" i="17"/>
  <c r="Q30" i="17"/>
  <c r="P30" i="17"/>
  <c r="W29" i="17"/>
  <c r="V29" i="17"/>
  <c r="U29" i="17"/>
  <c r="T29" i="17"/>
  <c r="S29" i="17"/>
  <c r="R29" i="17"/>
  <c r="Q29" i="17"/>
  <c r="P29" i="17"/>
  <c r="W28" i="17"/>
  <c r="V28" i="17"/>
  <c r="U28" i="17"/>
  <c r="T28" i="17"/>
  <c r="S28" i="17"/>
  <c r="R28" i="17"/>
  <c r="Q28" i="17"/>
  <c r="P28" i="17"/>
  <c r="V27" i="17"/>
  <c r="U27" i="17"/>
  <c r="T27" i="17"/>
  <c r="S27" i="17"/>
  <c r="R27" i="17"/>
  <c r="Q27" i="17"/>
  <c r="P27" i="17"/>
  <c r="V26" i="17"/>
  <c r="U26" i="17"/>
  <c r="T26" i="17"/>
  <c r="S26" i="17"/>
  <c r="R26" i="17"/>
  <c r="Q26" i="17"/>
  <c r="P26" i="17"/>
  <c r="V25" i="17"/>
  <c r="U25" i="17"/>
  <c r="T25" i="17"/>
  <c r="S25" i="17"/>
  <c r="R25" i="17"/>
  <c r="Q25" i="17"/>
  <c r="P25" i="17"/>
  <c r="V24" i="17"/>
  <c r="U24" i="17"/>
  <c r="T24" i="17"/>
  <c r="S24" i="17"/>
  <c r="R24" i="17"/>
  <c r="Q24" i="17"/>
  <c r="P24" i="17"/>
  <c r="V23" i="17"/>
  <c r="U23" i="17"/>
  <c r="T23" i="17"/>
  <c r="S23" i="17"/>
  <c r="R23" i="17"/>
  <c r="Q23" i="17"/>
  <c r="P23" i="17"/>
  <c r="V22" i="17"/>
  <c r="U22" i="17"/>
  <c r="T22" i="17"/>
  <c r="S22" i="17"/>
  <c r="R22" i="17"/>
  <c r="Q22" i="17"/>
  <c r="P22" i="17"/>
  <c r="V21" i="17"/>
  <c r="U21" i="17"/>
  <c r="T21" i="17"/>
  <c r="S21" i="17"/>
  <c r="R21" i="17"/>
  <c r="Q21" i="17"/>
  <c r="P21" i="17"/>
  <c r="V20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7" i="17"/>
  <c r="T17" i="17"/>
  <c r="S17" i="17"/>
  <c r="R17" i="17"/>
  <c r="Q17" i="17"/>
  <c r="P17" i="17"/>
  <c r="U16" i="17"/>
  <c r="T16" i="17"/>
  <c r="S16" i="17"/>
  <c r="R16" i="17"/>
  <c r="Q16" i="17"/>
  <c r="P16" i="17"/>
  <c r="T15" i="17"/>
  <c r="S15" i="17"/>
  <c r="R15" i="17"/>
  <c r="Q15" i="17"/>
  <c r="P15" i="17"/>
  <c r="T14" i="17"/>
  <c r="S14" i="17"/>
  <c r="R14" i="17"/>
  <c r="Q14" i="17"/>
  <c r="P14" i="17"/>
  <c r="T13" i="17"/>
  <c r="S13" i="17"/>
  <c r="R13" i="17"/>
  <c r="Q13" i="17"/>
  <c r="P13" i="17"/>
  <c r="S12" i="17"/>
  <c r="R12" i="17"/>
  <c r="Q12" i="17"/>
  <c r="P12" i="17"/>
  <c r="S11" i="17"/>
  <c r="R11" i="17"/>
  <c r="Q11" i="17"/>
  <c r="P11" i="17"/>
  <c r="S10" i="17"/>
  <c r="R10" i="17"/>
  <c r="Q10" i="17"/>
  <c r="P10" i="17"/>
  <c r="S9" i="17"/>
  <c r="R9" i="17"/>
  <c r="Q9" i="17"/>
  <c r="P9" i="17"/>
  <c r="S8" i="17"/>
  <c r="R8" i="17"/>
  <c r="Q8" i="17"/>
  <c r="P8" i="17"/>
  <c r="R7" i="17"/>
  <c r="Q7" i="17"/>
  <c r="P7" i="17"/>
  <c r="Q6" i="17"/>
  <c r="P6" i="17"/>
  <c r="Q5" i="17"/>
  <c r="P5" i="17"/>
  <c r="Q4" i="17"/>
  <c r="P4" i="17"/>
  <c r="P3" i="17"/>
  <c r="P2" i="17"/>
  <c r="N142" i="17" l="1"/>
  <c r="G46" i="18" s="1"/>
  <c r="Q46" i="18" s="1"/>
  <c r="ET102" i="19"/>
  <c r="ES12" i="19"/>
  <c r="P134" i="17"/>
  <c r="V134" i="17"/>
  <c r="AF134" i="17"/>
  <c r="AF135" i="17" s="1"/>
  <c r="EW21" i="19"/>
  <c r="EW32" i="19" s="1"/>
  <c r="EU112" i="19"/>
  <c r="EU123" i="19" s="1"/>
  <c r="ET64" i="19"/>
  <c r="ET75" i="19" s="1"/>
  <c r="ET158" i="19"/>
  <c r="ET169" i="19" s="1"/>
  <c r="ET148" i="19" s="1"/>
  <c r="ET113" i="19"/>
  <c r="ET124" i="19" s="1"/>
  <c r="EX20" i="19"/>
  <c r="EX31" i="19" s="1"/>
  <c r="EV21" i="19"/>
  <c r="EV32" i="19" s="1"/>
  <c r="EV64" i="19"/>
  <c r="EV75" i="19" s="1"/>
  <c r="EV63" i="19"/>
  <c r="EV74" i="19" s="1"/>
  <c r="ET22" i="19"/>
  <c r="ET33" i="19" s="1"/>
  <c r="EW63" i="19"/>
  <c r="EW74" i="19" s="1"/>
  <c r="EV157" i="19"/>
  <c r="EV168" i="19" s="1"/>
  <c r="EW160" i="19"/>
  <c r="EW171" i="19" s="1"/>
  <c r="EZ113" i="19"/>
  <c r="EZ124" i="19" s="1"/>
  <c r="EU64" i="19"/>
  <c r="EU75" i="19" s="1"/>
  <c r="EQ170" i="19"/>
  <c r="ES160" i="19"/>
  <c r="ES171" i="19" s="1"/>
  <c r="EY22" i="19"/>
  <c r="EY33" i="19" s="1"/>
  <c r="EW113" i="19"/>
  <c r="EW124" i="19" s="1"/>
  <c r="EU21" i="19"/>
  <c r="EU32" i="19" s="1"/>
  <c r="ET114" i="19"/>
  <c r="ET125" i="19" s="1"/>
  <c r="EY113" i="19"/>
  <c r="EY124" i="19" s="1"/>
  <c r="EZ159" i="19"/>
  <c r="EZ170" i="19" s="1"/>
  <c r="EU113" i="19"/>
  <c r="EU124" i="19" s="1"/>
  <c r="EV111" i="19"/>
  <c r="EV122" i="19" s="1"/>
  <c r="ET21" i="19"/>
  <c r="ET32" i="19" s="1"/>
  <c r="ET12" i="19" s="1"/>
  <c r="EY159" i="19"/>
  <c r="EY170" i="19" s="1"/>
  <c r="EU157" i="19"/>
  <c r="EU168" i="19" s="1"/>
  <c r="AW174" i="19"/>
  <c r="EL174" i="19"/>
  <c r="AW129" i="19"/>
  <c r="EL129" i="19"/>
  <c r="AW128" i="19"/>
  <c r="EL128" i="19"/>
  <c r="AW175" i="19"/>
  <c r="EL175" i="19"/>
  <c r="EP74" i="19"/>
  <c r="EP73" i="19"/>
  <c r="EP55" i="19" s="1"/>
  <c r="EP168" i="19"/>
  <c r="AW26" i="19"/>
  <c r="EL26" i="19"/>
  <c r="EP113" i="19"/>
  <c r="EH158" i="19"/>
  <c r="EH169" i="19" s="1"/>
  <c r="EQ158" i="19"/>
  <c r="EJ116" i="19"/>
  <c r="EJ127" i="19" s="1"/>
  <c r="EH112" i="19"/>
  <c r="EH123" i="19" s="1"/>
  <c r="EM64" i="19"/>
  <c r="EM75" i="19" s="1"/>
  <c r="EO159" i="19"/>
  <c r="EO170" i="19" s="1"/>
  <c r="EP64" i="19"/>
  <c r="EP159" i="19"/>
  <c r="EO64" i="19"/>
  <c r="EO75" i="19" s="1"/>
  <c r="EO30" i="19"/>
  <c r="EP20" i="19"/>
  <c r="EQ64" i="19"/>
  <c r="EI116" i="19"/>
  <c r="EI127" i="19" s="1"/>
  <c r="EN31" i="19"/>
  <c r="EO21" i="19"/>
  <c r="EO111" i="19"/>
  <c r="EO122" i="19" s="1"/>
  <c r="EP156" i="19"/>
  <c r="EG32" i="19"/>
  <c r="EH22" i="19"/>
  <c r="EQ63" i="19"/>
  <c r="EH161" i="19"/>
  <c r="EH172" i="19" s="1"/>
  <c r="AO129" i="19"/>
  <c r="ED129" i="19" s="1"/>
  <c r="EC129" i="19"/>
  <c r="EH162" i="19"/>
  <c r="EH173" i="19" s="1"/>
  <c r="EI114" i="19"/>
  <c r="EI125" i="19" s="1"/>
  <c r="EL20" i="19"/>
  <c r="EK30" i="19"/>
  <c r="EO31" i="19"/>
  <c r="EP21" i="19"/>
  <c r="EL110" i="19"/>
  <c r="EL121" i="19" s="1"/>
  <c r="EH159" i="19"/>
  <c r="EH170" i="19" s="1"/>
  <c r="EH160" i="19"/>
  <c r="EH171" i="19" s="1"/>
  <c r="EI66" i="19"/>
  <c r="EI77" i="19" s="1"/>
  <c r="EM63" i="19"/>
  <c r="EM74" i="19" s="1"/>
  <c r="EM31" i="19"/>
  <c r="EN21" i="19"/>
  <c r="EG33" i="19"/>
  <c r="EH23" i="19"/>
  <c r="EH116" i="19"/>
  <c r="EH127" i="19" s="1"/>
  <c r="W134" i="17"/>
  <c r="Y134" i="17"/>
  <c r="R134" i="17"/>
  <c r="S134" i="17"/>
  <c r="X134" i="17"/>
  <c r="Z134" i="17"/>
  <c r="AA134" i="17"/>
  <c r="AA135" i="17" s="1"/>
  <c r="AC134" i="17"/>
  <c r="AC135" i="17" s="1"/>
  <c r="AE134" i="17"/>
  <c r="AE135" i="17" s="1"/>
  <c r="Q134" i="17"/>
  <c r="T134" i="17"/>
  <c r="U134" i="17"/>
  <c r="AB134" i="17"/>
  <c r="AB135" i="17" s="1"/>
  <c r="AD134" i="17"/>
  <c r="AD135" i="17" s="1"/>
  <c r="EU102" i="19" l="1"/>
  <c r="N141" i="17"/>
  <c r="ET161" i="19"/>
  <c r="ET172" i="19" s="1"/>
  <c r="FA114" i="19"/>
  <c r="FA125" i="19" s="1"/>
  <c r="EX64" i="19"/>
  <c r="EX75" i="19" s="1"/>
  <c r="EW64" i="19"/>
  <c r="EW75" i="19" s="1"/>
  <c r="EW22" i="19"/>
  <c r="EW33" i="19" s="1"/>
  <c r="EU159" i="19"/>
  <c r="EU170" i="19" s="1"/>
  <c r="EU148" i="19" s="1"/>
  <c r="EV113" i="19"/>
  <c r="EV124" i="19" s="1"/>
  <c r="EZ114" i="19"/>
  <c r="EZ125" i="19" s="1"/>
  <c r="EW158" i="19"/>
  <c r="EW169" i="19" s="1"/>
  <c r="EU23" i="19"/>
  <c r="EU34" i="19" s="1"/>
  <c r="EU114" i="19"/>
  <c r="EU125" i="19" s="1"/>
  <c r="EQ74" i="19"/>
  <c r="EQ55" i="19" s="1"/>
  <c r="ES64" i="19"/>
  <c r="ES75" i="19" s="1"/>
  <c r="ES55" i="19" s="1"/>
  <c r="EQ169" i="19"/>
  <c r="ES159" i="19"/>
  <c r="ES170" i="19" s="1"/>
  <c r="EV158" i="19"/>
  <c r="EV169" i="19" s="1"/>
  <c r="EW112" i="19"/>
  <c r="EW123" i="19" s="1"/>
  <c r="EV114" i="19"/>
  <c r="EV125" i="19" s="1"/>
  <c r="FA160" i="19"/>
  <c r="FA171" i="19" s="1"/>
  <c r="EU115" i="19"/>
  <c r="EU126" i="19" s="1"/>
  <c r="EZ23" i="19"/>
  <c r="EZ34" i="19" s="1"/>
  <c r="EX161" i="19"/>
  <c r="EX172" i="19" s="1"/>
  <c r="EQ75" i="19"/>
  <c r="ES65" i="19"/>
  <c r="ES76" i="19" s="1"/>
  <c r="EX114" i="19"/>
  <c r="EX125" i="19" s="1"/>
  <c r="EZ160" i="19"/>
  <c r="EZ171" i="19" s="1"/>
  <c r="EU22" i="19"/>
  <c r="EU33" i="19" s="1"/>
  <c r="EV22" i="19"/>
  <c r="EV33" i="19" s="1"/>
  <c r="EV65" i="19"/>
  <c r="EV76" i="19" s="1"/>
  <c r="EW65" i="19"/>
  <c r="EW76" i="19" s="1"/>
  <c r="EY21" i="19"/>
  <c r="EY32" i="19" s="1"/>
  <c r="EU65" i="19"/>
  <c r="EU76" i="19" s="1"/>
  <c r="EX22" i="19"/>
  <c r="EX33" i="19" s="1"/>
  <c r="AX175" i="19"/>
  <c r="EM175" i="19"/>
  <c r="AX129" i="19"/>
  <c r="EM129" i="19"/>
  <c r="AX128" i="19"/>
  <c r="EM128" i="19"/>
  <c r="AX174" i="19"/>
  <c r="EM174" i="19"/>
  <c r="EP167" i="19"/>
  <c r="EP75" i="19"/>
  <c r="EP170" i="19"/>
  <c r="EP124" i="19"/>
  <c r="EH34" i="19"/>
  <c r="EN32" i="19"/>
  <c r="EO22" i="19"/>
  <c r="EJ115" i="19"/>
  <c r="EJ126" i="19" s="1"/>
  <c r="EQ114" i="19"/>
  <c r="EI160" i="19"/>
  <c r="EI171" i="19" s="1"/>
  <c r="EQ157" i="19"/>
  <c r="EQ21" i="19"/>
  <c r="ES22" i="19" s="1"/>
  <c r="ES33" i="19" s="1"/>
  <c r="EP31" i="19"/>
  <c r="EQ160" i="19"/>
  <c r="EQ65" i="19"/>
  <c r="EI159" i="19"/>
  <c r="EI170" i="19" s="1"/>
  <c r="EN64" i="19"/>
  <c r="EN75" i="19" s="1"/>
  <c r="EI161" i="19"/>
  <c r="EI172" i="19" s="1"/>
  <c r="EQ22" i="19"/>
  <c r="EP32" i="19"/>
  <c r="EL31" i="19"/>
  <c r="EM21" i="19"/>
  <c r="EO32" i="19"/>
  <c r="EP22" i="19"/>
  <c r="EP160" i="19"/>
  <c r="EN65" i="19"/>
  <c r="EN76" i="19" s="1"/>
  <c r="EM111" i="19"/>
  <c r="EM122" i="19" s="1"/>
  <c r="EI162" i="19"/>
  <c r="EI173" i="19" s="1"/>
  <c r="EH33" i="19"/>
  <c r="EI23" i="19"/>
  <c r="EI34" i="19" s="1"/>
  <c r="EP112" i="19"/>
  <c r="EP65" i="19"/>
  <c r="EI113" i="19"/>
  <c r="EI124" i="19" s="1"/>
  <c r="AX26" i="19"/>
  <c r="EM26" i="19"/>
  <c r="EU12" i="19" l="1"/>
  <c r="EV102" i="19"/>
  <c r="G41" i="22"/>
  <c r="EU36" i="19"/>
  <c r="EU10" i="19"/>
  <c r="ET23" i="19"/>
  <c r="ET34" i="19" s="1"/>
  <c r="EY162" i="19"/>
  <c r="EY173" i="19" s="1"/>
  <c r="EQ76" i="19"/>
  <c r="ES66" i="19"/>
  <c r="ES77" i="19" s="1"/>
  <c r="EQ168" i="19"/>
  <c r="ES158" i="19"/>
  <c r="ES169" i="19" s="1"/>
  <c r="EY23" i="19"/>
  <c r="EY34" i="19" s="1"/>
  <c r="EY12" i="19" s="1"/>
  <c r="EZ22" i="19"/>
  <c r="EZ33" i="19" s="1"/>
  <c r="EZ12" i="19" s="1"/>
  <c r="EQ171" i="19"/>
  <c r="ES161" i="19"/>
  <c r="ES172" i="19" s="1"/>
  <c r="EW66" i="19"/>
  <c r="EW77" i="19" s="1"/>
  <c r="EW55" i="19" s="1"/>
  <c r="ET160" i="19"/>
  <c r="ET171" i="19" s="1"/>
  <c r="EQ125" i="19"/>
  <c r="ES115" i="19"/>
  <c r="ES126" i="19" s="1"/>
  <c r="EV66" i="19"/>
  <c r="EV77" i="19" s="1"/>
  <c r="EV55" i="19" s="1"/>
  <c r="EU13" i="19"/>
  <c r="EV23" i="19"/>
  <c r="EV34" i="19" s="1"/>
  <c r="EY115" i="19"/>
  <c r="EY126" i="19" s="1"/>
  <c r="FB161" i="19"/>
  <c r="FB172" i="19" s="1"/>
  <c r="EX113" i="19"/>
  <c r="EX124" i="19" s="1"/>
  <c r="EV115" i="19"/>
  <c r="EV126" i="19" s="1"/>
  <c r="EX159" i="19"/>
  <c r="EX170" i="19" s="1"/>
  <c r="EV160" i="19"/>
  <c r="EV171" i="19" s="1"/>
  <c r="EV148" i="19" s="1"/>
  <c r="EX65" i="19"/>
  <c r="EX76" i="19" s="1"/>
  <c r="EX55" i="19" s="1"/>
  <c r="FB115" i="19"/>
  <c r="FB126" i="19" s="1"/>
  <c r="ET65" i="19"/>
  <c r="ET76" i="19" s="1"/>
  <c r="ET55" i="19" s="1"/>
  <c r="ES53" i="19"/>
  <c r="EY65" i="19"/>
  <c r="EY76" i="19" s="1"/>
  <c r="EX66" i="19"/>
  <c r="EX77" i="19" s="1"/>
  <c r="EW23" i="19"/>
  <c r="ET66" i="19"/>
  <c r="ET77" i="19" s="1"/>
  <c r="EV116" i="19"/>
  <c r="EV127" i="19" s="1"/>
  <c r="EQ33" i="19"/>
  <c r="ES23" i="19"/>
  <c r="FA161" i="19"/>
  <c r="FA172" i="19" s="1"/>
  <c r="EW115" i="19"/>
  <c r="EW126" i="19" s="1"/>
  <c r="EW159" i="19"/>
  <c r="EW170" i="19" s="1"/>
  <c r="FA115" i="19"/>
  <c r="FA126" i="19" s="1"/>
  <c r="EW114" i="19"/>
  <c r="EW125" i="19" s="1"/>
  <c r="EX23" i="19"/>
  <c r="EX34" i="19" s="1"/>
  <c r="EX12" i="19" s="1"/>
  <c r="EU162" i="19"/>
  <c r="EU173" i="19" s="1"/>
  <c r="AY174" i="19"/>
  <c r="EN174" i="19"/>
  <c r="AY129" i="19"/>
  <c r="EN129" i="19"/>
  <c r="AY128" i="19"/>
  <c r="EN128" i="19"/>
  <c r="AY175" i="19"/>
  <c r="EN175" i="19"/>
  <c r="EP171" i="19"/>
  <c r="EP76" i="19"/>
  <c r="EP123" i="19"/>
  <c r="DP11" i="19"/>
  <c r="DV11" i="19"/>
  <c r="DU147" i="19"/>
  <c r="DO147" i="19"/>
  <c r="DO54" i="19"/>
  <c r="DU54" i="19"/>
  <c r="DP147" i="19"/>
  <c r="DV147" i="19"/>
  <c r="DV54" i="19"/>
  <c r="DP54" i="19"/>
  <c r="DV101" i="19"/>
  <c r="DP101" i="19"/>
  <c r="DO11" i="19"/>
  <c r="DU11" i="19"/>
  <c r="DO101" i="19"/>
  <c r="DU101" i="19"/>
  <c r="EQ23" i="19"/>
  <c r="EQ34" i="19" s="1"/>
  <c r="EP33" i="19"/>
  <c r="EJ114" i="19"/>
  <c r="EJ125" i="19" s="1"/>
  <c r="EJ161" i="19"/>
  <c r="EJ172" i="19" s="1"/>
  <c r="EQ66" i="19"/>
  <c r="EQ77" i="19" s="1"/>
  <c r="EQ113" i="19"/>
  <c r="EN112" i="19"/>
  <c r="EN123" i="19" s="1"/>
  <c r="EQ161" i="19"/>
  <c r="EO65" i="19"/>
  <c r="EO76" i="19" s="1"/>
  <c r="AY26" i="19"/>
  <c r="EN26" i="19"/>
  <c r="EQ32" i="19"/>
  <c r="EK116" i="19"/>
  <c r="EK127" i="19" s="1"/>
  <c r="EO66" i="19"/>
  <c r="EO77" i="19" s="1"/>
  <c r="EN22" i="19"/>
  <c r="EM32" i="19"/>
  <c r="EJ162" i="19"/>
  <c r="EJ173" i="19" s="1"/>
  <c r="EJ160" i="19"/>
  <c r="EJ171" i="19" s="1"/>
  <c r="EO33" i="19"/>
  <c r="EP23" i="19"/>
  <c r="EP34" i="19" s="1"/>
  <c r="EW102" i="19" l="1"/>
  <c r="EV36" i="19"/>
  <c r="EV12" i="19"/>
  <c r="EV13" i="19" s="1"/>
  <c r="EV14" i="19" s="1"/>
  <c r="ET79" i="19"/>
  <c r="EU14" i="19"/>
  <c r="EU183" i="19"/>
  <c r="T778" i="8" s="1"/>
  <c r="EU37" i="19"/>
  <c r="ES34" i="19"/>
  <c r="ES36" i="19" s="1"/>
  <c r="EW34" i="19"/>
  <c r="EV10" i="19"/>
  <c r="EV37" i="19" s="1"/>
  <c r="EW10" i="19"/>
  <c r="ET53" i="19"/>
  <c r="EX53" i="19"/>
  <c r="EV79" i="19"/>
  <c r="EV53" i="19"/>
  <c r="EY10" i="19"/>
  <c r="EX10" i="19"/>
  <c r="EW79" i="19"/>
  <c r="EW53" i="19"/>
  <c r="EZ10" i="19"/>
  <c r="ET36" i="19"/>
  <c r="ET10" i="19"/>
  <c r="ES10" i="19"/>
  <c r="EV100" i="19"/>
  <c r="EV56" i="19"/>
  <c r="EZ66" i="19"/>
  <c r="EZ77" i="19" s="1"/>
  <c r="EZ55" i="19" s="1"/>
  <c r="EY66" i="19"/>
  <c r="EY77" i="19" s="1"/>
  <c r="EY55" i="19" s="1"/>
  <c r="EY160" i="19"/>
  <c r="EY171" i="19" s="1"/>
  <c r="EY114" i="19"/>
  <c r="EY125" i="19" s="1"/>
  <c r="EZ116" i="19"/>
  <c r="EZ127" i="19" s="1"/>
  <c r="FB162" i="19"/>
  <c r="FB173" i="19" s="1"/>
  <c r="FB148" i="19" s="1"/>
  <c r="FC116" i="19"/>
  <c r="FC127" i="19" s="1"/>
  <c r="FC102" i="19" s="1"/>
  <c r="EW116" i="19"/>
  <c r="EW127" i="19" s="1"/>
  <c r="EV103" i="19"/>
  <c r="FC162" i="19"/>
  <c r="FC173" i="19" s="1"/>
  <c r="FC148" i="19" s="1"/>
  <c r="ET116" i="19"/>
  <c r="ET127" i="19" s="1"/>
  <c r="FA23" i="19"/>
  <c r="FA34" i="19" s="1"/>
  <c r="FA12" i="19" s="1"/>
  <c r="ET159" i="19"/>
  <c r="ET170" i="19" s="1"/>
  <c r="EQ172" i="19"/>
  <c r="ES162" i="19"/>
  <c r="ES173" i="19" s="1"/>
  <c r="EU161" i="19"/>
  <c r="EU172" i="19" s="1"/>
  <c r="EX115" i="19"/>
  <c r="EX126" i="19" s="1"/>
  <c r="EX160" i="19"/>
  <c r="EX171" i="19" s="1"/>
  <c r="EQ124" i="19"/>
  <c r="ES114" i="19"/>
  <c r="ES125" i="19" s="1"/>
  <c r="EX116" i="19"/>
  <c r="EX127" i="19" s="1"/>
  <c r="EX102" i="19" s="1"/>
  <c r="ET56" i="19"/>
  <c r="EU66" i="19"/>
  <c r="EU77" i="19" s="1"/>
  <c r="EW161" i="19"/>
  <c r="EW172" i="19" s="1"/>
  <c r="EW148" i="19" s="1"/>
  <c r="FB116" i="19"/>
  <c r="FB127" i="19" s="1"/>
  <c r="FB102" i="19" s="1"/>
  <c r="ES79" i="19"/>
  <c r="ES80" i="19" s="1"/>
  <c r="EW56" i="19"/>
  <c r="ET162" i="19"/>
  <c r="ET173" i="19" s="1"/>
  <c r="ES56" i="19"/>
  <c r="AZ175" i="19"/>
  <c r="EO175" i="19"/>
  <c r="AZ129" i="19"/>
  <c r="EO129" i="19"/>
  <c r="AZ128" i="19"/>
  <c r="EO128" i="19"/>
  <c r="AZ174" i="19"/>
  <c r="EO174" i="19"/>
  <c r="EQ10" i="19"/>
  <c r="DV105" i="19"/>
  <c r="DU105" i="19"/>
  <c r="DV15" i="19"/>
  <c r="DU15" i="19"/>
  <c r="EB58" i="19"/>
  <c r="EA58" i="19"/>
  <c r="DV151" i="19"/>
  <c r="DU151" i="19"/>
  <c r="EA105" i="19"/>
  <c r="EB105" i="19"/>
  <c r="DP15" i="19"/>
  <c r="DO15" i="19"/>
  <c r="DP58" i="19"/>
  <c r="DO58" i="19"/>
  <c r="DO105" i="19"/>
  <c r="DP105" i="19"/>
  <c r="EA151" i="19"/>
  <c r="EB151" i="19"/>
  <c r="EA15" i="19"/>
  <c r="EB15" i="19"/>
  <c r="DV58" i="19"/>
  <c r="DU58" i="19"/>
  <c r="DP151" i="19"/>
  <c r="DO151" i="19"/>
  <c r="EP10" i="19"/>
  <c r="EO53" i="19"/>
  <c r="EO113" i="19"/>
  <c r="EO124" i="19" s="1"/>
  <c r="EP66" i="19"/>
  <c r="EP77" i="19" s="1"/>
  <c r="EK162" i="19"/>
  <c r="EK173" i="19" s="1"/>
  <c r="EN33" i="19"/>
  <c r="EO23" i="19"/>
  <c r="EK161" i="19"/>
  <c r="EK172" i="19" s="1"/>
  <c r="AZ26" i="19"/>
  <c r="EO26" i="19"/>
  <c r="EQ53" i="19"/>
  <c r="EK115" i="19"/>
  <c r="EK126" i="19" s="1"/>
  <c r="EV183" i="19" l="1"/>
  <c r="U778" i="8" s="1"/>
  <c r="EW12" i="19"/>
  <c r="EW13" i="19" s="1"/>
  <c r="EU79" i="19"/>
  <c r="EU55" i="19"/>
  <c r="EU56" i="19" s="1"/>
  <c r="EW36" i="19"/>
  <c r="EW37" i="19" s="1"/>
  <c r="ET80" i="19"/>
  <c r="ES13" i="19"/>
  <c r="ES14" i="19" s="1"/>
  <c r="EW57" i="19"/>
  <c r="EW184" i="19"/>
  <c r="V779" i="8" s="1"/>
  <c r="ET57" i="19"/>
  <c r="ET184" i="19"/>
  <c r="S779" i="8" s="1"/>
  <c r="ES57" i="19"/>
  <c r="ES184" i="19"/>
  <c r="R779" i="8" s="1"/>
  <c r="EV104" i="19"/>
  <c r="EV185" i="19"/>
  <c r="U780" i="8" s="1"/>
  <c r="EV57" i="19"/>
  <c r="EV184" i="19"/>
  <c r="U779" i="8" s="1"/>
  <c r="ES37" i="19"/>
  <c r="EW80" i="19"/>
  <c r="EV80" i="19"/>
  <c r="FC100" i="19"/>
  <c r="EX100" i="19"/>
  <c r="FB178" i="19"/>
  <c r="EZ53" i="19"/>
  <c r="ET13" i="19"/>
  <c r="FB103" i="19"/>
  <c r="FB100" i="19"/>
  <c r="EU53" i="19"/>
  <c r="FC146" i="19"/>
  <c r="FB132" i="19"/>
  <c r="FB146" i="19"/>
  <c r="EW132" i="19"/>
  <c r="EW100" i="19"/>
  <c r="ET146" i="19"/>
  <c r="EY53" i="19"/>
  <c r="ET37" i="19"/>
  <c r="FA10" i="19"/>
  <c r="FB149" i="19"/>
  <c r="EZ161" i="19"/>
  <c r="EZ172" i="19" s="1"/>
  <c r="EY161" i="19"/>
  <c r="EZ115" i="19"/>
  <c r="EV132" i="19"/>
  <c r="EV133" i="19" s="1"/>
  <c r="EY116" i="19"/>
  <c r="EY127" i="19" s="1"/>
  <c r="EY102" i="19" s="1"/>
  <c r="ES178" i="19"/>
  <c r="ES146" i="19"/>
  <c r="ET115" i="19"/>
  <c r="EV162" i="19"/>
  <c r="EV173" i="19" s="1"/>
  <c r="EX162" i="19"/>
  <c r="EX173" i="19" s="1"/>
  <c r="EX148" i="19" s="1"/>
  <c r="ET149" i="19"/>
  <c r="EU160" i="19"/>
  <c r="BA174" i="19"/>
  <c r="EQ174" i="19" s="1"/>
  <c r="EP174" i="19"/>
  <c r="BA129" i="19"/>
  <c r="EQ129" i="19" s="1"/>
  <c r="EP129" i="19"/>
  <c r="BA128" i="19"/>
  <c r="EQ128" i="19" s="1"/>
  <c r="EP128" i="19"/>
  <c r="BA175" i="19"/>
  <c r="EQ175" i="19" s="1"/>
  <c r="EP175" i="19"/>
  <c r="EO79" i="19"/>
  <c r="EO80" i="19" s="1"/>
  <c r="DO165" i="19"/>
  <c r="DO146" i="19"/>
  <c r="DP152" i="19"/>
  <c r="EB106" i="19"/>
  <c r="EA100" i="19"/>
  <c r="EA119" i="19"/>
  <c r="EA102" i="19" s="1"/>
  <c r="EB69" i="19"/>
  <c r="EC59" i="19"/>
  <c r="DW16" i="19"/>
  <c r="DV26" i="19"/>
  <c r="DV69" i="19"/>
  <c r="DW59" i="19"/>
  <c r="EA10" i="19"/>
  <c r="EB16" i="19"/>
  <c r="EB10" i="19" s="1"/>
  <c r="EA26" i="19"/>
  <c r="EA12" i="19" s="1"/>
  <c r="DO100" i="19"/>
  <c r="DP106" i="19"/>
  <c r="DO119" i="19"/>
  <c r="EC106" i="19"/>
  <c r="EB119" i="19"/>
  <c r="EA53" i="19"/>
  <c r="EB59" i="19"/>
  <c r="EA69" i="19"/>
  <c r="EA55" i="19" s="1"/>
  <c r="DU10" i="19"/>
  <c r="DV16" i="19"/>
  <c r="DV10" i="19" s="1"/>
  <c r="DU26" i="19"/>
  <c r="DP165" i="19"/>
  <c r="DQ152" i="19"/>
  <c r="EB165" i="19"/>
  <c r="EC152" i="19"/>
  <c r="DO69" i="19"/>
  <c r="DP59" i="19"/>
  <c r="DP53" i="19" s="1"/>
  <c r="DO53" i="19"/>
  <c r="DO10" i="19"/>
  <c r="DP16" i="19"/>
  <c r="DP10" i="19" s="1"/>
  <c r="DO26" i="19"/>
  <c r="DU146" i="19"/>
  <c r="DU165" i="19"/>
  <c r="DV152" i="19"/>
  <c r="DV146" i="19" s="1"/>
  <c r="DU100" i="19"/>
  <c r="DV106" i="19"/>
  <c r="DU119" i="19"/>
  <c r="DV59" i="19"/>
  <c r="DV53" i="19" s="1"/>
  <c r="DU53" i="19"/>
  <c r="DU69" i="19"/>
  <c r="EC16" i="19"/>
  <c r="EB26" i="19"/>
  <c r="EA146" i="19"/>
  <c r="EA165" i="19"/>
  <c r="EA148" i="19" s="1"/>
  <c r="EB152" i="19"/>
  <c r="EB146" i="19" s="1"/>
  <c r="DQ106" i="19"/>
  <c r="DP119" i="19"/>
  <c r="DQ59" i="19"/>
  <c r="DP69" i="19"/>
  <c r="DQ16" i="19"/>
  <c r="DP26" i="19"/>
  <c r="DW152" i="19"/>
  <c r="DV165" i="19"/>
  <c r="DW106" i="19"/>
  <c r="DV119" i="19"/>
  <c r="EL116" i="19"/>
  <c r="EL127" i="19" s="1"/>
  <c r="BA26" i="19"/>
  <c r="EP26" i="19"/>
  <c r="EP12" i="19" s="1"/>
  <c r="EL162" i="19"/>
  <c r="EL173" i="19" s="1"/>
  <c r="EP53" i="19"/>
  <c r="EO55" i="19"/>
  <c r="EO56" i="19" s="1"/>
  <c r="EO34" i="19"/>
  <c r="EO10" i="19"/>
  <c r="EP114" i="19"/>
  <c r="EU80" i="19" l="1"/>
  <c r="EW14" i="19"/>
  <c r="EW183" i="19"/>
  <c r="V778" i="8" s="1"/>
  <c r="ES183" i="19"/>
  <c r="R778" i="8" s="1"/>
  <c r="EU57" i="19"/>
  <c r="EU184" i="19"/>
  <c r="T779" i="8" s="1"/>
  <c r="T782" i="8" s="1"/>
  <c r="FB150" i="19"/>
  <c r="FB186" i="19"/>
  <c r="AA781" i="8" s="1"/>
  <c r="ET150" i="19"/>
  <c r="ET186" i="19"/>
  <c r="FB104" i="19"/>
  <c r="FB185" i="19"/>
  <c r="AA780" i="8" s="1"/>
  <c r="AA782" i="8" s="1"/>
  <c r="ET14" i="19"/>
  <c r="ET183" i="19"/>
  <c r="S778" i="8" s="1"/>
  <c r="S782" i="8" s="1"/>
  <c r="EU146" i="19"/>
  <c r="EU171" i="19"/>
  <c r="ET100" i="19"/>
  <c r="ET126" i="19"/>
  <c r="EZ100" i="19"/>
  <c r="EZ126" i="19"/>
  <c r="EZ102" i="19" s="1"/>
  <c r="EY146" i="19"/>
  <c r="EY172" i="19"/>
  <c r="EY148" i="19" s="1"/>
  <c r="EW133" i="19"/>
  <c r="EX146" i="19"/>
  <c r="EW103" i="19"/>
  <c r="FC178" i="19"/>
  <c r="FC179" i="19" s="1"/>
  <c r="FC149" i="19"/>
  <c r="FB179" i="19"/>
  <c r="FC103" i="19"/>
  <c r="FC132" i="19"/>
  <c r="FC133" i="19" s="1"/>
  <c r="EY100" i="19"/>
  <c r="FB133" i="19"/>
  <c r="ET178" i="19"/>
  <c r="ET179" i="19" s="1"/>
  <c r="ES149" i="19"/>
  <c r="ES179" i="19"/>
  <c r="DU148" i="19"/>
  <c r="DU149" i="19" s="1"/>
  <c r="DO102" i="19"/>
  <c r="DO103" i="19" s="1"/>
  <c r="DO12" i="19"/>
  <c r="DO13" i="19" s="1"/>
  <c r="EZ162" i="19"/>
  <c r="EZ173" i="19" s="1"/>
  <c r="EZ148" i="19" s="1"/>
  <c r="DO55" i="19"/>
  <c r="DO56" i="19" s="1"/>
  <c r="DU102" i="19"/>
  <c r="DU103" i="19" s="1"/>
  <c r="DU12" i="19"/>
  <c r="DU13" i="19" s="1"/>
  <c r="FA116" i="19"/>
  <c r="FA127" i="19" s="1"/>
  <c r="FA102" i="19" s="1"/>
  <c r="DU55" i="19"/>
  <c r="DU56" i="19" s="1"/>
  <c r="DO148" i="19"/>
  <c r="DO149" i="19" s="1"/>
  <c r="EV161" i="19"/>
  <c r="EV172" i="19" s="1"/>
  <c r="EU116" i="19"/>
  <c r="EU127" i="19" s="1"/>
  <c r="FA162" i="19"/>
  <c r="FA173" i="19" s="1"/>
  <c r="FA148" i="19" s="1"/>
  <c r="EP125" i="19"/>
  <c r="EO12" i="19"/>
  <c r="EO13" i="19" s="1"/>
  <c r="AA770" i="8" s="1"/>
  <c r="AA771" i="8"/>
  <c r="EP13" i="19"/>
  <c r="EP36" i="19"/>
  <c r="EP37" i="19" s="1"/>
  <c r="EO36" i="19"/>
  <c r="EO37" i="19" s="1"/>
  <c r="EP79" i="19"/>
  <c r="EP80" i="19" s="1"/>
  <c r="DX153" i="19"/>
  <c r="DX167" i="19" s="1"/>
  <c r="DW166" i="19"/>
  <c r="EC70" i="19"/>
  <c r="ED60" i="19"/>
  <c r="DX107" i="19"/>
  <c r="DX121" i="19" s="1"/>
  <c r="DW120" i="19"/>
  <c r="DQ120" i="19"/>
  <c r="DR107" i="19"/>
  <c r="DR121" i="19" s="1"/>
  <c r="ED153" i="19"/>
  <c r="EC166" i="19"/>
  <c r="EC120" i="19"/>
  <c r="ED107" i="19"/>
  <c r="DQ166" i="19"/>
  <c r="DR153" i="19"/>
  <c r="DR167" i="19" s="1"/>
  <c r="DQ107" i="19"/>
  <c r="DP120" i="19"/>
  <c r="EC107" i="19"/>
  <c r="EB120" i="19"/>
  <c r="EB102" i="19" s="1"/>
  <c r="DV120" i="19"/>
  <c r="DV102" i="19" s="1"/>
  <c r="DV103" i="19" s="1"/>
  <c r="DW107" i="19"/>
  <c r="DP166" i="19"/>
  <c r="DQ153" i="19"/>
  <c r="DQ70" i="19"/>
  <c r="DR60" i="19"/>
  <c r="DR71" i="19" s="1"/>
  <c r="EC153" i="19"/>
  <c r="EB166" i="19"/>
  <c r="EB148" i="19" s="1"/>
  <c r="ED17" i="19"/>
  <c r="EC27" i="19"/>
  <c r="DP70" i="19"/>
  <c r="DQ60" i="19"/>
  <c r="EC60" i="19"/>
  <c r="EB70" i="19"/>
  <c r="EB55" i="19" s="1"/>
  <c r="EB100" i="19"/>
  <c r="DX60" i="19"/>
  <c r="DX71" i="19" s="1"/>
  <c r="DW70" i="19"/>
  <c r="DW27" i="19"/>
  <c r="DX17" i="19"/>
  <c r="DX28" i="19" s="1"/>
  <c r="DV100" i="19"/>
  <c r="DR17" i="19"/>
  <c r="DR28" i="19" s="1"/>
  <c r="DQ27" i="19"/>
  <c r="DP100" i="19"/>
  <c r="DV70" i="19"/>
  <c r="DV55" i="19" s="1"/>
  <c r="DV56" i="19" s="1"/>
  <c r="DW60" i="19"/>
  <c r="DV166" i="19"/>
  <c r="DV148" i="19" s="1"/>
  <c r="DV149" i="19" s="1"/>
  <c r="DW153" i="19"/>
  <c r="DQ17" i="19"/>
  <c r="DP27" i="19"/>
  <c r="DP146" i="19"/>
  <c r="DV27" i="19"/>
  <c r="DV12" i="19" s="1"/>
  <c r="DV13" i="19" s="1"/>
  <c r="DW17" i="19"/>
  <c r="EC17" i="19"/>
  <c r="EB27" i="19"/>
  <c r="EB12" i="19" s="1"/>
  <c r="EB53" i="19"/>
  <c r="EP56" i="19"/>
  <c r="EQ115" i="19"/>
  <c r="EQ26" i="19"/>
  <c r="EQ12" i="19" s="1"/>
  <c r="R782" i="8" l="1"/>
  <c r="FB187" i="19"/>
  <c r="FC104" i="19"/>
  <c r="FC185" i="19"/>
  <c r="AB780" i="8" s="1"/>
  <c r="EW104" i="19"/>
  <c r="EW185" i="19"/>
  <c r="V780" i="8" s="1"/>
  <c r="FC150" i="19"/>
  <c r="FC186" i="19"/>
  <c r="AB781" i="8" s="1"/>
  <c r="ES150" i="19"/>
  <c r="ES186" i="19"/>
  <c r="EV146" i="19"/>
  <c r="EU100" i="19"/>
  <c r="FA100" i="19"/>
  <c r="EZ146" i="19"/>
  <c r="FA146" i="19"/>
  <c r="ET103" i="19"/>
  <c r="ET132" i="19"/>
  <c r="ET133" i="19" s="1"/>
  <c r="EU132" i="19"/>
  <c r="EU103" i="19"/>
  <c r="EU149" i="19"/>
  <c r="EU178" i="19"/>
  <c r="EU179" i="19" s="1"/>
  <c r="DP55" i="19"/>
  <c r="DP56" i="19" s="1"/>
  <c r="DP148" i="19"/>
  <c r="DP149" i="19" s="1"/>
  <c r="EY178" i="19"/>
  <c r="EY179" i="19" s="1"/>
  <c r="FD178" i="19"/>
  <c r="FD179" i="19" s="1"/>
  <c r="FD149" i="19"/>
  <c r="DP12" i="19"/>
  <c r="DP13" i="19" s="1"/>
  <c r="DP102" i="19"/>
  <c r="DP103" i="19" s="1"/>
  <c r="EY132" i="19"/>
  <c r="EY133" i="19" s="1"/>
  <c r="EW162" i="19"/>
  <c r="EW173" i="19" s="1"/>
  <c r="FD79" i="19"/>
  <c r="FD80" i="19" s="1"/>
  <c r="FD56" i="19"/>
  <c r="FD36" i="19"/>
  <c r="FD37" i="19" s="1"/>
  <c r="FD13" i="19"/>
  <c r="EX79" i="19"/>
  <c r="EX80" i="19" s="1"/>
  <c r="EX56" i="19"/>
  <c r="EQ126" i="19"/>
  <c r="ES116" i="19"/>
  <c r="ES127" i="19" s="1"/>
  <c r="EX103" i="19"/>
  <c r="EX149" i="19"/>
  <c r="FD132" i="19"/>
  <c r="FD133" i="19" s="1"/>
  <c r="EX36" i="19"/>
  <c r="EX37" i="19" s="1"/>
  <c r="EX13" i="19"/>
  <c r="AB770" i="8"/>
  <c r="EQ13" i="19"/>
  <c r="EQ36" i="19"/>
  <c r="EQ37" i="19" s="1"/>
  <c r="EQ79" i="19"/>
  <c r="EQ80" i="19" s="1"/>
  <c r="AB771" i="8"/>
  <c r="EC28" i="19"/>
  <c r="ED18" i="19"/>
  <c r="DW167" i="19"/>
  <c r="DX154" i="19"/>
  <c r="DX168" i="19" s="1"/>
  <c r="DR61" i="19"/>
  <c r="DR72" i="19" s="1"/>
  <c r="DQ71" i="19"/>
  <c r="ED28" i="19"/>
  <c r="EF18" i="19"/>
  <c r="DQ121" i="19"/>
  <c r="DR108" i="19"/>
  <c r="DR122" i="19" s="1"/>
  <c r="ED71" i="19"/>
  <c r="EF61" i="19"/>
  <c r="DW28" i="19"/>
  <c r="DX18" i="19"/>
  <c r="DX29" i="19" s="1"/>
  <c r="DW71" i="19"/>
  <c r="DX61" i="19"/>
  <c r="DX72" i="19" s="1"/>
  <c r="ED61" i="19"/>
  <c r="EC71" i="19"/>
  <c r="DQ167" i="19"/>
  <c r="DR154" i="19"/>
  <c r="DR168" i="19" s="1"/>
  <c r="DX108" i="19"/>
  <c r="DX122" i="19" s="1"/>
  <c r="DW121" i="19"/>
  <c r="DR18" i="19"/>
  <c r="DR29" i="19" s="1"/>
  <c r="DQ28" i="19"/>
  <c r="EC167" i="19"/>
  <c r="ED154" i="19"/>
  <c r="ED108" i="19"/>
  <c r="EC121" i="19"/>
  <c r="EF108" i="19"/>
  <c r="ED121" i="19"/>
  <c r="EF154" i="19"/>
  <c r="ED167" i="19"/>
  <c r="EQ56" i="19"/>
  <c r="AB782" i="8" l="1"/>
  <c r="FD14" i="19"/>
  <c r="FD183" i="19"/>
  <c r="AC778" i="8" s="1"/>
  <c r="FD57" i="19"/>
  <c r="FD184" i="19"/>
  <c r="AC779" i="8" s="1"/>
  <c r="EX150" i="19"/>
  <c r="EX186" i="19"/>
  <c r="W781" i="8" s="1"/>
  <c r="EX57" i="19"/>
  <c r="EX184" i="19"/>
  <c r="W779" i="8" s="1"/>
  <c r="EU150" i="19"/>
  <c r="EU186" i="19"/>
  <c r="ET104" i="19"/>
  <c r="ET185" i="19"/>
  <c r="ET187" i="19" s="1"/>
  <c r="EX14" i="19"/>
  <c r="EX183" i="19"/>
  <c r="W778" i="8" s="1"/>
  <c r="EX104" i="19"/>
  <c r="EX185" i="19"/>
  <c r="W780" i="8" s="1"/>
  <c r="EU104" i="19"/>
  <c r="EU185" i="19"/>
  <c r="EU187" i="19" s="1"/>
  <c r="FD150" i="19"/>
  <c r="FD186" i="19"/>
  <c r="AC781" i="8" s="1"/>
  <c r="FC187" i="19"/>
  <c r="EU133" i="19"/>
  <c r="EY149" i="19"/>
  <c r="FD103" i="19"/>
  <c r="EX178" i="19"/>
  <c r="EX179" i="19" s="1"/>
  <c r="EW146" i="19"/>
  <c r="EY103" i="19"/>
  <c r="EX132" i="19"/>
  <c r="EX133" i="19" s="1"/>
  <c r="EY79" i="19"/>
  <c r="EY80" i="19" s="1"/>
  <c r="EY56" i="19"/>
  <c r="EY36" i="19"/>
  <c r="EY37" i="19" s="1"/>
  <c r="EY13" i="19"/>
  <c r="ES100" i="19"/>
  <c r="EV149" i="19"/>
  <c r="EV178" i="19"/>
  <c r="EV179" i="19" s="1"/>
  <c r="AC770" i="8"/>
  <c r="AC771" i="8"/>
  <c r="EF119" i="19"/>
  <c r="EG109" i="19"/>
  <c r="EG120" i="19" s="1"/>
  <c r="EF62" i="19"/>
  <c r="ED72" i="19"/>
  <c r="EF29" i="19"/>
  <c r="EG19" i="19"/>
  <c r="EG155" i="19"/>
  <c r="EG166" i="19" s="1"/>
  <c r="EF165" i="19"/>
  <c r="EF109" i="19"/>
  <c r="ED122" i="19"/>
  <c r="EF72" i="19"/>
  <c r="EG62" i="19"/>
  <c r="EG73" i="19" s="1"/>
  <c r="EF155" i="19"/>
  <c r="ED168" i="19"/>
  <c r="EF19" i="19"/>
  <c r="ED29" i="19"/>
  <c r="W782" i="8" l="1"/>
  <c r="EX187" i="19"/>
  <c r="EY104" i="19"/>
  <c r="EY185" i="19"/>
  <c r="X780" i="8" s="1"/>
  <c r="EY150" i="19"/>
  <c r="EY186" i="19"/>
  <c r="X781" i="8" s="1"/>
  <c r="EY57" i="19"/>
  <c r="EY184" i="19"/>
  <c r="X779" i="8" s="1"/>
  <c r="EV150" i="19"/>
  <c r="EV186" i="19"/>
  <c r="EY14" i="19"/>
  <c r="EY183" i="19"/>
  <c r="X778" i="8" s="1"/>
  <c r="X782" i="8" s="1"/>
  <c r="FD104" i="19"/>
  <c r="FD185" i="19"/>
  <c r="EW149" i="19"/>
  <c r="EW178" i="19"/>
  <c r="EW179" i="19" s="1"/>
  <c r="ES103" i="19"/>
  <c r="ES132" i="19"/>
  <c r="ES133" i="19" s="1"/>
  <c r="EF176" i="19"/>
  <c r="EF30" i="19"/>
  <c r="EG20" i="19"/>
  <c r="EG156" i="19"/>
  <c r="EG167" i="19" s="1"/>
  <c r="EF166" i="19"/>
  <c r="EF148" i="19" s="1"/>
  <c r="EH63" i="19"/>
  <c r="EH74" i="19" s="1"/>
  <c r="EH156" i="19"/>
  <c r="EH167" i="19" s="1"/>
  <c r="EF73" i="19"/>
  <c r="EG63" i="19"/>
  <c r="EG74" i="19" s="1"/>
  <c r="EH20" i="19"/>
  <c r="EG30" i="19"/>
  <c r="EH110" i="19"/>
  <c r="EH121" i="19" s="1"/>
  <c r="EF120" i="19"/>
  <c r="EG110" i="19"/>
  <c r="EG121" i="19" s="1"/>
  <c r="EF130" i="19"/>
  <c r="FD187" i="19" l="1"/>
  <c r="AC780" i="8"/>
  <c r="AC782" i="8" s="1"/>
  <c r="EV187" i="19"/>
  <c r="U781" i="8"/>
  <c r="EY187" i="19"/>
  <c r="ES104" i="19"/>
  <c r="ES185" i="19"/>
  <c r="ES187" i="19" s="1"/>
  <c r="EW150" i="19"/>
  <c r="EW186" i="19"/>
  <c r="EF132" i="19"/>
  <c r="EF178" i="19"/>
  <c r="EH111" i="19"/>
  <c r="EH122" i="19" s="1"/>
  <c r="EH31" i="19"/>
  <c r="EI21" i="19"/>
  <c r="EI157" i="19"/>
  <c r="EI168" i="19" s="1"/>
  <c r="R773" i="8"/>
  <c r="EF102" i="19"/>
  <c r="EH157" i="19"/>
  <c r="EH168" i="19" s="1"/>
  <c r="EI111" i="19"/>
  <c r="EI122" i="19" s="1"/>
  <c r="EH64" i="19"/>
  <c r="EH75" i="19" s="1"/>
  <c r="EI64" i="19"/>
  <c r="EI75" i="19" s="1"/>
  <c r="EH21" i="19"/>
  <c r="EG31" i="19"/>
  <c r="EW187" i="19" l="1"/>
  <c r="V781" i="8"/>
  <c r="V782" i="8" s="1"/>
  <c r="U782" i="8"/>
  <c r="EJ112" i="19"/>
  <c r="EJ123" i="19" s="1"/>
  <c r="EI158" i="19"/>
  <c r="EI169" i="19" s="1"/>
  <c r="EJ158" i="19"/>
  <c r="EJ169" i="19" s="1"/>
  <c r="EJ65" i="19"/>
  <c r="EJ76" i="19" s="1"/>
  <c r="R772" i="8"/>
  <c r="EI32" i="19"/>
  <c r="EJ22" i="19"/>
  <c r="EI112" i="19"/>
  <c r="EI123" i="19" s="1"/>
  <c r="EH32" i="19"/>
  <c r="EI22" i="19"/>
  <c r="EI65" i="19"/>
  <c r="EI76" i="19" s="1"/>
  <c r="EK66" i="19" l="1"/>
  <c r="EK77" i="19" s="1"/>
  <c r="EI33" i="19"/>
  <c r="EJ23" i="19"/>
  <c r="EJ34" i="19" s="1"/>
  <c r="EK23" i="19"/>
  <c r="EK34" i="19" s="1"/>
  <c r="EJ33" i="19"/>
  <c r="EK159" i="19"/>
  <c r="EK170" i="19" s="1"/>
  <c r="EK113" i="19"/>
  <c r="EK124" i="19" s="1"/>
  <c r="EJ113" i="19"/>
  <c r="EJ124" i="19" s="1"/>
  <c r="EJ159" i="19"/>
  <c r="EJ170" i="19" s="1"/>
  <c r="EJ66" i="19"/>
  <c r="EJ77" i="19" s="1"/>
  <c r="DP143" i="19" l="1"/>
  <c r="DP150" i="19" s="1"/>
  <c r="EB14" i="19"/>
  <c r="EB104" i="19"/>
  <c r="EB57" i="19"/>
  <c r="DV7" i="19"/>
  <c r="DV14" i="19" s="1"/>
  <c r="EB150" i="19"/>
  <c r="DV97" i="19"/>
  <c r="DV104" i="19" s="1"/>
  <c r="DV50" i="19"/>
  <c r="DV57" i="19" s="1"/>
  <c r="DP7" i="19"/>
  <c r="DP14" i="19" s="1"/>
  <c r="DP97" i="19"/>
  <c r="DP104" i="19" s="1"/>
  <c r="DP50" i="19"/>
  <c r="DP57" i="19" s="1"/>
  <c r="DV143" i="19"/>
  <c r="DV150" i="19" s="1"/>
  <c r="DV9" i="19"/>
  <c r="DP9" i="19"/>
  <c r="EB9" i="19"/>
  <c r="EK114" i="19"/>
  <c r="EK125" i="19" s="1"/>
  <c r="EL160" i="19"/>
  <c r="EL171" i="19" s="1"/>
  <c r="DW7" i="19"/>
  <c r="DW97" i="19"/>
  <c r="DW50" i="19"/>
  <c r="DQ7" i="19"/>
  <c r="DW143" i="19"/>
  <c r="DQ97" i="19"/>
  <c r="DQ50" i="19"/>
  <c r="DQ143" i="19"/>
  <c r="EA9" i="19"/>
  <c r="DU9" i="19"/>
  <c r="DO9" i="19"/>
  <c r="DV52" i="19"/>
  <c r="EB52" i="19"/>
  <c r="DP52" i="19"/>
  <c r="DU143" i="19"/>
  <c r="DU150" i="19" s="1"/>
  <c r="DO97" i="19"/>
  <c r="DO104" i="19" s="1"/>
  <c r="DO50" i="19"/>
  <c r="DO57" i="19" s="1"/>
  <c r="DO143" i="19"/>
  <c r="DO150" i="19" s="1"/>
  <c r="EA14" i="19"/>
  <c r="DU97" i="19"/>
  <c r="DU104" i="19" s="1"/>
  <c r="DO7" i="19"/>
  <c r="DO14" i="19" s="1"/>
  <c r="EA104" i="19"/>
  <c r="EA57" i="19"/>
  <c r="DU7" i="19"/>
  <c r="DU14" i="19" s="1"/>
  <c r="EA150" i="19"/>
  <c r="DU50" i="19"/>
  <c r="DU57" i="19" s="1"/>
  <c r="EA99" i="19"/>
  <c r="DU99" i="19"/>
  <c r="DO99" i="19"/>
  <c r="EB145" i="19"/>
  <c r="DV145" i="19"/>
  <c r="DP145" i="19"/>
  <c r="EA145" i="19"/>
  <c r="DU145" i="19"/>
  <c r="DO145" i="19"/>
  <c r="DX97" i="19"/>
  <c r="DX50" i="19"/>
  <c r="DR7" i="19"/>
  <c r="DX143" i="19"/>
  <c r="DR97" i="19"/>
  <c r="DR50" i="19"/>
  <c r="DR143" i="19"/>
  <c r="DX7" i="19"/>
  <c r="EA52" i="19"/>
  <c r="DU52" i="19"/>
  <c r="DO52" i="19"/>
  <c r="DV99" i="19"/>
  <c r="EB99" i="19"/>
  <c r="DP99" i="19"/>
  <c r="EK160" i="19"/>
  <c r="EK171" i="19" s="1"/>
  <c r="EL114" i="19"/>
  <c r="EL125" i="19" s="1"/>
  <c r="EL115" i="19" l="1"/>
  <c r="EL126" i="19" s="1"/>
  <c r="EL161" i="19"/>
  <c r="EL172" i="19" s="1"/>
  <c r="EM115" i="19"/>
  <c r="EM126" i="19" s="1"/>
  <c r="EM161" i="19"/>
  <c r="EM172" i="19" s="1"/>
  <c r="EM116" i="19" l="1"/>
  <c r="EM127" i="19" s="1"/>
  <c r="EM162" i="19"/>
  <c r="EM173" i="19" s="1"/>
  <c r="EN116" i="19"/>
  <c r="EN127" i="19" s="1"/>
  <c r="EN162" i="19"/>
  <c r="EN173" i="19" s="1"/>
  <c r="DQ144" i="19" l="1"/>
  <c r="DQ98" i="19"/>
  <c r="DQ8" i="19"/>
  <c r="DW98" i="19"/>
  <c r="DW51" i="19"/>
  <c r="DW8" i="19"/>
  <c r="DQ51" i="19"/>
  <c r="DW144" i="19"/>
  <c r="DX98" i="19"/>
  <c r="DX51" i="19"/>
  <c r="DX8" i="19"/>
  <c r="DX144" i="19"/>
  <c r="DR98" i="19"/>
  <c r="DR51" i="19"/>
  <c r="DR8" i="19"/>
  <c r="DR144" i="19"/>
  <c r="DU98" i="19"/>
  <c r="DU51" i="19"/>
  <c r="DU8" i="19"/>
  <c r="DU144" i="19"/>
  <c r="DO98" i="19"/>
  <c r="DO51" i="19"/>
  <c r="DO8" i="19"/>
  <c r="DO144" i="19"/>
  <c r="DV144" i="19"/>
  <c r="DP98" i="19"/>
  <c r="DP51" i="19"/>
  <c r="DP8" i="19"/>
  <c r="DV51" i="19"/>
  <c r="DP144" i="19"/>
  <c r="DV98" i="19"/>
  <c r="DV8" i="19"/>
  <c r="DQ9" i="19" l="1"/>
  <c r="DW9" i="19"/>
  <c r="EC9" i="19"/>
  <c r="DW11" i="19"/>
  <c r="DQ11" i="19"/>
  <c r="EC15" i="19" l="1"/>
  <c r="DQ15" i="19"/>
  <c r="DW15" i="19"/>
  <c r="DW26" i="19" l="1"/>
  <c r="DW12" i="19" s="1"/>
  <c r="DW13" i="19" s="1"/>
  <c r="DW14" i="19" s="1"/>
  <c r="DX16" i="19"/>
  <c r="DX27" i="19" s="1"/>
  <c r="DW10" i="19"/>
  <c r="EC26" i="19"/>
  <c r="EC12" i="19" s="1"/>
  <c r="EC14" i="19" s="1"/>
  <c r="ED16" i="19"/>
  <c r="EC10" i="19"/>
  <c r="DQ26" i="19"/>
  <c r="DR16" i="19"/>
  <c r="DR27" i="19" s="1"/>
  <c r="DQ10" i="19"/>
  <c r="DQ12" i="19" l="1"/>
  <c r="DQ13" i="19" s="1"/>
  <c r="DQ14" i="19" s="1"/>
  <c r="ED27" i="19"/>
  <c r="EF17" i="19"/>
  <c r="EZ36" i="19" l="1"/>
  <c r="EZ37" i="19" s="1"/>
  <c r="EZ13" i="19"/>
  <c r="EF28" i="19"/>
  <c r="EG18" i="19"/>
  <c r="EZ14" i="19" l="1"/>
  <c r="EZ183" i="19"/>
  <c r="Y778" i="8" s="1"/>
  <c r="EH19" i="19"/>
  <c r="EG29" i="19"/>
  <c r="EI20" i="19" l="1"/>
  <c r="EH30" i="19"/>
  <c r="EI31" i="19" l="1"/>
  <c r="EJ21" i="19"/>
  <c r="EJ32" i="19" l="1"/>
  <c r="EK22" i="19"/>
  <c r="EK33" i="19" l="1"/>
  <c r="EL23" i="19"/>
  <c r="EL34" i="19" s="1"/>
  <c r="DW54" i="19" l="1"/>
  <c r="DQ54" i="19"/>
  <c r="DQ58" i="19" l="1"/>
  <c r="DW58" i="19"/>
  <c r="EC58" i="19"/>
  <c r="DQ52" i="19"/>
  <c r="DW52" i="19"/>
  <c r="EC52" i="19"/>
  <c r="DW69" i="19" l="1"/>
  <c r="DW55" i="19" s="1"/>
  <c r="DW56" i="19" s="1"/>
  <c r="DW57" i="19" s="1"/>
  <c r="DX59" i="19"/>
  <c r="DX70" i="19" s="1"/>
  <c r="DW53" i="19"/>
  <c r="EC69" i="19"/>
  <c r="EC55" i="19" s="1"/>
  <c r="EC57" i="19" s="1"/>
  <c r="ED59" i="19"/>
  <c r="EC53" i="19"/>
  <c r="DR59" i="19"/>
  <c r="DR70" i="19" s="1"/>
  <c r="DQ69" i="19"/>
  <c r="DQ53" i="19"/>
  <c r="DQ55" i="19" l="1"/>
  <c r="DQ56" i="19" s="1"/>
  <c r="DQ57" i="19" s="1"/>
  <c r="EF60" i="19"/>
  <c r="ED70" i="19"/>
  <c r="EZ79" i="19" l="1"/>
  <c r="EZ80" i="19" s="1"/>
  <c r="EZ56" i="19"/>
  <c r="EG61" i="19"/>
  <c r="EG72" i="19" s="1"/>
  <c r="EF71" i="19"/>
  <c r="EZ57" i="19" l="1"/>
  <c r="EZ184" i="19"/>
  <c r="Y779" i="8" s="1"/>
  <c r="EH62" i="19"/>
  <c r="EH73" i="19" s="1"/>
  <c r="EI63" i="19" l="1"/>
  <c r="EI74" i="19" s="1"/>
  <c r="EJ64" i="19" l="1"/>
  <c r="EJ75" i="19" s="1"/>
  <c r="EK65" i="19" l="1"/>
  <c r="EK76" i="19" s="1"/>
  <c r="DQ99" i="19" l="1"/>
  <c r="EC99" i="19"/>
  <c r="DW99" i="19"/>
  <c r="DW101" i="19"/>
  <c r="DQ101" i="19"/>
  <c r="EL66" i="19"/>
  <c r="EL77" i="19" s="1"/>
  <c r="DQ105" i="19" l="1"/>
  <c r="DW105" i="19"/>
  <c r="EC105" i="19"/>
  <c r="ED106" i="19" l="1"/>
  <c r="EC119" i="19"/>
  <c r="EC102" i="19" s="1"/>
  <c r="EC104" i="19" s="1"/>
  <c r="EC100" i="19"/>
  <c r="DR106" i="19"/>
  <c r="DR120" i="19" s="1"/>
  <c r="DQ119" i="19"/>
  <c r="DQ100" i="19"/>
  <c r="DW119" i="19"/>
  <c r="DW102" i="19" s="1"/>
  <c r="DW103" i="19" s="1"/>
  <c r="DW104" i="19" s="1"/>
  <c r="DX106" i="19"/>
  <c r="DX120" i="19" s="1"/>
  <c r="DW100" i="19"/>
  <c r="DQ102" i="19" l="1"/>
  <c r="DQ103" i="19" s="1"/>
  <c r="DQ104" i="19" s="1"/>
  <c r="EF107" i="19"/>
  <c r="EG108" i="19" s="1"/>
  <c r="EG119" i="19" s="1"/>
  <c r="EG130" i="19" s="1"/>
  <c r="ED120" i="19"/>
  <c r="EZ103" i="19" l="1"/>
  <c r="EH109" i="19"/>
  <c r="EH120" i="19" s="1"/>
  <c r="EZ104" i="19" l="1"/>
  <c r="EZ185" i="19"/>
  <c r="Y780" i="8" s="1"/>
  <c r="EZ132" i="19"/>
  <c r="EZ133" i="19" s="1"/>
  <c r="EG132" i="19"/>
  <c r="EG102" i="19"/>
  <c r="EI110" i="19"/>
  <c r="EI121" i="19" s="1"/>
  <c r="EJ111" i="19" l="1"/>
  <c r="EJ122" i="19" s="1"/>
  <c r="S772" i="8"/>
  <c r="EK112" i="19" l="1"/>
  <c r="EK123" i="19" s="1"/>
  <c r="EL113" i="19" l="1"/>
  <c r="EL124" i="19" s="1"/>
  <c r="EM114" i="19" l="1"/>
  <c r="EM125" i="19" s="1"/>
  <c r="EN115" i="19" l="1"/>
  <c r="EN126" i="19" s="1"/>
  <c r="EO116" i="19" l="1"/>
  <c r="EO127" i="19" s="1"/>
  <c r="DW145" i="19" l="1"/>
  <c r="DQ145" i="19"/>
  <c r="EC145" i="19"/>
  <c r="DW147" i="19"/>
  <c r="DQ147" i="19"/>
  <c r="DQ151" i="19" l="1"/>
  <c r="DW151" i="19"/>
  <c r="EC151" i="19"/>
  <c r="DW165" i="19" l="1"/>
  <c r="DW148" i="19" s="1"/>
  <c r="DW149" i="19" s="1"/>
  <c r="DW150" i="19" s="1"/>
  <c r="DX152" i="19"/>
  <c r="DX166" i="19" s="1"/>
  <c r="DW146" i="19"/>
  <c r="ED152" i="19"/>
  <c r="EC165" i="19"/>
  <c r="EC148" i="19" s="1"/>
  <c r="EC150" i="19" s="1"/>
  <c r="EC146" i="19"/>
  <c r="DQ165" i="19"/>
  <c r="DR152" i="19"/>
  <c r="DR166" i="19" s="1"/>
  <c r="DQ146" i="19"/>
  <c r="DQ148" i="19" l="1"/>
  <c r="DQ149" i="19" s="1"/>
  <c r="DQ150" i="19" s="1"/>
  <c r="EF153" i="19"/>
  <c r="EG154" i="19" s="1"/>
  <c r="EG165" i="19" s="1"/>
  <c r="EG176" i="19" s="1"/>
  <c r="ED166" i="19"/>
  <c r="EZ149" i="19" l="1"/>
  <c r="EH155" i="19"/>
  <c r="EH166" i="19" s="1"/>
  <c r="EZ150" i="19" l="1"/>
  <c r="EZ186" i="19"/>
  <c r="EZ178" i="19"/>
  <c r="EZ179" i="19" s="1"/>
  <c r="EG178" i="19"/>
  <c r="EG148" i="19"/>
  <c r="EI156" i="19"/>
  <c r="EI167" i="19" s="1"/>
  <c r="EZ187" i="19" l="1"/>
  <c r="Y781" i="8"/>
  <c r="S773" i="8"/>
  <c r="EJ157" i="19"/>
  <c r="EJ168" i="19" s="1"/>
  <c r="Y782" i="8" l="1"/>
  <c r="EK158" i="19"/>
  <c r="EK169" i="19" s="1"/>
  <c r="EL159" i="19" l="1"/>
  <c r="EL170" i="19" s="1"/>
  <c r="EM160" i="19" l="1"/>
  <c r="EM171" i="19" s="1"/>
  <c r="EN161" i="19" l="1"/>
  <c r="EN172" i="19" s="1"/>
  <c r="EO162" i="19" l="1"/>
  <c r="EO173" i="19" s="1"/>
  <c r="ED9" i="19" l="1"/>
  <c r="DR9" i="19"/>
  <c r="DX9" i="19"/>
  <c r="DX147" i="19"/>
  <c r="DX151" i="19" s="1"/>
  <c r="DR147" i="19"/>
  <c r="DR151" i="19" s="1"/>
  <c r="DX11" i="19"/>
  <c r="DX15" i="19" s="1"/>
  <c r="DR11" i="19"/>
  <c r="DR15" i="19" s="1"/>
  <c r="ED99" i="19"/>
  <c r="DX99" i="19"/>
  <c r="DR99" i="19"/>
  <c r="DX54" i="19"/>
  <c r="DX58" i="19" s="1"/>
  <c r="DR54" i="19"/>
  <c r="DR58" i="19" s="1"/>
  <c r="DX101" i="19"/>
  <c r="DX105" i="19" s="1"/>
  <c r="DR101" i="19"/>
  <c r="DR105" i="19" s="1"/>
  <c r="ED151" i="19" l="1"/>
  <c r="EF152" i="19" s="1"/>
  <c r="EF151" i="19"/>
  <c r="EG152" i="19" s="1"/>
  <c r="EH153" i="19" s="1"/>
  <c r="EI154" i="19" s="1"/>
  <c r="ED105" i="19"/>
  <c r="ED119" i="19" s="1"/>
  <c r="ED102" i="19" s="1"/>
  <c r="ED104" i="19" s="1"/>
  <c r="EF105" i="19"/>
  <c r="EG106" i="19" s="1"/>
  <c r="EH107" i="19" s="1"/>
  <c r="EI108" i="19" s="1"/>
  <c r="ED58" i="19"/>
  <c r="EF59" i="19" s="1"/>
  <c r="EF58" i="19"/>
  <c r="DR145" i="19"/>
  <c r="ED145" i="19"/>
  <c r="DX145" i="19"/>
  <c r="DX119" i="19"/>
  <c r="DX102" i="19" s="1"/>
  <c r="DX103" i="19" s="1"/>
  <c r="DX104" i="19" s="1"/>
  <c r="DX100" i="19"/>
  <c r="DX69" i="19"/>
  <c r="DX55" i="19" s="1"/>
  <c r="DX56" i="19" s="1"/>
  <c r="DX57" i="19" s="1"/>
  <c r="DX53" i="19"/>
  <c r="ED15" i="19"/>
  <c r="EF15" i="19" s="1"/>
  <c r="DR165" i="19"/>
  <c r="DR146" i="19"/>
  <c r="DR69" i="19"/>
  <c r="DR53" i="19"/>
  <c r="DR26" i="19"/>
  <c r="DR10" i="19"/>
  <c r="DX165" i="19"/>
  <c r="DX148" i="19" s="1"/>
  <c r="DX149" i="19" s="1"/>
  <c r="DX150" i="19" s="1"/>
  <c r="DX146" i="19"/>
  <c r="ED52" i="19"/>
  <c r="DX52" i="19"/>
  <c r="DR52" i="19"/>
  <c r="DR119" i="19"/>
  <c r="DR100" i="19"/>
  <c r="ED69" i="19"/>
  <c r="ED55" i="19" s="1"/>
  <c r="ED57" i="19" s="1"/>
  <c r="ED53" i="19"/>
  <c r="DX26" i="19"/>
  <c r="DX12" i="19" s="1"/>
  <c r="DX13" i="19" s="1"/>
  <c r="DX14" i="19" s="1"/>
  <c r="DX10" i="19"/>
  <c r="ED165" i="19"/>
  <c r="ED148" i="19" s="1"/>
  <c r="ED150" i="19" s="1"/>
  <c r="ED146" i="19"/>
  <c r="ED100" i="19" l="1"/>
  <c r="EF106" i="19"/>
  <c r="EI119" i="19"/>
  <c r="EI130" i="19" s="1"/>
  <c r="EJ109" i="19"/>
  <c r="EF69" i="19"/>
  <c r="EG59" i="19"/>
  <c r="EI165" i="19"/>
  <c r="EI176" i="19" s="1"/>
  <c r="EJ155" i="19"/>
  <c r="DR12" i="19"/>
  <c r="DR13" i="19" s="1"/>
  <c r="DR14" i="19" s="1"/>
  <c r="DR102" i="19"/>
  <c r="DR103" i="19" s="1"/>
  <c r="DR104" i="19" s="1"/>
  <c r="DR55" i="19"/>
  <c r="DR56" i="19" s="1"/>
  <c r="DR57" i="19" s="1"/>
  <c r="DR148" i="19"/>
  <c r="DR149" i="19" s="1"/>
  <c r="DR150" i="19" s="1"/>
  <c r="EF26" i="19"/>
  <c r="EG16" i="19"/>
  <c r="EG153" i="19"/>
  <c r="EF146" i="19"/>
  <c r="EF179" i="19" s="1"/>
  <c r="EF70" i="19"/>
  <c r="EF79" i="19" s="1"/>
  <c r="EG60" i="19"/>
  <c r="EG71" i="19" s="1"/>
  <c r="EF53" i="19"/>
  <c r="EG107" i="19"/>
  <c r="EF100" i="19"/>
  <c r="EF133" i="19" s="1"/>
  <c r="EF16" i="19"/>
  <c r="ED26" i="19"/>
  <c r="ED12" i="19" s="1"/>
  <c r="ED14" i="19" s="1"/>
  <c r="ED10" i="19"/>
  <c r="EH60" i="19" l="1"/>
  <c r="EG70" i="19"/>
  <c r="EG79" i="19" s="1"/>
  <c r="EJ166" i="19"/>
  <c r="EK156" i="19"/>
  <c r="EJ120" i="19"/>
  <c r="EK110" i="19"/>
  <c r="FA149" i="19"/>
  <c r="FA103" i="19"/>
  <c r="FA79" i="19"/>
  <c r="FA80" i="19" s="1"/>
  <c r="FA56" i="19"/>
  <c r="FA36" i="19"/>
  <c r="FA37" i="19" s="1"/>
  <c r="FA13" i="19"/>
  <c r="EF80" i="19"/>
  <c r="EH154" i="19"/>
  <c r="EH165" i="19" s="1"/>
  <c r="EH176" i="19" s="1"/>
  <c r="EG146" i="19"/>
  <c r="EG179" i="19" s="1"/>
  <c r="EF27" i="19"/>
  <c r="EF12" i="19" s="1"/>
  <c r="EG17" i="19"/>
  <c r="EG10" i="19" s="1"/>
  <c r="EH61" i="19"/>
  <c r="EH72" i="19" s="1"/>
  <c r="EG53" i="19"/>
  <c r="EF10" i="19"/>
  <c r="EF55" i="19"/>
  <c r="EH17" i="19"/>
  <c r="EG27" i="19"/>
  <c r="EH108" i="19"/>
  <c r="EH119" i="19" s="1"/>
  <c r="EH130" i="19" s="1"/>
  <c r="EG100" i="19"/>
  <c r="EG133" i="19" s="1"/>
  <c r="FA150" i="19" l="1"/>
  <c r="FA186" i="19"/>
  <c r="Z781" i="8" s="1"/>
  <c r="AD781" i="8" s="1"/>
  <c r="FA14" i="19"/>
  <c r="FA183" i="19"/>
  <c r="Z778" i="8" s="1"/>
  <c r="AD778" i="8" s="1"/>
  <c r="FA57" i="19"/>
  <c r="FA184" i="19"/>
  <c r="Z779" i="8" s="1"/>
  <c r="AD779" i="8" s="1"/>
  <c r="FA104" i="19"/>
  <c r="FA185" i="19"/>
  <c r="Z780" i="8" s="1"/>
  <c r="EK167" i="19"/>
  <c r="EL157" i="19"/>
  <c r="EK121" i="19"/>
  <c r="EL111" i="19"/>
  <c r="EH71" i="19"/>
  <c r="EI61" i="19"/>
  <c r="FA178" i="19"/>
  <c r="FA179" i="19" s="1"/>
  <c r="FA132" i="19"/>
  <c r="FA133" i="19" s="1"/>
  <c r="EF36" i="19"/>
  <c r="EF37" i="19" s="1"/>
  <c r="EG80" i="19"/>
  <c r="R770" i="8"/>
  <c r="EI18" i="19"/>
  <c r="EH28" i="19"/>
  <c r="EI109" i="19"/>
  <c r="EI120" i="19" s="1"/>
  <c r="EH100" i="19"/>
  <c r="R771" i="8"/>
  <c r="EH79" i="19"/>
  <c r="EI62" i="19"/>
  <c r="EI73" i="19" s="1"/>
  <c r="EH53" i="19"/>
  <c r="EG55" i="19"/>
  <c r="EH18" i="19"/>
  <c r="EG28" i="19"/>
  <c r="EG36" i="19" s="1"/>
  <c r="EG37" i="19" s="1"/>
  <c r="EI155" i="19"/>
  <c r="EI166" i="19" s="1"/>
  <c r="EH146" i="19"/>
  <c r="Z782" i="8" l="1"/>
  <c r="AD780" i="8"/>
  <c r="AD782" i="8"/>
  <c r="FA187" i="19"/>
  <c r="FD188" i="19" s="1"/>
  <c r="G47" i="18" s="1"/>
  <c r="EL122" i="19"/>
  <c r="EM112" i="19"/>
  <c r="EI72" i="19"/>
  <c r="EJ62" i="19"/>
  <c r="EL168" i="19"/>
  <c r="EM158" i="19"/>
  <c r="EH80" i="19"/>
  <c r="S771" i="8"/>
  <c r="EH55" i="19"/>
  <c r="EJ110" i="19"/>
  <c r="EJ121" i="19" s="1"/>
  <c r="EI132" i="19"/>
  <c r="EI100" i="19"/>
  <c r="EJ19" i="19"/>
  <c r="EI29" i="19"/>
  <c r="EH132" i="19"/>
  <c r="EH133" i="19" s="1"/>
  <c r="EH102" i="19"/>
  <c r="EH29" i="19"/>
  <c r="EH36" i="19" s="1"/>
  <c r="EI19" i="19"/>
  <c r="EH178" i="19"/>
  <c r="EH179" i="19" s="1"/>
  <c r="EH148" i="19"/>
  <c r="EG12" i="19"/>
  <c r="EH10" i="19"/>
  <c r="R774" i="8"/>
  <c r="EI178" i="19"/>
  <c r="EJ156" i="19"/>
  <c r="EJ167" i="19" s="1"/>
  <c r="EI146" i="19"/>
  <c r="EI79" i="19"/>
  <c r="EJ63" i="19"/>
  <c r="EJ74" i="19" s="1"/>
  <c r="EI53" i="19"/>
  <c r="G40" i="18" l="1"/>
  <c r="Q47" i="18"/>
  <c r="EJ73" i="19"/>
  <c r="EJ79" i="19" s="1"/>
  <c r="EK63" i="19"/>
  <c r="EM169" i="19"/>
  <c r="EN159" i="19"/>
  <c r="EM123" i="19"/>
  <c r="EN113" i="19"/>
  <c r="EH12" i="19"/>
  <c r="EI133" i="19"/>
  <c r="EI80" i="19"/>
  <c r="EI179" i="19"/>
  <c r="EH37" i="19"/>
  <c r="EI55" i="19"/>
  <c r="S770" i="8"/>
  <c r="EJ20" i="19"/>
  <c r="EI30" i="19"/>
  <c r="EI12" i="19" s="1"/>
  <c r="EJ30" i="19"/>
  <c r="EK20" i="19"/>
  <c r="EJ10" i="19"/>
  <c r="T771" i="8"/>
  <c r="EK157" i="19"/>
  <c r="EK168" i="19" s="1"/>
  <c r="EJ178" i="19"/>
  <c r="EJ146" i="19"/>
  <c r="T772" i="8"/>
  <c r="EI10" i="19"/>
  <c r="EI102" i="19"/>
  <c r="T773" i="8"/>
  <c r="EK64" i="19"/>
  <c r="EK75" i="19" s="1"/>
  <c r="EJ53" i="19"/>
  <c r="EI148" i="19"/>
  <c r="EJ132" i="19"/>
  <c r="EK111" i="19"/>
  <c r="EK122" i="19" s="1"/>
  <c r="EJ100" i="19"/>
  <c r="EI36" i="19" l="1"/>
  <c r="EI37" i="19" s="1"/>
  <c r="Q40" i="18"/>
  <c r="G11" i="18"/>
  <c r="G9" i="18" s="1"/>
  <c r="Q9" i="18" s="1"/>
  <c r="G12" i="18"/>
  <c r="EN170" i="19"/>
  <c r="EO160" i="19"/>
  <c r="EN124" i="19"/>
  <c r="EO114" i="19"/>
  <c r="EK74" i="19"/>
  <c r="EK79" i="19" s="1"/>
  <c r="EL64" i="19"/>
  <c r="T770" i="8"/>
  <c r="T774" i="8" s="1"/>
  <c r="EJ179" i="19"/>
  <c r="EJ133" i="19"/>
  <c r="EJ80" i="19"/>
  <c r="EK132" i="19"/>
  <c r="EL112" i="19"/>
  <c r="EL123" i="19" s="1"/>
  <c r="EK100" i="19"/>
  <c r="U773" i="8"/>
  <c r="EJ55" i="19"/>
  <c r="U771" i="8"/>
  <c r="EJ102" i="19"/>
  <c r="EK21" i="19"/>
  <c r="EK10" i="19" s="1"/>
  <c r="EJ31" i="19"/>
  <c r="EJ36" i="19" s="1"/>
  <c r="EJ37" i="19" s="1"/>
  <c r="EJ148" i="19"/>
  <c r="U770" i="8"/>
  <c r="EK178" i="19"/>
  <c r="EL158" i="19"/>
  <c r="EL169" i="19" s="1"/>
  <c r="EK146" i="19"/>
  <c r="EL21" i="19"/>
  <c r="EK31" i="19"/>
  <c r="S774" i="8"/>
  <c r="EL65" i="19"/>
  <c r="EL76" i="19" s="1"/>
  <c r="EK53" i="19"/>
  <c r="U772" i="8"/>
  <c r="Q12" i="18" l="1"/>
  <c r="Q11" i="18"/>
  <c r="EO125" i="19"/>
  <c r="EP115" i="19"/>
  <c r="EL75" i="19"/>
  <c r="EL79" i="19" s="1"/>
  <c r="EM65" i="19"/>
  <c r="EO171" i="19"/>
  <c r="EP161" i="19"/>
  <c r="EJ12" i="19"/>
  <c r="EK179" i="19"/>
  <c r="EK80" i="19"/>
  <c r="EK133" i="19"/>
  <c r="EM66" i="19"/>
  <c r="EM77" i="19" s="1"/>
  <c r="EL53" i="19"/>
  <c r="EL178" i="19"/>
  <c r="EM159" i="19"/>
  <c r="EM170" i="19" s="1"/>
  <c r="EL146" i="19"/>
  <c r="EK32" i="19"/>
  <c r="EK36" i="19" s="1"/>
  <c r="EK37" i="19" s="1"/>
  <c r="EL22" i="19"/>
  <c r="EL10" i="19" s="1"/>
  <c r="EK148" i="19"/>
  <c r="V773" i="8"/>
  <c r="V772" i="8"/>
  <c r="V771" i="8"/>
  <c r="EL132" i="19"/>
  <c r="EM113" i="19"/>
  <c r="EM124" i="19" s="1"/>
  <c r="EL100" i="19"/>
  <c r="EL32" i="19"/>
  <c r="EM22" i="19"/>
  <c r="EK55" i="19"/>
  <c r="U774" i="8"/>
  <c r="EK102" i="19"/>
  <c r="EM76" i="19" l="1"/>
  <c r="EN66" i="19"/>
  <c r="EP172" i="19"/>
  <c r="EQ162" i="19"/>
  <c r="EP126" i="19"/>
  <c r="EQ116" i="19"/>
  <c r="V770" i="8"/>
  <c r="V774" i="8" s="1"/>
  <c r="EK12" i="19"/>
  <c r="EL179" i="19"/>
  <c r="EL133" i="19"/>
  <c r="EL80" i="19"/>
  <c r="W771" i="8"/>
  <c r="EL33" i="19"/>
  <c r="EL12" i="19" s="1"/>
  <c r="EL13" i="19" s="1"/>
  <c r="EM23" i="19"/>
  <c r="EM34" i="19" s="1"/>
  <c r="EL148" i="19"/>
  <c r="EL149" i="19" s="1"/>
  <c r="W772" i="8"/>
  <c r="EM33" i="19"/>
  <c r="EN23" i="19"/>
  <c r="EN114" i="19"/>
  <c r="EN125" i="19" s="1"/>
  <c r="EM132" i="19"/>
  <c r="EM100" i="19"/>
  <c r="W773" i="8"/>
  <c r="EL55" i="19"/>
  <c r="EL56" i="19" s="1"/>
  <c r="EL102" i="19"/>
  <c r="EL103" i="19" s="1"/>
  <c r="EN160" i="19"/>
  <c r="EN171" i="19" s="1"/>
  <c r="EM178" i="19"/>
  <c r="EM146" i="19"/>
  <c r="EM79" i="19"/>
  <c r="EM53" i="19"/>
  <c r="EQ173" i="19" l="1"/>
  <c r="EQ146" i="19"/>
  <c r="EQ127" i="19"/>
  <c r="EQ100" i="19"/>
  <c r="EN77" i="19"/>
  <c r="EN53" i="19"/>
  <c r="W770" i="8"/>
  <c r="W774" i="8" s="1"/>
  <c r="EM10" i="19"/>
  <c r="EM179" i="19"/>
  <c r="EM80" i="19"/>
  <c r="EM133" i="19"/>
  <c r="X770" i="8"/>
  <c r="EN178" i="19"/>
  <c r="EO161" i="19"/>
  <c r="EO172" i="19" s="1"/>
  <c r="EN146" i="19"/>
  <c r="X771" i="8"/>
  <c r="EN10" i="19"/>
  <c r="EN34" i="19"/>
  <c r="EL36" i="19"/>
  <c r="EL37" i="19" s="1"/>
  <c r="EM55" i="19"/>
  <c r="EM56" i="19" s="1"/>
  <c r="X772" i="8"/>
  <c r="EM12" i="19"/>
  <c r="EM13" i="19" s="1"/>
  <c r="EM36" i="19"/>
  <c r="X773" i="8"/>
  <c r="EM102" i="19"/>
  <c r="EM103" i="19" s="1"/>
  <c r="EM148" i="19"/>
  <c r="EM149" i="19" s="1"/>
  <c r="EO115" i="19"/>
  <c r="EO126" i="19" s="1"/>
  <c r="EN132" i="19"/>
  <c r="EN100" i="19"/>
  <c r="EQ132" i="19" l="1"/>
  <c r="EQ133" i="19" s="1"/>
  <c r="EQ102" i="19"/>
  <c r="EQ103" i="19" s="1"/>
  <c r="AC772" i="8" s="1"/>
  <c r="EN79" i="19"/>
  <c r="EN80" i="19" s="1"/>
  <c r="EN55" i="19"/>
  <c r="EN56" i="19" s="1"/>
  <c r="Z771" i="8" s="1"/>
  <c r="EQ148" i="19"/>
  <c r="EQ149" i="19" s="1"/>
  <c r="AC773" i="8" s="1"/>
  <c r="EQ178" i="19"/>
  <c r="EQ179" i="19" s="1"/>
  <c r="EM37" i="19"/>
  <c r="EN179" i="19"/>
  <c r="EN133" i="19"/>
  <c r="EO132" i="19"/>
  <c r="EP116" i="19"/>
  <c r="EP127" i="19" s="1"/>
  <c r="EO100" i="19"/>
  <c r="EP162" i="19"/>
  <c r="EP173" i="19" s="1"/>
  <c r="EO178" i="19"/>
  <c r="EO146" i="19"/>
  <c r="Y773" i="8"/>
  <c r="Y770" i="8"/>
  <c r="Y771" i="8"/>
  <c r="EN148" i="19"/>
  <c r="EN149" i="19" s="1"/>
  <c r="X774" i="8"/>
  <c r="EN102" i="19"/>
  <c r="EN103" i="19" s="1"/>
  <c r="Y772" i="8"/>
  <c r="EN12" i="19"/>
  <c r="EN13" i="19" s="1"/>
  <c r="EN36" i="19"/>
  <c r="EN37" i="19" s="1"/>
  <c r="AD771" i="8" l="1"/>
  <c r="AC774" i="8"/>
  <c r="EO179" i="19"/>
  <c r="EO133" i="19"/>
  <c r="EP178" i="19"/>
  <c r="EP146" i="19"/>
  <c r="Z772" i="8"/>
  <c r="Z773" i="8"/>
  <c r="Y774" i="8"/>
  <c r="EP132" i="19"/>
  <c r="EP100" i="19"/>
  <c r="Z770" i="8"/>
  <c r="EO148" i="19"/>
  <c r="EO149" i="19" s="1"/>
  <c r="EO102" i="19"/>
  <c r="EO103" i="19" s="1"/>
  <c r="I841" i="8"/>
  <c r="F841" i="8"/>
  <c r="E841" i="8"/>
  <c r="D841" i="8"/>
  <c r="H809" i="8"/>
  <c r="E809" i="8"/>
  <c r="D809" i="8"/>
  <c r="D793" i="8"/>
  <c r="G780" i="8"/>
  <c r="E780" i="8"/>
  <c r="D780" i="8"/>
  <c r="EP179" i="19" l="1"/>
  <c r="EP133" i="19"/>
  <c r="AA773" i="8"/>
  <c r="EP102" i="19"/>
  <c r="EP103" i="19" s="1"/>
  <c r="AA772" i="8"/>
  <c r="Z774" i="8"/>
  <c r="AD770" i="8"/>
  <c r="EP148" i="19"/>
  <c r="EP149" i="19" s="1"/>
  <c r="AA774" i="8" l="1"/>
  <c r="AB772" i="8"/>
  <c r="AB773" i="8"/>
  <c r="AD773" i="8" s="1"/>
  <c r="AB774" i="8" l="1"/>
  <c r="AD772" i="8"/>
  <c r="AD774" i="8" s="1"/>
  <c r="Q766" i="8" s="1"/>
  <c r="M308" i="8" l="1"/>
  <c r="M309" i="8" l="1"/>
  <c r="N308" i="8"/>
  <c r="N309" i="8"/>
  <c r="O308" i="8"/>
  <c r="O309" i="8"/>
  <c r="U192" i="8"/>
  <c r="P592" i="8" l="1"/>
  <c r="Q592" i="8"/>
  <c r="R592" i="8"/>
  <c r="S592" i="8"/>
  <c r="T592" i="8"/>
  <c r="U592" i="8"/>
  <c r="AA570" i="8" l="1"/>
  <c r="AB570" i="8"/>
  <c r="Z570" i="8"/>
  <c r="AA530" i="8"/>
  <c r="AB530" i="8" s="1"/>
  <c r="AA529" i="8"/>
  <c r="AB529" i="8" s="1"/>
  <c r="AA528" i="8"/>
  <c r="AB528" i="8" s="1"/>
  <c r="Q546" i="8"/>
  <c r="U561" i="8"/>
  <c r="T561" i="8"/>
  <c r="S561" i="8"/>
  <c r="R561" i="8"/>
  <c r="Q561" i="8"/>
  <c r="P561" i="8"/>
  <c r="O561" i="8"/>
  <c r="U555" i="8"/>
  <c r="T555" i="8"/>
  <c r="S555" i="8"/>
  <c r="R555" i="8"/>
  <c r="Q555" i="8"/>
  <c r="P555" i="8"/>
  <c r="O555" i="8"/>
  <c r="U548" i="8"/>
  <c r="T548" i="8"/>
  <c r="S548" i="8"/>
  <c r="R548" i="8"/>
  <c r="Q548" i="8"/>
  <c r="P548" i="8"/>
  <c r="O548" i="8"/>
  <c r="U547" i="8"/>
  <c r="T547" i="8"/>
  <c r="S547" i="8"/>
  <c r="R547" i="8"/>
  <c r="Q547" i="8"/>
  <c r="P547" i="8"/>
  <c r="O547" i="8"/>
  <c r="U546" i="8"/>
  <c r="T546" i="8"/>
  <c r="S546" i="8"/>
  <c r="R546" i="8"/>
  <c r="P546" i="8"/>
  <c r="O546" i="8"/>
  <c r="U543" i="8"/>
  <c r="T543" i="8"/>
  <c r="S543" i="8"/>
  <c r="R543" i="8"/>
  <c r="Q543" i="8"/>
  <c r="P543" i="8"/>
  <c r="O543" i="8"/>
  <c r="U537" i="8"/>
  <c r="T537" i="8"/>
  <c r="Q537" i="8"/>
  <c r="P537" i="8"/>
  <c r="U531" i="8"/>
  <c r="T531" i="8"/>
  <c r="S531" i="8"/>
  <c r="R531" i="8"/>
  <c r="Q531" i="8"/>
  <c r="P531" i="8"/>
  <c r="O531" i="8"/>
  <c r="U524" i="8"/>
  <c r="T524" i="8"/>
  <c r="S524" i="8"/>
  <c r="R524" i="8"/>
  <c r="Q524" i="8"/>
  <c r="P524" i="8"/>
  <c r="O524" i="8"/>
  <c r="U523" i="8"/>
  <c r="T523" i="8"/>
  <c r="S523" i="8"/>
  <c r="R523" i="8"/>
  <c r="Q523" i="8"/>
  <c r="P523" i="8"/>
  <c r="O523" i="8"/>
  <c r="U522" i="8"/>
  <c r="T522" i="8"/>
  <c r="S522" i="8"/>
  <c r="R522" i="8"/>
  <c r="Q522" i="8"/>
  <c r="P522" i="8"/>
  <c r="O522" i="8"/>
  <c r="U519" i="8"/>
  <c r="T519" i="8"/>
  <c r="S519" i="8"/>
  <c r="R519" i="8"/>
  <c r="Q519" i="8"/>
  <c r="P519" i="8"/>
  <c r="O519" i="8"/>
  <c r="F511" i="8"/>
  <c r="D512" i="8"/>
  <c r="F512" i="8" s="1"/>
  <c r="D513" i="8"/>
  <c r="F513" i="8" s="1"/>
  <c r="P525" i="8" l="1"/>
  <c r="O549" i="8"/>
  <c r="S549" i="8"/>
  <c r="O525" i="8"/>
  <c r="S525" i="8"/>
  <c r="T525" i="8"/>
  <c r="Q525" i="8"/>
  <c r="U525" i="8"/>
  <c r="T549" i="8"/>
  <c r="P549" i="8"/>
  <c r="Q549" i="8"/>
  <c r="U549" i="8"/>
  <c r="R549" i="8"/>
  <c r="R537" i="8"/>
  <c r="O537" i="8"/>
  <c r="S537" i="8"/>
  <c r="R525" i="8"/>
  <c r="AA454" i="8" l="1"/>
  <c r="AB454" i="8" s="1"/>
  <c r="AA453" i="8"/>
  <c r="AB453" i="8" s="1"/>
  <c r="AA456" i="8"/>
  <c r="AA455" i="8"/>
  <c r="AA442" i="8"/>
  <c r="AB442" i="8"/>
  <c r="U478" i="8"/>
  <c r="T478" i="8"/>
  <c r="S478" i="8"/>
  <c r="R478" i="8"/>
  <c r="Q478" i="8"/>
  <c r="P478" i="8"/>
  <c r="U477" i="8"/>
  <c r="T477" i="8"/>
  <c r="S477" i="8"/>
  <c r="R477" i="8"/>
  <c r="Q477" i="8"/>
  <c r="P477" i="8"/>
  <c r="U476" i="8"/>
  <c r="T476" i="8"/>
  <c r="S476" i="8"/>
  <c r="R476" i="8"/>
  <c r="Q476" i="8"/>
  <c r="P476" i="8"/>
  <c r="U475" i="8"/>
  <c r="T475" i="8"/>
  <c r="S475" i="8"/>
  <c r="R475" i="8"/>
  <c r="Q475" i="8"/>
  <c r="P475" i="8"/>
  <c r="O478" i="8"/>
  <c r="O477" i="8"/>
  <c r="O476" i="8"/>
  <c r="O475" i="8"/>
  <c r="U463" i="8"/>
  <c r="T463" i="8"/>
  <c r="S463" i="8"/>
  <c r="R463" i="8"/>
  <c r="Q463" i="8"/>
  <c r="P463" i="8"/>
  <c r="U462" i="8"/>
  <c r="T462" i="8"/>
  <c r="S462" i="8"/>
  <c r="R462" i="8"/>
  <c r="Q462" i="8"/>
  <c r="P462" i="8"/>
  <c r="U461" i="8"/>
  <c r="T461" i="8"/>
  <c r="S461" i="8"/>
  <c r="R461" i="8"/>
  <c r="Q461" i="8"/>
  <c r="P461" i="8"/>
  <c r="U460" i="8"/>
  <c r="T460" i="8"/>
  <c r="S460" i="8"/>
  <c r="R460" i="8"/>
  <c r="Q460" i="8"/>
  <c r="P460" i="8"/>
  <c r="O463" i="8"/>
  <c r="O462" i="8"/>
  <c r="O461" i="8"/>
  <c r="O460" i="8"/>
  <c r="U449" i="8"/>
  <c r="T449" i="8"/>
  <c r="S449" i="8"/>
  <c r="R449" i="8"/>
  <c r="Q449" i="8"/>
  <c r="P449" i="8"/>
  <c r="U448" i="8"/>
  <c r="T448" i="8"/>
  <c r="S448" i="8"/>
  <c r="R448" i="8"/>
  <c r="Q448" i="8"/>
  <c r="P448" i="8"/>
  <c r="U447" i="8"/>
  <c r="T447" i="8"/>
  <c r="S447" i="8"/>
  <c r="R447" i="8"/>
  <c r="Q447" i="8"/>
  <c r="P447" i="8"/>
  <c r="U446" i="8"/>
  <c r="T446" i="8"/>
  <c r="S446" i="8"/>
  <c r="R446" i="8"/>
  <c r="Q446" i="8"/>
  <c r="P446" i="8"/>
  <c r="O449" i="8"/>
  <c r="O448" i="8"/>
  <c r="O447" i="8"/>
  <c r="O446" i="8"/>
  <c r="U435" i="8"/>
  <c r="T435" i="8"/>
  <c r="S435" i="8"/>
  <c r="R435" i="8"/>
  <c r="Q435" i="8"/>
  <c r="P435" i="8"/>
  <c r="U434" i="8"/>
  <c r="T434" i="8"/>
  <c r="S434" i="8"/>
  <c r="R434" i="8"/>
  <c r="Q434" i="8"/>
  <c r="P434" i="8"/>
  <c r="U433" i="8"/>
  <c r="T433" i="8"/>
  <c r="S433" i="8"/>
  <c r="R433" i="8"/>
  <c r="Q433" i="8"/>
  <c r="P433" i="8"/>
  <c r="U432" i="8"/>
  <c r="T432" i="8"/>
  <c r="S432" i="8"/>
  <c r="R432" i="8"/>
  <c r="Q432" i="8"/>
  <c r="P432" i="8"/>
  <c r="O435" i="8"/>
  <c r="O434" i="8"/>
  <c r="O433" i="8"/>
  <c r="O432" i="8"/>
  <c r="U492" i="8"/>
  <c r="T492" i="8"/>
  <c r="S492" i="8"/>
  <c r="R492" i="8"/>
  <c r="Q492" i="8"/>
  <c r="P492" i="8"/>
  <c r="O492" i="8"/>
  <c r="U486" i="8"/>
  <c r="U487" i="8" s="1"/>
  <c r="T486" i="8"/>
  <c r="T487" i="8" s="1"/>
  <c r="S486" i="8"/>
  <c r="S489" i="8" s="1"/>
  <c r="S490" i="8" s="1"/>
  <c r="R486" i="8"/>
  <c r="R487" i="8" s="1"/>
  <c r="Q486" i="8"/>
  <c r="Q487" i="8" s="1"/>
  <c r="P486" i="8"/>
  <c r="P487" i="8" s="1"/>
  <c r="O486" i="8"/>
  <c r="O489" i="8" s="1"/>
  <c r="O490" i="8" s="1"/>
  <c r="U472" i="8"/>
  <c r="U479" i="8" s="1"/>
  <c r="T472" i="8"/>
  <c r="T479" i="8" s="1"/>
  <c r="S472" i="8"/>
  <c r="S479" i="8" s="1"/>
  <c r="R472" i="8"/>
  <c r="R479" i="8" s="1"/>
  <c r="Q472" i="8"/>
  <c r="Q479" i="8" s="1"/>
  <c r="P472" i="8"/>
  <c r="P479" i="8" s="1"/>
  <c r="O472" i="8"/>
  <c r="O479" i="8" s="1"/>
  <c r="U457" i="8"/>
  <c r="U464" i="8" s="1"/>
  <c r="T457" i="8"/>
  <c r="T464" i="8" s="1"/>
  <c r="S457" i="8"/>
  <c r="S464" i="8" s="1"/>
  <c r="R457" i="8"/>
  <c r="R464" i="8" s="1"/>
  <c r="Q457" i="8"/>
  <c r="Q464" i="8" s="1"/>
  <c r="P457" i="8"/>
  <c r="P464" i="8" s="1"/>
  <c r="O457" i="8"/>
  <c r="O464" i="8" s="1"/>
  <c r="U443" i="8"/>
  <c r="U450" i="8" s="1"/>
  <c r="T443" i="8"/>
  <c r="T450" i="8" s="1"/>
  <c r="S443" i="8"/>
  <c r="S450" i="8" s="1"/>
  <c r="R443" i="8"/>
  <c r="R450" i="8" s="1"/>
  <c r="Q443" i="8"/>
  <c r="Q450" i="8" s="1"/>
  <c r="P443" i="8"/>
  <c r="P450" i="8" s="1"/>
  <c r="O443" i="8"/>
  <c r="O450" i="8" s="1"/>
  <c r="U429" i="8"/>
  <c r="U493" i="8" s="1"/>
  <c r="U500" i="8" s="1"/>
  <c r="T429" i="8"/>
  <c r="T493" i="8" s="1"/>
  <c r="T500" i="8" s="1"/>
  <c r="S429" i="8"/>
  <c r="S493" i="8" s="1"/>
  <c r="S498" i="8" s="1"/>
  <c r="R429" i="8"/>
  <c r="R493" i="8" s="1"/>
  <c r="R499" i="8" s="1"/>
  <c r="Q429" i="8"/>
  <c r="Q493" i="8" s="1"/>
  <c r="Q500" i="8" s="1"/>
  <c r="P429" i="8"/>
  <c r="P493" i="8" s="1"/>
  <c r="P500" i="8" s="1"/>
  <c r="O429" i="8"/>
  <c r="O493" i="8" s="1"/>
  <c r="AO367" i="8"/>
  <c r="AV367" i="8" s="1"/>
  <c r="AN367" i="8"/>
  <c r="AU367" i="8" s="1"/>
  <c r="AM367" i="8"/>
  <c r="AT367" i="8" s="1"/>
  <c r="AO366" i="8"/>
  <c r="AV366" i="8" s="1"/>
  <c r="AN366" i="8"/>
  <c r="AU366" i="8" s="1"/>
  <c r="AM366" i="8"/>
  <c r="AT366" i="8" s="1"/>
  <c r="AO365" i="8"/>
  <c r="AV365" i="8" s="1"/>
  <c r="AN365" i="8"/>
  <c r="AU365" i="8" s="1"/>
  <c r="AO364" i="8"/>
  <c r="AV364" i="8" s="1"/>
  <c r="AN364" i="8"/>
  <c r="AU364" i="8" s="1"/>
  <c r="AM365" i="8"/>
  <c r="AT365" i="8" s="1"/>
  <c r="AM364" i="8"/>
  <c r="AT364" i="8" s="1"/>
  <c r="AW352" i="8"/>
  <c r="AV352" i="8"/>
  <c r="AU352" i="8"/>
  <c r="AT352" i="8"/>
  <c r="AP355" i="8"/>
  <c r="AP352" i="8"/>
  <c r="AO352" i="8"/>
  <c r="AN352" i="8"/>
  <c r="AM352" i="8"/>
  <c r="AI355" i="8"/>
  <c r="AI352" i="8"/>
  <c r="AH352" i="8"/>
  <c r="AG352" i="8"/>
  <c r="AF352" i="8"/>
  <c r="AA352" i="8"/>
  <c r="Z352" i="8"/>
  <c r="AB352" i="8"/>
  <c r="Y352" i="8"/>
  <c r="AB355" i="8"/>
  <c r="P405" i="8"/>
  <c r="Q405" i="8"/>
  <c r="R405" i="8"/>
  <c r="S405" i="8"/>
  <c r="T405" i="8"/>
  <c r="U405" i="8"/>
  <c r="O405" i="8"/>
  <c r="U398" i="8"/>
  <c r="T398" i="8"/>
  <c r="T399" i="8" s="1"/>
  <c r="S398" i="8"/>
  <c r="S399" i="8" s="1"/>
  <c r="R398" i="8"/>
  <c r="R399" i="8" s="1"/>
  <c r="Q398" i="8"/>
  <c r="Q401" i="8" s="1"/>
  <c r="Q402" i="8" s="1"/>
  <c r="P398" i="8"/>
  <c r="P399" i="8" s="1"/>
  <c r="O398" i="8"/>
  <c r="O399" i="8" s="1"/>
  <c r="AP365" i="8" l="1"/>
  <c r="AW365" i="8" s="1"/>
  <c r="AP366" i="8"/>
  <c r="AW366" i="8" s="1"/>
  <c r="AR366" i="8" s="1"/>
  <c r="AP367" i="8"/>
  <c r="AW367" i="8" s="1"/>
  <c r="AP364" i="8"/>
  <c r="AW364" i="8" s="1"/>
  <c r="U401" i="8"/>
  <c r="U402" i="8" s="1"/>
  <c r="U399" i="8"/>
  <c r="O500" i="8"/>
  <c r="O499" i="8"/>
  <c r="O498" i="8"/>
  <c r="U499" i="8"/>
  <c r="Q499" i="8"/>
  <c r="S500" i="8"/>
  <c r="R498" i="8"/>
  <c r="P436" i="8"/>
  <c r="P494" i="8" s="1"/>
  <c r="T499" i="8"/>
  <c r="P499" i="8"/>
  <c r="R500" i="8"/>
  <c r="U498" i="8"/>
  <c r="Q498" i="8"/>
  <c r="S499" i="8"/>
  <c r="T498" i="8"/>
  <c r="P498" i="8"/>
  <c r="AB456" i="8"/>
  <c r="AB455" i="8"/>
  <c r="S487" i="8"/>
  <c r="O487" i="8"/>
  <c r="T436" i="8"/>
  <c r="T494" i="8" s="1"/>
  <c r="Q436" i="8"/>
  <c r="Q494" i="8" s="1"/>
  <c r="U436" i="8"/>
  <c r="U494" i="8" s="1"/>
  <c r="R436" i="8"/>
  <c r="R494" i="8" s="1"/>
  <c r="O436" i="8"/>
  <c r="O494" i="8" s="1"/>
  <c r="S436" i="8"/>
  <c r="S494" i="8" s="1"/>
  <c r="T401" i="8"/>
  <c r="T402" i="8" s="1"/>
  <c r="P401" i="8"/>
  <c r="P402" i="8" s="1"/>
  <c r="Q399" i="8"/>
  <c r="S401" i="8"/>
  <c r="S402" i="8" s="1"/>
  <c r="P489" i="8"/>
  <c r="P490" i="8" s="1"/>
  <c r="O401" i="8"/>
  <c r="O402" i="8" s="1"/>
  <c r="R401" i="8"/>
  <c r="R402" i="8" s="1"/>
  <c r="T489" i="8"/>
  <c r="T490" i="8" s="1"/>
  <c r="Q489" i="8"/>
  <c r="Q490" i="8" s="1"/>
  <c r="U489" i="8"/>
  <c r="U490" i="8" s="1"/>
  <c r="R489" i="8"/>
  <c r="R490" i="8" s="1"/>
  <c r="AR364" i="8" l="1"/>
  <c r="AR367" i="8"/>
  <c r="AR365" i="8"/>
  <c r="U390" i="8"/>
  <c r="T390" i="8"/>
  <c r="S390" i="8"/>
  <c r="R390" i="8"/>
  <c r="Q390" i="8"/>
  <c r="P390" i="8"/>
  <c r="O390" i="8"/>
  <c r="U389" i="8"/>
  <c r="T389" i="8"/>
  <c r="S389" i="8"/>
  <c r="R389" i="8"/>
  <c r="Q389" i="8"/>
  <c r="P389" i="8"/>
  <c r="O389" i="8"/>
  <c r="U388" i="8"/>
  <c r="T388" i="8"/>
  <c r="S388" i="8"/>
  <c r="R388" i="8"/>
  <c r="Q388" i="8"/>
  <c r="P388" i="8"/>
  <c r="O388" i="8"/>
  <c r="U387" i="8"/>
  <c r="T387" i="8"/>
  <c r="S387" i="8"/>
  <c r="R387" i="8"/>
  <c r="Q387" i="8"/>
  <c r="P387" i="8"/>
  <c r="O387" i="8"/>
  <c r="U384" i="8"/>
  <c r="U391" i="8" s="1"/>
  <c r="T384" i="8"/>
  <c r="T391" i="8" s="1"/>
  <c r="S384" i="8"/>
  <c r="S391" i="8" s="1"/>
  <c r="R384" i="8"/>
  <c r="R391" i="8" s="1"/>
  <c r="Q384" i="8"/>
  <c r="Q391" i="8" s="1"/>
  <c r="P384" i="8"/>
  <c r="P391" i="8" s="1"/>
  <c r="O384" i="8"/>
  <c r="O391" i="8" s="1"/>
  <c r="U361" i="8"/>
  <c r="T361" i="8"/>
  <c r="S361" i="8"/>
  <c r="R361" i="8"/>
  <c r="Q361" i="8"/>
  <c r="P361" i="8"/>
  <c r="O361" i="8"/>
  <c r="U360" i="8"/>
  <c r="T360" i="8"/>
  <c r="S360" i="8"/>
  <c r="R360" i="8"/>
  <c r="Q360" i="8"/>
  <c r="P360" i="8"/>
  <c r="O360" i="8"/>
  <c r="U359" i="8"/>
  <c r="T359" i="8"/>
  <c r="S359" i="8"/>
  <c r="R359" i="8"/>
  <c r="Q359" i="8"/>
  <c r="P359" i="8"/>
  <c r="O359" i="8"/>
  <c r="U358" i="8"/>
  <c r="T358" i="8"/>
  <c r="S358" i="8"/>
  <c r="R358" i="8"/>
  <c r="Q358" i="8"/>
  <c r="P358" i="8"/>
  <c r="O358" i="8"/>
  <c r="U355" i="8"/>
  <c r="U362" i="8" s="1"/>
  <c r="T355" i="8"/>
  <c r="T362" i="8" s="1"/>
  <c r="S355" i="8"/>
  <c r="S362" i="8" s="1"/>
  <c r="R355" i="8"/>
  <c r="R362" i="8" s="1"/>
  <c r="Q355" i="8"/>
  <c r="Q362" i="8" s="1"/>
  <c r="P355" i="8"/>
  <c r="P362" i="8" s="1"/>
  <c r="O355" i="8"/>
  <c r="O362" i="8" s="1"/>
  <c r="U375" i="8"/>
  <c r="T375" i="8"/>
  <c r="S375" i="8"/>
  <c r="R375" i="8"/>
  <c r="Q375" i="8"/>
  <c r="P375" i="8"/>
  <c r="O375" i="8"/>
  <c r="U374" i="8"/>
  <c r="T374" i="8"/>
  <c r="S374" i="8"/>
  <c r="R374" i="8"/>
  <c r="Q374" i="8"/>
  <c r="P374" i="8"/>
  <c r="O374" i="8"/>
  <c r="U373" i="8"/>
  <c r="T373" i="8"/>
  <c r="S373" i="8"/>
  <c r="R373" i="8"/>
  <c r="Q373" i="8"/>
  <c r="P373" i="8"/>
  <c r="O373" i="8"/>
  <c r="U372" i="8"/>
  <c r="T372" i="8"/>
  <c r="S372" i="8"/>
  <c r="R372" i="8"/>
  <c r="Q372" i="8"/>
  <c r="P372" i="8"/>
  <c r="O372" i="8"/>
  <c r="U369" i="8"/>
  <c r="U376" i="8" s="1"/>
  <c r="T369" i="8"/>
  <c r="T376" i="8" s="1"/>
  <c r="S369" i="8"/>
  <c r="S376" i="8" s="1"/>
  <c r="R369" i="8"/>
  <c r="R376" i="8" s="1"/>
  <c r="Q369" i="8"/>
  <c r="Q376" i="8" s="1"/>
  <c r="P369" i="8"/>
  <c r="P376" i="8" s="1"/>
  <c r="O369" i="8"/>
  <c r="O376" i="8" s="1"/>
  <c r="U347" i="8"/>
  <c r="T347" i="8"/>
  <c r="S347" i="8"/>
  <c r="R347" i="8"/>
  <c r="Q347" i="8"/>
  <c r="P347" i="8"/>
  <c r="U346" i="8"/>
  <c r="T346" i="8"/>
  <c r="S346" i="8"/>
  <c r="R346" i="8"/>
  <c r="Q346" i="8"/>
  <c r="P346" i="8"/>
  <c r="U345" i="8"/>
  <c r="T345" i="8"/>
  <c r="S345" i="8"/>
  <c r="R345" i="8"/>
  <c r="Q345" i="8"/>
  <c r="P345" i="8"/>
  <c r="U344" i="8"/>
  <c r="T344" i="8"/>
  <c r="S344" i="8"/>
  <c r="R344" i="8"/>
  <c r="Q344" i="8"/>
  <c r="P344" i="8"/>
  <c r="O347" i="8"/>
  <c r="O346" i="8"/>
  <c r="O345" i="8"/>
  <c r="O344" i="8"/>
  <c r="U341" i="8"/>
  <c r="U406" i="8" s="1"/>
  <c r="T341" i="8"/>
  <c r="T406" i="8" s="1"/>
  <c r="S341" i="8"/>
  <c r="S406" i="8" s="1"/>
  <c r="R341" i="8"/>
  <c r="R406" i="8" s="1"/>
  <c r="Q341" i="8"/>
  <c r="Q406" i="8" s="1"/>
  <c r="P341" i="8"/>
  <c r="P406" i="8" s="1"/>
  <c r="O341" i="8"/>
  <c r="O406" i="8" s="1"/>
  <c r="R348" i="8" l="1"/>
  <c r="R407" i="8" s="1"/>
  <c r="R411" i="8"/>
  <c r="R410" i="8"/>
  <c r="O348" i="8"/>
  <c r="O407" i="8" s="1"/>
  <c r="S348" i="8"/>
  <c r="S407" i="8" s="1"/>
  <c r="Q411" i="8"/>
  <c r="Q410" i="8"/>
  <c r="O410" i="8"/>
  <c r="O411" i="8"/>
  <c r="S410" i="8"/>
  <c r="S411" i="8"/>
  <c r="P348" i="8"/>
  <c r="P407" i="8" s="1"/>
  <c r="T348" i="8"/>
  <c r="T407" i="8" s="1"/>
  <c r="U411" i="8"/>
  <c r="U410" i="8"/>
  <c r="P411" i="8"/>
  <c r="P410" i="8"/>
  <c r="T411" i="8"/>
  <c r="T410" i="8"/>
  <c r="Q348" i="8"/>
  <c r="Q407" i="8" s="1"/>
  <c r="U348" i="8"/>
  <c r="U407" i="8" s="1"/>
  <c r="U287" i="8"/>
  <c r="U288" i="8" s="1"/>
  <c r="T287" i="8"/>
  <c r="S287" i="8"/>
  <c r="S288" i="8" s="1"/>
  <c r="R287" i="8"/>
  <c r="R288" i="8" s="1"/>
  <c r="Q287" i="8"/>
  <c r="Q288" i="8" s="1"/>
  <c r="P287" i="8"/>
  <c r="P288" i="8" s="1"/>
  <c r="O287" i="8"/>
  <c r="O288" i="8" s="1"/>
  <c r="P291" i="8"/>
  <c r="Q291" i="8"/>
  <c r="R291" i="8"/>
  <c r="S291" i="8"/>
  <c r="T291" i="8"/>
  <c r="U291" i="8"/>
  <c r="O291" i="8"/>
  <c r="T288" i="8"/>
  <c r="Q292" i="8" l="1"/>
  <c r="U292" i="8"/>
  <c r="R292" i="8"/>
  <c r="P292" i="8"/>
  <c r="T292" i="8"/>
  <c r="AB280" i="8"/>
  <c r="Z279" i="8"/>
  <c r="O292" i="8"/>
  <c r="S292" i="8"/>
  <c r="AD280" i="8" l="1"/>
  <c r="AC280" i="8"/>
  <c r="AC281" i="8" s="1"/>
  <c r="AD281" i="8" l="1"/>
  <c r="AE280" i="8"/>
  <c r="AE281" i="8" s="1"/>
  <c r="Z247" i="8" l="1"/>
  <c r="Y243" i="8"/>
  <c r="Z248" i="8"/>
  <c r="AD248" i="8" l="1"/>
  <c r="AE248" i="8" s="1"/>
  <c r="AD249" i="8"/>
  <c r="AE249" i="8" s="1"/>
  <c r="AD247" i="8"/>
  <c r="AE247" i="8" s="1"/>
  <c r="AD246" i="8"/>
  <c r="AE246" i="8" s="1"/>
  <c r="Z246" i="8"/>
  <c r="P261" i="8"/>
  <c r="Q261" i="8"/>
  <c r="R261" i="8"/>
  <c r="S261" i="8"/>
  <c r="T261" i="8"/>
  <c r="U261" i="8"/>
  <c r="O261" i="8"/>
  <c r="AA243" i="8" l="1"/>
  <c r="Z243" i="8"/>
  <c r="U257" i="8"/>
  <c r="U258" i="8" s="1"/>
  <c r="U262" i="8" s="1"/>
  <c r="T257" i="8"/>
  <c r="T258" i="8" s="1"/>
  <c r="T262" i="8" s="1"/>
  <c r="S257" i="8"/>
  <c r="S258" i="8" s="1"/>
  <c r="S262" i="8" s="1"/>
  <c r="R257" i="8"/>
  <c r="R258" i="8" s="1"/>
  <c r="R262" i="8" s="1"/>
  <c r="Q257" i="8"/>
  <c r="Q258" i="8" s="1"/>
  <c r="Q262" i="8" s="1"/>
  <c r="P257" i="8"/>
  <c r="P258" i="8" s="1"/>
  <c r="P262" i="8" s="1"/>
  <c r="O257" i="8"/>
  <c r="O258" i="8" s="1"/>
  <c r="O262" i="8" s="1"/>
  <c r="Z511" i="8" l="1"/>
  <c r="AA511" i="8"/>
  <c r="AB511" i="8"/>
  <c r="P4" i="13"/>
  <c r="R4" i="13"/>
  <c r="Q4" i="13"/>
  <c r="O4" i="13"/>
  <c r="Z556" i="8"/>
  <c r="Z557" i="8"/>
  <c r="AA557" i="8"/>
  <c r="Z249" i="8"/>
  <c r="AA555" i="8" l="1"/>
  <c r="AA516" i="8"/>
  <c r="AB516" i="8" s="1"/>
  <c r="AB522" i="8" s="1"/>
  <c r="AA518" i="8"/>
  <c r="AB518" i="8" s="1"/>
  <c r="AB524" i="8" s="1"/>
  <c r="AB557" i="8" s="1"/>
  <c r="AA517" i="8"/>
  <c r="AB517" i="8" s="1"/>
  <c r="Z518" i="8"/>
  <c r="Z517" i="8"/>
  <c r="Z516" i="8"/>
  <c r="Z555" i="8"/>
  <c r="AA556" i="8"/>
  <c r="AA534" i="8"/>
  <c r="Z525" i="8"/>
  <c r="AA536" i="8"/>
  <c r="AB555" i="8" l="1"/>
  <c r="Z562" i="8"/>
  <c r="AC574" i="8" s="1"/>
  <c r="AC575" i="8" s="1"/>
  <c r="AB534" i="8"/>
  <c r="Z519" i="8"/>
  <c r="AA519" i="8"/>
  <c r="AB519" i="8"/>
  <c r="AB523" i="8"/>
  <c r="AA525" i="8"/>
  <c r="AA535" i="8"/>
  <c r="AA537" i="8" s="1"/>
  <c r="AB536" i="8"/>
  <c r="AB562" i="8"/>
  <c r="AB571" i="8" s="1"/>
  <c r="Z558" i="8"/>
  <c r="AA558" i="8"/>
  <c r="Z537" i="8"/>
  <c r="AA249" i="8"/>
  <c r="Z571" i="8" l="1"/>
  <c r="AB556" i="8"/>
  <c r="AB558" i="8" s="1"/>
  <c r="AC558" i="8" s="1"/>
  <c r="AA562" i="8"/>
  <c r="AA571" i="8" s="1"/>
  <c r="AC571" i="8" s="1"/>
  <c r="AB535" i="8"/>
  <c r="AB537" i="8" s="1"/>
  <c r="AB525" i="8"/>
  <c r="Y421" i="8" l="1"/>
  <c r="Y427" i="8" s="1"/>
  <c r="AF280" i="8" l="1"/>
  <c r="Y429" i="8"/>
  <c r="AF282" i="8" l="1"/>
  <c r="AJ279" i="8"/>
  <c r="AJ278" i="8"/>
  <c r="AJ277" i="8"/>
  <c r="AJ276" i="8"/>
  <c r="Y431" i="8"/>
  <c r="Y433" i="8"/>
  <c r="Y434" i="8" s="1"/>
  <c r="Y332" i="8"/>
  <c r="Y446" i="8" l="1"/>
  <c r="Y435" i="8"/>
  <c r="Y447" i="8"/>
  <c r="Y461" i="8" s="1"/>
  <c r="Y448" i="8"/>
  <c r="Y462" i="8" s="1"/>
  <c r="Y449" i="8"/>
  <c r="Y463" i="8" s="1"/>
  <c r="Y338" i="8"/>
  <c r="AD759" i="8"/>
  <c r="AF250" i="8"/>
  <c r="Y460" i="8"/>
  <c r="AJ247" i="8" l="1"/>
  <c r="AJ249" i="8"/>
  <c r="AJ248" i="8"/>
  <c r="AJ246" i="8"/>
  <c r="Y464" i="8"/>
  <c r="Y450" i="8"/>
  <c r="Y340" i="8"/>
  <c r="Y342" i="8" s="1"/>
  <c r="AF252" i="8"/>
  <c r="Y343" i="8" l="1"/>
  <c r="P309" i="8"/>
  <c r="P308" i="8"/>
  <c r="AB361" i="8" l="1"/>
  <c r="AA361" i="8"/>
  <c r="Y361" i="8"/>
  <c r="Y344" i="8"/>
  <c r="Z361" i="8"/>
  <c r="R308" i="8"/>
  <c r="R309" i="8"/>
  <c r="Y357" i="8" l="1"/>
  <c r="Y371" i="8" s="1"/>
  <c r="Y358" i="8"/>
  <c r="Y372" i="8" s="1"/>
  <c r="Y360" i="8"/>
  <c r="Y374" i="8" s="1"/>
  <c r="Y359" i="8"/>
  <c r="Y373" i="8" s="1"/>
  <c r="AA360" i="8"/>
  <c r="AA374" i="8" s="1"/>
  <c r="AA358" i="8"/>
  <c r="AA372" i="8" s="1"/>
  <c r="AA359" i="8"/>
  <c r="AA373" i="8" s="1"/>
  <c r="AA357" i="8"/>
  <c r="AA371" i="8" s="1"/>
  <c r="AA375" i="8" s="1"/>
  <c r="Z357" i="8"/>
  <c r="Z371" i="8" s="1"/>
  <c r="Z358" i="8"/>
  <c r="Z372" i="8" s="1"/>
  <c r="Z359" i="8"/>
  <c r="Z373" i="8" s="1"/>
  <c r="Z360" i="8"/>
  <c r="Z374" i="8" s="1"/>
  <c r="AB358" i="8"/>
  <c r="AB372" i="8" s="1"/>
  <c r="AB360" i="8"/>
  <c r="AB374" i="8" s="1"/>
  <c r="AB357" i="8"/>
  <c r="AB371" i="8" s="1"/>
  <c r="AB359" i="8"/>
  <c r="AB373" i="8" s="1"/>
  <c r="Q309" i="8"/>
  <c r="Q308" i="8"/>
  <c r="Z332" i="8"/>
  <c r="AC373" i="8" l="1"/>
  <c r="AC374" i="8"/>
  <c r="AB375" i="8"/>
  <c r="AC372" i="8"/>
  <c r="Z375" i="8"/>
  <c r="AC371" i="8"/>
  <c r="Y375" i="8"/>
  <c r="Z338" i="8"/>
  <c r="Z340" i="8" s="1"/>
  <c r="AE759" i="8"/>
  <c r="AE758" i="8" s="1"/>
  <c r="Z421" i="8"/>
  <c r="Z427" i="8" s="1"/>
  <c r="AC375" i="8" l="1"/>
  <c r="Z429" i="8"/>
  <c r="Z431" i="8" s="1"/>
  <c r="Z433" i="8" s="1"/>
  <c r="Z342" i="8"/>
  <c r="Z343" i="8" s="1"/>
  <c r="Z344" i="8" s="1"/>
  <c r="AG280" i="8"/>
  <c r="AG250" i="8"/>
  <c r="AK249" i="8" l="1"/>
  <c r="AK247" i="8"/>
  <c r="AK248" i="8"/>
  <c r="AK246" i="8"/>
  <c r="AG282" i="8"/>
  <c r="AK279" i="8"/>
  <c r="AK278" i="8"/>
  <c r="AK276" i="8"/>
  <c r="AK277" i="8"/>
  <c r="Z434" i="8"/>
  <c r="AG361" i="8"/>
  <c r="AF361" i="8"/>
  <c r="AH361" i="8"/>
  <c r="AI361" i="8"/>
  <c r="AG252" i="8"/>
  <c r="Z448" i="8" l="1"/>
  <c r="Z462" i="8" s="1"/>
  <c r="Z447" i="8"/>
  <c r="Z461" i="8" s="1"/>
  <c r="Z435" i="8"/>
  <c r="Z446" i="8"/>
  <c r="Z449" i="8"/>
  <c r="Z463" i="8" s="1"/>
  <c r="T309" i="8"/>
  <c r="T308" i="8"/>
  <c r="AF357" i="8"/>
  <c r="AF371" i="8" s="1"/>
  <c r="AF359" i="8"/>
  <c r="AF373" i="8" s="1"/>
  <c r="AF360" i="8"/>
  <c r="AF374" i="8" s="1"/>
  <c r="AF358" i="8"/>
  <c r="AF372" i="8" s="1"/>
  <c r="AH360" i="8"/>
  <c r="AH374" i="8" s="1"/>
  <c r="AH359" i="8"/>
  <c r="AH373" i="8" s="1"/>
  <c r="AH358" i="8"/>
  <c r="AH372" i="8" s="1"/>
  <c r="AH357" i="8"/>
  <c r="AH371" i="8" s="1"/>
  <c r="AG360" i="8"/>
  <c r="AG374" i="8" s="1"/>
  <c r="AG359" i="8"/>
  <c r="AG373" i="8" s="1"/>
  <c r="AG357" i="8"/>
  <c r="AG371" i="8" s="1"/>
  <c r="AG358" i="8"/>
  <c r="AG372" i="8" s="1"/>
  <c r="AI357" i="8"/>
  <c r="AI371" i="8" s="1"/>
  <c r="AI358" i="8"/>
  <c r="AI372" i="8" s="1"/>
  <c r="AI360" i="8"/>
  <c r="AI374" i="8" s="1"/>
  <c r="AI359" i="8"/>
  <c r="AI373" i="8" s="1"/>
  <c r="Z450" i="8" l="1"/>
  <c r="Z460" i="8"/>
  <c r="Z464" i="8" s="1"/>
  <c r="T310" i="8"/>
  <c r="S308" i="8"/>
  <c r="S309" i="8"/>
  <c r="AG375" i="8"/>
  <c r="AJ374" i="8"/>
  <c r="AJ372" i="8"/>
  <c r="AJ373" i="8"/>
  <c r="AH375" i="8"/>
  <c r="AI375" i="8"/>
  <c r="AF375" i="8"/>
  <c r="AJ371" i="8"/>
  <c r="S310" i="8" l="1"/>
  <c r="AJ375" i="8"/>
  <c r="AA332" i="8" l="1"/>
  <c r="U309" i="8" l="1"/>
  <c r="U308" i="8"/>
  <c r="AA338" i="8"/>
  <c r="AA340" i="8" s="1"/>
  <c r="AA342" i="8" s="1"/>
  <c r="AA343" i="8" s="1"/>
  <c r="AF759" i="8"/>
  <c r="AF758" i="8" s="1"/>
  <c r="AH278" i="8"/>
  <c r="AA421" i="8"/>
  <c r="AA427" i="8" s="1"/>
  <c r="AH276" i="8"/>
  <c r="AH277" i="8"/>
  <c r="AH279" i="8"/>
  <c r="AH246" i="8"/>
  <c r="AH247" i="8"/>
  <c r="AH249" i="8"/>
  <c r="AH248" i="8"/>
  <c r="AA429" i="8" l="1"/>
  <c r="AA431" i="8" s="1"/>
  <c r="AA433" i="8" s="1"/>
  <c r="AM361" i="8"/>
  <c r="AM358" i="8" s="1"/>
  <c r="AM372" i="8" s="1"/>
  <c r="AA344" i="8"/>
  <c r="U310" i="8"/>
  <c r="AN361" i="8"/>
  <c r="AN360" i="8" s="1"/>
  <c r="AN374" i="8" s="1"/>
  <c r="AP361" i="8"/>
  <c r="AP360" i="8" s="1"/>
  <c r="AP374" i="8" s="1"/>
  <c r="AO361" i="8"/>
  <c r="AO360" i="8" s="1"/>
  <c r="AO374" i="8" s="1"/>
  <c r="AH280" i="8"/>
  <c r="AH250" i="8"/>
  <c r="AL249" i="8" s="1"/>
  <c r="AM360" i="8" l="1"/>
  <c r="AM374" i="8" s="1"/>
  <c r="AM357" i="8"/>
  <c r="AM371" i="8" s="1"/>
  <c r="AM359" i="8"/>
  <c r="AM373" i="8" s="1"/>
  <c r="AA434" i="8"/>
  <c r="AP359" i="8"/>
  <c r="AP373" i="8" s="1"/>
  <c r="AN358" i="8"/>
  <c r="AN372" i="8" s="1"/>
  <c r="AL277" i="8"/>
  <c r="AL278" i="8"/>
  <c r="AL279" i="8"/>
  <c r="AL276" i="8"/>
  <c r="AN359" i="8"/>
  <c r="AN373" i="8" s="1"/>
  <c r="AP358" i="8"/>
  <c r="AP372" i="8" s="1"/>
  <c r="AN357" i="8"/>
  <c r="AN371" i="8" s="1"/>
  <c r="AP357" i="8"/>
  <c r="AP371" i="8" s="1"/>
  <c r="AO357" i="8"/>
  <c r="AO371" i="8" s="1"/>
  <c r="AO358" i="8"/>
  <c r="AO372" i="8" s="1"/>
  <c r="AO359" i="8"/>
  <c r="AO373" i="8" s="1"/>
  <c r="AQ374" i="8"/>
  <c r="AM375" i="8"/>
  <c r="AL246" i="8"/>
  <c r="AL248" i="8"/>
  <c r="AL247" i="8"/>
  <c r="AA435" i="8" l="1"/>
  <c r="AA449" i="8"/>
  <c r="AA463" i="8" s="1"/>
  <c r="AA446" i="8"/>
  <c r="AA448" i="8"/>
  <c r="AA462" i="8" s="1"/>
  <c r="AA447" i="8"/>
  <c r="AA461" i="8" s="1"/>
  <c r="AQ373" i="8"/>
  <c r="AN375" i="8"/>
  <c r="AP375" i="8"/>
  <c r="AQ372" i="8"/>
  <c r="V309" i="8"/>
  <c r="V308" i="8"/>
  <c r="AQ371" i="8"/>
  <c r="AO375" i="8"/>
  <c r="AA460" i="8" l="1"/>
  <c r="AA464" i="8" s="1"/>
  <c r="AA450" i="8"/>
  <c r="AQ375" i="8"/>
  <c r="V310" i="8"/>
  <c r="W308" i="8" l="1"/>
  <c r="W309" i="8"/>
  <c r="Y303" i="8" l="1"/>
  <c r="Y304" i="8"/>
  <c r="W310" i="8"/>
  <c r="AB332" i="8"/>
  <c r="X309" i="8" l="1"/>
  <c r="X308" i="8"/>
  <c r="AB338" i="8"/>
  <c r="AB340" i="8" s="1"/>
  <c r="AB342" i="8" s="1"/>
  <c r="AB343" i="8" s="1"/>
  <c r="AB344" i="8" s="1"/>
  <c r="AG759" i="8"/>
  <c r="AG758" i="8" s="1"/>
  <c r="AB421" i="8"/>
  <c r="AB427" i="8" s="1"/>
  <c r="AI278" i="8"/>
  <c r="AI277" i="8"/>
  <c r="AI276" i="8"/>
  <c r="AI279" i="8"/>
  <c r="AI247" i="8"/>
  <c r="AI246" i="8"/>
  <c r="AI248" i="8"/>
  <c r="AI249" i="8"/>
  <c r="AB429" i="8" l="1"/>
  <c r="AC762" i="8"/>
  <c r="AC763" i="8" s="1"/>
  <c r="G40" i="22" s="1"/>
  <c r="G36" i="22" s="1"/>
  <c r="X310" i="8"/>
  <c r="Y310" i="8" s="1"/>
  <c r="Q295" i="8" s="1"/>
  <c r="G32" i="22" s="1"/>
  <c r="AU361" i="8"/>
  <c r="AW361" i="8"/>
  <c r="AV361" i="8"/>
  <c r="AT361" i="8"/>
  <c r="AI250" i="8"/>
  <c r="AM247" i="8" s="1"/>
  <c r="AI280" i="8"/>
  <c r="AB431" i="8" l="1"/>
  <c r="AB433" i="8" s="1"/>
  <c r="AB434" i="8" s="1"/>
  <c r="AM278" i="8"/>
  <c r="AM277" i="8"/>
  <c r="AM276" i="8"/>
  <c r="AM279" i="8"/>
  <c r="Q744" i="8"/>
  <c r="F41" i="18"/>
  <c r="G35" i="22"/>
  <c r="AV360" i="8"/>
  <c r="AV374" i="8" s="1"/>
  <c r="AV358" i="8"/>
  <c r="AV372" i="8" s="1"/>
  <c r="AV359" i="8"/>
  <c r="AV373" i="8" s="1"/>
  <c r="AV357" i="8"/>
  <c r="AV371" i="8" s="1"/>
  <c r="AW359" i="8"/>
  <c r="AW373" i="8" s="1"/>
  <c r="AW360" i="8"/>
  <c r="AW374" i="8" s="1"/>
  <c r="AW357" i="8"/>
  <c r="AW371" i="8" s="1"/>
  <c r="AW358" i="8"/>
  <c r="AW372" i="8" s="1"/>
  <c r="AT359" i="8"/>
  <c r="AT373" i="8" s="1"/>
  <c r="AT360" i="8"/>
  <c r="AT374" i="8" s="1"/>
  <c r="AT358" i="8"/>
  <c r="AT372" i="8" s="1"/>
  <c r="AT357" i="8"/>
  <c r="AT371" i="8" s="1"/>
  <c r="AU357" i="8"/>
  <c r="AU371" i="8" s="1"/>
  <c r="AU358" i="8"/>
  <c r="AU372" i="8" s="1"/>
  <c r="AU359" i="8"/>
  <c r="AU373" i="8" s="1"/>
  <c r="AU360" i="8"/>
  <c r="AU374" i="8" s="1"/>
  <c r="AM249" i="8"/>
  <c r="AM248" i="8"/>
  <c r="AM246" i="8"/>
  <c r="AB435" i="8" l="1"/>
  <c r="AB446" i="8"/>
  <c r="AB447" i="8"/>
  <c r="AB461" i="8" s="1"/>
  <c r="AB448" i="8"/>
  <c r="AB462" i="8" s="1"/>
  <c r="AB449" i="8"/>
  <c r="AB463" i="8" s="1"/>
  <c r="F40" i="18"/>
  <c r="AT375" i="8"/>
  <c r="AX371" i="8"/>
  <c r="AX372" i="8"/>
  <c r="AW375" i="8"/>
  <c r="AX374" i="8"/>
  <c r="AV375" i="8"/>
  <c r="AU375" i="8"/>
  <c r="AX373" i="8"/>
  <c r="AB460" i="8" l="1"/>
  <c r="AB464" i="8" s="1"/>
  <c r="AB450" i="8"/>
  <c r="AX387" i="8"/>
  <c r="AX388" i="8"/>
  <c r="AX385" i="8"/>
  <c r="AX386" i="8"/>
  <c r="AX375" i="8"/>
  <c r="B167" i="1" l="1"/>
  <c r="B168" i="1"/>
  <c r="B169" i="1"/>
  <c r="B170" i="1"/>
  <c r="O192" i="8" l="1"/>
  <c r="I4" i="2" l="1"/>
  <c r="H4" i="2"/>
  <c r="I3" i="2"/>
  <c r="H3" i="2"/>
  <c r="C47" i="2"/>
  <c r="E47" i="2" l="1"/>
  <c r="E44" i="2"/>
  <c r="R194" i="8" l="1"/>
  <c r="S194" i="8"/>
  <c r="T193" i="8"/>
  <c r="P193" i="8"/>
  <c r="Q194" i="8"/>
  <c r="O194" i="8"/>
  <c r="Q193" i="8"/>
  <c r="O193" i="8"/>
  <c r="Q192" i="8"/>
  <c r="P192" i="8"/>
  <c r="O195" i="8"/>
  <c r="T192" i="8" l="1"/>
  <c r="U194" i="8"/>
  <c r="U193" i="8"/>
  <c r="R192" i="8"/>
  <c r="T194" i="8"/>
  <c r="T195" i="8" s="1"/>
  <c r="Q195" i="8"/>
  <c r="R193" i="8"/>
  <c r="S193" i="8"/>
  <c r="S192" i="8"/>
  <c r="P194" i="8"/>
  <c r="P195" i="8" s="1"/>
  <c r="D44" i="2"/>
  <c r="D47" i="2" s="1"/>
  <c r="U195" i="8" l="1"/>
  <c r="S195" i="8"/>
  <c r="R195" i="8"/>
  <c r="C28" i="2"/>
  <c r="C23" i="2"/>
  <c r="C14" i="2"/>
  <c r="F2" i="2"/>
  <c r="C40" i="2" s="1"/>
  <c r="C8" i="2" l="1"/>
  <c r="C31" i="2"/>
  <c r="C37" i="2"/>
  <c r="C45" i="2"/>
  <c r="C9" i="2"/>
  <c r="C12" i="2"/>
  <c r="C24" i="2"/>
  <c r="C32" i="2"/>
  <c r="C36" i="2" s="1"/>
  <c r="C38" i="2"/>
  <c r="C13" i="2"/>
  <c r="C25" i="2"/>
  <c r="C33" i="2"/>
  <c r="C44" i="2" l="1"/>
  <c r="C46" i="2" l="1"/>
  <c r="U208" i="8" l="1"/>
  <c r="U209" i="8" s="1"/>
  <c r="T208" i="8"/>
  <c r="T209" i="8" s="1"/>
  <c r="S208" i="8"/>
  <c r="S209" i="8" s="1"/>
  <c r="R208" i="8"/>
  <c r="R209" i="8" s="1"/>
  <c r="Q208" i="8"/>
  <c r="Q209" i="8" s="1"/>
  <c r="P208" i="8"/>
  <c r="P209" i="8" s="1"/>
  <c r="O208" i="8"/>
  <c r="O209" i="8" s="1"/>
  <c r="U201" i="8"/>
  <c r="U202" i="8" s="1"/>
  <c r="T201" i="8"/>
  <c r="T202" i="8" s="1"/>
  <c r="S201" i="8"/>
  <c r="S202" i="8" s="1"/>
  <c r="R201" i="8"/>
  <c r="R202" i="8" s="1"/>
  <c r="Q201" i="8"/>
  <c r="Q202" i="8" s="1"/>
  <c r="P201" i="8"/>
  <c r="O201" i="8"/>
  <c r="O202" i="8" s="1"/>
  <c r="U188" i="8"/>
  <c r="T188" i="8"/>
  <c r="S188" i="8"/>
  <c r="R188" i="8"/>
  <c r="Q188" i="8"/>
  <c r="P188" i="8"/>
  <c r="O188" i="8"/>
  <c r="U181" i="8"/>
  <c r="T181" i="8"/>
  <c r="S181" i="8"/>
  <c r="R181" i="8"/>
  <c r="Q181" i="8"/>
  <c r="P181" i="8"/>
  <c r="O181" i="8"/>
  <c r="U180" i="8"/>
  <c r="T180" i="8"/>
  <c r="S180" i="8"/>
  <c r="R180" i="8"/>
  <c r="Q180" i="8"/>
  <c r="P180" i="8"/>
  <c r="O180" i="8"/>
  <c r="U179" i="8"/>
  <c r="T179" i="8"/>
  <c r="S179" i="8"/>
  <c r="R179" i="8"/>
  <c r="Q179" i="8"/>
  <c r="P179" i="8"/>
  <c r="O179" i="8"/>
  <c r="U176" i="8"/>
  <c r="T176" i="8"/>
  <c r="S176" i="8"/>
  <c r="R176" i="8"/>
  <c r="Q176" i="8"/>
  <c r="P176" i="8"/>
  <c r="O176" i="8"/>
  <c r="O182" i="8" l="1"/>
  <c r="P212" i="8"/>
  <c r="P213" i="8" s="1"/>
  <c r="T212" i="8"/>
  <c r="T213" i="8" s="1"/>
  <c r="P202" i="8"/>
  <c r="S212" i="8"/>
  <c r="S213" i="8" s="1"/>
  <c r="O212" i="8"/>
  <c r="O213" i="8" s="1"/>
  <c r="R212" i="8"/>
  <c r="R213" i="8" s="1"/>
  <c r="U212" i="8"/>
  <c r="U213" i="8" s="1"/>
  <c r="Q212" i="8"/>
  <c r="Q213" i="8" s="1"/>
  <c r="S182" i="8"/>
  <c r="T182" i="8"/>
  <c r="P182" i="8"/>
  <c r="Q182" i="8"/>
  <c r="U182" i="8"/>
  <c r="R182" i="8"/>
  <c r="AU63" i="8" l="1"/>
  <c r="AU64" i="8"/>
  <c r="AU65" i="8"/>
  <c r="AU66" i="8"/>
  <c r="AU67" i="8"/>
  <c r="AU68" i="8"/>
  <c r="U67" i="8"/>
  <c r="U68" i="8"/>
  <c r="U69" i="8"/>
  <c r="U70" i="8"/>
  <c r="U71" i="8"/>
  <c r="U72" i="8"/>
  <c r="U57" i="8"/>
  <c r="U58" i="8"/>
  <c r="U59" i="8"/>
  <c r="U60" i="8"/>
  <c r="U61" i="8"/>
  <c r="U62" i="8"/>
  <c r="U63" i="8" l="1"/>
  <c r="U73" i="8"/>
  <c r="AO63" i="8"/>
  <c r="AO64" i="8"/>
  <c r="AP64" i="8"/>
  <c r="AQ64" i="8"/>
  <c r="AR64" i="8"/>
  <c r="AS64" i="8"/>
  <c r="AT64" i="8"/>
  <c r="AO65" i="8"/>
  <c r="AP65" i="8"/>
  <c r="AQ65" i="8"/>
  <c r="AR65" i="8"/>
  <c r="AS65" i="8"/>
  <c r="AT65" i="8"/>
  <c r="AO66" i="8"/>
  <c r="AP66" i="8"/>
  <c r="AQ66" i="8"/>
  <c r="AR66" i="8"/>
  <c r="AS66" i="8"/>
  <c r="AT66" i="8"/>
  <c r="AO67" i="8"/>
  <c r="AP67" i="8"/>
  <c r="AQ67" i="8"/>
  <c r="AR67" i="8"/>
  <c r="AS67" i="8"/>
  <c r="AT67" i="8"/>
  <c r="AO68" i="8"/>
  <c r="AP68" i="8"/>
  <c r="AQ68" i="8"/>
  <c r="AR68" i="8"/>
  <c r="AS68" i="8"/>
  <c r="AT68" i="8"/>
  <c r="AP63" i="8"/>
  <c r="AQ63" i="8"/>
  <c r="AR63" i="8"/>
  <c r="AS63" i="8"/>
  <c r="AT63" i="8"/>
  <c r="AM64" i="8" l="1"/>
  <c r="AM65" i="8"/>
  <c r="AM66" i="8"/>
  <c r="AM67" i="8"/>
  <c r="AL68" i="8"/>
  <c r="AM68" i="8" s="1"/>
  <c r="H13" i="13"/>
  <c r="I13" i="13"/>
  <c r="J13" i="13"/>
  <c r="K13" i="13"/>
  <c r="L13" i="13"/>
  <c r="M13" i="13"/>
  <c r="H14" i="13"/>
  <c r="I14" i="13"/>
  <c r="J14" i="13"/>
  <c r="K14" i="13"/>
  <c r="L14" i="13"/>
  <c r="M14" i="13"/>
  <c r="EG7" i="19"/>
  <c r="EH7" i="19"/>
  <c r="EI7" i="19"/>
  <c r="EJ7" i="19"/>
  <c r="EK7" i="19"/>
  <c r="H15" i="13"/>
  <c r="EL7" i="19" s="1"/>
  <c r="I15" i="13"/>
  <c r="EM7" i="19" s="1"/>
  <c r="J15" i="13"/>
  <c r="EN7" i="19" s="1"/>
  <c r="K15" i="13"/>
  <c r="EO7" i="19" s="1"/>
  <c r="L15" i="13"/>
  <c r="EP7" i="19" s="1"/>
  <c r="M15" i="13"/>
  <c r="EQ7" i="19" s="1"/>
  <c r="H11" i="13"/>
  <c r="I11" i="13"/>
  <c r="J11" i="13"/>
  <c r="K11" i="13"/>
  <c r="L11" i="13"/>
  <c r="M11" i="13"/>
  <c r="H10" i="13"/>
  <c r="I10" i="13"/>
  <c r="J10" i="13"/>
  <c r="K10" i="13"/>
  <c r="L10" i="13"/>
  <c r="M10" i="13"/>
  <c r="H9" i="13"/>
  <c r="I9" i="13"/>
  <c r="J9" i="13"/>
  <c r="K9" i="13"/>
  <c r="L9" i="13"/>
  <c r="M9" i="13"/>
  <c r="U93" i="8"/>
  <c r="T93" i="8"/>
  <c r="T94" i="8" s="1"/>
  <c r="S93" i="8"/>
  <c r="R93" i="8"/>
  <c r="R94" i="8" s="1"/>
  <c r="Q93" i="8"/>
  <c r="Q94" i="8" s="1"/>
  <c r="P93" i="8"/>
  <c r="P94" i="8" s="1"/>
  <c r="O93" i="8"/>
  <c r="O94" i="8" s="1"/>
  <c r="T72" i="8"/>
  <c r="S72" i="8"/>
  <c r="R72" i="8"/>
  <c r="Q72" i="8"/>
  <c r="P72" i="8"/>
  <c r="T71" i="8"/>
  <c r="S71" i="8"/>
  <c r="R71" i="8"/>
  <c r="Q71" i="8"/>
  <c r="P71" i="8"/>
  <c r="T70" i="8"/>
  <c r="S70" i="8"/>
  <c r="R70" i="8"/>
  <c r="Q70" i="8"/>
  <c r="P70" i="8"/>
  <c r="T69" i="8"/>
  <c r="S69" i="8"/>
  <c r="R69" i="8"/>
  <c r="Q69" i="8"/>
  <c r="P69" i="8"/>
  <c r="T68" i="8"/>
  <c r="S68" i="8"/>
  <c r="R68" i="8"/>
  <c r="Q68" i="8"/>
  <c r="P68" i="8"/>
  <c r="T67" i="8"/>
  <c r="S67" i="8"/>
  <c r="R67" i="8"/>
  <c r="Q67" i="8"/>
  <c r="P67" i="8"/>
  <c r="O72" i="8"/>
  <c r="O71" i="8"/>
  <c r="O70" i="8"/>
  <c r="O69" i="8"/>
  <c r="O68" i="8"/>
  <c r="O67" i="8"/>
  <c r="U83" i="8"/>
  <c r="T83" i="8"/>
  <c r="S83" i="8"/>
  <c r="R83" i="8"/>
  <c r="Q83" i="8"/>
  <c r="P83" i="8"/>
  <c r="O83" i="8"/>
  <c r="Q62" i="8"/>
  <c r="P62" i="8"/>
  <c r="O62" i="8"/>
  <c r="T62" i="8"/>
  <c r="S62" i="8"/>
  <c r="R62" i="8"/>
  <c r="T61" i="8"/>
  <c r="S61" i="8"/>
  <c r="R61" i="8"/>
  <c r="Q61" i="8"/>
  <c r="P61" i="8"/>
  <c r="T60" i="8"/>
  <c r="S60" i="8"/>
  <c r="R60" i="8"/>
  <c r="Q60" i="8"/>
  <c r="P60" i="8"/>
  <c r="T59" i="8"/>
  <c r="S59" i="8"/>
  <c r="R59" i="8"/>
  <c r="Q59" i="8"/>
  <c r="P59" i="8"/>
  <c r="T58" i="8"/>
  <c r="S58" i="8"/>
  <c r="R58" i="8"/>
  <c r="Q58" i="8"/>
  <c r="P58" i="8"/>
  <c r="T57" i="8"/>
  <c r="S57" i="8"/>
  <c r="R57" i="8"/>
  <c r="Q57" i="8"/>
  <c r="P57" i="8"/>
  <c r="O61" i="8"/>
  <c r="O60" i="8"/>
  <c r="O59" i="8"/>
  <c r="O58" i="8"/>
  <c r="O57" i="8"/>
  <c r="U53" i="8"/>
  <c r="T53" i="8"/>
  <c r="AI48" i="8" s="1"/>
  <c r="S53" i="8"/>
  <c r="R53" i="8"/>
  <c r="Q53" i="8"/>
  <c r="P53" i="8"/>
  <c r="O53" i="8"/>
  <c r="S99" i="8" l="1"/>
  <c r="S94" i="8"/>
  <c r="X58" i="8"/>
  <c r="X59" i="8" s="1"/>
  <c r="Y58" i="8"/>
  <c r="AA58" i="8"/>
  <c r="AA55" i="8" s="1"/>
  <c r="Z58" i="8"/>
  <c r="Z55" i="8" s="1"/>
  <c r="EG50" i="19"/>
  <c r="EG14" i="19"/>
  <c r="EI50" i="19"/>
  <c r="EI14" i="19"/>
  <c r="EH50" i="19"/>
  <c r="EH14" i="19"/>
  <c r="O3" i="13"/>
  <c r="O17" i="13" s="1"/>
  <c r="AB250" i="8" s="1"/>
  <c r="EQ50" i="19"/>
  <c r="EQ14" i="19"/>
  <c r="EM50" i="19"/>
  <c r="EM14" i="19"/>
  <c r="EP50" i="19"/>
  <c r="EP14" i="19"/>
  <c r="EL50" i="19"/>
  <c r="EL14" i="19"/>
  <c r="EO50" i="19"/>
  <c r="EO14" i="19"/>
  <c r="EK50" i="19"/>
  <c r="EK14" i="19"/>
  <c r="EN50" i="19"/>
  <c r="EN14" i="19"/>
  <c r="EJ50" i="19"/>
  <c r="EJ14" i="19"/>
  <c r="AH51" i="8"/>
  <c r="S63" i="8"/>
  <c r="P96" i="8"/>
  <c r="P97" i="8" s="1"/>
  <c r="X169" i="8"/>
  <c r="R73" i="8"/>
  <c r="O73" i="8"/>
  <c r="O5" i="13"/>
  <c r="O6" i="13"/>
  <c r="O11" i="13"/>
  <c r="P5" i="13"/>
  <c r="P6" i="13"/>
  <c r="P7" i="13"/>
  <c r="P11" i="13"/>
  <c r="P3" i="13"/>
  <c r="P17" i="13" s="1"/>
  <c r="R3" i="13"/>
  <c r="R17" i="13" s="1"/>
  <c r="R5" i="13"/>
  <c r="R6" i="13"/>
  <c r="R7" i="13"/>
  <c r="R11" i="13"/>
  <c r="R15" i="13"/>
  <c r="O8" i="13"/>
  <c r="N12" i="13"/>
  <c r="Q3" i="13"/>
  <c r="Q17" i="13" s="1"/>
  <c r="Q5" i="13"/>
  <c r="Q6" i="13"/>
  <c r="Q8" i="13"/>
  <c r="Q11" i="13"/>
  <c r="P15" i="13"/>
  <c r="Q15" i="13"/>
  <c r="O7" i="13"/>
  <c r="R8" i="13"/>
  <c r="R12" i="13"/>
  <c r="O12" i="13"/>
  <c r="EF7" i="19"/>
  <c r="Q7" i="13"/>
  <c r="P8" i="13"/>
  <c r="P12" i="13"/>
  <c r="Q12" i="13"/>
  <c r="S73" i="8"/>
  <c r="T73" i="8"/>
  <c r="Q73" i="8"/>
  <c r="P73" i="8"/>
  <c r="T96" i="8"/>
  <c r="T97" i="8" s="1"/>
  <c r="U96" i="8"/>
  <c r="U97" i="8" s="1"/>
  <c r="U94" i="8"/>
  <c r="R96" i="8"/>
  <c r="R97" i="8" s="1"/>
  <c r="AH50" i="8"/>
  <c r="AI51" i="8"/>
  <c r="AI47" i="8"/>
  <c r="O96" i="8"/>
  <c r="O97" i="8" s="1"/>
  <c r="Q96" i="8"/>
  <c r="Q97" i="8" s="1"/>
  <c r="AH47" i="8"/>
  <c r="AH49" i="8"/>
  <c r="AI50" i="8"/>
  <c r="AH52" i="8"/>
  <c r="AH48" i="8"/>
  <c r="AI49" i="8"/>
  <c r="S96" i="8"/>
  <c r="S97" i="8" s="1"/>
  <c r="AI52" i="8"/>
  <c r="P63" i="8"/>
  <c r="T63" i="8"/>
  <c r="Q63" i="8"/>
  <c r="O63" i="8"/>
  <c r="R63" i="8"/>
  <c r="AH281" i="8" l="1"/>
  <c r="AH282" i="8" s="1"/>
  <c r="AH251" i="8"/>
  <c r="AH252" i="8" s="1"/>
  <c r="AI281" i="8"/>
  <c r="AI282" i="8" s="1"/>
  <c r="AI251" i="8"/>
  <c r="AI252" i="8" s="1"/>
  <c r="X173" i="8"/>
  <c r="X175" i="8"/>
  <c r="Z175" i="8" s="1"/>
  <c r="X174" i="8"/>
  <c r="Z174" i="8" s="1"/>
  <c r="O14" i="13"/>
  <c r="Z60" i="8"/>
  <c r="AF66" i="8" s="1"/>
  <c r="AA169" i="8"/>
  <c r="AA60" i="8"/>
  <c r="AG65" i="8" s="1"/>
  <c r="Z169" i="8"/>
  <c r="Y169" i="8"/>
  <c r="AF167" i="8"/>
  <c r="AE250" i="8"/>
  <c r="AC250" i="8"/>
  <c r="AC251" i="8" s="1"/>
  <c r="Y57" i="8"/>
  <c r="Y239" i="8" s="1"/>
  <c r="Z333" i="8" s="1"/>
  <c r="AA57" i="8"/>
  <c r="AA239" i="8" s="1"/>
  <c r="AB333" i="8" s="1"/>
  <c r="AD250" i="8"/>
  <c r="Z57" i="8"/>
  <c r="Z168" i="8" s="1"/>
  <c r="EF50" i="19"/>
  <c r="EF14" i="19"/>
  <c r="EG97" i="19"/>
  <c r="EG57" i="19"/>
  <c r="EH97" i="19"/>
  <c r="EH57" i="19"/>
  <c r="EI97" i="19"/>
  <c r="EI57" i="19"/>
  <c r="EJ97" i="19"/>
  <c r="EJ57" i="19"/>
  <c r="EK97" i="19"/>
  <c r="EK57" i="19"/>
  <c r="EL97" i="19"/>
  <c r="EL57" i="19"/>
  <c r="EM97" i="19"/>
  <c r="EM57" i="19"/>
  <c r="EN97" i="19"/>
  <c r="EN57" i="19"/>
  <c r="EO97" i="19"/>
  <c r="EO57" i="19"/>
  <c r="EP97" i="19"/>
  <c r="EP57" i="19"/>
  <c r="EQ97" i="19"/>
  <c r="EQ57" i="19"/>
  <c r="AC55" i="8"/>
  <c r="P9" i="13"/>
  <c r="AF169" i="8"/>
  <c r="AC175" i="8"/>
  <c r="AH169" i="8" s="1"/>
  <c r="R9" i="13"/>
  <c r="Q9" i="13"/>
  <c r="O9" i="13"/>
  <c r="Q14" i="13"/>
  <c r="Q13" i="13"/>
  <c r="Q10" i="13"/>
  <c r="N15" i="13"/>
  <c r="O15" i="13"/>
  <c r="P14" i="13"/>
  <c r="P13" i="13"/>
  <c r="P10" i="13"/>
  <c r="O13" i="13"/>
  <c r="O10" i="13"/>
  <c r="R14" i="13"/>
  <c r="R13" i="13"/>
  <c r="R10" i="13"/>
  <c r="AC174" i="8" l="1"/>
  <c r="AH168" i="8" s="1"/>
  <c r="AF67" i="8"/>
  <c r="AF87" i="8" s="1"/>
  <c r="AF98" i="8" s="1"/>
  <c r="AF109" i="8" s="1"/>
  <c r="AG167" i="8"/>
  <c r="Y174" i="8"/>
  <c r="Y173" i="8"/>
  <c r="Y175" i="8"/>
  <c r="AA168" i="8"/>
  <c r="Z173" i="8"/>
  <c r="X176" i="8"/>
  <c r="AG64" i="8"/>
  <c r="AH84" i="8" s="1"/>
  <c r="AH95" i="8" s="1"/>
  <c r="AH106" i="8" s="1"/>
  <c r="AG63" i="8"/>
  <c r="AH83" i="8" s="1"/>
  <c r="AH94" i="8" s="1"/>
  <c r="AH105" i="8" s="1"/>
  <c r="AF68" i="8"/>
  <c r="AE59" i="8" s="1"/>
  <c r="AF65" i="8"/>
  <c r="AF85" i="8" s="1"/>
  <c r="AF96" i="8" s="1"/>
  <c r="AF107" i="8" s="1"/>
  <c r="AF63" i="8"/>
  <c r="AE54" i="8" s="1"/>
  <c r="AG66" i="8"/>
  <c r="AH86" i="8" s="1"/>
  <c r="AH97" i="8" s="1"/>
  <c r="AH108" i="8" s="1"/>
  <c r="AG68" i="8"/>
  <c r="AI88" i="8" s="1"/>
  <c r="AI99" i="8" s="1"/>
  <c r="AI110" i="8" s="1"/>
  <c r="AG169" i="8"/>
  <c r="AG85" i="8"/>
  <c r="AG96" i="8" s="1"/>
  <c r="AG107" i="8" s="1"/>
  <c r="AF56" i="8"/>
  <c r="AF86" i="8"/>
  <c r="AF97" i="8" s="1"/>
  <c r="AF108" i="8" s="1"/>
  <c r="AE57" i="8"/>
  <c r="AD56" i="8"/>
  <c r="AD55" i="8"/>
  <c r="AF54" i="8"/>
  <c r="AD57" i="8"/>
  <c r="X61" i="8"/>
  <c r="AC56" i="8"/>
  <c r="AC58" i="8"/>
  <c r="AE58" i="8"/>
  <c r="AD54" i="8"/>
  <c r="Y61" i="8"/>
  <c r="AC57" i="8"/>
  <c r="AD58" i="8"/>
  <c r="AG67" i="8"/>
  <c r="AA61" i="8"/>
  <c r="AF64" i="8"/>
  <c r="Z61" i="8"/>
  <c r="AD59" i="8"/>
  <c r="AG168" i="8"/>
  <c r="AD251" i="8"/>
  <c r="AF168" i="8"/>
  <c r="Z239" i="8"/>
  <c r="AA333" i="8" s="1"/>
  <c r="AP380" i="8" s="1"/>
  <c r="Y168" i="8"/>
  <c r="AJ173" i="8" s="1"/>
  <c r="AE251" i="8"/>
  <c r="X57" i="8"/>
  <c r="EF97" i="19"/>
  <c r="EF57" i="19"/>
  <c r="EG143" i="19"/>
  <c r="EG150" i="19" s="1"/>
  <c r="EG104" i="19"/>
  <c r="EI143" i="19"/>
  <c r="EI150" i="19" s="1"/>
  <c r="EI104" i="19"/>
  <c r="EH143" i="19"/>
  <c r="EH150" i="19" s="1"/>
  <c r="EH104" i="19"/>
  <c r="O116" i="8"/>
  <c r="O118" i="8" s="1"/>
  <c r="O120" i="8" s="1"/>
  <c r="P122" i="8" s="1"/>
  <c r="Q122" i="8" s="1"/>
  <c r="R122" i="8" s="1"/>
  <c r="S122" i="8" s="1"/>
  <c r="G6" i="22"/>
  <c r="F6" i="18"/>
  <c r="AC189" i="8"/>
  <c r="AC198" i="8" s="1"/>
  <c r="EQ143" i="19"/>
  <c r="EQ150" i="19" s="1"/>
  <c r="EQ104" i="19"/>
  <c r="EO143" i="19"/>
  <c r="EO150" i="19" s="1"/>
  <c r="EO104" i="19"/>
  <c r="EM143" i="19"/>
  <c r="EM150" i="19" s="1"/>
  <c r="EM104" i="19"/>
  <c r="EK143" i="19"/>
  <c r="EK150" i="19" s="1"/>
  <c r="EK104" i="19"/>
  <c r="R16" i="13"/>
  <c r="AK173" i="8"/>
  <c r="EP143" i="19"/>
  <c r="EP150" i="19" s="1"/>
  <c r="EP104" i="19"/>
  <c r="EN143" i="19"/>
  <c r="EN150" i="19" s="1"/>
  <c r="EN104" i="19"/>
  <c r="EL143" i="19"/>
  <c r="EL150" i="19" s="1"/>
  <c r="EL104" i="19"/>
  <c r="EJ143" i="19"/>
  <c r="EJ150" i="19" s="1"/>
  <c r="EJ104" i="19"/>
  <c r="AE86" i="8"/>
  <c r="AE97" i="8" s="1"/>
  <c r="AE108" i="8" s="1"/>
  <c r="P16" i="13"/>
  <c r="Q16" i="13"/>
  <c r="AK69" i="8"/>
  <c r="AK70" i="8" s="1"/>
  <c r="AC184" i="8"/>
  <c r="AI184" i="8" s="1"/>
  <c r="AI175" i="8"/>
  <c r="AC183" i="8"/>
  <c r="AI183" i="8" s="1"/>
  <c r="AI174" i="8"/>
  <c r="AB184" i="8"/>
  <c r="AH184" i="8" s="1"/>
  <c r="AK175" i="8"/>
  <c r="AB183" i="8"/>
  <c r="AH183" i="8" s="1"/>
  <c r="AJ69" i="8"/>
  <c r="AI85" i="8"/>
  <c r="AI96" i="8" s="1"/>
  <c r="AI107" i="8" s="1"/>
  <c r="AE87" i="8"/>
  <c r="AE98" i="8" s="1"/>
  <c r="AE109" i="8" s="1"/>
  <c r="AB422" i="8"/>
  <c r="AB468" i="8" s="1"/>
  <c r="AB512" i="8"/>
  <c r="Z422" i="8"/>
  <c r="Z468" i="8" s="1"/>
  <c r="Z512" i="8"/>
  <c r="AH85" i="8"/>
  <c r="AH96" i="8" s="1"/>
  <c r="AH107" i="8" s="1"/>
  <c r="AU380" i="8"/>
  <c r="AW379" i="8"/>
  <c r="AT381" i="8"/>
  <c r="AU378" i="8"/>
  <c r="AW380" i="8"/>
  <c r="AW378" i="8"/>
  <c r="AV380" i="8"/>
  <c r="AV379" i="8"/>
  <c r="AV378" i="8"/>
  <c r="AT380" i="8"/>
  <c r="AT378" i="8"/>
  <c r="AW381" i="8"/>
  <c r="AU381" i="8"/>
  <c r="AU379" i="8"/>
  <c r="AT379" i="8"/>
  <c r="AV381" i="8"/>
  <c r="AX380" i="8"/>
  <c r="AX381" i="8"/>
  <c r="AU382" i="8"/>
  <c r="AW382" i="8"/>
  <c r="AX378" i="8"/>
  <c r="AX379" i="8"/>
  <c r="AV382" i="8"/>
  <c r="AT382" i="8"/>
  <c r="AX382" i="8"/>
  <c r="AP379" i="8"/>
  <c r="AF382" i="8"/>
  <c r="AI382" i="8"/>
  <c r="AJ378" i="8"/>
  <c r="AJ381" i="8"/>
  <c r="AG382" i="8"/>
  <c r="AH382" i="8"/>
  <c r="AJ380" i="8"/>
  <c r="AJ379" i="8"/>
  <c r="AJ382" i="8"/>
  <c r="AD86" i="8"/>
  <c r="AD97" i="8" s="1"/>
  <c r="AD108" i="8" s="1"/>
  <c r="AI86" i="8"/>
  <c r="AI97" i="8" s="1"/>
  <c r="AI108" i="8" s="1"/>
  <c r="AI83" i="8"/>
  <c r="AI94" i="8" s="1"/>
  <c r="AI105" i="8" s="1"/>
  <c r="AG86" i="8"/>
  <c r="AG97" i="8" s="1"/>
  <c r="AG108" i="8" s="1"/>
  <c r="AG83" i="8"/>
  <c r="AG94" i="8" s="1"/>
  <c r="AG105" i="8" s="1"/>
  <c r="AA269" i="8"/>
  <c r="Y269" i="8"/>
  <c r="AB182" i="8"/>
  <c r="AA176" i="8"/>
  <c r="AE6" i="18" l="1"/>
  <c r="P27" i="18"/>
  <c r="Q22" i="8"/>
  <c r="R130" i="8"/>
  <c r="AE88" i="8"/>
  <c r="AE99" i="8" s="1"/>
  <c r="AE110" i="8" s="1"/>
  <c r="AE85" i="8"/>
  <c r="AE96" i="8" s="1"/>
  <c r="AE107" i="8" s="1"/>
  <c r="AD87" i="8"/>
  <c r="AD98" i="8" s="1"/>
  <c r="AD109" i="8" s="1"/>
  <c r="AF88" i="8"/>
  <c r="AF99" i="8" s="1"/>
  <c r="AF110" i="8" s="1"/>
  <c r="AF57" i="8"/>
  <c r="AD88" i="8"/>
  <c r="AD99" i="8" s="1"/>
  <c r="AD110" i="8" s="1"/>
  <c r="AD85" i="8"/>
  <c r="AD96" i="8" s="1"/>
  <c r="AD107" i="8" s="1"/>
  <c r="AE56" i="8"/>
  <c r="AL175" i="8"/>
  <c r="AF83" i="8"/>
  <c r="AF94" i="8" s="1"/>
  <c r="AF105" i="8" s="1"/>
  <c r="AE83" i="8"/>
  <c r="AE94" i="8" s="1"/>
  <c r="AE105" i="8" s="1"/>
  <c r="AF55" i="8"/>
  <c r="AM69" i="8"/>
  <c r="AM70" i="8" s="1"/>
  <c r="AI84" i="8"/>
  <c r="AI95" i="8" s="1"/>
  <c r="AI106" i="8" s="1"/>
  <c r="Y176" i="8"/>
  <c r="AG84" i="8"/>
  <c r="AG95" i="8" s="1"/>
  <c r="AG106" i="8" s="1"/>
  <c r="Z176" i="8"/>
  <c r="AC173" i="8"/>
  <c r="AD83" i="8"/>
  <c r="AD94" i="8" s="1"/>
  <c r="AD105" i="8" s="1"/>
  <c r="AL69" i="8"/>
  <c r="AL70" i="8" s="1"/>
  <c r="AH88" i="8"/>
  <c r="AH99" i="8" s="1"/>
  <c r="AH110" i="8" s="1"/>
  <c r="AG88" i="8"/>
  <c r="AG99" i="8" s="1"/>
  <c r="AG110" i="8" s="1"/>
  <c r="AF59" i="8"/>
  <c r="AM381" i="8"/>
  <c r="AQ378" i="8"/>
  <c r="AM380" i="8"/>
  <c r="AQ380" i="8"/>
  <c r="AN380" i="8"/>
  <c r="AC59" i="8"/>
  <c r="Z269" i="8"/>
  <c r="AQ382" i="8"/>
  <c r="AN382" i="8"/>
  <c r="AP382" i="8"/>
  <c r="AM378" i="8"/>
  <c r="AO379" i="8"/>
  <c r="AM379" i="8"/>
  <c r="AN381" i="8"/>
  <c r="AA512" i="8"/>
  <c r="AA540" i="8" s="1"/>
  <c r="AB189" i="8"/>
  <c r="AB198" i="8" s="1"/>
  <c r="AO382" i="8"/>
  <c r="AQ381" i="8"/>
  <c r="AN379" i="8"/>
  <c r="AP381" i="8"/>
  <c r="AO378" i="8"/>
  <c r="AN378" i="8"/>
  <c r="AA422" i="8"/>
  <c r="AA469" i="8" s="1"/>
  <c r="AB176" i="8"/>
  <c r="AQ379" i="8"/>
  <c r="AM382" i="8"/>
  <c r="AP378" i="8"/>
  <c r="AO381" i="8"/>
  <c r="AO380" i="8"/>
  <c r="AH176" i="8"/>
  <c r="G14" i="22"/>
  <c r="R14" i="22" s="1"/>
  <c r="P18" i="18"/>
  <c r="AF84" i="8"/>
  <c r="AF95" i="8" s="1"/>
  <c r="AF106" i="8" s="1"/>
  <c r="AE55" i="8"/>
  <c r="AD84" i="8"/>
  <c r="AD95" i="8" s="1"/>
  <c r="AD106" i="8" s="1"/>
  <c r="AE84" i="8"/>
  <c r="AE95" i="8" s="1"/>
  <c r="AE106" i="8" s="1"/>
  <c r="AC54" i="8"/>
  <c r="AA100" i="8"/>
  <c r="AF58" i="8"/>
  <c r="AG87" i="8"/>
  <c r="AG98" i="8" s="1"/>
  <c r="AG109" i="8" s="1"/>
  <c r="AI87" i="8"/>
  <c r="AI98" i="8" s="1"/>
  <c r="AI109" i="8" s="1"/>
  <c r="AH87" i="8"/>
  <c r="AH98" i="8" s="1"/>
  <c r="AH109" i="8" s="1"/>
  <c r="AC100" i="8"/>
  <c r="AB100" i="8"/>
  <c r="F71" i="18"/>
  <c r="P70" i="18"/>
  <c r="P72" i="18" s="1"/>
  <c r="F72" i="18" s="1"/>
  <c r="P68" i="18"/>
  <c r="GV8" i="19"/>
  <c r="GV51" i="19" s="1"/>
  <c r="GV98" i="19" s="1"/>
  <c r="GV144" i="19" s="1"/>
  <c r="HB8" i="19"/>
  <c r="HB51" i="19" s="1"/>
  <c r="HB98" i="19" s="1"/>
  <c r="HB144" i="19" s="1"/>
  <c r="GS8" i="19"/>
  <c r="GS51" i="19" s="1"/>
  <c r="GS98" i="19" s="1"/>
  <c r="GS144" i="19" s="1"/>
  <c r="GT8" i="19"/>
  <c r="GT51" i="19" s="1"/>
  <c r="GT98" i="19" s="1"/>
  <c r="GT144" i="19" s="1"/>
  <c r="GU8" i="19"/>
  <c r="GU51" i="19" s="1"/>
  <c r="GU98" i="19" s="1"/>
  <c r="GU144" i="19" s="1"/>
  <c r="GW8" i="19"/>
  <c r="GW51" i="19" s="1"/>
  <c r="GW98" i="19" s="1"/>
  <c r="GW144" i="19" s="1"/>
  <c r="GY8" i="19"/>
  <c r="GY51" i="19" s="1"/>
  <c r="GY98" i="19" s="1"/>
  <c r="GY144" i="19" s="1"/>
  <c r="GZ8" i="19"/>
  <c r="GZ51" i="19" s="1"/>
  <c r="GZ98" i="19" s="1"/>
  <c r="GZ144" i="19" s="1"/>
  <c r="HA8" i="19"/>
  <c r="HA51" i="19" s="1"/>
  <c r="HA98" i="19" s="1"/>
  <c r="HA144" i="19" s="1"/>
  <c r="GX8" i="19"/>
  <c r="GX51" i="19" s="1"/>
  <c r="GX98" i="19" s="1"/>
  <c r="GX144" i="19" s="1"/>
  <c r="HC8" i="19"/>
  <c r="HC51" i="19" s="1"/>
  <c r="HC98" i="19" s="1"/>
  <c r="HC144" i="19" s="1"/>
  <c r="HD8" i="19"/>
  <c r="HD51" i="19" s="1"/>
  <c r="HD98" i="19" s="1"/>
  <c r="HD144" i="19" s="1"/>
  <c r="GQ8" i="19"/>
  <c r="GQ51" i="19" s="1"/>
  <c r="GQ98" i="19" s="1"/>
  <c r="GQ144" i="19" s="1"/>
  <c r="GA8" i="19"/>
  <c r="GA51" i="19" s="1"/>
  <c r="GA98" i="19" s="1"/>
  <c r="GA144" i="19" s="1"/>
  <c r="FW8" i="19"/>
  <c r="FW51" i="19" s="1"/>
  <c r="FW98" i="19" s="1"/>
  <c r="FW144" i="19" s="1"/>
  <c r="FS8" i="19"/>
  <c r="FS51" i="19" s="1"/>
  <c r="FS98" i="19" s="1"/>
  <c r="FS144" i="19" s="1"/>
  <c r="FJ8" i="19"/>
  <c r="FJ51" i="19" s="1"/>
  <c r="FJ98" i="19" s="1"/>
  <c r="FJ144" i="19" s="1"/>
  <c r="FL8" i="19"/>
  <c r="FL51" i="19" s="1"/>
  <c r="FL98" i="19" s="1"/>
  <c r="FL144" i="19" s="1"/>
  <c r="FK8" i="19"/>
  <c r="FK51" i="19" s="1"/>
  <c r="FK98" i="19" s="1"/>
  <c r="FK144" i="19" s="1"/>
  <c r="GI8" i="19"/>
  <c r="GI51" i="19" s="1"/>
  <c r="GI98" i="19" s="1"/>
  <c r="GI144" i="19" s="1"/>
  <c r="GN8" i="19"/>
  <c r="GN51" i="19" s="1"/>
  <c r="GN98" i="19" s="1"/>
  <c r="GN144" i="19" s="1"/>
  <c r="GK8" i="19"/>
  <c r="GK51" i="19" s="1"/>
  <c r="GK98" i="19" s="1"/>
  <c r="GK144" i="19" s="1"/>
  <c r="GL8" i="19"/>
  <c r="GL51" i="19" s="1"/>
  <c r="GL98" i="19" s="1"/>
  <c r="GL144" i="19" s="1"/>
  <c r="GB8" i="19"/>
  <c r="GB51" i="19" s="1"/>
  <c r="GB98" i="19" s="1"/>
  <c r="GB144" i="19" s="1"/>
  <c r="FY8" i="19"/>
  <c r="FY51" i="19" s="1"/>
  <c r="FY98" i="19" s="1"/>
  <c r="FY144" i="19" s="1"/>
  <c r="FZ8" i="19"/>
  <c r="FZ51" i="19" s="1"/>
  <c r="FZ98" i="19" s="1"/>
  <c r="FZ144" i="19" s="1"/>
  <c r="FM8" i="19"/>
  <c r="FM51" i="19" s="1"/>
  <c r="FM98" i="19" s="1"/>
  <c r="FM144" i="19" s="1"/>
  <c r="FQ8" i="19"/>
  <c r="FQ51" i="19" s="1"/>
  <c r="FQ98" i="19" s="1"/>
  <c r="FQ144" i="19" s="1"/>
  <c r="FH8" i="19"/>
  <c r="FH51" i="19" s="1"/>
  <c r="FH98" i="19" s="1"/>
  <c r="FH144" i="19" s="1"/>
  <c r="FI8" i="19"/>
  <c r="FI51" i="19" s="1"/>
  <c r="FI98" i="19" s="1"/>
  <c r="FI144" i="19" s="1"/>
  <c r="GM8" i="19"/>
  <c r="GM51" i="19" s="1"/>
  <c r="GM98" i="19" s="1"/>
  <c r="GM144" i="19" s="1"/>
  <c r="GO8" i="19"/>
  <c r="GO51" i="19" s="1"/>
  <c r="GO98" i="19" s="1"/>
  <c r="GO144" i="19" s="1"/>
  <c r="GP8" i="19"/>
  <c r="GP51" i="19" s="1"/>
  <c r="GP98" i="19" s="1"/>
  <c r="GP144" i="19" s="1"/>
  <c r="GC8" i="19"/>
  <c r="GC51" i="19" s="1"/>
  <c r="GC98" i="19" s="1"/>
  <c r="GC144" i="19" s="1"/>
  <c r="GD8" i="19"/>
  <c r="GD51" i="19" s="1"/>
  <c r="GD98" i="19" s="1"/>
  <c r="GD144" i="19" s="1"/>
  <c r="FP8" i="19"/>
  <c r="FP51" i="19" s="1"/>
  <c r="FP98" i="19" s="1"/>
  <c r="FP144" i="19" s="1"/>
  <c r="GJ8" i="19"/>
  <c r="GJ51" i="19" s="1"/>
  <c r="GJ98" i="19" s="1"/>
  <c r="GJ144" i="19" s="1"/>
  <c r="GH8" i="19"/>
  <c r="GH51" i="19" s="1"/>
  <c r="GH98" i="19" s="1"/>
  <c r="GH144" i="19" s="1"/>
  <c r="FX8" i="19"/>
  <c r="FX51" i="19" s="1"/>
  <c r="FX98" i="19" s="1"/>
  <c r="FX144" i="19" s="1"/>
  <c r="FN8" i="19"/>
  <c r="FN51" i="19" s="1"/>
  <c r="FN98" i="19" s="1"/>
  <c r="FN144" i="19" s="1"/>
  <c r="GF8" i="19"/>
  <c r="GF51" i="19" s="1"/>
  <c r="GF98" i="19" s="1"/>
  <c r="GF144" i="19" s="1"/>
  <c r="FT8" i="19"/>
  <c r="FT51" i="19" s="1"/>
  <c r="FT98" i="19" s="1"/>
  <c r="FT144" i="19" s="1"/>
  <c r="FF8" i="19"/>
  <c r="FF51" i="19" s="1"/>
  <c r="FF98" i="19" s="1"/>
  <c r="FF144" i="19" s="1"/>
  <c r="FG8" i="19"/>
  <c r="FG51" i="19" s="1"/>
  <c r="FG98" i="19" s="1"/>
  <c r="FG144" i="19" s="1"/>
  <c r="GG8" i="19"/>
  <c r="GG51" i="19" s="1"/>
  <c r="GG98" i="19" s="1"/>
  <c r="GG144" i="19" s="1"/>
  <c r="FU8" i="19"/>
  <c r="FU51" i="19" s="1"/>
  <c r="FU98" i="19" s="1"/>
  <c r="FU144" i="19" s="1"/>
  <c r="FV8" i="19"/>
  <c r="FV51" i="19" s="1"/>
  <c r="FV98" i="19" s="1"/>
  <c r="FV144" i="19" s="1"/>
  <c r="FO8" i="19"/>
  <c r="FO51" i="19" s="1"/>
  <c r="FO98" i="19" s="1"/>
  <c r="FO144" i="19" s="1"/>
  <c r="ES8" i="19"/>
  <c r="ES51" i="19" s="1"/>
  <c r="ES98" i="19" s="1"/>
  <c r="ES144" i="19" s="1"/>
  <c r="EV8" i="19"/>
  <c r="EV51" i="19" s="1"/>
  <c r="EV98" i="19" s="1"/>
  <c r="EV144" i="19" s="1"/>
  <c r="FD8" i="19"/>
  <c r="FD51" i="19" s="1"/>
  <c r="FD98" i="19" s="1"/>
  <c r="FD144" i="19" s="1"/>
  <c r="EW8" i="19"/>
  <c r="EW51" i="19" s="1"/>
  <c r="EW98" i="19" s="1"/>
  <c r="EW144" i="19" s="1"/>
  <c r="FB8" i="19"/>
  <c r="FB51" i="19" s="1"/>
  <c r="FB98" i="19" s="1"/>
  <c r="FB144" i="19" s="1"/>
  <c r="EZ8" i="19"/>
  <c r="EZ51" i="19" s="1"/>
  <c r="EZ98" i="19" s="1"/>
  <c r="EZ144" i="19" s="1"/>
  <c r="ET8" i="19"/>
  <c r="ET51" i="19" s="1"/>
  <c r="ET98" i="19" s="1"/>
  <c r="ET144" i="19" s="1"/>
  <c r="EU8" i="19"/>
  <c r="EU51" i="19" s="1"/>
  <c r="EU98" i="19" s="1"/>
  <c r="EU144" i="19" s="1"/>
  <c r="FA8" i="19"/>
  <c r="FA51" i="19" s="1"/>
  <c r="FA98" i="19" s="1"/>
  <c r="FA144" i="19" s="1"/>
  <c r="EX8" i="19"/>
  <c r="EX51" i="19" s="1"/>
  <c r="EX98" i="19" s="1"/>
  <c r="EX144" i="19" s="1"/>
  <c r="FC8" i="19"/>
  <c r="FC51" i="19" s="1"/>
  <c r="FC98" i="19" s="1"/>
  <c r="FC144" i="19" s="1"/>
  <c r="EY8" i="19"/>
  <c r="EY51" i="19" s="1"/>
  <c r="EY98" i="19" s="1"/>
  <c r="EY144" i="19" s="1"/>
  <c r="X239" i="8"/>
  <c r="X269" i="8" s="1"/>
  <c r="R295" i="8"/>
  <c r="R712" i="8"/>
  <c r="X168" i="8"/>
  <c r="AJ70" i="8"/>
  <c r="R584" i="8"/>
  <c r="R744" i="8"/>
  <c r="R766" i="8"/>
  <c r="P123" i="8"/>
  <c r="Q123" i="8" s="1"/>
  <c r="R123" i="8" s="1"/>
  <c r="S123" i="8" s="1"/>
  <c r="S124" i="8" s="1"/>
  <c r="G22" i="22" s="1"/>
  <c r="R22" i="22" s="1"/>
  <c r="EF143" i="19"/>
  <c r="EF150" i="19" s="1"/>
  <c r="EF104" i="19"/>
  <c r="P55" i="18"/>
  <c r="P54" i="18"/>
  <c r="P67" i="18"/>
  <c r="P61" i="18"/>
  <c r="P22" i="18"/>
  <c r="P65" i="18"/>
  <c r="P51" i="18"/>
  <c r="P66" i="18"/>
  <c r="P64" i="18"/>
  <c r="P59" i="18"/>
  <c r="P53" i="18"/>
  <c r="P63" i="18"/>
  <c r="P60" i="18"/>
  <c r="P58" i="18"/>
  <c r="P33" i="18"/>
  <c r="P43" i="18"/>
  <c r="P42" i="18"/>
  <c r="P44" i="18"/>
  <c r="P46" i="18"/>
  <c r="P47" i="18"/>
  <c r="P37" i="18"/>
  <c r="P45" i="18"/>
  <c r="P41" i="18"/>
  <c r="P40" i="18"/>
  <c r="R28" i="22"/>
  <c r="R59" i="22"/>
  <c r="R58" i="22"/>
  <c r="R41" i="22"/>
  <c r="R42" i="22"/>
  <c r="R55" i="22"/>
  <c r="R18" i="22"/>
  <c r="R61" i="22"/>
  <c r="R60" i="22"/>
  <c r="R47" i="22"/>
  <c r="R33" i="22"/>
  <c r="R54" i="22"/>
  <c r="G45" i="22"/>
  <c r="R57" i="22"/>
  <c r="R53" i="22"/>
  <c r="R52" i="22"/>
  <c r="R46" i="22"/>
  <c r="R38" i="22"/>
  <c r="R39" i="22"/>
  <c r="R37" i="22"/>
  <c r="R32" i="22"/>
  <c r="R40" i="22"/>
  <c r="R36" i="22"/>
  <c r="R35" i="22"/>
  <c r="V708" i="8"/>
  <c r="AC708" i="8"/>
  <c r="S708" i="8"/>
  <c r="U708" i="8"/>
  <c r="R708" i="8"/>
  <c r="X708" i="8"/>
  <c r="Z708" i="8"/>
  <c r="T708" i="8"/>
  <c r="AA708" i="8"/>
  <c r="Y708" i="8"/>
  <c r="AB708" i="8"/>
  <c r="W708" i="8"/>
  <c r="Z676" i="8"/>
  <c r="R676" i="8"/>
  <c r="U676" i="8"/>
  <c r="Y676" i="8"/>
  <c r="AC676" i="8"/>
  <c r="V676" i="8"/>
  <c r="T676" i="8"/>
  <c r="X676" i="8"/>
  <c r="W676" i="8"/>
  <c r="AA676" i="8"/>
  <c r="S676" i="8"/>
  <c r="AB676" i="8"/>
  <c r="U653" i="8"/>
  <c r="Y653" i="8"/>
  <c r="AC653" i="8"/>
  <c r="S653" i="8"/>
  <c r="AA653" i="8"/>
  <c r="X653" i="8"/>
  <c r="AB653" i="8"/>
  <c r="V653" i="8"/>
  <c r="Z653" i="8"/>
  <c r="R653" i="8"/>
  <c r="W653" i="8"/>
  <c r="T653" i="8"/>
  <c r="AA548" i="8"/>
  <c r="AN173" i="8"/>
  <c r="AO173" i="8"/>
  <c r="AI385" i="8"/>
  <c r="AW387" i="8"/>
  <c r="Z386" i="8"/>
  <c r="AN386" i="8"/>
  <c r="Z475" i="8"/>
  <c r="Z256" i="8"/>
  <c r="Y285" i="8"/>
  <c r="AM385" i="8"/>
  <c r="Y257" i="8"/>
  <c r="AU385" i="8"/>
  <c r="AO387" i="8"/>
  <c r="AH388" i="8"/>
  <c r="Y386" i="8"/>
  <c r="X256" i="8"/>
  <c r="AA478" i="8"/>
  <c r="Y286" i="8"/>
  <c r="AT387" i="8"/>
  <c r="AF385" i="8"/>
  <c r="AA387" i="8"/>
  <c r="AA477" i="8"/>
  <c r="AB478" i="8"/>
  <c r="AV388" i="8"/>
  <c r="AA255" i="8"/>
  <c r="AP388" i="8"/>
  <c r="AG388" i="8"/>
  <c r="AB385" i="8"/>
  <c r="Y475" i="8"/>
  <c r="Z477" i="8"/>
  <c r="Z548" i="8"/>
  <c r="S631" i="8"/>
  <c r="AC631" i="8"/>
  <c r="X631" i="8"/>
  <c r="T631" i="8"/>
  <c r="W631" i="8"/>
  <c r="Y631" i="8"/>
  <c r="Z631" i="8"/>
  <c r="AA631" i="8"/>
  <c r="U631" i="8"/>
  <c r="AB631" i="8"/>
  <c r="V631" i="8"/>
  <c r="AV386" i="8"/>
  <c r="AW388" i="8"/>
  <c r="AT388" i="8"/>
  <c r="AU386" i="8"/>
  <c r="AA254" i="8"/>
  <c r="AN388" i="8"/>
  <c r="AM387" i="8"/>
  <c r="AO388" i="8"/>
  <c r="AP385" i="8"/>
  <c r="Z254" i="8"/>
  <c r="AF387" i="8"/>
  <c r="AH387" i="8"/>
  <c r="AG387" i="8"/>
  <c r="AI386" i="8"/>
  <c r="Y254" i="8"/>
  <c r="Y388" i="8"/>
  <c r="AB386" i="8"/>
  <c r="Z385" i="8"/>
  <c r="AA386" i="8"/>
  <c r="X254" i="8"/>
  <c r="Y476" i="8"/>
  <c r="AA475" i="8"/>
  <c r="AA284" i="8"/>
  <c r="AB475" i="8"/>
  <c r="Y284" i="8"/>
  <c r="X286" i="8"/>
  <c r="X284" i="8"/>
  <c r="AA285" i="8"/>
  <c r="Z549" i="8"/>
  <c r="AV387" i="8"/>
  <c r="AW385" i="8"/>
  <c r="AT386" i="8"/>
  <c r="AU387" i="8"/>
  <c r="AA257" i="8"/>
  <c r="AN385" i="8"/>
  <c r="AM388" i="8"/>
  <c r="AO386" i="8"/>
  <c r="AP387" i="8"/>
  <c r="Z255" i="8"/>
  <c r="AF388" i="8"/>
  <c r="AH386" i="8"/>
  <c r="AG385" i="8"/>
  <c r="AI388" i="8"/>
  <c r="Y256" i="8"/>
  <c r="Y385" i="8"/>
  <c r="AB388" i="8"/>
  <c r="Z387" i="8"/>
  <c r="AA388" i="8"/>
  <c r="X255" i="8"/>
  <c r="Y478" i="8"/>
  <c r="Z476" i="8"/>
  <c r="AA287" i="8"/>
  <c r="AA476" i="8"/>
  <c r="X287" i="8"/>
  <c r="Z285" i="8"/>
  <c r="X285" i="8"/>
  <c r="AC576" i="8"/>
  <c r="AC582" i="8" s="1"/>
  <c r="AA547" i="8"/>
  <c r="AV385" i="8"/>
  <c r="AW386" i="8"/>
  <c r="AT385" i="8"/>
  <c r="AU388" i="8"/>
  <c r="AA256" i="8"/>
  <c r="AN387" i="8"/>
  <c r="AM386" i="8"/>
  <c r="AO385" i="8"/>
  <c r="AP386" i="8"/>
  <c r="Z257" i="8"/>
  <c r="AF386" i="8"/>
  <c r="AH385" i="8"/>
  <c r="AG386" i="8"/>
  <c r="AI387" i="8"/>
  <c r="Y255" i="8"/>
  <c r="Y387" i="8"/>
  <c r="AB387" i="8"/>
  <c r="Z388" i="8"/>
  <c r="AA385" i="8"/>
  <c r="X257" i="8"/>
  <c r="Y477" i="8"/>
  <c r="Z287" i="8"/>
  <c r="Y287" i="8"/>
  <c r="Z478" i="8"/>
  <c r="AB477" i="8"/>
  <c r="AA286" i="8"/>
  <c r="Z284" i="8"/>
  <c r="AB548" i="8"/>
  <c r="AA549" i="8"/>
  <c r="Z547" i="8"/>
  <c r="Z286" i="8"/>
  <c r="AB476" i="8"/>
  <c r="AB549" i="8"/>
  <c r="AB547" i="8"/>
  <c r="EO8" i="19"/>
  <c r="EO51" i="19" s="1"/>
  <c r="EO98" i="19" s="1"/>
  <c r="EO144" i="19" s="1"/>
  <c r="EG51" i="19"/>
  <c r="EG98" i="19" s="1"/>
  <c r="EG144" i="19" s="1"/>
  <c r="EN8" i="19"/>
  <c r="EN51" i="19" s="1"/>
  <c r="EN98" i="19" s="1"/>
  <c r="EN144" i="19" s="1"/>
  <c r="EK51" i="19"/>
  <c r="EK98" i="19" s="1"/>
  <c r="EK144" i="19" s="1"/>
  <c r="EL8" i="19"/>
  <c r="EL51" i="19" s="1"/>
  <c r="EL98" i="19" s="1"/>
  <c r="EL144" i="19" s="1"/>
  <c r="EI51" i="19"/>
  <c r="EI98" i="19" s="1"/>
  <c r="EI144" i="19" s="1"/>
  <c r="EP8" i="19"/>
  <c r="EP51" i="19" s="1"/>
  <c r="EP98" i="19" s="1"/>
  <c r="EP144" i="19" s="1"/>
  <c r="EQ8" i="19"/>
  <c r="EQ51" i="19" s="1"/>
  <c r="EQ98" i="19" s="1"/>
  <c r="EQ144" i="19" s="1"/>
  <c r="EJ51" i="19"/>
  <c r="EJ98" i="19" s="1"/>
  <c r="EJ144" i="19" s="1"/>
  <c r="EM8" i="19"/>
  <c r="EM51" i="19" s="1"/>
  <c r="EM98" i="19" s="1"/>
  <c r="EM144" i="19" s="1"/>
  <c r="EH51" i="19"/>
  <c r="EH98" i="19" s="1"/>
  <c r="EH144" i="19" s="1"/>
  <c r="EF51" i="19"/>
  <c r="EF98" i="19" s="1"/>
  <c r="EF144" i="19" s="1"/>
  <c r="AA185" i="8"/>
  <c r="AA186" i="8" s="1"/>
  <c r="AJ174" i="8"/>
  <c r="AN174" i="8"/>
  <c r="AB185" i="8"/>
  <c r="AB186" i="8" s="1"/>
  <c r="AH182" i="8"/>
  <c r="AJ183" i="8"/>
  <c r="AK184" i="8"/>
  <c r="AO184" i="8"/>
  <c r="AL183" i="8"/>
  <c r="AP183" i="8"/>
  <c r="AJ175" i="8"/>
  <c r="AN175" i="8"/>
  <c r="AJ182" i="8"/>
  <c r="AG185" i="8"/>
  <c r="AJ184" i="8"/>
  <c r="AK183" i="8"/>
  <c r="AO183" i="8"/>
  <c r="AL184" i="8"/>
  <c r="AP184" i="8"/>
  <c r="AP175" i="8"/>
  <c r="AL174" i="8"/>
  <c r="AP174" i="8"/>
  <c r="AO175" i="8"/>
  <c r="AG176" i="8"/>
  <c r="Z469" i="8"/>
  <c r="AB469" i="8"/>
  <c r="AB470" i="8"/>
  <c r="Z471" i="8"/>
  <c r="Z472" i="8"/>
  <c r="Z470" i="8"/>
  <c r="AB472" i="8"/>
  <c r="AB471" i="8"/>
  <c r="AB542" i="8"/>
  <c r="AB540" i="8"/>
  <c r="AB541" i="8"/>
  <c r="AB543" i="8"/>
  <c r="Z542" i="8"/>
  <c r="Z543" i="8"/>
  <c r="Z541" i="8"/>
  <c r="Z540" i="8"/>
  <c r="AF11" i="18" l="1"/>
  <c r="AF14" i="18"/>
  <c r="AF13" i="18"/>
  <c r="AF12" i="18"/>
  <c r="AA542" i="8"/>
  <c r="AB101" i="8"/>
  <c r="AE100" i="8"/>
  <c r="AA468" i="8"/>
  <c r="AA472" i="8"/>
  <c r="AA470" i="8"/>
  <c r="AA543" i="8"/>
  <c r="AI173" i="8"/>
  <c r="AH167" i="8"/>
  <c r="AC176" i="8"/>
  <c r="AC182" i="8"/>
  <c r="AA189" i="8"/>
  <c r="AA198" i="8" s="1"/>
  <c r="AD198" i="8" s="1"/>
  <c r="AF111" i="8"/>
  <c r="Z42" i="8" s="1"/>
  <c r="AA541" i="8"/>
  <c r="AA471" i="8"/>
  <c r="AC111" i="8"/>
  <c r="Y41" i="8" s="1"/>
  <c r="Y42" i="8" s="1"/>
  <c r="Y333" i="8"/>
  <c r="Y512" i="8" s="1"/>
  <c r="AK174" i="8"/>
  <c r="AK176" i="8" s="1"/>
  <c r="AI111" i="8"/>
  <c r="AA41" i="8" s="1"/>
  <c r="AA42" i="8" s="1"/>
  <c r="AF100" i="8"/>
  <c r="AO174" i="8"/>
  <c r="AO176" i="8" s="1"/>
  <c r="AO177" i="8" s="1"/>
  <c r="AC101" i="8"/>
  <c r="AA101" i="8"/>
  <c r="Y100" i="8"/>
  <c r="AI100" i="8"/>
  <c r="X100" i="8"/>
  <c r="AG100" i="8"/>
  <c r="AH100" i="8"/>
  <c r="Z100" i="8"/>
  <c r="AD100" i="8"/>
  <c r="R45" i="22"/>
  <c r="G44" i="22"/>
  <c r="R44" i="22" s="1"/>
  <c r="F49" i="18"/>
  <c r="P49" i="18" s="1"/>
  <c r="P50" i="18"/>
  <c r="AD676" i="8"/>
  <c r="AD708" i="8"/>
  <c r="AB286" i="8"/>
  <c r="AD653" i="8"/>
  <c r="AC387" i="8"/>
  <c r="Z479" i="8"/>
  <c r="Z480" i="8" s="1"/>
  <c r="Z550" i="8"/>
  <c r="AA550" i="8"/>
  <c r="AQ388" i="8"/>
  <c r="AJ385" i="8"/>
  <c r="AB256" i="8"/>
  <c r="AM389" i="8"/>
  <c r="AJ388" i="8"/>
  <c r="AI389" i="8"/>
  <c r="AB479" i="8"/>
  <c r="AB480" i="8" s="1"/>
  <c r="AB287" i="8"/>
  <c r="AC388" i="8"/>
  <c r="AW389" i="8"/>
  <c r="AA479" i="8"/>
  <c r="AA480" i="8" s="1"/>
  <c r="X258" i="8"/>
  <c r="X259" i="8" s="1"/>
  <c r="AV389" i="8"/>
  <c r="AC385" i="8"/>
  <c r="AJ386" i="8"/>
  <c r="AQ386" i="8"/>
  <c r="Y288" i="8"/>
  <c r="Y289" i="8" s="1"/>
  <c r="Y479" i="8"/>
  <c r="AB389" i="8"/>
  <c r="AG389" i="8"/>
  <c r="AP389" i="8"/>
  <c r="AA258" i="8"/>
  <c r="AA259" i="8" s="1"/>
  <c r="AN176" i="8"/>
  <c r="AN177" i="8" s="1"/>
  <c r="AA582" i="8"/>
  <c r="AB582" i="8"/>
  <c r="AB257" i="8"/>
  <c r="Y389" i="8"/>
  <c r="AO389" i="8"/>
  <c r="AU389" i="8"/>
  <c r="AC386" i="8"/>
  <c r="AD631" i="8"/>
  <c r="AB254" i="8"/>
  <c r="Z389" i="8"/>
  <c r="AB550" i="8"/>
  <c r="Z288" i="8"/>
  <c r="Z289" i="8" s="1"/>
  <c r="Z258" i="8"/>
  <c r="Z259" i="8" s="1"/>
  <c r="AQ385" i="8"/>
  <c r="X288" i="8"/>
  <c r="X289" i="8" s="1"/>
  <c r="AA288" i="8"/>
  <c r="AA289" i="8" s="1"/>
  <c r="AJ387" i="8"/>
  <c r="AQ387" i="8"/>
  <c r="AT389" i="8"/>
  <c r="AB285" i="8"/>
  <c r="AH389" i="8"/>
  <c r="AB255" i="8"/>
  <c r="AF389" i="8"/>
  <c r="AB284" i="8"/>
  <c r="Y258" i="8"/>
  <c r="Y259" i="8" s="1"/>
  <c r="AA389" i="8"/>
  <c r="AN389" i="8"/>
  <c r="R113" i="8"/>
  <c r="AJ176" i="8"/>
  <c r="AJ185" i="8"/>
  <c r="AO182" i="8"/>
  <c r="AO185" i="8" s="1"/>
  <c r="AO186" i="8" s="1"/>
  <c r="AH185" i="8"/>
  <c r="AH186" i="8" s="1"/>
  <c r="AK182" i="8"/>
  <c r="AK185" i="8" s="1"/>
  <c r="AN185" i="8"/>
  <c r="Y422" i="8"/>
  <c r="Y468" i="8" s="1"/>
  <c r="I34" i="1"/>
  <c r="I35" i="1"/>
  <c r="I36" i="1"/>
  <c r="I33" i="1"/>
  <c r="Z382" i="8" l="1"/>
  <c r="AA382" i="8"/>
  <c r="AC380" i="8"/>
  <c r="AC382" i="8"/>
  <c r="AB382" i="8"/>
  <c r="AC379" i="8"/>
  <c r="AC381" i="8"/>
  <c r="AC378" i="8"/>
  <c r="Y382" i="8"/>
  <c r="AL173" i="8"/>
  <c r="AL176" i="8" s="1"/>
  <c r="AI176" i="8"/>
  <c r="AP173" i="8"/>
  <c r="AP176" i="8" s="1"/>
  <c r="AP177" i="8" s="1"/>
  <c r="AD199" i="8"/>
  <c r="AC185" i="8"/>
  <c r="AC186" i="8" s="1"/>
  <c r="AI182" i="8"/>
  <c r="AG101" i="8"/>
  <c r="AD101" i="8"/>
  <c r="AC577" i="8"/>
  <c r="AC578" i="8" s="1"/>
  <c r="Z101" i="8"/>
  <c r="X101" i="8"/>
  <c r="AH101" i="8"/>
  <c r="Z111" i="8"/>
  <c r="X41" i="8" s="1"/>
  <c r="X42" i="8" s="1"/>
  <c r="AF101" i="8"/>
  <c r="AI101" i="8"/>
  <c r="AE101" i="8"/>
  <c r="Y101" i="8"/>
  <c r="R317" i="8"/>
  <c r="G31" i="22"/>
  <c r="AC479" i="8"/>
  <c r="Q415" i="8" s="1"/>
  <c r="G25" i="22" s="1"/>
  <c r="R25" i="22" s="1"/>
  <c r="AB288" i="8"/>
  <c r="P23" i="18" s="1"/>
  <c r="AJ389" i="8"/>
  <c r="AJ390" i="8" s="1"/>
  <c r="AC550" i="8"/>
  <c r="AC551" i="8" s="1"/>
  <c r="AB258" i="8"/>
  <c r="AC389" i="8"/>
  <c r="AC390" i="8" s="1"/>
  <c r="AQ389" i="8"/>
  <c r="AQ390" i="8" s="1"/>
  <c r="AX389" i="8"/>
  <c r="AX390" i="8" s="1"/>
  <c r="AN186" i="8"/>
  <c r="P26" i="18"/>
  <c r="Y480" i="8"/>
  <c r="Y471" i="8"/>
  <c r="Y470" i="8"/>
  <c r="Y472" i="8"/>
  <c r="Y469" i="8"/>
  <c r="AC572" i="8"/>
  <c r="AC559" i="8"/>
  <c r="V31" i="8"/>
  <c r="T33" i="8"/>
  <c r="P29" i="8"/>
  <c r="N34" i="8"/>
  <c r="AQ176" i="8" l="1"/>
  <c r="AL182" i="8"/>
  <c r="AL185" i="8" s="1"/>
  <c r="AI185" i="8"/>
  <c r="AI186" i="8" s="1"/>
  <c r="AP182" i="8"/>
  <c r="AP185" i="8" s="1"/>
  <c r="Q37" i="8"/>
  <c r="G23" i="22" s="1"/>
  <c r="R23" i="22" s="1"/>
  <c r="AB41" i="8"/>
  <c r="AB42" i="8" s="1"/>
  <c r="AC480" i="8"/>
  <c r="R415" i="8"/>
  <c r="R603" i="8"/>
  <c r="F35" i="18"/>
  <c r="G30" i="22"/>
  <c r="R30" i="22" s="1"/>
  <c r="R31" i="22"/>
  <c r="P30" i="18"/>
  <c r="P21" i="18"/>
  <c r="G17" i="22"/>
  <c r="R17" i="22" s="1"/>
  <c r="AB289" i="8"/>
  <c r="G19" i="22"/>
  <c r="Q264" i="8"/>
  <c r="R264" i="8" s="1"/>
  <c r="Q234" i="8"/>
  <c r="R234" i="8" s="1"/>
  <c r="AB259" i="8"/>
  <c r="Q505" i="8"/>
  <c r="Q326" i="8"/>
  <c r="H193" i="1"/>
  <c r="H194" i="1"/>
  <c r="H195" i="1"/>
  <c r="H192" i="1"/>
  <c r="P35" i="18" l="1"/>
  <c r="P36" i="18"/>
  <c r="P28" i="18"/>
  <c r="AP186" i="8"/>
  <c r="AQ185" i="8"/>
  <c r="Q163" i="8" s="1"/>
  <c r="G26" i="22" s="1"/>
  <c r="R37" i="8"/>
  <c r="F20" i="18"/>
  <c r="G16" i="22"/>
  <c r="R16" i="22" s="1"/>
  <c r="R19" i="22"/>
  <c r="R326" i="8"/>
  <c r="G24" i="22"/>
  <c r="R24" i="22" s="1"/>
  <c r="R505" i="8"/>
  <c r="G27" i="22"/>
  <c r="R27" i="22" s="1"/>
  <c r="P32" i="18"/>
  <c r="P29" i="18"/>
  <c r="J169" i="1"/>
  <c r="J168" i="1"/>
  <c r="J170" i="1"/>
  <c r="J167" i="1"/>
  <c r="P20" i="18" l="1"/>
  <c r="R163" i="8"/>
  <c r="P31" i="18"/>
  <c r="R26" i="22"/>
  <c r="G21" i="22"/>
  <c r="F25" i="18" l="1"/>
  <c r="R21" i="22"/>
  <c r="G11" i="22"/>
  <c r="G9" i="22"/>
  <c r="G10" i="22"/>
  <c r="F14" i="18" l="1"/>
  <c r="F11" i="18"/>
  <c r="F12" i="18"/>
  <c r="P25" i="18"/>
  <c r="P14" i="18" s="1"/>
  <c r="F13" i="18"/>
  <c r="R11" i="22"/>
  <c r="R9" i="22"/>
  <c r="R10" i="22"/>
  <c r="F9" i="18" l="1"/>
  <c r="P9" i="18" s="1"/>
  <c r="P11" i="18"/>
  <c r="P12" i="18"/>
  <c r="P13" i="18"/>
  <c r="I65" i="9"/>
  <c r="U148" i="1" l="1"/>
  <c r="T148" i="1"/>
  <c r="S148" i="1"/>
  <c r="W406" i="1"/>
  <c r="T406" i="1"/>
  <c r="S406" i="1"/>
  <c r="R406" i="1"/>
  <c r="V374" i="1"/>
  <c r="S374" i="1"/>
  <c r="R374" i="1"/>
  <c r="R358" i="1"/>
  <c r="U345" i="1"/>
  <c r="S345" i="1"/>
  <c r="R345" i="1"/>
  <c r="T195" i="1"/>
  <c r="T194" i="1"/>
  <c r="T193" i="1"/>
  <c r="T192" i="1"/>
</calcChain>
</file>

<file path=xl/comments1.xml><?xml version="1.0" encoding="utf-8"?>
<comments xmlns="http://schemas.openxmlformats.org/spreadsheetml/2006/main">
  <authors>
    <author>Chau Huynh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some payment to Ky An, Lam Phuong Bao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payment to SM-GA</t>
        </r>
      </text>
    </comment>
  </commentList>
</comments>
</file>

<file path=xl/comments2.xml><?xml version="1.0" encoding="utf-8"?>
<comments xmlns="http://schemas.openxmlformats.org/spreadsheetml/2006/main">
  <authors>
    <author>Chau Huynh</author>
  </authors>
  <commentList>
    <comment ref="E50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some payment to Ky An, Lam Phuong Bao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Chau Huynh:</t>
        </r>
        <r>
          <rPr>
            <sz val="9"/>
            <color indexed="81"/>
            <rFont val="Tahoma"/>
            <family val="2"/>
          </rPr>
          <t xml:space="preserve">
From 2017, combine in Annual Convention Trip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including payment to SM-GA</t>
        </r>
      </text>
    </comment>
  </commentList>
</comments>
</file>

<file path=xl/comments3.xml><?xml version="1.0" encoding="utf-8"?>
<comments xmlns="http://schemas.openxmlformats.org/spreadsheetml/2006/main">
  <authors>
    <author>Diem Huynh</author>
    <author>Chau Huynh</author>
  </authors>
  <commentList>
    <comment ref="M133" authorId="0" shapeId="0">
      <text>
        <r>
          <rPr>
            <b/>
            <sz val="9"/>
            <color indexed="81"/>
            <rFont val="Tahoma"/>
            <family val="2"/>
          </rPr>
          <t>Diem Huynh:</t>
        </r>
        <r>
          <rPr>
            <sz val="9"/>
            <color indexed="81"/>
            <rFont val="Tahoma"/>
            <family val="2"/>
          </rPr>
          <t xml:space="preserve">
FYP fr Mar-Jun</t>
        </r>
      </text>
    </comment>
    <comment ref="AB250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Test avg productivity </t>
        </r>
      </text>
    </comment>
    <comment ref="AB280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Test avg productivity </t>
        </r>
      </text>
    </comment>
    <comment ref="X347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E347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L347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AS347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% of column</t>
        </r>
      </text>
    </comment>
    <comment ref="M515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Not take into account other requirement (# New recruit active, # us promotion, Persistency…)
</t>
        </r>
      </text>
    </comment>
    <comment ref="M527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Production in last 06 months
</t>
        </r>
      </text>
    </comment>
    <comment ref="M539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Take into account all 
requirement (# New recruit active, # us promotion, Persistency…)
</t>
        </r>
      </text>
    </comment>
    <comment ref="M551" authorId="1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Production in last 06 months
</t>
        </r>
      </text>
    </comment>
  </commentList>
</comments>
</file>

<file path=xl/comments4.xml><?xml version="1.0" encoding="utf-8"?>
<comments xmlns="http://schemas.openxmlformats.org/spreadsheetml/2006/main">
  <authors>
    <author>Chau Huynh</author>
  </authors>
  <commentList>
    <comment ref="O134" authorId="0" shapeId="0">
      <text>
        <r>
          <rPr>
            <b/>
            <sz val="9"/>
            <color indexed="81"/>
            <rFont val="Tahoma"/>
            <family val="2"/>
            <charset val="163"/>
          </rPr>
          <t>Chau Huynh:</t>
        </r>
        <r>
          <rPr>
            <sz val="9"/>
            <color indexed="81"/>
            <rFont val="Tahoma"/>
            <family val="2"/>
            <charset val="163"/>
          </rPr>
          <t xml:space="preserve">
100% QUALIFIED</t>
        </r>
      </text>
    </comment>
  </commentList>
</comments>
</file>

<file path=xl/sharedStrings.xml><?xml version="1.0" encoding="utf-8"?>
<sst xmlns="http://schemas.openxmlformats.org/spreadsheetml/2006/main" count="5875" uniqueCount="1570">
  <si>
    <t>GVL Agency Compensation Scheme - Approach &amp; Proposed Change</t>
  </si>
  <si>
    <t xml:space="preserve"> </t>
  </si>
  <si>
    <t>1.1) Basic Commission</t>
  </si>
  <si>
    <t>Commission varies from products &amp; premium term as approved by MOF</t>
  </si>
  <si>
    <t>1.2) Quarterly Production Bonus</t>
  </si>
  <si>
    <t>Apply to all Agents &amp; Agency Leaders on individual production</t>
  </si>
  <si>
    <t>1.3) CI Product Bonus</t>
  </si>
  <si>
    <t>- Premium Term 12 years:</t>
  </si>
  <si>
    <t>- Premium Term 15 years:</t>
  </si>
  <si>
    <t>7% FYP (Jan + Feb/2016)</t>
  </si>
  <si>
    <t>5% FYP (Jan + Feb/2016)</t>
  </si>
  <si>
    <t>1.4) UL Product Bonus</t>
  </si>
  <si>
    <t>- Minium 12 Mil IP + 2 Riders:</t>
  </si>
  <si>
    <t>FYP in Quarter</t>
  </si>
  <si>
    <t>Bonus Rate</t>
  </si>
  <si>
    <t>(% FYC)</t>
  </si>
  <si>
    <t>(Mil VND)</t>
  </si>
  <si>
    <t>Level 3</t>
  </si>
  <si>
    <t>Level 2</t>
  </si>
  <si>
    <t>Level 1</t>
  </si>
  <si>
    <t>Level</t>
  </si>
  <si>
    <t>Bonus</t>
  </si>
  <si>
    <t>Bonus = % Bonus rate x total FYC in quarter</t>
  </si>
  <si>
    <t>- Minimum 85% First year Persistency</t>
  </si>
  <si>
    <t>- Minimum 75% Second year Persistency</t>
  </si>
  <si>
    <t>Key Changes:</t>
  </si>
  <si>
    <t>1. Remove CI Product Bonus:</t>
  </si>
  <si>
    <t>2. Change UL Product Bonus:</t>
  </si>
  <si>
    <t>Increase minimum IP/# Rider requirement as entry level for bonus earning</t>
  </si>
  <si>
    <t>Create different bonus rate for different # Rider attachment</t>
  </si>
  <si>
    <t>Commission = % Commission rate x premium</t>
  </si>
  <si>
    <t>1.3) UL Product Bonus</t>
  </si>
  <si>
    <t>B) AGENCY LEADER COMPENSATION</t>
  </si>
  <si>
    <t>B1) OVERRIDE COMMISSION</t>
  </si>
  <si>
    <t>Unit leader</t>
  </si>
  <si>
    <t>Monthly Bonus</t>
  </si>
  <si>
    <t>Branch Override</t>
  </si>
  <si>
    <t>Direct OR</t>
  </si>
  <si>
    <t xml:space="preserve">15% FYC of direct unit </t>
  </si>
  <si>
    <t xml:space="preserve"> = 5% FYC of direct branch production</t>
  </si>
  <si>
    <t>Extra bonus</t>
  </si>
  <si>
    <t>(Required min FYP15mil)</t>
  </si>
  <si>
    <t>and 50% direct US's team (**)</t>
  </si>
  <si>
    <t xml:space="preserve"> FYC of direct unit of</t>
  </si>
  <si>
    <t>FYC of direct branch including</t>
  </si>
  <si>
    <t>BM/SB + direct/indirect agents + direct/indirect USs +</t>
  </si>
  <si>
    <t xml:space="preserve"> + direct/indirect UMs + direct/indirect SMs (pic 8)</t>
  </si>
  <si>
    <t>BM including BM + direct agents + direct US (pic 4)</t>
  </si>
  <si>
    <t>excluding downline branches (daughter BM) if any</t>
  </si>
  <si>
    <t>SB including SB + direct agents + direct US (pic 5)</t>
  </si>
  <si>
    <t>(**) FYC of unit of</t>
  </si>
  <si>
    <t>Unit Quarterly Production Bonus</t>
  </si>
  <si>
    <t>Unit Bonus =  % Bonus rate x total unit FYC in quarter</t>
  </si>
  <si>
    <t>Bonus scheme for UM/SUM/BM</t>
  </si>
  <si>
    <t>Total unit  FYP</t>
  </si>
  <si>
    <t>no. active in quarter</t>
  </si>
  <si>
    <t>(mn VND)</t>
  </si>
  <si>
    <t>Level 4</t>
  </si>
  <si>
    <t>Active agents &amp; Activitty Ratio: 1 case 7m IP in month</t>
  </si>
  <si>
    <t>Min unit FY Persistency required from 85%</t>
  </si>
  <si>
    <t>Min unit SY Persistency required from 70%</t>
  </si>
  <si>
    <t>For UM/SM/BM/SB newly appointed in quarter, allow prorating production (FYP only) &amp; no. active agents by actual no. of working month in quarter (30 days/month)</t>
  </si>
  <si>
    <t>Bonus scheme for US</t>
  </si>
  <si>
    <t>Total US unit  FYP</t>
  </si>
  <si>
    <t>%FYC</t>
  </si>
  <si>
    <t xml:space="preserve">Min 4 active agent months in quarter. </t>
  </si>
  <si>
    <t>Allow prorating production &amp; no. active agents by no. of working month in quarter (30 days/month) for newly recruited or newly promoted US within the quarter</t>
  </si>
  <si>
    <t>Branch Quarterly Production Bonus</t>
  </si>
  <si>
    <t>Branch Bonus =  % Bonus rate x branch FYC in quarter</t>
  </si>
  <si>
    <t>Quarterly branch FYP</t>
  </si>
  <si>
    <t>Bonus rate</t>
  </si>
  <si>
    <t>Actual 2015</t>
  </si>
  <si>
    <t>Direct branch FY Persistency required is from 85%, Direct branch SY Persistency required is from 70%</t>
  </si>
  <si>
    <t>For BM/SB newly appointed/promoted in quarter, allow prorating production (FYP only) &amp; no. active agents by actual no. of working month in quarter (30 days/month)</t>
  </si>
  <si>
    <t>B3) QUARTERLY PRODUCTION BONUS</t>
  </si>
  <si>
    <t>Lumpsum bonus to mother (SM) on daughter UM promotion:</t>
  </si>
  <si>
    <t>mln on UM promotion with 150mln team FYP + 6 agents last 6 mths</t>
  </si>
  <si>
    <t>mln on UM promotion with 250mln team FYP + 6 agents last 6 mths</t>
  </si>
  <si>
    <t>UM Development bonus to SM</t>
  </si>
  <si>
    <t>Only eligible to SM, not BM</t>
  </si>
  <si>
    <t>Also eligible for SM on his directly recruited UMs/SMs (depends on recruitment rules)</t>
  </si>
  <si>
    <t>Both mother and daughter SM/UM must maintain SM/UM position on payment time</t>
  </si>
  <si>
    <t>If the SM to be promoted to BM position, he will earn BM benefit instead and</t>
  </si>
  <si>
    <t>stop earning this SM bonus</t>
  </si>
  <si>
    <t>BM Development bonus to MBM</t>
  </si>
  <si>
    <t>Daughter BM year</t>
  </si>
  <si>
    <t>% FYC of daughter branch</t>
  </si>
  <si>
    <t>FY</t>
  </si>
  <si>
    <t>SY</t>
  </si>
  <si>
    <t>3Y</t>
  </si>
  <si>
    <t>Both mother and daughter SB/BM must maintain SB/BM position on payment time</t>
  </si>
  <si>
    <t>Also eligible for SB on his directly recruited BMs/SBs (depends on recruitment rules)</t>
  </si>
  <si>
    <t>'Daughter BM year' considered from BM promotion month or from DSB recruited month</t>
  </si>
  <si>
    <t>C) RECRUITMENT SUPPORT PROGRAM</t>
  </si>
  <si>
    <t>C1) ROOKIES RECRUITMENT SUPPORT PROGRAM</t>
  </si>
  <si>
    <t>Bangkok trip for rookies</t>
  </si>
  <si>
    <t>Requirements:</t>
  </si>
  <si>
    <t xml:space="preserve">90m FYP + 5 cases in first 90 days </t>
  </si>
  <si>
    <t>Reward:</t>
  </si>
  <si>
    <t xml:space="preserve">Bangkok trip (4D3N) </t>
  </si>
  <si>
    <t>Bangkok trip for recruiters</t>
  </si>
  <si>
    <t>2 Bangkok qualifiers who appointed in a same quarter</t>
  </si>
  <si>
    <t>Training allowance</t>
  </si>
  <si>
    <t>Rookie period</t>
  </si>
  <si>
    <t>Requirement</t>
  </si>
  <si>
    <t>Reward</t>
  </si>
  <si>
    <t>in month 1</t>
  </si>
  <si>
    <t>1 case + 7mln IP</t>
  </si>
  <si>
    <t>300K training allowance</t>
  </si>
  <si>
    <t xml:space="preserve">Financial Support to AL on quality recruitment </t>
  </si>
  <si>
    <t>2m for direct leader if rookie agent produce 20m IP in first 2 months</t>
  </si>
  <si>
    <t>C2) LEADER RECRUITMENT SUPPORT PROGRAM</t>
  </si>
  <si>
    <t>Financial Supports to Recruited UM</t>
  </si>
  <si>
    <t>service</t>
  </si>
  <si>
    <t>month</t>
  </si>
  <si>
    <t>unit FYP</t>
  </si>
  <si>
    <t>active</t>
  </si>
  <si>
    <t>MP</t>
  </si>
  <si>
    <t>bonus (m)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</si>
  <si>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</si>
  <si>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</si>
  <si>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</si>
  <si>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</si>
  <si>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</si>
  <si>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</si>
  <si>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</si>
  <si>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</si>
  <si>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</si>
  <si>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Total 9mths L1</t>
  </si>
  <si>
    <t>Require minimum 3 manpower and 100mil unit FYP in first 6 months, otherwise demoted to AG</t>
  </si>
  <si>
    <t>If AL terminate within first 12 service months period, all RSP bonus paid in first 3 months will be clawed back</t>
  </si>
  <si>
    <t>(*) all targets required include UM's personal sale</t>
  </si>
  <si>
    <t>(**) Ending manpower who pass the agency contract maintenance requirement. Excluding tranferred agents</t>
  </si>
  <si>
    <t>(***) Active agent month required minimum 7mln IP</t>
  </si>
  <si>
    <t>Extra bonus on service month 18th (NEW)</t>
  </si>
  <si>
    <t>Applicable for UMs firstly promoted in 2016 only.</t>
  </si>
  <si>
    <t>Productivity assumptions:</t>
  </si>
  <si>
    <t>FYP per active</t>
  </si>
  <si>
    <t>Cases per active:</t>
  </si>
  <si>
    <t>Case size:</t>
  </si>
  <si>
    <t>FYP / APE:</t>
  </si>
  <si>
    <t>Financial Supports to Recruited SM</t>
  </si>
  <si>
    <t>Group FYP (*)</t>
  </si>
  <si>
    <t>active (**)</t>
  </si>
  <si>
    <t>DUMs</t>
  </si>
  <si>
    <t>Group MP</t>
  </si>
  <si>
    <t>Total 9mths</t>
  </si>
  <si>
    <t>(*) include 100% FYP of (SM's direct unit, including direct unit of promoted US/UMs under SM)</t>
  </si>
  <si>
    <t xml:space="preserve"> &amp; 50% FYP of (Recruited DUMs, including direct unit of promoted US/UMs under Recruited DUMs)</t>
  </si>
  <si>
    <t>(**) include 100% active of SM's direct unit &amp; Recruited DUMs, including direct unit of promoted US/UMs</t>
  </si>
  <si>
    <t>(***) No. DUMs include directly recruited UM only and exclude promoted US/UM</t>
  </si>
  <si>
    <t>Eligible for development bonus on directly recruited UMs</t>
  </si>
  <si>
    <t>Earn total bonus if qualified accumulate production &amp; active &amp; recruited DUMs  for 9mths</t>
  </si>
  <si>
    <t>if fail the validation, to be demoted to UM (all downline DUMs will become independent)</t>
  </si>
  <si>
    <t xml:space="preserve">Require minimum 150mil group FYP (*), 6 manpower in group and 1 recruited DUM (still active at M6 end (not terminated)) in first 6 months, </t>
  </si>
  <si>
    <t>otherwise demoted to UM (-&gt; DUM will report to BM/SB, if any, or become independent)</t>
  </si>
  <si>
    <t>Applicable for SMs firstly promoted in 2016 only.</t>
  </si>
  <si>
    <t>Financial Supports to Recruited BM</t>
  </si>
  <si>
    <t>Branch FYP (*)</t>
  </si>
  <si>
    <t>Unit 
FYP</t>
  </si>
  <si>
    <t>Branch active</t>
  </si>
  <si>
    <t>UMs/SUMs
 (**)</t>
  </si>
  <si>
    <t>Branch MP</t>
  </si>
  <si>
    <t>M10</t>
  </si>
  <si>
    <t>M11</t>
  </si>
  <si>
    <t>6 (**)</t>
  </si>
  <si>
    <t>M12</t>
  </si>
  <si>
    <t>Total 12mths</t>
  </si>
  <si>
    <t>(*) included promoted UM</t>
  </si>
  <si>
    <t>(**) min 2 direct UMs</t>
  </si>
  <si>
    <t>Catch-up rule: earn total bonus if qualify all criteria for 12 mths and min 85% branch persistency</t>
  </si>
  <si>
    <t>6 months validation:</t>
  </si>
  <si>
    <t>minimum 300mil branch FYP in first 6 months,</t>
  </si>
  <si>
    <t>9 manpower in in branch, including 2 recruited Ums. All manpower still qualify agency MoC as end of month 6.</t>
  </si>
  <si>
    <t xml:space="preserve">if fail the validation, to be demoted to SUM </t>
  </si>
  <si>
    <t>Claw-back rule: If AL leave within 18 service months period, clawback all paid RSP in first 3 months</t>
  </si>
  <si>
    <t>B1) US PROMOTION</t>
  </si>
  <si>
    <t>US bonus for first 6 months from promotion</t>
  </si>
  <si>
    <t>US service month</t>
  </si>
  <si>
    <t>team FYP (*)</t>
  </si>
  <si>
    <t>(*) FYP of downline agents, excluding US personal sale</t>
  </si>
  <si>
    <t>INDIVIDUAL COMPENSATION</t>
  </si>
  <si>
    <t>Introduce Gen-Lion Club</t>
  </si>
  <si>
    <t xml:space="preserve">4. New add-in: Core Agent Development: </t>
  </si>
  <si>
    <t>Propose segmentation with cash &amp; non-cash benefits</t>
  </si>
  <si>
    <t>This payment had been structured under Leader Recruitment Support Program in the past</t>
  </si>
  <si>
    <t>B2) US PROMOTION</t>
  </si>
  <si>
    <t>B5) LEADER DEVELOPMENT SUPPORT</t>
  </si>
  <si>
    <t>B4) LEADER CORE PROGRAM - GEN-CHAMPION CLUB</t>
  </si>
  <si>
    <t>2017 PROPOSED SCHEME</t>
  </si>
  <si>
    <t>2016 SCHEME</t>
  </si>
  <si>
    <t>B4) BM ALLOWANCE</t>
  </si>
  <si>
    <t>Eligibility: BMs who have at least 12 service months (establised BMs)</t>
  </si>
  <si>
    <t>Evaluation frequency: quarterly basis</t>
  </si>
  <si>
    <t>Requirements on last 12 months</t>
  </si>
  <si>
    <t>Branch FYP</t>
  </si>
  <si>
    <t>no. active recruits</t>
  </si>
  <si>
    <t>Monthly allowance</t>
  </si>
  <si>
    <t># Rider</t>
  </si>
  <si>
    <t>Minium IP per policy: 15 Mil</t>
  </si>
  <si>
    <t>ASSUMPTION &amp; COST PROJECTION</t>
  </si>
  <si>
    <t>1.4) GEN-LION Club</t>
  </si>
  <si>
    <t>Segment</t>
  </si>
  <si>
    <t>Diamond</t>
  </si>
  <si>
    <t>Gold</t>
  </si>
  <si>
    <t>Silver</t>
  </si>
  <si>
    <t>FYP</t>
  </si>
  <si>
    <t># Policy</t>
  </si>
  <si>
    <t>Q1'15</t>
  </si>
  <si>
    <t>Q2'15</t>
  </si>
  <si>
    <t>Q3'16</t>
  </si>
  <si>
    <t>Q4'15</t>
  </si>
  <si>
    <t>Q3'15</t>
  </si>
  <si>
    <t>Q1'16</t>
  </si>
  <si>
    <t>Q2'16</t>
  </si>
  <si>
    <t>Q1'17</t>
  </si>
  <si>
    <t>Q2'17</t>
  </si>
  <si>
    <t>Q3'17</t>
  </si>
  <si>
    <t>Q4'17</t>
  </si>
  <si>
    <t># Qualifier</t>
  </si>
  <si>
    <t>FYP Criteria</t>
  </si>
  <si>
    <t>TOTAL</t>
  </si>
  <si>
    <t>Mix Qualifier</t>
  </si>
  <si>
    <t>FYP Contribution</t>
  </si>
  <si>
    <t>Key Highlights:</t>
  </si>
  <si>
    <t>1. Basic Commission</t>
  </si>
  <si>
    <t>2. UL Product Bonus</t>
  </si>
  <si>
    <t>Min: IP per policy 20 Mil</t>
  </si>
  <si>
    <t>3. Quarterly Production Bonus</t>
  </si>
  <si>
    <t>No. Policy</t>
  </si>
  <si>
    <t>4. Gen-Lion Bonus</t>
  </si>
  <si>
    <t>Active: Min 1 policy + 8 Mil IP</t>
  </si>
  <si>
    <t>Extra Bonus if AG active 3/3 Month</t>
  </si>
  <si>
    <t>Xét cuối năm</t>
  </si>
  <si>
    <t>Các đối tượng đạt danh hiệu Gen-Lion liên tục trong 04 quý</t>
  </si>
  <si>
    <t>Đạt tối thiểu danh hiệu Gen-Lion Gold</t>
  </si>
  <si>
    <t>1. Bảo hiểm Health insurance cho bản thân + gia đình (spouse, children)</t>
  </si>
  <si>
    <t>2. Sổ tay</t>
  </si>
  <si>
    <t>3. Voucher Health Check 1.5 Mil</t>
  </si>
  <si>
    <t xml:space="preserve">Riêng các đối tượng liên tục đạt Gen-Lion Kim Cương trong 04 quý: </t>
  </si>
  <si>
    <t>Thưởng năm 15% FYC của nguyên năm</t>
  </si>
  <si>
    <t>If hoạt động 3/3 tháng</t>
  </si>
  <si>
    <t>II. Leaders</t>
  </si>
  <si>
    <t>Chương trình phát triển US</t>
  </si>
  <si>
    <t>Chương trình hỗ trợ đào tạo US trong vòng 06 tháng</t>
  </si>
  <si>
    <t>Chương trình hỗ trợ bắt đầu kể từ tháng AG được promote lên US</t>
  </si>
  <si>
    <t>a. Hỗ trợ đào tạo</t>
  </si>
  <si>
    <t>b. Hỗ trợ phát triển nhóm</t>
  </si>
  <si>
    <t>Thang 1</t>
  </si>
  <si>
    <t>Thang 2</t>
  </si>
  <si>
    <t>Thang 3</t>
  </si>
  <si>
    <t>Thang 4</t>
  </si>
  <si>
    <t>Thang 5</t>
  </si>
  <si>
    <t>Thang 6</t>
  </si>
  <si>
    <t>Total</t>
  </si>
  <si>
    <t># New recruit</t>
  </si>
  <si>
    <t>Tháng hoạt động</t>
  </si>
  <si>
    <t>c. Thưởng thăng tiến</t>
  </si>
  <si>
    <t>US thăng tiến trong vòng 03 tháng</t>
  </si>
  <si>
    <t>US thăng tiến trong vòng 06 tháng</t>
  </si>
  <si>
    <t>Điều kiện</t>
  </si>
  <si>
    <t>10 triệu</t>
  </si>
  <si>
    <t>a. Thưởng huấn luyện</t>
  </si>
  <si>
    <t>1 triệu đồng sau khi lên US và hoàn tất chương trình huấn luyện US của công ty</t>
  </si>
  <si>
    <t># New Active recruit (*)</t>
  </si>
  <si>
    <t xml:space="preserve">(*) New Active Recruit: tính trên các AG mới tuyển thuộc US có thời gian làm việc &lt;7 tháng </t>
  </si>
  <si>
    <t>5 triệu</t>
  </si>
  <si>
    <t>20% FYC</t>
  </si>
  <si>
    <t>Chính sách trợ cấp đào tạo và thưởng nhóm</t>
  </si>
  <si>
    <t>b. Thưởng quý</t>
  </si>
  <si>
    <t>FYP nhóm</t>
  </si>
  <si>
    <t>% FYC</t>
  </si>
  <si>
    <t>&lt; 50 Mil</t>
  </si>
  <si>
    <t>&gt;= 50 Mil</t>
  </si>
  <si>
    <t>&gt;= 150 Mil</t>
  </si>
  <si>
    <t>a. Trợ cấp đào tạo tháng (override) (nhóm trực tiếp)</t>
  </si>
  <si>
    <t>Chính sách trợ cấp đào tạo &amp; thưởng ban</t>
  </si>
  <si>
    <t>a. Trợ cấp đào tạo tháng (override) (ban trực tiếp)</t>
  </si>
  <si>
    <t>FYP ban</t>
  </si>
  <si>
    <t>&gt;= 100 Mil</t>
  </si>
  <si>
    <t>&lt; 100 Mil</t>
  </si>
  <si>
    <t xml:space="preserve">Đếm 25% doanh thu của ban con năm nhất </t>
  </si>
  <si>
    <t>Đếm 10% doanh thu của ban con năm hoạt động thứ 2</t>
  </si>
  <si>
    <t>Chương trình thưởng Gen-Champion</t>
  </si>
  <si>
    <t>FYP nhóm 
trực tiếp trong 06 tháng vừa qua</t>
  </si>
  <si>
    <t># New Recruit active M1 in last 06 months</t>
  </si>
  <si>
    <t>Xét duyệt mỗi quý (đầu tháng 4, 7, 10)</t>
  </si>
  <si>
    <t>Benefits</t>
  </si>
  <si>
    <t>Thưởng trên doanh số quý tiếp theo</t>
  </si>
  <si>
    <t>Monthly Allowance</t>
  </si>
  <si>
    <t>x</t>
  </si>
  <si>
    <t>Double Unit Override (Monthly)</t>
  </si>
  <si>
    <t>Các đối tượng đạt danh hiệu Gen-Champion liên tục trong 04 quý</t>
  </si>
  <si>
    <t>Đạt tối thiểu danh hiệu Gen-Champion Gold</t>
  </si>
  <si>
    <t xml:space="preserve">Riêng các đối tượng liên tục đạt Gen-Champion Kim Cương trong 04 quý: </t>
  </si>
  <si>
    <t>Dành cho UM/SM/BM/SB</t>
  </si>
  <si>
    <t>Chương trình thưởng dành cho BM/SB</t>
  </si>
  <si>
    <t>Gen-Captain</t>
  </si>
  <si>
    <t>Xét duyệt mỗi đầu quý ( tháng 4, 7, 10)</t>
  </si>
  <si>
    <t>Điều kiện:</t>
  </si>
  <si>
    <t>- # New UM promotion trong 06 tháng gần nhất: 2</t>
  </si>
  <si>
    <t>- Trong nhóm Có 1 Gen-Champion tại thời điểm xét duyệt</t>
  </si>
  <si>
    <t>- Doanh số toàn ban: 2.5 tỷ FYP</t>
  </si>
  <si>
    <t>- Persistency K1 85%</t>
  </si>
  <si>
    <t>- Persistency K2 75%</t>
  </si>
  <si>
    <t>Thưởng:</t>
  </si>
  <si>
    <t>Double Branch Override trong Quý tiếp theo</t>
  </si>
  <si>
    <t>Đếm 25% doanh số của ban con đang hoạt động năm đầu tiên</t>
  </si>
  <si>
    <t>Đếm 10% doanh số của ban con đang hoạt động năm thứ 02</t>
  </si>
  <si>
    <t xml:space="preserve">III. </t>
  </si>
  <si>
    <t>Chương trình thưởng phát triển đội ngũ</t>
  </si>
  <si>
    <t>Persistency K1 85%</t>
  </si>
  <si>
    <t>Persistency K2 75%</t>
  </si>
  <si>
    <t>Nhóm có ít nhất 02 AG thăng chức lên US trong 06 tháng vừa qua</t>
  </si>
  <si>
    <t>Giữ nguyên như 2015</t>
  </si>
  <si>
    <t>Lưu ý: không tính trường hợp tuyển ngang</t>
  </si>
  <si>
    <t>IV</t>
  </si>
  <si>
    <t>Chương trình đào tạo hỗ trợ TVV mới</t>
  </si>
  <si>
    <t>V</t>
  </si>
  <si>
    <t>Chương trình hỗ trợ tuyển dụng &amp; phát triển đội ngũ</t>
  </si>
  <si>
    <t xml:space="preserve">a. Hỗ trợ đào tạo </t>
  </si>
  <si>
    <t>Sau khi hoàn tất chương trình huấn luyện xxx</t>
  </si>
  <si>
    <t>Nhận Training Allowance 300K</t>
  </si>
  <si>
    <t>b. Thưởng khởi nghiệp</t>
  </si>
  <si>
    <t>Thưởng</t>
  </si>
  <si>
    <t>1 Mil</t>
  </si>
  <si>
    <t>15 ngày đầu tiên</t>
  </si>
  <si>
    <t>sau khi có MS</t>
  </si>
  <si>
    <t>c. ThaiLand Trip</t>
  </si>
  <si>
    <t>5 HĐ</t>
  </si>
  <si>
    <t>90 Mil FYP</t>
  </si>
  <si>
    <t>Hoạt động: Min 1 Case + 8 Mil IP</t>
  </si>
  <si>
    <t>c. Rookie ThaiLand Trip</t>
  </si>
  <si>
    <t>Có hoạt động 2/3 tháng</t>
  </si>
  <si>
    <t>a. Thưởng tuyển dụng</t>
  </si>
  <si>
    <t>New recruit có active trong 15 ngày đầu</t>
  </si>
  <si>
    <t>500 K</t>
  </si>
  <si>
    <t>b. Thưởng phát triển đội ngũ</t>
  </si>
  <si>
    <t>% FYC of tất cả rookies tuyển dụng trong 06 tháng gần nhất</t>
  </si>
  <si>
    <t># New recruit 
Active M1</t>
  </si>
  <si>
    <t>(nhóm trực tiếp)</t>
  </si>
  <si>
    <t>1 HĐ + 10 Mil IP</t>
  </si>
  <si>
    <t>FYP in last 
06 mths</t>
  </si>
  <si>
    <t>Bonus on 
FYC next Q</t>
  </si>
  <si>
    <t>Extra Bonus on FYC next Q</t>
  </si>
  <si>
    <t>Monthly Payment</t>
  </si>
  <si>
    <t>Quarter End Payment</t>
  </si>
  <si>
    <t>If hoạt động 1 or 2/3 tháng</t>
  </si>
  <si>
    <r>
      <rPr>
        <b/>
        <sz val="12"/>
        <color theme="1"/>
        <rFont val="Calibri"/>
        <family val="2"/>
        <charset val="163"/>
        <scheme val="minor"/>
      </rPr>
      <t xml:space="preserve">I. </t>
    </r>
    <r>
      <rPr>
        <b/>
        <u/>
        <sz val="12"/>
        <color theme="1"/>
        <rFont val="Calibri"/>
        <family val="2"/>
        <charset val="163"/>
        <scheme val="minor"/>
      </rPr>
      <t>Individual</t>
    </r>
  </si>
  <si>
    <t>- Quản lý tuyển dụng thành công 2 TVBH mới trong cùng một quý đạt vé du lịch Bangkok</t>
  </si>
  <si>
    <t>=&gt; Nhận 01 vé đi ThaiLand Trip</t>
  </si>
  <si>
    <t>Increase minimum IP &amp; # Rider requirement as entry level for bonus earning</t>
  </si>
  <si>
    <t xml:space="preserve">3. Change Quarterly Production Bonus: </t>
  </si>
  <si>
    <t>Re-arrange production level &amp; bonus rate</t>
  </si>
  <si>
    <t>Bonus (%FYC)</t>
  </si>
  <si>
    <t>1.4) Gen-Lion Club</t>
  </si>
  <si>
    <t>5. Change Active definition: Active in month - 1 policy + 8 Mil IP</t>
  </si>
  <si>
    <t>Criteria</t>
  </si>
  <si>
    <t>Financial Benefits</t>
  </si>
  <si>
    <t>Gen-Lion Bonus</t>
  </si>
  <si>
    <r>
      <rPr>
        <b/>
        <sz val="11"/>
        <color rgb="FF0000F0"/>
        <rFont val="Arial"/>
        <family val="2"/>
      </rPr>
      <t>5%</t>
    </r>
    <r>
      <rPr>
        <sz val="11"/>
        <color theme="1"/>
        <rFont val="Arial"/>
        <family val="2"/>
      </rPr>
      <t xml:space="preserve"> FYP (From Mar/2016)</t>
    </r>
  </si>
  <si>
    <r>
      <rPr>
        <b/>
        <sz val="11"/>
        <color rgb="FF0000F0"/>
        <rFont val="Arial"/>
        <family val="2"/>
      </rPr>
      <t>3%</t>
    </r>
    <r>
      <rPr>
        <sz val="11"/>
        <color theme="1"/>
        <rFont val="Arial"/>
        <family val="2"/>
      </rPr>
      <t xml:space="preserve"> FYP (From Mar/2016)</t>
    </r>
  </si>
  <si>
    <r>
      <rPr>
        <b/>
        <sz val="11"/>
        <color rgb="FF0000F0"/>
        <rFont val="Arial"/>
        <family val="2"/>
      </rPr>
      <t>8%</t>
    </r>
    <r>
      <rPr>
        <sz val="11"/>
        <color theme="1"/>
        <rFont val="Arial"/>
        <family val="2"/>
      </rPr>
      <t xml:space="preserve"> FYP (basic premium)</t>
    </r>
  </si>
  <si>
    <t>US including direct agents (pic 1)</t>
  </si>
  <si>
    <r>
      <t>UM including UM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2)</t>
    </r>
  </si>
  <si>
    <r>
      <t>SM including SM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3)</t>
    </r>
  </si>
  <si>
    <r>
      <t>UM/SM including UM/SM + direct agents + direct US</t>
    </r>
    <r>
      <rPr>
        <sz val="11"/>
        <color rgb="FFFF0000"/>
        <rFont val="Arial"/>
        <family val="2"/>
      </rPr>
      <t xml:space="preserve"> </t>
    </r>
    <r>
      <rPr>
        <sz val="11"/>
        <color rgb="FF0000FF"/>
        <rFont val="Arial"/>
        <family val="2"/>
      </rPr>
      <t>+ 50% agents of direct US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(pic 6)</t>
    </r>
  </si>
  <si>
    <r>
      <t xml:space="preserve">BM/SB including BM/SB + direct agents + direct US </t>
    </r>
    <r>
      <rPr>
        <sz val="11"/>
        <color rgb="FF0000FF"/>
        <rFont val="Arial"/>
        <family val="2"/>
      </rPr>
      <t>+ 50% agents of direct US</t>
    </r>
    <r>
      <rPr>
        <sz val="11"/>
        <rFont val="Arial"/>
        <family val="2"/>
      </rPr>
      <t xml:space="preserve"> (pic 7)</t>
    </r>
  </si>
  <si>
    <r>
      <t xml:space="preserve">Minimum </t>
    </r>
    <r>
      <rPr>
        <sz val="11"/>
        <color rgb="FFFF0000"/>
        <rFont val="Arial"/>
        <family val="2"/>
      </rPr>
      <t>27</t>
    </r>
    <r>
      <rPr>
        <sz val="11"/>
        <rFont val="Arial"/>
        <family val="2"/>
      </rPr>
      <t xml:space="preserve"> active agent months &amp; 30% branch AR in quarter; </t>
    </r>
    <r>
      <rPr>
        <sz val="11"/>
        <color rgb="FFFF0000"/>
        <rFont val="Arial"/>
        <family val="2"/>
      </rPr>
      <t>Active agents &amp; Activity Ratio: 1 case 7m IP in month</t>
    </r>
  </si>
  <si>
    <r>
      <t xml:space="preserve">15% FYC </t>
    </r>
    <r>
      <rPr>
        <sz val="11"/>
        <rFont val="Arial"/>
        <family val="2"/>
      </rPr>
      <t xml:space="preserve">of daughter unit in the first year from promotion of direct daughter UM </t>
    </r>
  </si>
  <si>
    <r>
      <t>7% FYC</t>
    </r>
    <r>
      <rPr>
        <sz val="11"/>
        <rFont val="Arial"/>
        <family val="2"/>
      </rPr>
      <t xml:space="preserve"> of daughter unit in the 2nd year</t>
    </r>
  </si>
  <si>
    <r>
      <t>Earn total bonus if qualified accumulate production &amp; active for 9mths &amp; min 85%</t>
    </r>
    <r>
      <rPr>
        <sz val="11"/>
        <color rgb="FFFF0000"/>
        <rFont val="Arial"/>
        <family val="2"/>
      </rPr>
      <t xml:space="preserve"> FY</t>
    </r>
    <r>
      <rPr>
        <sz val="11"/>
        <rFont val="Arial"/>
        <family val="2"/>
      </rPr>
      <t xml:space="preserve"> direct unit persistency</t>
    </r>
  </si>
  <si>
    <r>
      <t>mln if qualify full 9mths RSP targets (</t>
    </r>
    <r>
      <rPr>
        <sz val="11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 xml:space="preserve">mln FYP + 24 active months + 85% </t>
    </r>
    <r>
      <rPr>
        <sz val="11"/>
        <color rgb="FFFF0000"/>
        <rFont val="Calibri"/>
        <family val="2"/>
        <scheme val="minor"/>
      </rPr>
      <t>FY</t>
    </r>
    <r>
      <rPr>
        <sz val="11"/>
        <color theme="1"/>
        <rFont val="Calibri"/>
        <family val="2"/>
        <scheme val="minor"/>
      </rPr>
      <t xml:space="preserve"> unit persistency) and 80% </t>
    </r>
    <r>
      <rPr>
        <sz val="11"/>
        <color rgb="FFFF0000"/>
        <rFont val="Calibri"/>
        <family val="2"/>
        <scheme val="minor"/>
      </rPr>
      <t xml:space="preserve">SY </t>
    </r>
    <r>
      <rPr>
        <sz val="11"/>
        <color theme="1"/>
        <rFont val="Calibri"/>
        <family val="2"/>
        <scheme val="minor"/>
      </rPr>
      <t>unit persistency at end of month 18th</t>
    </r>
  </si>
  <si>
    <r>
      <t xml:space="preserve">&amp; min 85% </t>
    </r>
    <r>
      <rPr>
        <sz val="11"/>
        <color rgb="FFFF0000"/>
        <rFont val="Arial"/>
        <family val="2"/>
      </rPr>
      <t>FY</t>
    </r>
    <r>
      <rPr>
        <sz val="11"/>
        <rFont val="Arial"/>
        <family val="2"/>
      </rPr>
      <t xml:space="preserve"> direct unit persistency</t>
    </r>
  </si>
  <si>
    <r>
      <t xml:space="preserve">mln if qualify full 9mths RSP targets and </t>
    </r>
    <r>
      <rPr>
        <sz val="11"/>
        <color rgb="FFFF0000"/>
        <rFont val="Calibri"/>
        <family val="2"/>
        <scheme val="minor"/>
      </rPr>
      <t>85% FY direct unit persistency +</t>
    </r>
    <r>
      <rPr>
        <sz val="11"/>
        <color theme="1"/>
        <rFont val="Calibri"/>
        <family val="2"/>
        <scheme val="minor"/>
      </rPr>
      <t xml:space="preserve"> 80%</t>
    </r>
    <r>
      <rPr>
        <sz val="11"/>
        <color rgb="FFFF0000"/>
        <rFont val="Calibri"/>
        <family val="2"/>
        <scheme val="minor"/>
      </rPr>
      <t xml:space="preserve"> SY </t>
    </r>
    <r>
      <rPr>
        <sz val="11"/>
        <rFont val="Calibri"/>
        <family val="2"/>
        <scheme val="minor"/>
      </rPr>
      <t xml:space="preserve">direct unit </t>
    </r>
    <r>
      <rPr>
        <sz val="11"/>
        <color theme="1"/>
        <rFont val="Calibri"/>
        <family val="2"/>
        <scheme val="minor"/>
      </rPr>
      <t>persistency at end of month 18</t>
    </r>
  </si>
  <si>
    <t>Consistency Bonus (*)</t>
  </si>
  <si>
    <t xml:space="preserve">Consistency Bonus: if Agents active consistently in 03 months/quarter. </t>
  </si>
  <si>
    <t>Other Benefits</t>
  </si>
  <si>
    <t>Level Term + ADD</t>
  </si>
  <si>
    <t>Annual Health Check</t>
  </si>
  <si>
    <t xml:space="preserve">Priority Counter </t>
  </si>
  <si>
    <t>Health insurance</t>
  </si>
  <si>
    <t>Health insurance for spouse/children</t>
  </si>
  <si>
    <t>Special training/workshop</t>
  </si>
  <si>
    <t>50 Mil</t>
  </si>
  <si>
    <t>Pin/Certificate</t>
  </si>
  <si>
    <t>1. Remove extra Unit Override</t>
  </si>
  <si>
    <t>Revise # Active Agents/Activity Ratio condition</t>
  </si>
  <si>
    <t>Unit Leader Override</t>
  </si>
  <si>
    <t>US Support program in 06 months from promotion</t>
  </si>
  <si>
    <t>US Support Allowance:</t>
  </si>
  <si>
    <t xml:space="preserve">Training Allowance: </t>
  </si>
  <si>
    <t>Active agents &amp; Activitty Ratio: 1 case 8m IP in month</t>
  </si>
  <si>
    <t>Min unit SY Persistency required from 75%</t>
  </si>
  <si>
    <t>Activity Ratio: 25%</t>
  </si>
  <si>
    <r>
      <t xml:space="preserve">Minimum </t>
    </r>
    <r>
      <rPr>
        <sz val="11"/>
        <color rgb="FFFF0000"/>
        <rFont val="Arial"/>
        <family val="2"/>
      </rPr>
      <t>27</t>
    </r>
    <r>
      <rPr>
        <sz val="11"/>
        <rFont val="Arial"/>
        <family val="2"/>
      </rPr>
      <t xml:space="preserve"> active agent months</t>
    </r>
  </si>
  <si>
    <t>Remove this allowance</t>
  </si>
  <si>
    <t>Offer fixed allowance to Gen-Champion</t>
  </si>
  <si>
    <t>Direct Unit FYP in last 06 mths</t>
  </si>
  <si>
    <t># New recruit active in last 06 mths</t>
  </si>
  <si>
    <t>At least 01 AG promoted to US in last 06 mths</t>
  </si>
  <si>
    <t>4 Mil</t>
  </si>
  <si>
    <t>2 Mil</t>
  </si>
  <si>
    <t>Direct Unit FYP does not include Leader's individual production</t>
  </si>
  <si>
    <t>100 Mil</t>
  </si>
  <si>
    <t>UM/SM/BM/SB</t>
  </si>
  <si>
    <t>Long Term Incentive to Gen-Champion Diamond</t>
  </si>
  <si>
    <t>Leaders qualify at least 02 times Gen-Champion Diamond per year</t>
  </si>
  <si>
    <t xml:space="preserve">LTI: Accumulate 15% of total Direct Unit FYP </t>
  </si>
  <si>
    <t xml:space="preserve">Payment is deferred to Y3 </t>
  </si>
  <si>
    <t>Y1</t>
  </si>
  <si>
    <t>Y2</t>
  </si>
  <si>
    <t>Y3</t>
  </si>
  <si>
    <t>Y4</t>
  </si>
  <si>
    <t>Y5</t>
  </si>
  <si>
    <t>15% FYC</t>
  </si>
  <si>
    <t>25% of LIT</t>
  </si>
  <si>
    <t>25% of LTI</t>
  </si>
  <si>
    <t>Y6</t>
  </si>
  <si>
    <t>B5) LEADER CORE PROGRAM - GEN-CAPTAIN</t>
  </si>
  <si>
    <t>B6) LEADER DEVELOPMENT SUPPORT</t>
  </si>
  <si>
    <t>Criteria:</t>
  </si>
  <si>
    <t>Branch FYP in last 12 months: 6 Billion</t>
  </si>
  <si>
    <t>- # New UM promotion in last 12 months: 2</t>
  </si>
  <si>
    <t xml:space="preserve">- At least 01 Gen-Champion in Branch </t>
  </si>
  <si>
    <t>Keep unchanged</t>
  </si>
  <si>
    <t>Rookie Support Program</t>
  </si>
  <si>
    <t>1 Ticket</t>
  </si>
  <si>
    <t>Production increase vs. 2016</t>
  </si>
  <si>
    <t>Bonus rate
% FYC</t>
  </si>
  <si>
    <t>AR 25%</t>
  </si>
  <si>
    <t>Product Mix</t>
  </si>
  <si>
    <t>Existing product</t>
  </si>
  <si>
    <t>ULP1</t>
  </si>
  <si>
    <t>EDU1</t>
  </si>
  <si>
    <t>END1</t>
  </si>
  <si>
    <t>YCB1</t>
  </si>
  <si>
    <t>CIB1</t>
  </si>
  <si>
    <t>WLP1</t>
  </si>
  <si>
    <t>EDU3</t>
  </si>
  <si>
    <t>TLB1</t>
  </si>
  <si>
    <t>Sum</t>
  </si>
  <si>
    <t>New products</t>
  </si>
  <si>
    <t>ULP2</t>
  </si>
  <si>
    <t>CIB2</t>
  </si>
  <si>
    <t>ROP1</t>
  </si>
  <si>
    <t>Riders</t>
  </si>
  <si>
    <t>TLR1</t>
  </si>
  <si>
    <t>ADD1</t>
  </si>
  <si>
    <t>HSR1</t>
  </si>
  <si>
    <t>FSR1</t>
  </si>
  <si>
    <t>CIR1</t>
  </si>
  <si>
    <t>WOP1</t>
  </si>
  <si>
    <t>WOP2</t>
  </si>
  <si>
    <t>HSR2</t>
  </si>
  <si>
    <t>CIR2</t>
  </si>
  <si>
    <t>WOP3</t>
  </si>
  <si>
    <t>CIR3</t>
  </si>
  <si>
    <t>HSR3</t>
  </si>
  <si>
    <t>Basic</t>
  </si>
  <si>
    <t>Cost projection</t>
  </si>
  <si>
    <t>Active 1 
month</t>
  </si>
  <si>
    <t>Active 2 months</t>
  </si>
  <si>
    <t>Active 3 months</t>
  </si>
  <si>
    <t>% FYP</t>
  </si>
  <si>
    <t>Avg MP</t>
  </si>
  <si>
    <t>Cost</t>
  </si>
  <si>
    <t>Actual cost_old scheme</t>
  </si>
  <si>
    <t>Difference_New vs. old scheme</t>
  </si>
  <si>
    <t>Difference_% FYP</t>
  </si>
  <si>
    <t>New scheme testing on current performance</t>
  </si>
  <si>
    <t xml:space="preserve">2017 Projection </t>
  </si>
  <si>
    <t>Active_1</t>
  </si>
  <si>
    <t>Active_2</t>
  </si>
  <si>
    <t>Active_3</t>
  </si>
  <si>
    <t>Prod_Level</t>
  </si>
  <si>
    <t>Mix Agent_No. Active in Quarter</t>
  </si>
  <si>
    <t>Assumption</t>
  </si>
  <si>
    <t>Avg Productivity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</si>
  <si>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</si>
  <si>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</si>
  <si>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</si>
  <si>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</si>
  <si>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</si>
  <si>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</si>
  <si>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</si>
  <si>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</si>
  <si>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</si>
  <si>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</si>
  <si>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</si>
  <si>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</si>
  <si>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Ending MP</t>
  </si>
  <si>
    <t># New recruited AL</t>
  </si>
  <si>
    <t># New recruited Agent</t>
  </si>
  <si>
    <t># Active Agent</t>
  </si>
  <si>
    <t>Activity Ratio</t>
  </si>
  <si>
    <t># Case/Active</t>
  </si>
  <si>
    <t>CaseSize</t>
  </si>
  <si>
    <t># Case</t>
  </si>
  <si>
    <t>APE</t>
  </si>
  <si>
    <t>APE/Active</t>
  </si>
  <si>
    <t>APE/MP</t>
  </si>
  <si>
    <t>Q1</t>
  </si>
  <si>
    <t>Q2</t>
  </si>
  <si>
    <t>Q3</t>
  </si>
  <si>
    <t>Q4</t>
  </si>
  <si>
    <t>SUM</t>
  </si>
  <si>
    <t>UL Mix</t>
  </si>
  <si>
    <t>UL FYP Mix</t>
  </si>
  <si>
    <t>Total FYP</t>
  </si>
  <si>
    <t>Avg CaseSize</t>
  </si>
  <si>
    <t>IP Basic Segment</t>
  </si>
  <si>
    <t>5+</t>
  </si>
  <si>
    <t>5 Rider/15 Mil IP</t>
  </si>
  <si>
    <t>3 Rider/15 Mil IP</t>
  </si>
  <si>
    <t>Mix Policy</t>
  </si>
  <si>
    <t>FYP/IP</t>
  </si>
  <si>
    <t>FYP/IP Basic</t>
  </si>
  <si>
    <t>Pru</t>
  </si>
  <si>
    <t>AIA</t>
  </si>
  <si>
    <t>Dai-ichi</t>
  </si>
  <si>
    <t>Bonus as % FYC</t>
  </si>
  <si>
    <t>Basic Bonus</t>
  </si>
  <si>
    <t>Consistency Bonus</t>
  </si>
  <si>
    <t>Total Bonus</t>
  </si>
  <si>
    <t>Amount</t>
  </si>
  <si>
    <t>3. Change Quarterly Production Bonus</t>
  </si>
  <si>
    <t>Increase production requirement</t>
  </si>
  <si>
    <t>Increase Persistency K2 to 75%</t>
  </si>
  <si>
    <t>Add-in 1 new production segment</t>
  </si>
  <si>
    <t>Bonus rate varies from # Active in Quarter to drive consistent active</t>
  </si>
  <si>
    <t>UM Promotion Bonus</t>
  </si>
  <si>
    <t>Promoted to UM in 03 months</t>
  </si>
  <si>
    <t>Promoted to UM in 06 months</t>
  </si>
  <si>
    <t>5 Mil</t>
  </si>
  <si>
    <t>10 Mil</t>
  </si>
  <si>
    <t>Bonus rate varies to different level of Active Ratio</t>
  </si>
  <si>
    <t>Remove US override/US Quarterly production bonus (as in reality very few US qualified this bonus)</t>
  </si>
  <si>
    <t>Reward one-off payment to US when US get promotion to UM</t>
  </si>
  <si>
    <t>Require Leader have at least 1 AG to be promoted to US -&gt; encourage AL to develop their agents</t>
  </si>
  <si>
    <t>Bonus as double override: (1) reward high performance (2) compensate for the "loss" when their AG promoted to AL</t>
  </si>
  <si>
    <t>6. Introduce Gen-Champion Club to reward &amp; build core leaders</t>
  </si>
  <si>
    <t>2. Structure new US support program to drive internal promotion</t>
  </si>
  <si>
    <t>3. Change Unit/Branch Override: different bonus rate at different production</t>
  </si>
  <si>
    <t>4. Quarterly Production Bonus:</t>
  </si>
  <si>
    <t>5. Structure KPIs to address the issue that Leaders don't have motivation to develop their agents</t>
  </si>
  <si>
    <t>6. Reward Leaders who develop their agents to be promoted</t>
  </si>
  <si>
    <t>7. Introduce Gen-Champion Club to reward &amp; build core leaders</t>
  </si>
  <si>
    <t>8. Introduce Gen-Captain Reward</t>
  </si>
  <si>
    <t>2017 Cost projection</t>
  </si>
  <si>
    <t>Commission</t>
  </si>
  <si>
    <t>Individual Production Bonus</t>
  </si>
  <si>
    <t>Other benefits</t>
  </si>
  <si>
    <t>US Promotion</t>
  </si>
  <si>
    <t>Training Allowance</t>
  </si>
  <si>
    <t>Unit development bonus</t>
  </si>
  <si>
    <t>Unit Override</t>
  </si>
  <si>
    <t>Unit Quarterly Bonus</t>
  </si>
  <si>
    <t>Branch Quarterly Bonus</t>
  </si>
  <si>
    <t>Gen-Champion</t>
  </si>
  <si>
    <t>Double Override</t>
  </si>
  <si>
    <t>LTI</t>
  </si>
  <si>
    <t>New Rookies Support Program</t>
  </si>
  <si>
    <t>Bonus in first 15 dáy</t>
  </si>
  <si>
    <t>ThaiLand Trip</t>
  </si>
  <si>
    <t>Leader Recruitment Support</t>
  </si>
  <si>
    <t>Bonus active rookie in first 15 dáy</t>
  </si>
  <si>
    <t>Unit Development Bonus</t>
  </si>
  <si>
    <t>RSP + MDRT</t>
  </si>
  <si>
    <t>Development Bonus</t>
  </si>
  <si>
    <t>GA Cost</t>
  </si>
  <si>
    <t>Total Compensation</t>
  </si>
  <si>
    <t>Budget</t>
  </si>
  <si>
    <t>Extra monthly bonus</t>
  </si>
  <si>
    <t>Contest</t>
  </si>
  <si>
    <t>Total Agent Comp</t>
  </si>
  <si>
    <t>Key Changes</t>
  </si>
  <si>
    <t>Impact</t>
  </si>
  <si>
    <t>Drive product mix, reduce CIB product</t>
  </si>
  <si>
    <t>Improve profitability</t>
  </si>
  <si>
    <t>Drive UL Mix, Rider Mix</t>
  </si>
  <si>
    <t>Bonus rate varies from # Active in Quarter to drive consistency performance</t>
  </si>
  <si>
    <t>Drive consistency performance</t>
  </si>
  <si>
    <t>Focus: 8% Manpower - contribute 60% production</t>
  </si>
  <si>
    <t xml:space="preserve">FYP </t>
  </si>
  <si>
    <t>Focus: 23% MP - contribute 87% production</t>
  </si>
  <si>
    <t>Top perfomer retention, long term commitment</t>
  </si>
  <si>
    <t>Create perception: core agents - active every month (1 pol+12 Mil IP)</t>
  </si>
  <si>
    <t>Create a new segment to encourage agents to become core agents</t>
  </si>
  <si>
    <t>Drive productivity</t>
  </si>
  <si>
    <t xml:space="preserve"> As this scheme doesn't effectively drive Unit Leader to support their agent promotion</t>
  </si>
  <si>
    <t xml:space="preserve"> Despite of very rich scheme to US, it doesn't help more US promotion as key issue at Unit Leader</t>
  </si>
  <si>
    <t>Reduce paying to US</t>
  </si>
  <si>
    <t xml:space="preserve"> Focus on changing AL's behaviors &amp; career path's aspiration to AG </t>
  </si>
  <si>
    <t xml:space="preserve"> Incentivize high production performer</t>
  </si>
  <si>
    <t>Don't count AL's individual production</t>
  </si>
  <si>
    <t xml:space="preserve"> Add requirement of having AG promotion to be qualified Core Leader Club
 Core program bonus incentivizes the true leader role</t>
  </si>
  <si>
    <t xml:space="preserve"> Drive Leader to focus on their "leader role"</t>
  </si>
  <si>
    <t xml:space="preserve"> Top performer retention</t>
  </si>
  <si>
    <t>Long Term Incentive to Diamond Segment</t>
  </si>
  <si>
    <t>Require Leader have at least 1 AG/US to be promoted to UM -&gt; encourage AL to develop their agents</t>
  </si>
  <si>
    <t xml:space="preserve"> Create honor for very top Leader BM/SB</t>
  </si>
  <si>
    <t>UL/CI Bonus</t>
  </si>
  <si>
    <t>2 bn</t>
  </si>
  <si>
    <t>1.5 bn</t>
  </si>
  <si>
    <t>Mix FYP</t>
  </si>
  <si>
    <t>Basic Gen-Lion Bonus</t>
  </si>
  <si>
    <t>Apr Batch</t>
  </si>
  <si>
    <t>Jul Batch</t>
  </si>
  <si>
    <t>Oct Batch</t>
  </si>
  <si>
    <r>
      <rPr>
        <b/>
        <u/>
        <sz val="10"/>
        <color rgb="FF0000FF"/>
        <rFont val="Calibri"/>
        <family val="2"/>
        <charset val="163"/>
        <scheme val="minor"/>
      </rPr>
      <t xml:space="preserve"># </t>
    </r>
    <r>
      <rPr>
        <u/>
        <sz val="10"/>
        <color rgb="FF0000FF"/>
        <rFont val="Calibri"/>
        <family val="2"/>
        <scheme val="minor"/>
      </rPr>
      <t>Qualifier</t>
    </r>
  </si>
  <si>
    <t>FYP Contribution Mix</t>
  </si>
  <si>
    <t>Rate</t>
  </si>
  <si>
    <t>Performance Bonus</t>
  </si>
  <si>
    <t>Mix Qualifier_Active 3/3</t>
  </si>
  <si>
    <r>
      <rPr>
        <b/>
        <u/>
        <sz val="10"/>
        <color rgb="FF0000FF"/>
        <rFont val="Calibri"/>
        <family val="2"/>
        <charset val="163"/>
        <scheme val="minor"/>
      </rPr>
      <t xml:space="preserve"># </t>
    </r>
    <r>
      <rPr>
        <u/>
        <sz val="10"/>
        <color rgb="FF0000FF"/>
        <rFont val="Calibri"/>
        <family val="2"/>
        <scheme val="minor"/>
      </rPr>
      <t>Qualifier_Active 3/3</t>
    </r>
  </si>
  <si>
    <t>Unit FYP</t>
  </si>
  <si>
    <t>Ending AL</t>
  </si>
  <si>
    <t># AL</t>
  </si>
  <si>
    <t>Mix Qualifer</t>
  </si>
  <si>
    <t>Avg Unit production</t>
  </si>
  <si>
    <t>Production Mix</t>
  </si>
  <si>
    <t>Override Cost</t>
  </si>
  <si>
    <t>Override Rate</t>
  </si>
  <si>
    <t>Override cost</t>
  </si>
  <si>
    <t>Total Cost</t>
  </si>
  <si>
    <t>2016 Scheme</t>
  </si>
  <si>
    <t>Diff</t>
  </si>
  <si>
    <t>UM</t>
  </si>
  <si>
    <t>BM</t>
  </si>
  <si>
    <t>SBM</t>
  </si>
  <si>
    <t>Avg prod_agent in unit</t>
  </si>
  <si>
    <t># Unit Leader</t>
  </si>
  <si>
    <t># Qualifier_Production</t>
  </si>
  <si>
    <t>Mix Qualifier_Production</t>
  </si>
  <si>
    <t># Active</t>
  </si>
  <si>
    <t># Qualifier_Production &amp; Persistency</t>
  </si>
  <si>
    <t>Mix Qualifier_Production &amp; Persistency</t>
  </si>
  <si>
    <t># Qualifier_Production &amp; #Active &amp; Persistency</t>
  </si>
  <si>
    <t>Mix Qualifier_Production &amp; #Active &amp; Persistency</t>
  </si>
  <si>
    <t>Final Qualifier_FYP Contribution</t>
  </si>
  <si>
    <t>Final Qualifier_FYP Mix</t>
  </si>
  <si>
    <t># Unit qualified FYP</t>
  </si>
  <si>
    <t>% AL qualified FYP</t>
  </si>
  <si>
    <t># Unit disqualified # Active agent</t>
  </si>
  <si>
    <t># Unit disqualified # Persistency</t>
  </si>
  <si>
    <t>% AL disqualified bonus as fail #Active</t>
  </si>
  <si>
    <t>% AL disqualified bonus as fail Persistency</t>
  </si>
  <si>
    <t>Final Qualifier_Cost</t>
  </si>
  <si>
    <t>Active agents: 1 case 8m IP in month</t>
  </si>
  <si>
    <t>Unit Quarterly Production Bonus (UM, SUM, BM, SBM)</t>
  </si>
  <si>
    <t xml:space="preserve">Qualifer_FYP </t>
  </si>
  <si>
    <t>% Fail Persistency</t>
  </si>
  <si>
    <t xml:space="preserve">% </t>
  </si>
  <si>
    <t>% Fail # Active</t>
  </si>
  <si>
    <t>%</t>
  </si>
  <si>
    <t>Unit Leader</t>
  </si>
  <si>
    <t>Final Qualifier</t>
  </si>
  <si>
    <t>6 Active</t>
  </si>
  <si>
    <t>10 Active</t>
  </si>
  <si>
    <t>18 Active</t>
  </si>
  <si>
    <t>24 Active</t>
  </si>
  <si>
    <t>Avg Prod</t>
  </si>
  <si>
    <t xml:space="preserve">FYP Mix </t>
  </si>
  <si>
    <t>Mix qualifier_#Active</t>
  </si>
  <si>
    <t>Branch Quarterly Production Bonus (BM, SBM)</t>
  </si>
  <si>
    <t># Branch Leader</t>
  </si>
  <si>
    <t># Qualifier_Production &amp; #Active,AR &amp; Persistency</t>
  </si>
  <si>
    <t>Mix Qualifier_Production &amp; #Active, AR &amp; Persistency</t>
  </si>
  <si>
    <t># Unit disqualified AR</t>
  </si>
  <si>
    <t>% AL disqualified bonus as fail AR</t>
  </si>
  <si>
    <t>% Fail # AR</t>
  </si>
  <si>
    <t># Qualifier_Mix</t>
  </si>
  <si>
    <t>FYP Mix</t>
  </si>
  <si>
    <t xml:space="preserve">B4) LEADER CORE PROGRAM </t>
  </si>
  <si>
    <t>GEN - CHAMPION CLUB</t>
  </si>
  <si>
    <t>Active agent: 1 case 8m IP in month</t>
  </si>
  <si>
    <t>Monthly extra override</t>
  </si>
  <si>
    <t>Annual Health Check (Voucher)</t>
  </si>
  <si>
    <t>1.5 Mil</t>
  </si>
  <si>
    <t>1.0 Mil</t>
  </si>
  <si>
    <t>200 Mil</t>
  </si>
  <si>
    <t>LTI: Accumulate 15% of total Direct Unit FYC</t>
  </si>
  <si>
    <t>Qualifier</t>
  </si>
  <si>
    <t>Qualifier Mix</t>
  </si>
  <si>
    <t>Qualifier_Production</t>
  </si>
  <si>
    <t>Qualifier_Final</t>
  </si>
  <si>
    <t>Avg Prod in Quarter</t>
  </si>
  <si>
    <t>Apr/Q2</t>
  </si>
  <si>
    <t>Jul/Q3</t>
  </si>
  <si>
    <t>Oct/Q4</t>
  </si>
  <si>
    <t>Jan/Q1</t>
  </si>
  <si>
    <t># Unit Leader at month</t>
  </si>
  <si>
    <t>Monthly Fix Allowance</t>
  </si>
  <si>
    <t>Other Benefit_Cost</t>
  </si>
  <si>
    <t>Unit cost</t>
  </si>
  <si>
    <t>Long Term Incentive</t>
  </si>
  <si>
    <t>Est. FYP</t>
  </si>
  <si>
    <t>Payment schedule</t>
  </si>
  <si>
    <t>Payment amount</t>
  </si>
  <si>
    <t>Cost (discount value)</t>
  </si>
  <si>
    <t>GEN - CAPTAIN AWARDS</t>
  </si>
  <si>
    <t>- Persistency K2 70%</t>
  </si>
  <si>
    <t>- # New UM promotion from AG in last 12 months: 2</t>
  </si>
  <si>
    <t># Qualifer</t>
  </si>
  <si>
    <t>% Qualifier</t>
  </si>
  <si>
    <t>Monthly Bonus (%FYC)</t>
  </si>
  <si>
    <t>Validate twice/year: Apr, Oct</t>
  </si>
  <si>
    <t>New recruit active</t>
  </si>
  <si>
    <t>Active new recruit: Min 1 Case + 8 Mil IP in first 30 days</t>
  </si>
  <si>
    <t>Unit Override (US, UM, SUM, BM, SBM)</t>
  </si>
  <si>
    <t># US</t>
  </si>
  <si>
    <t># US promoted to UM</t>
  </si>
  <si>
    <t>after Training completion</t>
  </si>
  <si>
    <t>per new active recruit</t>
  </si>
  <si>
    <t>US support allowance</t>
  </si>
  <si>
    <t>Period</t>
  </si>
  <si>
    <t>IP</t>
  </si>
  <si>
    <t>VND Mil</t>
  </si>
  <si>
    <t>Awards</t>
  </si>
  <si>
    <t>Rookie financial support</t>
  </si>
  <si>
    <t>Rookie_Bangkok Trip in first 03 months</t>
  </si>
  <si>
    <t>Unit Cost</t>
  </si>
  <si>
    <t xml:space="preserve">2 Bangkok qualifiers who </t>
  </si>
  <si>
    <t>appointed in a same quarter</t>
  </si>
  <si>
    <t>-&gt; AL get 1 Bangkok ticket</t>
  </si>
  <si>
    <t>2014A</t>
  </si>
  <si>
    <t>2015A</t>
  </si>
  <si>
    <t>FY Basic commission</t>
  </si>
  <si>
    <t>Override</t>
  </si>
  <si>
    <t>Extra Unit override</t>
  </si>
  <si>
    <t>Production Bonus</t>
  </si>
  <si>
    <t>CI/UL Bonus</t>
  </si>
  <si>
    <t>Individual Quarterly Bonus</t>
  </si>
  <si>
    <t>Gen-Lion Club Bonus</t>
  </si>
  <si>
    <t>Gen-Champion Bonus</t>
  </si>
  <si>
    <t>Gen-Captain Club Bonus</t>
  </si>
  <si>
    <t>Builder bonus to mother</t>
  </si>
  <si>
    <t>US Support Program</t>
  </si>
  <si>
    <t>Leader Promotion Bonus</t>
  </si>
  <si>
    <t>Recruitment Support Program</t>
  </si>
  <si>
    <t>Rookie Bonus in first 03 month</t>
  </si>
  <si>
    <t>Rookie Thailand Trip</t>
  </si>
  <si>
    <t>Recruitment bonus to Leader</t>
  </si>
  <si>
    <t>Thailand Trip_Leader</t>
  </si>
  <si>
    <t>AG Recruitment program</t>
  </si>
  <si>
    <t>MDRT Recruitment</t>
  </si>
  <si>
    <t>Leader RSP</t>
  </si>
  <si>
    <t>Tatical contest in month</t>
  </si>
  <si>
    <t>Annual Convention Trip</t>
  </si>
  <si>
    <t>Other Trip contest</t>
  </si>
  <si>
    <t>New GA set up &amp; support</t>
  </si>
  <si>
    <t>Initial Financial Support</t>
  </si>
  <si>
    <t>First 12 month support</t>
  </si>
  <si>
    <t>Regular compensation expense</t>
  </si>
  <si>
    <t>HCM/HN Support 1% FYP</t>
  </si>
  <si>
    <t>GA Monthly Development Allowance</t>
  </si>
  <si>
    <t>Quarterly Production Bonus</t>
  </si>
  <si>
    <t>Customer Service Allowance</t>
  </si>
  <si>
    <t>Total Compensation expense</t>
  </si>
  <si>
    <t>Unit: VND Mil</t>
  </si>
  <si>
    <t>Unit: % FYP</t>
  </si>
  <si>
    <t>C1) ROOKIES RECRUITMENT SUPPORT PROGRAM_BONUS TO ROOKIES</t>
  </si>
  <si>
    <t>C2) ROOKIES RECRUITMENT SUPPORT PROGRAM_BONUS TO LEADERS</t>
  </si>
  <si>
    <t>C3) LEADER RECRUITMENT SUPPORT PROGRAM</t>
  </si>
  <si>
    <t>REGION NAME</t>
  </si>
  <si>
    <t>ZONE NAME</t>
  </si>
  <si>
    <t>TEAM NAME</t>
  </si>
  <si>
    <t>AGCode</t>
  </si>
  <si>
    <t>AGName</t>
  </si>
  <si>
    <t>TypeStart</t>
  </si>
  <si>
    <t>CURRENT STATUS</t>
  </si>
  <si>
    <t>EffDateFrom</t>
  </si>
  <si>
    <t>EffDateTo</t>
  </si>
  <si>
    <t>PaymentEnd</t>
  </si>
  <si>
    <t>MDRT Scheme</t>
  </si>
  <si>
    <t>NORTH 1</t>
  </si>
  <si>
    <t>N_ZONE 2</t>
  </si>
  <si>
    <t>THE POWER</t>
  </si>
  <si>
    <t>AG002463</t>
  </si>
  <si>
    <t>NGUYỄN THỊ MINH TÂM</t>
  </si>
  <si>
    <t>Active</t>
  </si>
  <si>
    <t>MDRT 2015</t>
  </si>
  <si>
    <t>SOUTH 1</t>
  </si>
  <si>
    <t>S_ZONE 2</t>
  </si>
  <si>
    <t>MDRT HCM</t>
  </si>
  <si>
    <t>AG005353</t>
  </si>
  <si>
    <t>NGUYỄN THỊ PHÙNG LIÊN</t>
  </si>
  <si>
    <t>AG004626</t>
  </si>
  <si>
    <t>PHAN MINH TRÍ</t>
  </si>
  <si>
    <t>N_ZONE 3</t>
  </si>
  <si>
    <t>THE SKY</t>
  </si>
  <si>
    <t>AG007815</t>
  </si>
  <si>
    <t>PHẠM VĂN CƯỜNG</t>
  </si>
  <si>
    <t>N_ZONE 7</t>
  </si>
  <si>
    <t>THE STARS 1</t>
  </si>
  <si>
    <t>AG011189</t>
  </si>
  <si>
    <t>NGUYỄN ĐỨC CHÍNH</t>
  </si>
  <si>
    <t>MDRT 2016</t>
  </si>
  <si>
    <t>N_ZONE 1</t>
  </si>
  <si>
    <t>ELITE</t>
  </si>
  <si>
    <t>AG002914</t>
  </si>
  <si>
    <t>ĐỖ KIỀU ANH</t>
  </si>
  <si>
    <t>NORTH 2</t>
  </si>
  <si>
    <t>N_ZONE 4</t>
  </si>
  <si>
    <t>SUNFLOWER</t>
  </si>
  <si>
    <t>AG003144</t>
  </si>
  <si>
    <t>LÊ THỊ CHUNG</t>
  </si>
  <si>
    <t>S_ZONE 4</t>
  </si>
  <si>
    <t>BIG HERO</t>
  </si>
  <si>
    <t>AG003441</t>
  </si>
  <si>
    <t>NGUYỄN THỊ THẮM</t>
  </si>
  <si>
    <t>AG003446</t>
  </si>
  <si>
    <t>NGUYỄN THỊ THỂ HỒNG</t>
  </si>
  <si>
    <t>AG003449</t>
  </si>
  <si>
    <t>HÀ THỊ BÍCH HƯỜNG</t>
  </si>
  <si>
    <t>SOUTH 2</t>
  </si>
  <si>
    <t>S_ZONE 7</t>
  </si>
  <si>
    <t>MDRT VT</t>
  </si>
  <si>
    <t>AG005118</t>
  </si>
  <si>
    <t>VŨ THỊ NGỌC</t>
  </si>
  <si>
    <t>THÁI DƯƠNG</t>
  </si>
  <si>
    <t>AG003543</t>
  </si>
  <si>
    <t>TRƯƠNG THỊ THU THÚY</t>
  </si>
  <si>
    <t>F.B.I</t>
  </si>
  <si>
    <t>AG003606</t>
  </si>
  <si>
    <t>MA THANH HUYỀN</t>
  </si>
  <si>
    <t>SOUTH 3</t>
  </si>
  <si>
    <t>S_ZONE 8</t>
  </si>
  <si>
    <t>MEKONG 2</t>
  </si>
  <si>
    <t>AG003880</t>
  </si>
  <si>
    <t>HOÀNG  THỦY</t>
  </si>
  <si>
    <t>AG004029</t>
  </si>
  <si>
    <t>TRƯƠNG CÔNG ÂU</t>
  </si>
  <si>
    <t>AG004034</t>
  </si>
  <si>
    <t>NGUYỄN THỊ LEN</t>
  </si>
  <si>
    <t>AG004171</t>
  </si>
  <si>
    <t>TRẦN ĐỨC KHÁNH</t>
  </si>
  <si>
    <t>AG004172</t>
  </si>
  <si>
    <t>TRẦN THỊ KiỀU HOA</t>
  </si>
  <si>
    <t>AG</t>
  </si>
  <si>
    <t>BORN TO WIN</t>
  </si>
  <si>
    <t>AG004412</t>
  </si>
  <si>
    <t>PHAN THỊ TIỀN TUYẾN</t>
  </si>
  <si>
    <t>AG004413</t>
  </si>
  <si>
    <t>NGUYỄN THỊ BÍCH HUYỀN</t>
  </si>
  <si>
    <t>AG004414</t>
  </si>
  <si>
    <t>TRẦN MINH VŨ</t>
  </si>
  <si>
    <t>AG004415</t>
  </si>
  <si>
    <t>LÊ PHAN ANH KHOA</t>
  </si>
  <si>
    <t>AG004416</t>
  </si>
  <si>
    <t>TRẦN QUANG HiỂN</t>
  </si>
  <si>
    <t>G-G</t>
  </si>
  <si>
    <t>AG004496</t>
  </si>
  <si>
    <t>NGUYỄN THỊ THU HÀ</t>
  </si>
  <si>
    <t>AG004516</t>
  </si>
  <si>
    <t>NGUYỄN THỊ HƯƠNG</t>
  </si>
  <si>
    <t>LUCKY CAT</t>
  </si>
  <si>
    <t>AG009290</t>
  </si>
  <si>
    <t>ĐINH THANH TRANG</t>
  </si>
  <si>
    <t>AG004618</t>
  </si>
  <si>
    <t>ĐẶNG PHƯƠNG THỦY</t>
  </si>
  <si>
    <t>AG004660</t>
  </si>
  <si>
    <t>TRẦN KHÁNH VÂN</t>
  </si>
  <si>
    <t>S_ZONE 3</t>
  </si>
  <si>
    <t>COT GENCASA</t>
  </si>
  <si>
    <t>AG004775</t>
  </si>
  <si>
    <t>LÝ THANH HẢO</t>
  </si>
  <si>
    <t>AG004831</t>
  </si>
  <si>
    <t>NGUYỄN THỊ NGỌC THỦY</t>
  </si>
  <si>
    <t>CUPID</t>
  </si>
  <si>
    <t>AG004865</t>
  </si>
  <si>
    <t>PHẠM VĂN THẠCH</t>
  </si>
  <si>
    <t>AG004903</t>
  </si>
  <si>
    <t>NGUYỄN THỊ NHƠN</t>
  </si>
  <si>
    <t>AG004913</t>
  </si>
  <si>
    <t>TRỊNH ĐÌNH ViỆT</t>
  </si>
  <si>
    <t>AG004945</t>
  </si>
  <si>
    <t>NGUYỄN PHÚ QUÝ</t>
  </si>
  <si>
    <t>AG009960</t>
  </si>
  <si>
    <t>ĐINH THÁI BÌNH</t>
  </si>
  <si>
    <t>AG005079</t>
  </si>
  <si>
    <t>LÊ THỊ TƯỜNG OANH</t>
  </si>
  <si>
    <t>MEKONG 1</t>
  </si>
  <si>
    <t>AG005137</t>
  </si>
  <si>
    <t>NGUYỄN THỊ PHÚC HẬU</t>
  </si>
  <si>
    <t>AG005431</t>
  </si>
  <si>
    <t>BÙI THẾ THÁI</t>
  </si>
  <si>
    <t>AG005683</t>
  </si>
  <si>
    <t>LÊ THỊ THÚY HÀ</t>
  </si>
  <si>
    <t>THE CAPITAL</t>
  </si>
  <si>
    <t>AG005778</t>
  </si>
  <si>
    <t>TRẦN THỊ KHÁNH</t>
  </si>
  <si>
    <t>AG005898</t>
  </si>
  <si>
    <t>VÕ THỊ KHÓI</t>
  </si>
  <si>
    <t>AG006282</t>
  </si>
  <si>
    <t>CAO THỊ HẢI HẰNG</t>
  </si>
  <si>
    <t>AG006073</t>
  </si>
  <si>
    <t>ĐỚI THỊ THANH THỦY</t>
  </si>
  <si>
    <t>LION 1</t>
  </si>
  <si>
    <t>AG006640</t>
  </si>
  <si>
    <t>LÊ THỊ HỒNG MINH</t>
  </si>
  <si>
    <t>AG006641</t>
  </si>
  <si>
    <t>NGUYỄN THỊ ÚT</t>
  </si>
  <si>
    <t>AG006642</t>
  </si>
  <si>
    <t>DƯƠNG THỊ HÀ</t>
  </si>
  <si>
    <t>DIAMOND</t>
  </si>
  <si>
    <t>AG006863</t>
  </si>
  <si>
    <t>NGUYỄN THỊ VONGA</t>
  </si>
  <si>
    <t>AG006868</t>
  </si>
  <si>
    <t>NGUYỄN THỊ THÚY VÂN</t>
  </si>
  <si>
    <t>AG006939</t>
  </si>
  <si>
    <t>ĐỖ KIM DUNG</t>
  </si>
  <si>
    <t>SM</t>
  </si>
  <si>
    <t>AG006944</t>
  </si>
  <si>
    <t>NGUYỄN THỊ NGUYỆT VÂN</t>
  </si>
  <si>
    <t>N_ZONE 5</t>
  </si>
  <si>
    <t>VICTORY</t>
  </si>
  <si>
    <t>AG009973</t>
  </si>
  <si>
    <t>TRẦN THỊ THANH VÂN</t>
  </si>
  <si>
    <t>AG010102</t>
  </si>
  <si>
    <t>NGUYỄN XUÂN CƯỜNG</t>
  </si>
  <si>
    <t>AG010170</t>
  </si>
  <si>
    <t>TRƯƠNG ANH ĐÀO</t>
  </si>
  <si>
    <t>AG007473</t>
  </si>
  <si>
    <t>NGUYỄN THỊ HẠNH</t>
  </si>
  <si>
    <t>GREEN DRAGON</t>
  </si>
  <si>
    <t>AG010551</t>
  </si>
  <si>
    <t>ĐINH THỊ THƠM</t>
  </si>
  <si>
    <t>N_ZONE 6</t>
  </si>
  <si>
    <t>HẢI ĐĂNG</t>
  </si>
  <si>
    <t>AG004493</t>
  </si>
  <si>
    <t>NGUYỄN THẾ HIỆP</t>
  </si>
  <si>
    <t>AG007614</t>
  </si>
  <si>
    <t>PHẠM MINH TÂN</t>
  </si>
  <si>
    <t>AG007616</t>
  </si>
  <si>
    <t>LƯU VĂN TÁM</t>
  </si>
  <si>
    <t>AG007631</t>
  </si>
  <si>
    <t>NGUYỄN THỊ THANH</t>
  </si>
  <si>
    <t>AG010634</t>
  </si>
  <si>
    <t>VÕ HỒ THẾ PHƯƠNG</t>
  </si>
  <si>
    <t>AG010693</t>
  </si>
  <si>
    <t>NGUYỄN THỊ THẢO</t>
  </si>
  <si>
    <t>THIÊN SƠN</t>
  </si>
  <si>
    <t>AG010880</t>
  </si>
  <si>
    <t>ĐẶNG THỊ HƯƠNG GIANG</t>
  </si>
  <si>
    <t>AG010944</t>
  </si>
  <si>
    <t>NGUYỄN UYÊN NGHI</t>
  </si>
  <si>
    <t>AG010945</t>
  </si>
  <si>
    <t>NGUYỄN ANH TUẤN</t>
  </si>
  <si>
    <t>AG011044</t>
  </si>
  <si>
    <t>ĐINH VIẾT LONG</t>
  </si>
  <si>
    <t>AG000442</t>
  </si>
  <si>
    <t>NGÔ THỊ THUẬN</t>
  </si>
  <si>
    <t>AG008479</t>
  </si>
  <si>
    <t>PHAN NGỌC THÚY</t>
  </si>
  <si>
    <t>AG011302</t>
  </si>
  <si>
    <t>LÊ THỊ LINH</t>
  </si>
  <si>
    <t>CENTRAL 1</t>
  </si>
  <si>
    <t>S_ZONE 9</t>
  </si>
  <si>
    <t>DANANG1</t>
  </si>
  <si>
    <t>AG011355</t>
  </si>
  <si>
    <t>NGÔ THỊ TUYẾT VÂN</t>
  </si>
  <si>
    <t>AG011392</t>
  </si>
  <si>
    <t>PHẠM THANH HUYỀN</t>
  </si>
  <si>
    <t>AG011394</t>
  </si>
  <si>
    <t>VÕ THÚY HẠNH</t>
  </si>
  <si>
    <t>AG011596</t>
  </si>
  <si>
    <t>LÊ THỊ QUỲNH CHÂU</t>
  </si>
  <si>
    <t>AG011662</t>
  </si>
  <si>
    <t>NGUYỄN MINH HẢI</t>
  </si>
  <si>
    <t>AG008694</t>
  </si>
  <si>
    <t>NGUYỄN THANH QUANG</t>
  </si>
  <si>
    <t>AG008864</t>
  </si>
  <si>
    <t>TRẦN THỊ BÍCH NGỌC</t>
  </si>
  <si>
    <t>MEGA</t>
  </si>
  <si>
    <t>AG009036</t>
  </si>
  <si>
    <t>TRẦN THỊ THANH TÙNG</t>
  </si>
  <si>
    <t>AG009099</t>
  </si>
  <si>
    <t>NGUYỄN THỊ VÂN ANH</t>
  </si>
  <si>
    <t>AG009510</t>
  </si>
  <si>
    <t>HỒ THỊ TUYẾT MAI</t>
  </si>
  <si>
    <t>WHITE HORSE</t>
  </si>
  <si>
    <t>AG009538</t>
  </si>
  <si>
    <t>NGUYỄN THỊ NGUYỆT ÁNH</t>
  </si>
  <si>
    <t>AG009553</t>
  </si>
  <si>
    <t>ĐINH THỊ HIỀN</t>
  </si>
  <si>
    <t>AG011938</t>
  </si>
  <si>
    <t>PHẠM ĐÌNH TRÁNH</t>
  </si>
  <si>
    <t>AG012011</t>
  </si>
  <si>
    <t>TRẦN VĂN THỌ</t>
  </si>
  <si>
    <t>EVEREST</t>
  </si>
  <si>
    <t>AG012015</t>
  </si>
  <si>
    <t>LẠI THỊ BÍCH NGỌC</t>
  </si>
  <si>
    <t>BLUE WAVES</t>
  </si>
  <si>
    <t>AG012048</t>
  </si>
  <si>
    <t>NGUYỄN THỊ MAI</t>
  </si>
  <si>
    <t>AG012536</t>
  </si>
  <si>
    <t>TRẦN THỊ THANH BÌNH</t>
  </si>
  <si>
    <t>S_ZONE 1</t>
  </si>
  <si>
    <t>LIB</t>
  </si>
  <si>
    <t>AG009636</t>
  </si>
  <si>
    <t>CAO THỊ MỸ PHƯỚC</t>
  </si>
  <si>
    <t>AG009698</t>
  </si>
  <si>
    <t>TRẦN THANH NGA</t>
  </si>
  <si>
    <t>AG009699</t>
  </si>
  <si>
    <t>HÀ THỊ NGỌC SƯƠNG</t>
  </si>
  <si>
    <t>AG013192</t>
  </si>
  <si>
    <t>PHAN THỊ TRÚC LY</t>
  </si>
  <si>
    <t>AG013512</t>
  </si>
  <si>
    <t>ĐINH THỊ DƯƠNG</t>
  </si>
  <si>
    <t>AG014679</t>
  </si>
  <si>
    <t>HUỲNH TẤN KIỆM</t>
  </si>
  <si>
    <t>AG010330</t>
  </si>
  <si>
    <t>ĐỖ THỊ ÁNH NGUYỆT</t>
  </si>
  <si>
    <t>AG011072</t>
  </si>
  <si>
    <t>NGUYỄN THỊ MỸ LINH</t>
  </si>
  <si>
    <t>AG009929</t>
  </si>
  <si>
    <t>LÊ THỊ NGỌC HÀ</t>
  </si>
  <si>
    <t>AG009930</t>
  </si>
  <si>
    <t>ĐẶNG THỊ NGỌC ANH</t>
  </si>
  <si>
    <t>AG009931</t>
  </si>
  <si>
    <t>VŨ ĐÌNH HÓA</t>
  </si>
  <si>
    <t>AG009932</t>
  </si>
  <si>
    <t>TRƯƠNG BỬU HOA</t>
  </si>
  <si>
    <t>Allowance</t>
  </si>
  <si>
    <t>Joining 
Month</t>
  </si>
  <si>
    <t>Assume % qualified full scheme</t>
  </si>
  <si>
    <t>Total est. cost</t>
  </si>
  <si>
    <t>Scheme</t>
  </si>
  <si>
    <t>Actual Data</t>
  </si>
  <si>
    <t>Mix</t>
  </si>
  <si>
    <t>Projection</t>
  </si>
  <si>
    <t>Average</t>
  </si>
  <si>
    <t>FYC</t>
  </si>
  <si>
    <t>Using Average rates</t>
  </si>
  <si>
    <t>Risk mitigation:</t>
  </si>
  <si>
    <t>Using Jun-16 rates (as FYP &gt;40bil)</t>
  </si>
  <si>
    <t>Using seasonable rate</t>
  </si>
  <si>
    <t>%FYP</t>
  </si>
  <si>
    <t>Bonus Paid</t>
  </si>
  <si>
    <t>Bonus Paid/FYP</t>
  </si>
  <si>
    <t>3mths</t>
  </si>
  <si>
    <t>Total Qualified Bonus of</t>
  </si>
  <si>
    <t>M1: promoted before 15th of the month: M1 = promoted month</t>
  </si>
  <si>
    <t>promoted from 15th of the month: M1 = promoted month + 1</t>
  </si>
  <si>
    <t>M2 = M1+1; M3 = M2+1….</t>
  </si>
  <si>
    <t>Buffer 1.3 for Accum bonus</t>
  </si>
  <si>
    <t>Special New recruited UM support (09 months)</t>
  </si>
  <si>
    <t xml:space="preserve">This is special financial support for recruiting experienced leaders </t>
  </si>
  <si>
    <t>unit FYP (*)</t>
  </si>
  <si>
    <t>active(***)</t>
  </si>
  <si>
    <t>MP (**)</t>
  </si>
  <si>
    <t>Total UM</t>
  </si>
  <si>
    <t>Total UM under RSP</t>
  </si>
  <si>
    <t>Total UM under RSP/UM</t>
  </si>
  <si>
    <t>Total UM recruited</t>
  </si>
  <si>
    <t>Total UM of</t>
  </si>
  <si>
    <t>9mths L1</t>
  </si>
  <si>
    <t>9mths</t>
  </si>
  <si>
    <t>Earn total bonus if qualified accumulate production &amp; active for 9mths &amp; min 85% FY direct unit persistency</t>
  </si>
  <si>
    <t>M18</t>
  </si>
  <si>
    <t>Extra bonus on service month 18th</t>
  </si>
  <si>
    <t>mln if qualify full 9mths RSP targets (300mln FYP + 24 active months + 85% FY unit persistency)</t>
  </si>
  <si>
    <t>and 80% SY unit persistency at end of month 18th</t>
  </si>
  <si>
    <t>Assume : 50% promoted before 15 &amp; no UM ter during 9mth</t>
  </si>
  <si>
    <t>+ Computed &amp; paid after 1 month to exclude cancelled cases</t>
  </si>
  <si>
    <t>+ add requirement of MP to mitigate the risk in first 3 mths</t>
  </si>
  <si>
    <t>5.6.</t>
  </si>
  <si>
    <t>Special New recruited SM support (09 months)</t>
  </si>
  <si>
    <t>Group active (**)</t>
  </si>
  <si>
    <t>Direct Recruited DUMs (***)</t>
  </si>
  <si>
    <t>Total SM</t>
  </si>
  <si>
    <t>Total SM under RSP</t>
  </si>
  <si>
    <t>Total SM under RSP/SM</t>
  </si>
  <si>
    <t>Total SM recruited</t>
  </si>
  <si>
    <t>Total SM of</t>
  </si>
  <si>
    <t>&amp; min 85% FY direct unit persistency</t>
  </si>
  <si>
    <t>Not eligible for UM's RSP on direct unit</t>
  </si>
  <si>
    <t>DUMs will follow SM when SM promote to BM</t>
  </si>
  <si>
    <t>If AL leave within 12 service months period, clawback all paid RSP in first 3 months</t>
  </si>
  <si>
    <t>Extra bonus on service month 18th (scheme 2)</t>
  </si>
  <si>
    <r>
      <t xml:space="preserve">mln if qualify full 9mths RSP targets and </t>
    </r>
    <r>
      <rPr>
        <sz val="11"/>
        <rFont val="Calibri"/>
        <family val="2"/>
        <charset val="163"/>
        <scheme val="minor"/>
      </rPr>
      <t>85% FY direct unit persistency +</t>
    </r>
    <r>
      <rPr>
        <sz val="11"/>
        <rFont val="Calibri"/>
        <family val="2"/>
        <scheme val="minor"/>
      </rPr>
      <t xml:space="preserve"> 80%</t>
    </r>
    <r>
      <rPr>
        <sz val="11"/>
        <rFont val="Calibri"/>
        <family val="2"/>
        <charset val="163"/>
        <scheme val="minor"/>
      </rPr>
      <t xml:space="preserve"> SY direct unit </t>
    </r>
    <r>
      <rPr>
        <sz val="11"/>
        <rFont val="Calibri"/>
        <family val="2"/>
        <scheme val="minor"/>
      </rPr>
      <t>persistency at end of month 18</t>
    </r>
  </si>
  <si>
    <t>+ Require minimum 7mil IP for active agent</t>
  </si>
  <si>
    <t>5.7.</t>
  </si>
  <si>
    <t>Special New recruited BM support (12 months)</t>
  </si>
  <si>
    <t>DirectUnit 
FYP</t>
  </si>
  <si>
    <t>Branch active (*)</t>
  </si>
  <si>
    <t>No. Recruited UMs/
SMs</t>
  </si>
  <si>
    <t>Total BM</t>
  </si>
  <si>
    <t>Total BM under RSP</t>
  </si>
  <si>
    <t>Total BM under RSP/BM</t>
  </si>
  <si>
    <t>Total BM recruited</t>
  </si>
  <si>
    <t>Total BM of</t>
  </si>
  <si>
    <r>
      <t xml:space="preserve">(**) min 2 direct UMs </t>
    </r>
    <r>
      <rPr>
        <sz val="10"/>
        <color rgb="FFFF0000"/>
        <rFont val="Arial"/>
        <family val="2"/>
      </rPr>
      <t>recruited</t>
    </r>
  </si>
  <si>
    <r>
      <t>Earn total bonus if qualified accumulate production &amp; active</t>
    </r>
    <r>
      <rPr>
        <sz val="10"/>
        <color rgb="FFFF0000"/>
        <rFont val="Arial"/>
        <family val="2"/>
      </rPr>
      <t xml:space="preserve"> &amp; Recruited UMs/
SUMs</t>
    </r>
    <r>
      <rPr>
        <sz val="10"/>
        <rFont val="Arial"/>
        <family val="2"/>
      </rPr>
      <t xml:space="preserve"> for 12mths</t>
    </r>
  </si>
  <si>
    <t>&amp; min 85% FY branch persistency</t>
  </si>
  <si>
    <t>If AL leave within 18 service months period, clawback all paid RSP in first 3 months</t>
  </si>
  <si>
    <r>
      <t xml:space="preserve">mln if qualify full 12mths RSP targets and </t>
    </r>
    <r>
      <rPr>
        <sz val="11"/>
        <rFont val="Calibri"/>
        <family val="2"/>
        <charset val="163"/>
        <scheme val="minor"/>
      </rPr>
      <t>85% FY branch persistency +</t>
    </r>
    <r>
      <rPr>
        <sz val="11"/>
        <rFont val="Calibri"/>
        <family val="2"/>
        <scheme val="minor"/>
      </rPr>
      <t xml:space="preserve"> 80% </t>
    </r>
    <r>
      <rPr>
        <sz val="11"/>
        <rFont val="Calibri"/>
        <family val="2"/>
        <charset val="163"/>
        <scheme val="minor"/>
      </rPr>
      <t>SY</t>
    </r>
    <r>
      <rPr>
        <sz val="11"/>
        <rFont val="Calibri"/>
        <family val="2"/>
        <scheme val="minor"/>
      </rPr>
      <t xml:space="preserve"> branch persistency at month 18th</t>
    </r>
  </si>
  <si>
    <t>Applicable for BMs firstly promoted in 2016 only.</t>
  </si>
  <si>
    <t>5.8.</t>
  </si>
  <si>
    <t>Special New recruited SB support (12 months)</t>
  </si>
  <si>
    <t>Direct Branch FYP (*)</t>
  </si>
  <si>
    <t>Direct Unit 
FYP</t>
  </si>
  <si>
    <t>Direct branch Recruited UMs/
SMs</t>
  </si>
  <si>
    <t>Direct Branch MP</t>
  </si>
  <si>
    <t>Total SB</t>
  </si>
  <si>
    <t>Total SB under RSP</t>
  </si>
  <si>
    <t>Total SB under RSP/SB</t>
  </si>
  <si>
    <t>Total SB recruited</t>
  </si>
  <si>
    <t>Total SB of</t>
  </si>
  <si>
    <t>Earn total bonus if qualified accumulate production &amp; active &amp; Recruited UMs/
SUMs for 12mths</t>
  </si>
  <si>
    <t>&amp; min 85% FY direct branch persistency</t>
  </si>
  <si>
    <t>mln if qualify full 12mths RSP targets and 85% FY branch persistency</t>
  </si>
  <si>
    <t>+ 80% SY direct branch persistency at month 18th</t>
  </si>
  <si>
    <t>Applicable for SBs firstly promoted in 2016 only.</t>
  </si>
  <si>
    <t>SB</t>
  </si>
  <si>
    <t># UM Promotion</t>
  </si>
  <si>
    <t>UM Promotion</t>
  </si>
  <si>
    <t>Production of daughter UM unit</t>
  </si>
  <si>
    <t>Monthly Unit FYP</t>
  </si>
  <si>
    <t>Mix qualifier</t>
  </si>
  <si>
    <t>Production Segment</t>
  </si>
  <si>
    <t>First year bonus</t>
  </si>
  <si>
    <t>Bonus on second year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</si>
  <si>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</si>
  <si>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</si>
  <si>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</si>
  <si>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</si>
  <si>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</si>
  <si>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</si>
  <si>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</si>
  <si>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</si>
  <si>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</si>
  <si>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</si>
  <si>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Total Recruitment</t>
  </si>
  <si>
    <t>M1_Total AG</t>
  </si>
  <si>
    <t>M1_Qualifier</t>
  </si>
  <si>
    <t>M1_% Qualifier</t>
  </si>
  <si>
    <t>Total AG qualified 3mth</t>
  </si>
  <si>
    <t>Rookie_Bangkok Trip</t>
  </si>
  <si>
    <t>1 Ticket_Qualifier</t>
  </si>
  <si>
    <t>1 Ticket_% Qualifier</t>
  </si>
  <si>
    <t>Total cost</t>
  </si>
  <si>
    <t>2017 Projection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</si>
  <si>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</si>
  <si>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</si>
  <si>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</si>
  <si>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</si>
  <si>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</si>
  <si>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</si>
  <si>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</si>
  <si>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</si>
  <si>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Qualified AL</t>
  </si>
  <si>
    <t>1. New Rookie Active in M1</t>
  </si>
  <si>
    <t># Qualified Rookies</t>
  </si>
  <si>
    <t>Bonus to Leader</t>
  </si>
  <si>
    <t>3. Thailand trip to Leader</t>
  </si>
  <si>
    <t>2017Q1</t>
  </si>
  <si>
    <t>2017Q2</t>
  </si>
  <si>
    <t>2017Q3</t>
  </si>
  <si>
    <t>2017Q4</t>
  </si>
  <si>
    <t># Qualified Leader</t>
  </si>
  <si>
    <t>Medical insurance for ALs</t>
  </si>
  <si>
    <t>BM Allowance</t>
  </si>
  <si>
    <t>GA Model 2016-2022</t>
  </si>
  <si>
    <t>(Spread out up-front fee by month)</t>
  </si>
  <si>
    <t>Growth</t>
  </si>
  <si>
    <t>GA Contribution</t>
  </si>
  <si>
    <t>Year</t>
  </si>
  <si>
    <t>Total APE of GAs</t>
  </si>
  <si>
    <t>Total FYP of GAs</t>
  </si>
  <si>
    <t>New GAs in year</t>
  </si>
  <si>
    <t>Big</t>
  </si>
  <si>
    <t>Med</t>
  </si>
  <si>
    <t>Small</t>
  </si>
  <si>
    <t>Total GA</t>
  </si>
  <si>
    <r>
      <t xml:space="preserve">Total GA expenses </t>
    </r>
    <r>
      <rPr>
        <sz val="10"/>
        <rFont val="Arial"/>
        <family val="2"/>
        <charset val="163"/>
      </rPr>
      <t>(Mn dong)</t>
    </r>
  </si>
  <si>
    <t>Payment</t>
  </si>
  <si>
    <t>NPV</t>
  </si>
  <si>
    <t>Agency Statistics:</t>
  </si>
  <si>
    <t>Total ALs recruited</t>
  </si>
  <si>
    <t>Total AGs recruited</t>
  </si>
  <si>
    <t>Ending manpower</t>
  </si>
  <si>
    <t>Average AL</t>
  </si>
  <si>
    <t>Average APE per agent</t>
  </si>
  <si>
    <t>KPIs:</t>
  </si>
  <si>
    <t>Cases</t>
  </si>
  <si>
    <t>Agent months</t>
  </si>
  <si>
    <t>AR</t>
  </si>
  <si>
    <t>Case size</t>
  </si>
  <si>
    <t>Cases per active</t>
  </si>
  <si>
    <t>Recruited AG per AL/month</t>
  </si>
  <si>
    <t>Growth of agent months</t>
  </si>
  <si>
    <t>Growth of case size</t>
  </si>
  <si>
    <t>Growth of case per active</t>
  </si>
  <si>
    <t>Growth of recruited AG per AL</t>
  </si>
  <si>
    <t>Growth of average AL</t>
  </si>
  <si>
    <t>Medium</t>
  </si>
  <si>
    <t>Annual Convention Trip (Gen-Star Trip)</t>
  </si>
  <si>
    <t>Asia trip</t>
  </si>
  <si>
    <t>Euroupe Trip</t>
  </si>
  <si>
    <t>Management + Support</t>
  </si>
  <si>
    <t>GA APE Contribution</t>
  </si>
  <si>
    <t>Comp - non GA</t>
  </si>
  <si>
    <t>Cost new MDRT in 2017</t>
  </si>
  <si>
    <t>Comp - non GA + MDRT + RSP</t>
  </si>
  <si>
    <t>Avg Prod in next quarter</t>
  </si>
  <si>
    <t>Total UM in 1st year</t>
  </si>
  <si>
    <t>Total UM in 2nd year</t>
  </si>
  <si>
    <t>UM in first year</t>
  </si>
  <si>
    <t>UM in second year</t>
  </si>
  <si>
    <t>i) Bonus to UM</t>
  </si>
  <si>
    <t>ii) Bonus on first year for new UM promotion in 2017</t>
  </si>
  <si>
    <t>iii) Bonus on first year/second year for UM promotion/recruited UM in 2016</t>
  </si>
  <si>
    <t>MUM Bonus</t>
  </si>
  <si>
    <t>MBM Bonus</t>
  </si>
  <si>
    <t>i) Bonus on first year for new UM promotion in 2017</t>
  </si>
  <si>
    <t>ii) Bonus on first year/second year for UM promotion/recruited UM in 2016</t>
  </si>
  <si>
    <t># Promoted BM in 2017</t>
  </si>
  <si>
    <t>Total BM in 1st year</t>
  </si>
  <si>
    <t>Total BM in 2nd year</t>
  </si>
  <si>
    <t>Total BM in 3rd year</t>
  </si>
  <si>
    <t>BM in first year</t>
  </si>
  <si>
    <t>BM in second year</t>
  </si>
  <si>
    <t>BM in third year</t>
  </si>
  <si>
    <t>2016 P</t>
  </si>
  <si>
    <t>2017 P</t>
  </si>
  <si>
    <t>2016 YTDSep A</t>
  </si>
  <si>
    <t>New rookie active M1</t>
  </si>
  <si>
    <t>(1 pol + 12 Mil IP)</t>
  </si>
  <si>
    <t>Buffer 1.15 for Accum bonus</t>
  </si>
  <si>
    <t>Medical insurance for MDRT/BM/SB</t>
  </si>
  <si>
    <t xml:space="preserve">Health insurance </t>
  </si>
  <si>
    <t>MDRT</t>
  </si>
  <si>
    <t>BM/SBM</t>
  </si>
  <si>
    <t>unit Cost</t>
  </si>
  <si>
    <t>Comp - (non GA/MDRT/RSP)</t>
  </si>
  <si>
    <t>Comp - (non GA/MDRT/RSP/Contest)</t>
  </si>
  <si>
    <t>Promotion</t>
  </si>
  <si>
    <t>AG to US</t>
  </si>
  <si>
    <t>US to UM</t>
  </si>
  <si>
    <t>Maintenance of Contract</t>
  </si>
  <si>
    <t xml:space="preserve">Evaluation frequency: monthly </t>
  </si>
  <si>
    <t>if average BD team activity ratio (1 case 6m IP) in last 3 months at least 35%, NO auto termination</t>
  </si>
  <si>
    <r>
      <rPr>
        <strike/>
        <sz val="10"/>
        <color rgb="FFFF0000"/>
        <rFont val="Arial"/>
        <family val="2"/>
        <charset val="163"/>
      </rPr>
      <t xml:space="preserve">if average BD team activity ratio (1 case 6m IP) in last 3 months lower than 35%, </t>
    </r>
    <r>
      <rPr>
        <sz val="10"/>
        <rFont val="Arial"/>
        <family val="2"/>
        <charset val="163"/>
      </rPr>
      <t>apply 3 months MoC validation that require minimum 1 case per 3 last months</t>
    </r>
  </si>
  <si>
    <t>The auto termination process still include BD review</t>
  </si>
  <si>
    <t>PFA</t>
  </si>
  <si>
    <t>Evaluation frequency: quarterly</t>
  </si>
  <si>
    <t>Evaluation frequency: 6 months (min 6mths service)</t>
  </si>
  <si>
    <t>Production for last 12 months: (min 3mths service)</t>
  </si>
  <si>
    <t>same as promotion evaluation</t>
  </si>
  <si>
    <t>250m FYP + 12 cases</t>
  </si>
  <si>
    <t>if fail MOC, to be demoted to agent</t>
  </si>
  <si>
    <t>60% activity ratio</t>
  </si>
  <si>
    <t>Min 85% persistency</t>
  </si>
  <si>
    <t>SPFA</t>
  </si>
  <si>
    <t>Evaluation frequency: 6 months (min 6 mths service)</t>
  </si>
  <si>
    <t>(MDRT)</t>
  </si>
  <si>
    <t>Production for last 12 months: (min 6mths service)</t>
  </si>
  <si>
    <t>500m FYP + 20 cases</t>
  </si>
  <si>
    <t>if fail MOC, to be demoted to PFA</t>
  </si>
  <si>
    <t>US</t>
  </si>
  <si>
    <t>Individual Production for last 6 months:</t>
  </si>
  <si>
    <t xml:space="preserve">if can not achieve UM promotion within 12mths, </t>
  </si>
  <si>
    <t xml:space="preserve">50m FYP (excl referred agents) + 5cases </t>
  </si>
  <si>
    <t>or</t>
  </si>
  <si>
    <t>70m FYP (incl referred agents but max 35mil) + 5 cases</t>
  </si>
  <si>
    <t>to be demoted to agent</t>
  </si>
  <si>
    <t xml:space="preserve">Active 2 months </t>
  </si>
  <si>
    <t>Referred 2 agents (still active at the time of evaluation)</t>
  </si>
  <si>
    <t>Completed 4/12 sections of Skillful Program</t>
  </si>
  <si>
    <t>Daughter US of US</t>
  </si>
  <si>
    <t>in case agent of US (US1) to be promoted to US (US2) when the mother is still in US position</t>
  </si>
  <si>
    <t>the daugther US (US2) will report directly to direct leader of the mother US (US1)</t>
  </si>
  <si>
    <t>since US 2 promotion, US 2 personal sale to be counted for direct leader of US 1</t>
  </si>
  <si>
    <t>When US1 to be promoted to UM (UM1), AD can send request for moving back the US2 to UM1</t>
  </si>
  <si>
    <t>if US already promoted to UM (UM2) before UM1 promotion, the builder bonus will be paid to UM 1 from</t>
  </si>
  <si>
    <t>the tranferred date. The 2 years bonus period is still counted from UM 2 promotion date</t>
  </si>
  <si>
    <t>AG 2 promote to US2</t>
  </si>
  <si>
    <t>US 1 promote to UM1</t>
  </si>
  <si>
    <t>Evaluation frequency: monthly</t>
  </si>
  <si>
    <t>Evaluation frequency: 6 months (for UM more than or equal 12 servicing months)</t>
  </si>
  <si>
    <t>Production of downline agents and 50% US personal production for last 6 months:</t>
  </si>
  <si>
    <t>Unit production for 6 months</t>
  </si>
  <si>
    <t>150m FYP + 10 cases (maximum 50mln + 4 cases from US personal)</t>
  </si>
  <si>
    <t>100m FYP</t>
  </si>
  <si>
    <t>30% avg unit activity ratio</t>
  </si>
  <si>
    <t>min 2 recruits</t>
  </si>
  <si>
    <t>6 agents at evaluation</t>
  </si>
  <si>
    <t>min 20% avg direct unit activity ratio</t>
  </si>
  <si>
    <t>Min 85% unit persistency</t>
  </si>
  <si>
    <t>if fail, to be demoted to agent</t>
  </si>
  <si>
    <t>Completed 8/12 sections of Skillful Program (Huan luyen ky nang hang tuan)</t>
  </si>
  <si>
    <t>having min 1 DUM &amp; still maintain UM contract</t>
  </si>
  <si>
    <t>Evaluation frequency: 6 months (for SM more than or equal 12 servicing months)</t>
  </si>
  <si>
    <t>having min 1 DUM promoted or recruited in last 2 years &amp; still maintain UM contract</t>
  </si>
  <si>
    <t>if fail, to be demoted to UM</t>
  </si>
  <si>
    <t>Evaluation frequency: yearly (min 12mths service)</t>
  </si>
  <si>
    <t>Evaluation frequency: yearly  (for BM more than or equal 12 servicing months)</t>
  </si>
  <si>
    <t xml:space="preserve">Minimum 3 downline UMs  (including DUMs promoted at the same validation time) </t>
  </si>
  <si>
    <t>Production of whole branch for last 12 months</t>
  </si>
  <si>
    <t>Production of own unit &amp; downline units:</t>
  </si>
  <si>
    <t>1bn / 12mths</t>
  </si>
  <si>
    <t>1bn group FYP/ 12mths</t>
  </si>
  <si>
    <t>and Production of own unit for last 12 months</t>
  </si>
  <si>
    <t>total 100 active months/12mths</t>
  </si>
  <si>
    <t xml:space="preserve">200m / 12mths </t>
  </si>
  <si>
    <t>30% avg activity ratio of the whole group</t>
  </si>
  <si>
    <t>min 20% branch avg activity ratio</t>
  </si>
  <si>
    <t>Min 85% persistency for each of units</t>
  </si>
  <si>
    <t>if fail, to be demoted to SM</t>
  </si>
  <si>
    <t>and Production of own unit: 400mil / 12mths</t>
  </si>
  <si>
    <t>Full-time working</t>
  </si>
  <si>
    <t>having min 1 DBM &amp; still maintain BM contract</t>
  </si>
  <si>
    <t>Evaluation frequency: yearly (for SB more than or equal 12 servicing months)</t>
  </si>
  <si>
    <t>Production of whole mother-branch (including Daughter branch)</t>
  </si>
  <si>
    <t>2bil FYP/ 12mths</t>
  </si>
  <si>
    <t>min 1 DBM</t>
  </si>
  <si>
    <t>min 20% direct branch avg activity ratio</t>
  </si>
  <si>
    <t>if fail, to be demoted to BM</t>
  </si>
  <si>
    <t>Evaluation frequency: monthly (min 3 servicing months)</t>
  </si>
  <si>
    <t>2017 Scheme</t>
  </si>
  <si>
    <r>
      <t>if can not achieve UM promotion within</t>
    </r>
    <r>
      <rPr>
        <u/>
        <sz val="10"/>
        <color rgb="FFFF0000"/>
        <rFont val="Arial"/>
        <family val="2"/>
        <charset val="163"/>
      </rPr>
      <t xml:space="preserve"> 09mths</t>
    </r>
    <r>
      <rPr>
        <sz val="10"/>
        <color rgb="FFFF0000"/>
        <rFont val="Arial"/>
        <family val="2"/>
        <charset val="163"/>
      </rPr>
      <t xml:space="preserve">, </t>
    </r>
  </si>
  <si>
    <t>AGENT</t>
  </si>
  <si>
    <t>AGENCY VALIDATION &amp; PROMOTION</t>
  </si>
  <si>
    <t xml:space="preserve">50m FYP (excl referred agents) + 4cases </t>
  </si>
  <si>
    <t>Ref: 32% AG qualified FYP but disqualified # policies</t>
  </si>
  <si>
    <t>Suggest to reduce # policy requirement</t>
  </si>
  <si>
    <t>Use 01 scheme (count individual production)</t>
  </si>
  <si>
    <t>Referred 2 agents (still active at the time of evaluation)??</t>
  </si>
  <si>
    <t>Completed 4/12 sections of Skillful Program??</t>
  </si>
  <si>
    <r>
      <t xml:space="preserve">Evaluation frequency: </t>
    </r>
    <r>
      <rPr>
        <u/>
        <sz val="10"/>
        <color rgb="FFFF0000"/>
        <rFont val="Arial"/>
        <family val="2"/>
        <charset val="163"/>
      </rPr>
      <t>Quarterly</t>
    </r>
    <r>
      <rPr>
        <sz val="10"/>
        <rFont val="Arial"/>
        <family val="2"/>
        <charset val="163"/>
      </rPr>
      <t xml:space="preserve"> (for UM more than or equal </t>
    </r>
    <r>
      <rPr>
        <u/>
        <sz val="10"/>
        <color rgb="FFFF0000"/>
        <rFont val="Arial"/>
        <family val="2"/>
        <charset val="163"/>
      </rPr>
      <t>06 servicing months</t>
    </r>
    <r>
      <rPr>
        <sz val="10"/>
        <rFont val="Arial"/>
        <family val="2"/>
        <charset val="163"/>
      </rPr>
      <t>)</t>
    </r>
  </si>
  <si>
    <t>min 08 # Active Agents in last 06 mths</t>
  </si>
  <si>
    <t>min 5 agents in team (including UM) at validation time</t>
  </si>
  <si>
    <t>Production of downline agents for last 6 months:</t>
  </si>
  <si>
    <t xml:space="preserve">min 06 #Active </t>
  </si>
  <si>
    <t>130m FYP + 08 cases</t>
  </si>
  <si>
    <t>UM to SUM</t>
  </si>
  <si>
    <t>Evaluation frequency: Quarterly</t>
  </si>
  <si>
    <t>Production in last 06 months</t>
  </si>
  <si>
    <t>At least 3 month as UM</t>
  </si>
  <si>
    <t>At least 6 month as SUM</t>
  </si>
  <si>
    <t>At least 6 month as BM</t>
  </si>
  <si>
    <t>From</t>
  </si>
  <si>
    <t>To</t>
  </si>
  <si>
    <t>Monthly</t>
  </si>
  <si>
    <t>Quarterly</t>
  </si>
  <si>
    <t>Semi-Annual</t>
  </si>
  <si>
    <t>At least 03 servicing months at AG</t>
  </si>
  <si>
    <t>Frequency</t>
  </si>
  <si>
    <t>Last 03 months</t>
  </si>
  <si>
    <t>Last 06 months</t>
  </si>
  <si>
    <t>Last 12 months</t>
  </si>
  <si>
    <t>Servicing month</t>
  </si>
  <si>
    <t>NA</t>
  </si>
  <si>
    <t>Persistency 02 years: 85%</t>
  </si>
  <si>
    <t>Training</t>
  </si>
  <si>
    <t>50 Mil FYP + 4 policies
(individual production)</t>
  </si>
  <si>
    <t xml:space="preserve">6 Active Agent Month </t>
  </si>
  <si>
    <t>5 Agents in Unit</t>
  </si>
  <si>
    <t>Persistency 02 year 85%</t>
  </si>
  <si>
    <t>Group FYP &gt;=250mil + 15 policies
(direct + indirect unit)</t>
  </si>
  <si>
    <t xml:space="preserve">15 Active Agent Month </t>
  </si>
  <si>
    <t>Dev 01 UM + 01 US</t>
  </si>
  <si>
    <t>Production of own unit: 400mil</t>
  </si>
  <si>
    <t>Dev 03 UM</t>
  </si>
  <si>
    <t>80 Active Agent Month</t>
  </si>
  <si>
    <t>Dev 01 BM</t>
  </si>
  <si>
    <t>Production of direct branch: 1.5 bil</t>
  </si>
  <si>
    <t>-&gt; Servicing AG</t>
  </si>
  <si>
    <t>No new business + min 01 IF policy</t>
  </si>
  <si>
    <t>Servicing AG in 12 months + no IF policy</t>
  </si>
  <si>
    <t>-&gt; Terminate</t>
  </si>
  <si>
    <t>Servicing AG active in month</t>
  </si>
  <si>
    <t>-&gt; Next month: Active AG</t>
  </si>
  <si>
    <t>No promotion to UM within 09 months</t>
  </si>
  <si>
    <t>-&gt; demoted to AG</t>
  </si>
  <si>
    <t>UM min. 06 servicing months</t>
  </si>
  <si>
    <t>SUM min. 06 servicing months</t>
  </si>
  <si>
    <t>Direct unit: 100 m FYP</t>
  </si>
  <si>
    <t>BM min. 06 servicing months</t>
  </si>
  <si>
    <t>Group FYP &gt;= 1.0 bil</t>
  </si>
  <si>
    <t>Key focus</t>
  </si>
  <si>
    <t>Key changes</t>
  </si>
  <si>
    <t>Promote consistency performance</t>
  </si>
  <si>
    <t>Build &amp; retain core agents/leaders</t>
  </si>
  <si>
    <t xml:space="preserve">Improve Agency Leader’s role &amp; performance </t>
  </si>
  <si>
    <t>Shift investment to internal promotion, gradually reduce external leader recruitment</t>
  </si>
  <si>
    <t>Improve productivity</t>
  </si>
  <si>
    <t>Improve product mix</t>
  </si>
  <si>
    <r>
      <t>-</t>
    </r>
    <r>
      <rPr>
        <sz val="10"/>
        <color rgb="FF000000"/>
        <rFont val="Arial Regular"/>
      </rPr>
      <t>Individual quarterly production bonus: more incentive to performer who active consistently in Quarter</t>
    </r>
  </si>
  <si>
    <r>
      <t>-</t>
    </r>
    <r>
      <rPr>
        <sz val="10"/>
        <color rgb="FF000000"/>
        <rFont val="Arial Regular"/>
      </rPr>
      <t>Gen-Lion: offer additional bonus to consistency performance</t>
    </r>
  </si>
  <si>
    <r>
      <t>-</t>
    </r>
    <r>
      <rPr>
        <sz val="10"/>
        <color rgb="FF000000"/>
        <rFont val="Arial Regular"/>
      </rPr>
      <t>Introduce core agent/leader program: Gen-Lion, Gen-Champion, Gen-Captain</t>
    </r>
  </si>
  <si>
    <r>
      <t>-</t>
    </r>
    <r>
      <rPr>
        <sz val="10"/>
        <color rgb="FF000000"/>
        <rFont val="Arial Regular"/>
      </rPr>
      <t>Create perception: core agent = consistent active 1 pol + 12 Mil IP</t>
    </r>
  </si>
  <si>
    <r>
      <t>-</t>
    </r>
    <r>
      <rPr>
        <sz val="10"/>
        <color rgb="FF000000"/>
        <rFont val="Arial Regular"/>
      </rPr>
      <t>Long term incentive to very top performers</t>
    </r>
  </si>
  <si>
    <r>
      <t>-</t>
    </r>
    <r>
      <rPr>
        <sz val="10"/>
        <color rgb="FF000000"/>
        <rFont val="Arial Regular"/>
      </rPr>
      <t>Development bonus: only incentivize AL who develop their internal agents</t>
    </r>
  </si>
  <si>
    <r>
      <t>-</t>
    </r>
    <r>
      <rPr>
        <sz val="10"/>
        <color rgb="FF000000"/>
        <rFont val="Arial Regular"/>
      </rPr>
      <t>Require # promoted AG as key KPI to eligible Core Leader bonus</t>
    </r>
  </si>
  <si>
    <r>
      <t>-</t>
    </r>
    <r>
      <rPr>
        <sz val="10"/>
        <color rgb="FF000000"/>
        <rFont val="Arial Regular"/>
      </rPr>
      <t>Some schemes don’t take into account AL’s individual production</t>
    </r>
  </si>
  <si>
    <r>
      <t>-</t>
    </r>
    <r>
      <rPr>
        <sz val="10"/>
        <color rgb="FF000000"/>
        <rFont val="Arial Regular"/>
      </rPr>
      <t>Restrict # external recruited AL</t>
    </r>
  </si>
  <si>
    <r>
      <t>-</t>
    </r>
    <r>
      <rPr>
        <sz val="10"/>
        <color rgb="FF000000"/>
        <rFont val="Arial Regular"/>
      </rPr>
      <t>Structure new US promotion program to develop more competent UM layer</t>
    </r>
  </si>
  <si>
    <r>
      <t>-</t>
    </r>
    <r>
      <rPr>
        <sz val="10"/>
        <color rgb="FF000000"/>
        <rFont val="Arial Regular"/>
      </rPr>
      <t>Rich incentive to AG who get promotion and AL who develop successfully their AG to be AL</t>
    </r>
  </si>
  <si>
    <r>
      <t>-</t>
    </r>
    <r>
      <rPr>
        <sz val="10"/>
        <color rgb="FF000000"/>
        <rFont val="Arial Regular"/>
      </rPr>
      <t>Increase requirement of production level in all production bonus scheme</t>
    </r>
  </si>
  <si>
    <r>
      <t>-</t>
    </r>
    <r>
      <rPr>
        <sz val="10"/>
        <color rgb="FF000000"/>
        <rFont val="Arial Regular"/>
      </rPr>
      <t>Increase definition of active AG: 1 pol + 8 Mil IP</t>
    </r>
  </si>
  <si>
    <r>
      <t>-</t>
    </r>
    <r>
      <rPr>
        <sz val="10"/>
        <color rgb="FF000000"/>
        <rFont val="Arial Regular"/>
      </rPr>
      <t>Stop CI product bonus</t>
    </r>
  </si>
  <si>
    <r>
      <t>-</t>
    </r>
    <r>
      <rPr>
        <sz val="10"/>
        <color rgb="FF000000"/>
        <rFont val="Arial Regular"/>
      </rPr>
      <t>More incentive to UL product</t>
    </r>
  </si>
  <si>
    <r>
      <t>-</t>
    </r>
    <r>
      <rPr>
        <sz val="10"/>
        <color rgb="FF000000"/>
        <rFont val="Arial Regular"/>
      </rPr>
      <t>More incentive to high rider attachment ratio</t>
    </r>
  </si>
  <si>
    <t xml:space="preserve">Approach: Build more productive &amp; long term sustainable agency force </t>
  </si>
  <si>
    <t>Frequency: every quarter (Jan, Apr, Jul, Oct)</t>
  </si>
  <si>
    <t>Bonus on next quarter's production</t>
  </si>
  <si>
    <t>Monthly payment</t>
  </si>
  <si>
    <t>Quarter end payment</t>
  </si>
  <si>
    <t>Frequency: Quarterly (Jan, Apr, Jul, Oct)</t>
  </si>
  <si>
    <t>Frequency: semi-annually (Apr, Oct)</t>
  </si>
  <si>
    <t>Remove US Quarterly production bonus &amp; RSP (as in reality very few US qualified this bonus)</t>
  </si>
  <si>
    <t xml:space="preserve">Structure US promotion 6 month support program support </t>
  </si>
  <si>
    <t>Unit FYP &gt;=120mil + 08 policies
(not including US sales)</t>
  </si>
  <si>
    <t>- Minimum 70% Second year Persistency</t>
  </si>
  <si>
    <t>Mil</t>
  </si>
  <si>
    <t>UM promoted in 03 months</t>
  </si>
  <si>
    <t>UM promoted in 06 months</t>
  </si>
  <si>
    <t>Apr'17</t>
  </si>
  <si>
    <t>Oct'17</t>
  </si>
  <si>
    <t># BM/SB</t>
  </si>
  <si>
    <t>Monthly fixed allowance</t>
  </si>
  <si>
    <t>(in next 06 months)</t>
  </si>
  <si>
    <t>GVL Agency Compensation - Long term projection</t>
  </si>
  <si>
    <t>Consider:</t>
  </si>
  <si>
    <t>remove non-fincial benefits</t>
  </si>
  <si>
    <t>monthly phone allowance</t>
  </si>
  <si>
    <t>&lt;50</t>
  </si>
  <si>
    <t>&lt;150</t>
  </si>
  <si>
    <t>Active new recruit: Min 1 Case + 8 Mil IP M1</t>
  </si>
  <si>
    <t>HEALTH INSURANCE</t>
  </si>
  <si>
    <t>Avg Unit Productivity</t>
  </si>
  <si>
    <t>Agency Sales Plan  2017 - 2022</t>
  </si>
  <si>
    <t>KPI</t>
  </si>
  <si>
    <t>Recruitment &amp; Manpower</t>
  </si>
  <si>
    <t># Ending AL</t>
  </si>
  <si>
    <t>% Active AL</t>
  </si>
  <si>
    <t># New recruit/Active AL</t>
  </si>
  <si>
    <t># New recruit AL</t>
  </si>
  <si>
    <t># Total New recruit</t>
  </si>
  <si>
    <t># Manpower</t>
  </si>
  <si>
    <t>Production &amp; Productivity</t>
  </si>
  <si>
    <t>Case/Active</t>
  </si>
  <si>
    <t>APE/Active Agent</t>
  </si>
  <si>
    <t>APE/Manpower</t>
  </si>
  <si>
    <t>APE Growth</t>
  </si>
  <si>
    <t>APE contribution_New recruit</t>
  </si>
  <si>
    <t># Unit AL</t>
  </si>
  <si>
    <t># Avg AL</t>
  </si>
  <si>
    <t># Branch</t>
  </si>
  <si>
    <t>Production requirement is supposed to adjust every year</t>
  </si>
  <si>
    <t>Avg Prod/Quarter</t>
  </si>
  <si>
    <t>TOTAL COST</t>
  </si>
  <si>
    <t>FYP/APE</t>
  </si>
  <si>
    <t># New recruits</t>
  </si>
  <si>
    <t>% Qualifier_M1</t>
  </si>
  <si>
    <t>M1 Active Bonus</t>
  </si>
  <si>
    <t>Bangkok Trip</t>
  </si>
  <si>
    <t>%Qualifier</t>
  </si>
  <si>
    <t>(Assume Unit cost inflat 10% every year)</t>
  </si>
  <si>
    <t>Bangkok_Leader</t>
  </si>
  <si>
    <t>% AL_Qualifier</t>
  </si>
  <si>
    <t>Monthly Fixed Allowance</t>
  </si>
  <si>
    <t>Accumulated bonus</t>
  </si>
  <si>
    <t>Discounted value</t>
  </si>
  <si>
    <t>Y0</t>
  </si>
  <si>
    <t>Payment schedule:</t>
  </si>
  <si>
    <t xml:space="preserve">Present value at Y0: </t>
  </si>
  <si>
    <t>Assumption of IR</t>
  </si>
  <si>
    <t>BM/SB</t>
  </si>
  <si>
    <t># MDRT</t>
  </si>
  <si>
    <t>COST</t>
  </si>
  <si>
    <t>Targeted Qualifier Mix</t>
  </si>
  <si>
    <t>Targeted Mix Qualifer</t>
  </si>
  <si>
    <t>Targeted Mix Qualifier</t>
  </si>
  <si>
    <t>1. Basic commission</t>
  </si>
  <si>
    <t>2. Quarterly Production Bonus</t>
  </si>
  <si>
    <t>(from Actuarial Team)</t>
  </si>
  <si>
    <t>OAC (excluding contest and allowances)</t>
  </si>
  <si>
    <t>OAC Loading</t>
  </si>
  <si>
    <t>Saving from OAC</t>
  </si>
  <si>
    <t>Total Comp less OAC Saving</t>
  </si>
  <si>
    <t xml:space="preserve">Avg 99% contribution of direct unit to total production </t>
  </si>
  <si>
    <t xml:space="preserve">Avg 90% contribution of direct branch to total production </t>
  </si>
  <si>
    <t># AG promoted to US</t>
  </si>
  <si>
    <t>mln on UM promotion with in 3 month</t>
  </si>
  <si>
    <t>mln on UM promotion with in 6 month</t>
  </si>
  <si>
    <t>% Qualifier_3 mth</t>
  </si>
  <si>
    <t>% Qualifier_6 mth</t>
  </si>
  <si>
    <t>#New BM</t>
  </si>
  <si>
    <t># New UM</t>
  </si>
  <si>
    <t>previous version</t>
  </si>
  <si>
    <t>YTD Amount</t>
  </si>
  <si>
    <t>% YTD FYP</t>
  </si>
  <si>
    <t>Actual spending H1''17</t>
  </si>
  <si>
    <t>Termination ratio</t>
  </si>
  <si>
    <t>Actual H1</t>
  </si>
  <si>
    <t>Projection H2</t>
  </si>
  <si>
    <t>UL Bonus</t>
  </si>
  <si>
    <t>CI Bonus</t>
  </si>
  <si>
    <t>Minium APE per policy: 12 Mil</t>
  </si>
  <si>
    <t>Term</t>
  </si>
  <si>
    <t>1-2 rider</t>
  </si>
  <si>
    <t>&gt;=3 rider</t>
  </si>
  <si>
    <t>CI Mix</t>
  </si>
  <si>
    <t>CI FYP Mix</t>
  </si>
  <si>
    <t>Billing Frenquency: 1</t>
  </si>
  <si>
    <t>Ci FYP Basic</t>
  </si>
  <si>
    <t>#Policy</t>
  </si>
  <si>
    <t>0 rider</t>
  </si>
  <si>
    <t>Policy Mix</t>
  </si>
  <si>
    <t>#FYP Basic</t>
  </si>
  <si>
    <t>FYP Basic Mix</t>
  </si>
  <si>
    <t>#Cost</t>
  </si>
  <si>
    <t>Cost for Old CIB</t>
  </si>
  <si>
    <t>CI FYP</t>
  </si>
  <si>
    <t>All</t>
  </si>
  <si>
    <t>Qualified Pols</t>
  </si>
  <si>
    <t>GVL AGENCY COMPENSATION &amp; INCENTIVE - GA</t>
  </si>
  <si>
    <t>Ref</t>
  </si>
  <si>
    <t>YTD</t>
  </si>
  <si>
    <t>Total FYP (Tied Agency)</t>
  </si>
  <si>
    <t>Total FYP (GA)</t>
  </si>
  <si>
    <t>Big (&gt;=1bil)</t>
  </si>
  <si>
    <t>Medium (&gt;=0.5bil)</t>
  </si>
  <si>
    <t>Very Big (&gt;=3bil)</t>
  </si>
  <si>
    <t># GA</t>
  </si>
  <si>
    <t>H2</t>
  </si>
  <si>
    <t>New</t>
  </si>
  <si>
    <t>&gt;=2500</t>
  </si>
  <si>
    <t>&gt;=2000</t>
  </si>
  <si>
    <t>&gt;=1500</t>
  </si>
  <si>
    <t>&gt;=1000</t>
  </si>
  <si>
    <t>&lt;1000</t>
  </si>
  <si>
    <t>FYP Segment</t>
  </si>
  <si>
    <t>#GA</t>
  </si>
  <si>
    <t>Ave FYP</t>
  </si>
  <si>
    <t>FYP contribution</t>
  </si>
  <si>
    <t>GA Mix</t>
  </si>
  <si>
    <t>&gt;=7000</t>
  </si>
  <si>
    <t>&gt;=5000</t>
  </si>
  <si>
    <t>&lt;2500</t>
  </si>
  <si>
    <t>15%-30%</t>
  </si>
  <si>
    <t>30%-50%</t>
  </si>
  <si>
    <t>50%-70%</t>
  </si>
  <si>
    <t>70%-100%</t>
  </si>
  <si>
    <t>&gt;=100%</t>
  </si>
  <si>
    <t>&lt;15%</t>
  </si>
  <si>
    <t>Productivity</t>
  </si>
  <si>
    <t>ActiveAL</t>
  </si>
  <si>
    <t>&lt;25%</t>
  </si>
  <si>
    <t>&gt;=3</t>
  </si>
  <si>
    <t>&gt;=35%</t>
  </si>
  <si>
    <t>&gt;=25%</t>
  </si>
  <si>
    <t>&lt;2</t>
  </si>
  <si>
    <t>New GA in 1st 12 months</t>
  </si>
  <si>
    <t>Small (&lt;0.5bil)</t>
  </si>
  <si>
    <t>FYP as segment</t>
  </si>
  <si>
    <t>Avr FYP</t>
  </si>
  <si>
    <t>Projection H2''17</t>
  </si>
  <si>
    <t>Extra Bonus for AL</t>
  </si>
  <si>
    <t>H1</t>
  </si>
  <si>
    <t>2018 Cost projection</t>
  </si>
  <si>
    <t>2019 Cost projection</t>
  </si>
  <si>
    <t>2020 Cost projection</t>
  </si>
  <si>
    <t>2021 Cost projection</t>
  </si>
  <si>
    <t>2022 Cost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</si>
</sst>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-* #,##0.00\ _₫_-;\-* #,##0.00\ _₫_-;_-* &quot;-&quot;??\ _₫_-;_-@_-"/>
    <numFmt numFmtId="164" formatCode="_(* #,##0.00_);_(* \(#,##0.00\);_(* &quot;-&quot;??_);_(@_)"/>
    <numFmt numFmtId="165" formatCode="_-* #,##0.0\ _₫_-;\-* #,##0.0\ _₫_-;_-* &quot;-&quot;??\ _₫_-;_-@_-"/>
    <numFmt numFmtId="166" formatCode="0.0%"/>
    <numFmt numFmtId="167" formatCode="_(* #,##0.0_);_(* \(#,##0.0\);_(* &quot;-&quot;??_);_(@_)"/>
    <numFmt numFmtId="168" formatCode="_-* #,##0\ _₫_-;\-* #,##0\ _₫_-;_-* &quot;-&quot;??\ _₫_-;_-@_-"/>
    <numFmt numFmtId="169" formatCode="#,##0_ ;\-#,##0\ "/>
    <numFmt numFmtId="170" formatCode="0_);\(0\)"/>
    <numFmt numFmtId="171" formatCode="_(* #,##0_);_(* \(#,##0\);_(* &quot;-&quot;??_);_(@_)"/>
    <numFmt numFmtId="172" formatCode="0.0"/>
    <numFmt numFmtId="173" formatCode="#,##0.0"/>
    <numFmt numFmtId="174" formatCode="B1mmm\-yy"/>
    <numFmt numFmtId="175" formatCode="_-[$€]* #,##0.00_-;\-[$€]* #,##0.00_-;_-[$€]* &quot;-&quot;??_-;_-@_-"/>
    <numFmt numFmtId="176" formatCode="_-* #,##0.0_-;\-* #,##0.0_-;_-* &quot;-&quot;??_-;_-@_-"/>
    <numFmt numFmtId="177" formatCode="_-* #,##0.000\ _₫_-;\-* #,##0.000\ _₫_-;_-* &quot;-&quot;??\ _₫_-;_-@_-"/>
    <numFmt numFmtId="178" formatCode="_(* #,##0_);_(* \(#,##0\);_(* &quot;-&quot;?_);_(@_)"/>
  </numFmts>
  <fonts count="2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charset val="163"/>
      <scheme val="minor"/>
    </font>
    <font>
      <sz val="14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  <charset val="163"/>
    </font>
    <font>
      <sz val="10"/>
      <color rgb="FFFF000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0"/>
      <color rgb="FF0000FF"/>
      <name val="Arial"/>
      <family val="2"/>
      <charset val="163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u/>
      <sz val="11"/>
      <color rgb="FF0000FF"/>
      <name val="Calibri"/>
      <family val="2"/>
      <charset val="163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b/>
      <sz val="10"/>
      <color rgb="FF0000FF"/>
      <name val="Arial"/>
      <family val="2"/>
    </font>
    <font>
      <sz val="11"/>
      <name val="Calibri"/>
      <family val="2"/>
      <charset val="163"/>
      <scheme val="minor"/>
    </font>
    <font>
      <b/>
      <sz val="15"/>
      <color theme="1"/>
      <name val="Calibri"/>
      <family val="2"/>
      <charset val="163"/>
      <scheme val="minor"/>
    </font>
    <font>
      <b/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163"/>
      <scheme val="minor"/>
    </font>
    <font>
      <b/>
      <sz val="12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0"/>
      <color rgb="FF0000FF"/>
      <name val="Calibri"/>
      <family val="2"/>
      <scheme val="minor"/>
    </font>
    <font>
      <b/>
      <u/>
      <sz val="10"/>
      <color rgb="FF0000FF"/>
      <name val="Arial"/>
      <family val="2"/>
    </font>
    <font>
      <b/>
      <sz val="10"/>
      <color theme="1"/>
      <name val="Calibri"/>
      <family val="2"/>
      <charset val="163"/>
      <scheme val="minor"/>
    </font>
    <font>
      <b/>
      <u/>
      <sz val="10"/>
      <color theme="1"/>
      <name val="Calibri"/>
      <family val="2"/>
      <charset val="163"/>
      <scheme val="minor"/>
    </font>
    <font>
      <b/>
      <sz val="10"/>
      <color rgb="FF0000FF"/>
      <name val="Calibri"/>
      <family val="2"/>
      <charset val="163"/>
      <scheme val="minor"/>
    </font>
    <font>
      <b/>
      <u/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color rgb="FF0000FF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rgb="FF0000F0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strike/>
      <sz val="11"/>
      <name val="Arial"/>
      <family val="2"/>
    </font>
    <font>
      <b/>
      <i/>
      <sz val="11"/>
      <name val="Arial"/>
      <family val="2"/>
    </font>
    <font>
      <u/>
      <sz val="11"/>
      <name val="Arial"/>
      <family val="2"/>
    </font>
    <font>
      <b/>
      <u/>
      <sz val="11"/>
      <color rgb="FF0000FF"/>
      <name val="Arial"/>
      <family val="2"/>
    </font>
    <font>
      <b/>
      <sz val="11"/>
      <name val="Arial"/>
      <family val="2"/>
    </font>
    <font>
      <sz val="11"/>
      <color rgb="FF002060"/>
      <name val="Arial"/>
      <family val="2"/>
    </font>
    <font>
      <b/>
      <sz val="11"/>
      <color rgb="FFFF0000"/>
      <name val="Arial"/>
      <family val="2"/>
    </font>
    <font>
      <u/>
      <sz val="11"/>
      <color rgb="FF7030A0"/>
      <name val="Arial"/>
      <family val="2"/>
    </font>
    <font>
      <sz val="11"/>
      <color rgb="FF7030A0"/>
      <name val="Arial"/>
      <family val="2"/>
    </font>
    <font>
      <sz val="11"/>
      <color theme="0" tint="-0.499984740745262"/>
      <name val="Arial"/>
      <family val="2"/>
    </font>
    <font>
      <u/>
      <sz val="11"/>
      <color theme="1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Arial"/>
      <family val="2"/>
    </font>
    <font>
      <b/>
      <sz val="11"/>
      <name val="Calibri"/>
      <family val="2"/>
      <charset val="163"/>
      <scheme val="minor"/>
    </font>
    <font>
      <sz val="11"/>
      <color rgb="FF0000FF"/>
      <name val="Calibri"/>
      <family val="2"/>
      <charset val="163"/>
      <scheme val="minor"/>
    </font>
    <font>
      <i/>
      <sz val="11"/>
      <color theme="0" tint="-0.499984740745262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b/>
      <sz val="11"/>
      <name val="Arial"/>
      <family val="2"/>
      <charset val="163"/>
    </font>
    <font>
      <b/>
      <sz val="10"/>
      <color theme="1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u/>
      <sz val="11"/>
      <color rgb="FFFF000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i/>
      <sz val="11"/>
      <color theme="1"/>
      <name val="Arial"/>
      <family val="2"/>
      <charset val="163"/>
    </font>
    <font>
      <sz val="10"/>
      <color rgb="FFFF0000"/>
      <name val="Calibri"/>
      <family val="2"/>
      <scheme val="minor"/>
    </font>
    <font>
      <b/>
      <sz val="11"/>
      <color rgb="FF0000FF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i/>
      <sz val="10"/>
      <color theme="0" tint="-0.499984740745262"/>
      <name val="Calibri"/>
      <family val="2"/>
      <charset val="163"/>
      <scheme val="minor"/>
    </font>
    <font>
      <b/>
      <sz val="11"/>
      <color rgb="FFFF0000"/>
      <name val="Arial"/>
      <family val="2"/>
      <charset val="163"/>
    </font>
    <font>
      <sz val="10"/>
      <name val="Arial"/>
      <family val="2"/>
    </font>
    <font>
      <b/>
      <sz val="10"/>
      <name val="Arial"/>
      <family val="2"/>
    </font>
    <font>
      <i/>
      <sz val="11"/>
      <color rgb="FFFF0000"/>
      <name val="Calibri"/>
      <family val="2"/>
      <charset val="163"/>
      <scheme val="minor"/>
    </font>
    <font>
      <u/>
      <sz val="10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rgb="FF0000FF"/>
      <name val="Calibri"/>
      <family val="2"/>
      <charset val="163"/>
      <scheme val="minor"/>
    </font>
    <font>
      <u/>
      <sz val="10"/>
      <color rgb="FF0000FF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0"/>
      <color theme="0" tint="-0.34998626667073579"/>
      <name val="Calibri"/>
      <family val="2"/>
      <charset val="163"/>
      <scheme val="minor"/>
    </font>
    <font>
      <i/>
      <sz val="10"/>
      <color theme="1"/>
      <name val="Arial"/>
      <family val="2"/>
      <charset val="163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10"/>
      <color rgb="FF0000FF"/>
      <name val="Arial"/>
      <family val="2"/>
      <charset val="163"/>
    </font>
    <font>
      <i/>
      <sz val="10"/>
      <color rgb="FF0000FF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i/>
      <sz val="10"/>
      <color rgb="FF00B05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sz val="11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charset val="163"/>
      <scheme val="minor"/>
    </font>
    <font>
      <sz val="10"/>
      <color indexed="8"/>
      <name val="Arial"/>
      <family val="2"/>
      <charset val="163"/>
    </font>
    <font>
      <b/>
      <sz val="11"/>
      <color indexed="8"/>
      <name val="Calibri"/>
      <family val="2"/>
      <charset val="163"/>
    </font>
    <font>
      <b/>
      <sz val="10"/>
      <color theme="1"/>
      <name val="Arial"/>
      <family val="2"/>
    </font>
    <font>
      <sz val="11"/>
      <color indexed="8"/>
      <name val="Calibri"/>
      <family val="2"/>
      <charset val="163"/>
    </font>
    <font>
      <sz val="11"/>
      <color theme="1"/>
      <name val="Calibri"/>
      <family val="2"/>
      <charset val="163"/>
    </font>
    <font>
      <sz val="10"/>
      <color indexed="8"/>
      <name val="Calibri"/>
      <family val="2"/>
      <charset val="163"/>
    </font>
    <font>
      <b/>
      <u/>
      <sz val="10"/>
      <name val="Arial"/>
      <family val="2"/>
    </font>
    <font>
      <b/>
      <sz val="10"/>
      <color rgb="FFC00000"/>
      <name val="Arial"/>
      <family val="2"/>
    </font>
    <font>
      <b/>
      <u/>
      <sz val="10"/>
      <color rgb="FFC00000"/>
      <name val="Arial"/>
      <family val="2"/>
    </font>
    <font>
      <i/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sz val="10"/>
      <color theme="2" tint="-0.499984740745262"/>
      <name val="Arial"/>
      <family val="2"/>
    </font>
    <font>
      <i/>
      <sz val="10"/>
      <color theme="5" tint="-0.499984740745262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  <charset val="163"/>
    </font>
    <font>
      <b/>
      <i/>
      <sz val="10"/>
      <name val="Arial"/>
      <family val="2"/>
      <charset val="163"/>
    </font>
    <font>
      <u/>
      <sz val="10"/>
      <name val="Arial"/>
      <family val="2"/>
      <charset val="163"/>
    </font>
    <font>
      <sz val="10"/>
      <color theme="0" tint="-0.499984740745262"/>
      <name val="Arial"/>
      <family val="2"/>
      <charset val="163"/>
    </font>
    <font>
      <sz val="10"/>
      <color theme="0" tint="-0.499984740745262"/>
      <name val="Arial"/>
      <family val="2"/>
    </font>
    <font>
      <sz val="10"/>
      <color rgb="FF002060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i/>
      <sz val="10"/>
      <color rgb="FF002060"/>
      <name val="Arial"/>
      <family val="2"/>
    </font>
    <font>
      <i/>
      <sz val="10"/>
      <color rgb="FF002060"/>
      <name val="Arial"/>
      <family val="2"/>
    </font>
    <font>
      <b/>
      <sz val="11"/>
      <color theme="1"/>
      <name val="Arial"/>
      <family val="2"/>
      <charset val="163"/>
    </font>
    <font>
      <u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name val="Arial"/>
      <family val="2"/>
      <charset val="163"/>
    </font>
    <font>
      <i/>
      <sz val="10"/>
      <name val="Arial"/>
      <family val="2"/>
      <charset val="163"/>
    </font>
    <font>
      <i/>
      <sz val="10"/>
      <color theme="0" tint="-0.499984740745262"/>
      <name val="Arial"/>
      <family val="2"/>
      <charset val="163"/>
    </font>
    <font>
      <i/>
      <sz val="10"/>
      <color rgb="FFFF0000"/>
      <name val="Arial"/>
      <family val="2"/>
      <charset val="163"/>
    </font>
    <font>
      <b/>
      <u val="singleAccounting"/>
      <sz val="10"/>
      <name val="Arial"/>
      <family val="2"/>
      <charset val="163"/>
    </font>
    <font>
      <sz val="8"/>
      <color theme="0" tint="-0.249977111117893"/>
      <name val="Arial"/>
      <family val="2"/>
    </font>
    <font>
      <b/>
      <i/>
      <sz val="10"/>
      <name val="Arial"/>
      <family val="2"/>
    </font>
    <font>
      <sz val="10"/>
      <color theme="1" tint="0.499984740745262"/>
      <name val="Arial"/>
      <family val="2"/>
      <charset val="163"/>
    </font>
    <font>
      <sz val="10"/>
      <color theme="0" tint="-0.249977111117893"/>
      <name val="Arial"/>
      <family val="2"/>
      <charset val="163"/>
    </font>
    <font>
      <b/>
      <i/>
      <sz val="11"/>
      <color theme="2" tint="-0.499984740745262"/>
      <name val="Calibri"/>
      <family val="2"/>
      <charset val="163"/>
      <scheme val="minor"/>
    </font>
    <font>
      <sz val="11"/>
      <color theme="1"/>
      <name val="Arial"/>
      <family val="2"/>
      <charset val="163"/>
    </font>
    <font>
      <b/>
      <sz val="10"/>
      <color rgb="FFC00000"/>
      <name val="Arial"/>
      <family val="2"/>
      <charset val="163"/>
    </font>
    <font>
      <strike/>
      <sz val="10"/>
      <color rgb="FFFF0000"/>
      <name val="Arial"/>
      <family val="2"/>
      <charset val="163"/>
    </font>
    <font>
      <sz val="10"/>
      <color rgb="FFC00000"/>
      <name val="Arial"/>
      <family val="2"/>
      <charset val="163"/>
    </font>
    <font>
      <b/>
      <sz val="10"/>
      <color rgb="FF002060"/>
      <name val="Arial"/>
      <family val="2"/>
      <charset val="163"/>
    </font>
    <font>
      <sz val="10"/>
      <color rgb="FF002060"/>
      <name val="Arial"/>
      <family val="2"/>
      <charset val="163"/>
    </font>
    <font>
      <b/>
      <u/>
      <sz val="10"/>
      <color rgb="FFFF0000"/>
      <name val="Arial"/>
      <family val="2"/>
      <charset val="163"/>
    </font>
    <font>
      <u/>
      <sz val="10"/>
      <color rgb="FFFF0000"/>
      <name val="Arial"/>
      <family val="2"/>
      <charset val="163"/>
    </font>
    <font>
      <b/>
      <u/>
      <sz val="10"/>
      <color rgb="FF0000FF"/>
      <name val="Arial"/>
      <family val="2"/>
      <charset val="163"/>
    </font>
    <font>
      <b/>
      <sz val="10"/>
      <color rgb="FFFFFFFF"/>
      <name val="Arial Regular"/>
    </font>
    <font>
      <sz val="10"/>
      <color rgb="FF000000"/>
      <name val="Arial Regular"/>
    </font>
    <font>
      <sz val="10"/>
      <name val="Calibri"/>
      <family val="2"/>
      <charset val="163"/>
      <scheme val="minor"/>
    </font>
    <font>
      <sz val="14"/>
      <color rgb="FFBD2027"/>
      <name val="Arial Regular"/>
    </font>
    <font>
      <i/>
      <sz val="10"/>
      <color rgb="FFC00000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u/>
      <sz val="11"/>
      <name val="Calibri"/>
      <family val="2"/>
      <charset val="163"/>
      <scheme val="minor"/>
    </font>
    <font>
      <i/>
      <sz val="11"/>
      <color theme="0" tint="-0.249977111117893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0"/>
      <name val="Calibri"/>
      <family val="2"/>
      <scheme val="minor"/>
    </font>
    <font>
      <u/>
      <sz val="11"/>
      <name val="Calibri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Calibri"/>
      <family val="2"/>
      <charset val="163"/>
      <scheme val="minor"/>
    </font>
    <font>
      <i/>
      <sz val="11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sz val="11"/>
      <color rgb="FF000000"/>
      <name val="Arial"/>
      <family val="2"/>
      <charset val="163"/>
    </font>
    <font>
      <sz val="10"/>
      <color rgb="FF0070C0"/>
      <name val="Calibri"/>
      <family val="2"/>
      <scheme val="minor"/>
    </font>
    <font>
      <sz val="10"/>
      <color rgb="FF0070C0"/>
      <name val="Calibri"/>
      <family val="2"/>
      <charset val="163"/>
      <scheme val="minor"/>
    </font>
    <font>
      <sz val="10"/>
      <color rgb="FFC00000"/>
      <name val="Calibri"/>
      <family val="2"/>
      <scheme val="minor"/>
    </font>
    <font>
      <i/>
      <sz val="10"/>
      <color rgb="FFFF0000"/>
      <name val="Calibri"/>
      <family val="2"/>
      <charset val="163"/>
      <scheme val="minor"/>
    </font>
    <font>
      <b/>
      <sz val="10"/>
      <color rgb="FF0070C0"/>
      <name val="Calibri"/>
      <family val="2"/>
      <charset val="163"/>
      <scheme val="minor"/>
    </font>
    <font>
      <b/>
      <sz val="10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sz val="10"/>
      <color rgb="FF00206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D2027"/>
        <bgColor indexed="64"/>
      </patternFill>
    </fill>
    <fill>
      <patternFill patternType="solid">
        <fgColor rgb="FFE8CCCD"/>
        <bgColor indexed="64"/>
      </patternFill>
    </fill>
    <fill>
      <patternFill patternType="solid">
        <fgColor rgb="FFF4E7E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7" fillId="0" borderId="0"/>
    <xf numFmtId="9" fontId="6" fillId="0" borderId="0" applyFont="0" applyFill="0" applyBorder="0" applyAlignment="0" applyProtection="0"/>
    <xf numFmtId="0" fontId="1" fillId="0" borderId="0"/>
  </cellStyleXfs>
  <cellXfs count="1903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 applyBorder="1" applyProtection="1"/>
    <xf numFmtId="0" fontId="6" fillId="0" borderId="0" xfId="0" applyFont="1" applyBorder="1" applyProtection="1"/>
    <xf numFmtId="0" fontId="6" fillId="0" borderId="7" xfId="0" applyFont="1" applyBorder="1" applyProtection="1"/>
    <xf numFmtId="0" fontId="6" fillId="0" borderId="0" xfId="0" quotePrefix="1" applyFont="1" applyBorder="1" applyProtection="1"/>
    <xf numFmtId="0" fontId="14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6" fillId="0" borderId="0" xfId="0" applyFont="1" applyBorder="1" applyAlignment="1" applyProtection="1">
      <alignment horizontal="left" indent="3"/>
    </xf>
    <xf numFmtId="0" fontId="10" fillId="0" borderId="0" xfId="3" applyFont="1" applyBorder="1" applyAlignment="1">
      <alignment horizontal="left" indent="3"/>
    </xf>
    <xf numFmtId="0" fontId="0" fillId="0" borderId="0" xfId="0" applyBorder="1"/>
    <xf numFmtId="0" fontId="16" fillId="0" borderId="12" xfId="3" applyNumberFormat="1" applyFont="1" applyFill="1" applyBorder="1" applyAlignment="1">
      <alignment horizontal="center" vertical="top" wrapText="1"/>
    </xf>
    <xf numFmtId="0" fontId="16" fillId="0" borderId="13" xfId="3" applyNumberFormat="1" applyFont="1" applyFill="1" applyBorder="1" applyAlignment="1">
      <alignment horizontal="center" vertical="top" wrapText="1"/>
    </xf>
    <xf numFmtId="0" fontId="16" fillId="0" borderId="14" xfId="3" applyNumberFormat="1" applyFont="1" applyFill="1" applyBorder="1" applyAlignment="1">
      <alignment horizontal="center" vertical="top" wrapText="1"/>
    </xf>
    <xf numFmtId="0" fontId="16" fillId="0" borderId="15" xfId="3" applyFont="1" applyBorder="1" applyAlignment="1">
      <alignment horizontal="center" vertical="top" wrapText="1"/>
    </xf>
    <xf numFmtId="0" fontId="8" fillId="0" borderId="15" xfId="3" applyFont="1" applyBorder="1" applyAlignment="1">
      <alignment horizontal="center" vertical="top" wrapText="1"/>
    </xf>
    <xf numFmtId="9" fontId="16" fillId="0" borderId="16" xfId="3" applyNumberFormat="1" applyFont="1" applyBorder="1" applyAlignment="1">
      <alignment horizontal="center" vertical="top" wrapText="1"/>
    </xf>
    <xf numFmtId="0" fontId="16" fillId="0" borderId="16" xfId="3" applyFont="1" applyBorder="1" applyAlignment="1">
      <alignment horizontal="center" vertical="top" wrapText="1"/>
    </xf>
    <xf numFmtId="0" fontId="8" fillId="0" borderId="16" xfId="3" applyFont="1" applyBorder="1" applyAlignment="1">
      <alignment horizontal="center" vertical="top" wrapText="1"/>
    </xf>
    <xf numFmtId="0" fontId="8" fillId="3" borderId="16" xfId="3" applyFont="1" applyFill="1" applyBorder="1" applyAlignment="1">
      <alignment horizontal="center" vertical="top" wrapText="1"/>
    </xf>
    <xf numFmtId="0" fontId="16" fillId="0" borderId="17" xfId="3" applyFont="1" applyBorder="1" applyAlignment="1">
      <alignment horizontal="center" vertical="top" wrapText="1"/>
    </xf>
    <xf numFmtId="0" fontId="8" fillId="3" borderId="17" xfId="3" applyFont="1" applyFill="1" applyBorder="1" applyAlignment="1">
      <alignment horizontal="center" vertical="top" wrapText="1"/>
    </xf>
    <xf numFmtId="9" fontId="16" fillId="0" borderId="17" xfId="3" applyNumberFormat="1" applyFont="1" applyBorder="1" applyAlignment="1">
      <alignment horizontal="center" vertical="top" wrapText="1"/>
    </xf>
    <xf numFmtId="0" fontId="17" fillId="0" borderId="18" xfId="3" applyFont="1" applyBorder="1" applyAlignment="1">
      <alignment horizontal="center" vertical="top" wrapText="1"/>
    </xf>
    <xf numFmtId="9" fontId="16" fillId="0" borderId="19" xfId="3" applyNumberFormat="1" applyFont="1" applyBorder="1" applyAlignment="1">
      <alignment horizontal="center" vertical="top" wrapText="1"/>
    </xf>
    <xf numFmtId="166" fontId="15" fillId="0" borderId="15" xfId="3" applyNumberFormat="1" applyFont="1" applyBorder="1" applyAlignment="1">
      <alignment horizontal="center" vertical="top" wrapText="1"/>
    </xf>
    <xf numFmtId="166" fontId="15" fillId="0" borderId="16" xfId="3" applyNumberFormat="1" applyFont="1" applyBorder="1" applyAlignment="1">
      <alignment horizontal="center" vertical="top" wrapText="1"/>
    </xf>
    <xf numFmtId="0" fontId="8" fillId="0" borderId="17" xfId="3" applyFont="1" applyBorder="1" applyAlignment="1">
      <alignment horizontal="center" vertical="top" wrapText="1"/>
    </xf>
    <xf numFmtId="166" fontId="15" fillId="0" borderId="17" xfId="3" applyNumberFormat="1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Fill="1"/>
    <xf numFmtId="0" fontId="20" fillId="0" borderId="0" xfId="0" applyFont="1"/>
    <xf numFmtId="0" fontId="21" fillId="6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13" fillId="7" borderId="0" xfId="0" applyFont="1" applyFill="1"/>
    <xf numFmtId="0" fontId="0" fillId="7" borderId="0" xfId="0" applyFill="1"/>
    <xf numFmtId="0" fontId="3" fillId="7" borderId="0" xfId="0" applyFont="1" applyFill="1"/>
    <xf numFmtId="0" fontId="14" fillId="7" borderId="0" xfId="0" applyFont="1" applyFill="1"/>
    <xf numFmtId="0" fontId="21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0" fillId="9" borderId="0" xfId="0" applyFill="1"/>
    <xf numFmtId="0" fontId="6" fillId="9" borderId="0" xfId="0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10" borderId="0" xfId="0" applyFont="1" applyFill="1" applyAlignment="1">
      <alignment vertical="center"/>
    </xf>
    <xf numFmtId="0" fontId="28" fillId="10" borderId="0" xfId="0" applyFont="1" applyFill="1" applyAlignment="1">
      <alignment vertical="center"/>
    </xf>
    <xf numFmtId="0" fontId="29" fillId="10" borderId="0" xfId="0" applyFont="1" applyFill="1" applyAlignment="1">
      <alignment vertical="center"/>
    </xf>
    <xf numFmtId="0" fontId="5" fillId="9" borderId="0" xfId="0" applyFont="1" applyFill="1" applyBorder="1" applyProtection="1"/>
    <xf numFmtId="0" fontId="4" fillId="9" borderId="0" xfId="0" applyFont="1" applyFill="1" applyBorder="1" applyProtection="1"/>
    <xf numFmtId="0" fontId="7" fillId="9" borderId="0" xfId="0" applyFont="1" applyFill="1" applyBorder="1" applyProtection="1"/>
    <xf numFmtId="0" fontId="6" fillId="0" borderId="12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11" fillId="0" borderId="0" xfId="0" applyFont="1" applyBorder="1" applyProtection="1"/>
    <xf numFmtId="0" fontId="0" fillId="0" borderId="0" xfId="0" applyAlignment="1">
      <alignment horizontal="left" indent="3"/>
    </xf>
    <xf numFmtId="0" fontId="6" fillId="0" borderId="7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31" fillId="0" borderId="0" xfId="0" applyFont="1"/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6" fillId="0" borderId="8" xfId="0" applyFont="1" applyBorder="1" applyAlignment="1" applyProtection="1">
      <alignment horizontal="right"/>
    </xf>
    <xf numFmtId="0" fontId="6" fillId="0" borderId="9" xfId="0" applyFont="1" applyBorder="1" applyAlignment="1" applyProtection="1">
      <alignment horizontal="right"/>
    </xf>
    <xf numFmtId="0" fontId="24" fillId="0" borderId="0" xfId="0" applyFont="1" applyAlignment="1">
      <alignment horizontal="right"/>
    </xf>
    <xf numFmtId="0" fontId="24" fillId="0" borderId="6" xfId="0" applyFont="1" applyBorder="1" applyAlignment="1">
      <alignment horizontal="right"/>
    </xf>
    <xf numFmtId="0" fontId="6" fillId="0" borderId="0" xfId="0" applyFont="1" applyBorder="1" applyAlignment="1" applyProtection="1">
      <alignment horizontal="right"/>
    </xf>
    <xf numFmtId="0" fontId="24" fillId="0" borderId="9" xfId="0" applyFont="1" applyBorder="1" applyAlignment="1">
      <alignment horizontal="right"/>
    </xf>
    <xf numFmtId="0" fontId="24" fillId="0" borderId="9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24" fillId="0" borderId="0" xfId="0" applyFont="1" applyBorder="1" applyAlignment="1">
      <alignment horizontal="right"/>
    </xf>
    <xf numFmtId="0" fontId="6" fillId="0" borderId="8" xfId="0" applyFont="1" applyFill="1" applyBorder="1" applyAlignment="1" applyProtection="1">
      <alignment horizontal="right"/>
    </xf>
    <xf numFmtId="0" fontId="5" fillId="0" borderId="0" xfId="0" applyFont="1" applyFill="1" applyBorder="1" applyProtection="1"/>
    <xf numFmtId="0" fontId="6" fillId="0" borderId="0" xfId="0" applyFont="1" applyFill="1" applyBorder="1" applyProtection="1"/>
    <xf numFmtId="0" fontId="4" fillId="0" borderId="0" xfId="0" applyFont="1" applyFill="1" applyBorder="1" applyProtection="1"/>
    <xf numFmtId="0" fontId="32" fillId="0" borderId="0" xfId="0" applyFont="1" applyFill="1" applyBorder="1" applyProtection="1"/>
    <xf numFmtId="9" fontId="12" fillId="0" borderId="6" xfId="0" applyNumberFormat="1" applyFont="1" applyBorder="1" applyAlignment="1" applyProtection="1">
      <alignment horizontal="center" vertical="center"/>
    </xf>
    <xf numFmtId="0" fontId="24" fillId="0" borderId="7" xfId="0" applyFont="1" applyBorder="1" applyAlignment="1">
      <alignment horizontal="center" vertical="center"/>
    </xf>
    <xf numFmtId="9" fontId="30" fillId="0" borderId="9" xfId="0" applyNumberFormat="1" applyFont="1" applyBorder="1" applyAlignment="1">
      <alignment horizontal="center" vertical="center"/>
    </xf>
    <xf numFmtId="9" fontId="18" fillId="0" borderId="6" xfId="0" applyNumberFormat="1" applyFont="1" applyBorder="1" applyAlignment="1" applyProtection="1">
      <alignment horizontal="center"/>
    </xf>
    <xf numFmtId="9" fontId="18" fillId="0" borderId="9" xfId="0" applyNumberFormat="1" applyFont="1" applyBorder="1" applyAlignment="1" applyProtection="1">
      <alignment horizontal="center"/>
    </xf>
    <xf numFmtId="0" fontId="24" fillId="0" borderId="21" xfId="0" applyFont="1" applyBorder="1"/>
    <xf numFmtId="0" fontId="33" fillId="0" borderId="0" xfId="0" applyFont="1"/>
    <xf numFmtId="0" fontId="24" fillId="0" borderId="21" xfId="0" applyFont="1" applyBorder="1" applyAlignment="1">
      <alignment horizontal="center"/>
    </xf>
    <xf numFmtId="9" fontId="24" fillId="0" borderId="21" xfId="0" applyNumberFormat="1" applyFont="1" applyBorder="1" applyAlignment="1">
      <alignment horizontal="center"/>
    </xf>
    <xf numFmtId="9" fontId="24" fillId="0" borderId="0" xfId="0" applyNumberFormat="1" applyFont="1"/>
    <xf numFmtId="9" fontId="18" fillId="0" borderId="0" xfId="0" applyNumberFormat="1" applyFont="1" applyBorder="1" applyAlignment="1" applyProtection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34" fillId="0" borderId="0" xfId="0" applyFont="1"/>
    <xf numFmtId="9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11" borderId="12" xfId="0" applyFont="1" applyFill="1" applyBorder="1" applyAlignment="1">
      <alignment horizontal="left"/>
    </xf>
    <xf numFmtId="9" fontId="24" fillId="11" borderId="13" xfId="0" applyNumberFormat="1" applyFont="1" applyFill="1" applyBorder="1" applyAlignment="1">
      <alignment horizontal="center"/>
    </xf>
    <xf numFmtId="0" fontId="24" fillId="11" borderId="13" xfId="0" applyFont="1" applyFill="1" applyBorder="1"/>
    <xf numFmtId="0" fontId="33" fillId="11" borderId="14" xfId="0" applyFont="1" applyFill="1" applyBorder="1" applyAlignment="1">
      <alignment horizontal="right"/>
    </xf>
    <xf numFmtId="0" fontId="24" fillId="0" borderId="7" xfId="0" applyFont="1" applyBorder="1"/>
    <xf numFmtId="0" fontId="33" fillId="0" borderId="9" xfId="0" applyFont="1" applyBorder="1"/>
    <xf numFmtId="0" fontId="33" fillId="0" borderId="14" xfId="0" applyFont="1" applyBorder="1" applyAlignment="1">
      <alignment horizontal="center"/>
    </xf>
    <xf numFmtId="0" fontId="33" fillId="0" borderId="7" xfId="0" applyFont="1" applyBorder="1"/>
    <xf numFmtId="0" fontId="33" fillId="0" borderId="8" xfId="0" applyFont="1" applyBorder="1" applyAlignment="1">
      <alignment horizontal="center"/>
    </xf>
    <xf numFmtId="0" fontId="34" fillId="0" borderId="0" xfId="0" applyFont="1" applyAlignment="1">
      <alignment horizontal="left"/>
    </xf>
    <xf numFmtId="0" fontId="33" fillId="0" borderId="12" xfId="0" applyFont="1" applyBorder="1"/>
    <xf numFmtId="0" fontId="33" fillId="0" borderId="13" xfId="0" applyFont="1" applyBorder="1"/>
    <xf numFmtId="0" fontId="24" fillId="0" borderId="3" xfId="0" applyFont="1" applyBorder="1"/>
    <xf numFmtId="0" fontId="24" fillId="0" borderId="4" xfId="0" applyFont="1" applyBorder="1"/>
    <xf numFmtId="0" fontId="24" fillId="0" borderId="8" xfId="0" applyFont="1" applyBorder="1"/>
    <xf numFmtId="0" fontId="33" fillId="0" borderId="2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12" xfId="0" applyFont="1" applyBorder="1" applyAlignment="1">
      <alignment horizontal="left" vertical="center" wrapText="1"/>
    </xf>
    <xf numFmtId="170" fontId="24" fillId="0" borderId="13" xfId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vertical="center"/>
    </xf>
    <xf numFmtId="0" fontId="24" fillId="0" borderId="21" xfId="0" applyFont="1" applyBorder="1" applyAlignment="1">
      <alignment horizontal="center" vertical="center" wrapText="1"/>
    </xf>
    <xf numFmtId="3" fontId="24" fillId="0" borderId="21" xfId="0" applyNumberFormat="1" applyFont="1" applyBorder="1" applyAlignment="1">
      <alignment horizontal="center"/>
    </xf>
    <xf numFmtId="0" fontId="33" fillId="0" borderId="21" xfId="0" applyFont="1" applyBorder="1" applyAlignment="1">
      <alignment vertical="center"/>
    </xf>
    <xf numFmtId="0" fontId="33" fillId="0" borderId="21" xfId="0" applyFont="1" applyBorder="1" applyAlignment="1">
      <alignment horizontal="center" vertical="center" wrapText="1"/>
    </xf>
    <xf numFmtId="0" fontId="24" fillId="0" borderId="0" xfId="0" quotePrefix="1" applyFont="1"/>
    <xf numFmtId="9" fontId="24" fillId="0" borderId="0" xfId="2" applyFont="1"/>
    <xf numFmtId="0" fontId="24" fillId="0" borderId="0" xfId="0" applyFont="1" applyFill="1"/>
    <xf numFmtId="0" fontId="24" fillId="11" borderId="21" xfId="0" applyFont="1" applyFill="1" applyBorder="1" applyAlignment="1">
      <alignment vertical="center"/>
    </xf>
    <xf numFmtId="0" fontId="24" fillId="11" borderId="21" xfId="0" applyFont="1" applyFill="1" applyBorder="1" applyAlignment="1">
      <alignment horizontal="center" vertical="center" wrapText="1"/>
    </xf>
    <xf numFmtId="9" fontId="35" fillId="0" borderId="22" xfId="0" applyNumberFormat="1" applyFont="1" applyBorder="1" applyAlignment="1">
      <alignment horizontal="center"/>
    </xf>
    <xf numFmtId="9" fontId="35" fillId="0" borderId="19" xfId="0" applyNumberFormat="1" applyFont="1" applyBorder="1" applyAlignment="1">
      <alignment horizontal="center"/>
    </xf>
    <xf numFmtId="0" fontId="36" fillId="0" borderId="0" xfId="0" applyFont="1"/>
    <xf numFmtId="0" fontId="37" fillId="0" borderId="0" xfId="0" applyFont="1" applyAlignment="1">
      <alignment horizontal="right"/>
    </xf>
    <xf numFmtId="0" fontId="38" fillId="0" borderId="0" xfId="0" applyFont="1"/>
    <xf numFmtId="0" fontId="42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43" fillId="10" borderId="0" xfId="0" applyFont="1" applyFill="1" applyAlignment="1">
      <alignment vertical="center"/>
    </xf>
    <xf numFmtId="0" fontId="44" fillId="10" borderId="0" xfId="0" applyFont="1" applyFill="1" applyAlignment="1">
      <alignment vertical="center"/>
    </xf>
    <xf numFmtId="0" fontId="44" fillId="10" borderId="2" xfId="0" applyFont="1" applyFill="1" applyBorder="1" applyAlignment="1">
      <alignment vertical="center"/>
    </xf>
    <xf numFmtId="0" fontId="43" fillId="10" borderId="0" xfId="0" applyFont="1" applyFill="1" applyBorder="1" applyAlignment="1">
      <alignment vertical="center"/>
    </xf>
    <xf numFmtId="0" fontId="43" fillId="6" borderId="0" xfId="0" applyFont="1" applyFill="1" applyAlignment="1">
      <alignment vertical="center"/>
    </xf>
    <xf numFmtId="0" fontId="40" fillId="6" borderId="0" xfId="0" applyFont="1" applyFill="1" applyAlignment="1">
      <alignment vertical="center"/>
    </xf>
    <xf numFmtId="0" fontId="40" fillId="6" borderId="2" xfId="0" applyFont="1" applyFill="1" applyBorder="1" applyAlignment="1">
      <alignment vertical="center"/>
    </xf>
    <xf numFmtId="0" fontId="43" fillId="6" borderId="0" xfId="0" applyFont="1" applyFill="1" applyBorder="1" applyAlignment="1">
      <alignment vertical="center"/>
    </xf>
    <xf numFmtId="0" fontId="45" fillId="6" borderId="0" xfId="0" applyFont="1" applyFill="1" applyBorder="1" applyAlignment="1" applyProtection="1">
      <alignment vertical="center"/>
    </xf>
    <xf numFmtId="0" fontId="45" fillId="6" borderId="0" xfId="0" applyFont="1" applyFill="1" applyBorder="1" applyAlignment="1" applyProtection="1">
      <alignment horizontal="left" vertical="center" readingOrder="1"/>
    </xf>
    <xf numFmtId="0" fontId="46" fillId="0" borderId="0" xfId="0" applyFont="1"/>
    <xf numFmtId="0" fontId="47" fillId="7" borderId="0" xfId="0" applyFont="1" applyFill="1"/>
    <xf numFmtId="0" fontId="0" fillId="7" borderId="0" xfId="0" applyFont="1" applyFill="1"/>
    <xf numFmtId="0" fontId="0" fillId="0" borderId="2" xfId="0" applyFont="1" applyFill="1" applyBorder="1"/>
    <xf numFmtId="0" fontId="46" fillId="7" borderId="0" xfId="0" applyFont="1" applyFill="1"/>
    <xf numFmtId="0" fontId="2" fillId="0" borderId="0" xfId="0" applyFont="1" applyBorder="1" applyProtection="1"/>
    <xf numFmtId="0" fontId="2" fillId="0" borderId="0" xfId="0" applyFont="1" applyProtection="1"/>
    <xf numFmtId="0" fontId="48" fillId="0" borderId="0" xfId="0" applyFont="1" applyBorder="1" applyProtection="1"/>
    <xf numFmtId="0" fontId="2" fillId="0" borderId="0" xfId="0" applyFont="1" applyBorder="1" applyAlignment="1" applyProtection="1">
      <alignment horizontal="left" indent="3"/>
    </xf>
    <xf numFmtId="0" fontId="2" fillId="0" borderId="0" xfId="0" quotePrefix="1" applyFont="1" applyBorder="1" applyProtection="1"/>
    <xf numFmtId="0" fontId="49" fillId="0" borderId="0" xfId="3" applyFont="1" applyBorder="1" applyAlignment="1">
      <alignment horizontal="left" indent="3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9" xfId="0" applyFont="1" applyBorder="1" applyAlignment="1" applyProtection="1">
      <alignment horizontal="center" wrapText="1"/>
    </xf>
    <xf numFmtId="0" fontId="2" fillId="0" borderId="9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9" fontId="49" fillId="0" borderId="6" xfId="0" applyNumberFormat="1" applyFont="1" applyBorder="1" applyAlignment="1" applyProtection="1">
      <alignment horizontal="center"/>
    </xf>
    <xf numFmtId="9" fontId="49" fillId="0" borderId="22" xfId="2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9" fontId="50" fillId="0" borderId="22" xfId="2" applyFont="1" applyBorder="1" applyAlignment="1">
      <alignment horizontal="center"/>
    </xf>
    <xf numFmtId="0" fontId="2" fillId="0" borderId="7" xfId="0" applyFont="1" applyBorder="1" applyAlignment="1" applyProtection="1">
      <alignment horizontal="center"/>
    </xf>
    <xf numFmtId="9" fontId="49" fillId="0" borderId="9" xfId="0" applyNumberFormat="1" applyFont="1" applyBorder="1" applyAlignment="1" applyProtection="1">
      <alignment horizontal="center"/>
    </xf>
    <xf numFmtId="9" fontId="49" fillId="0" borderId="19" xfId="2" applyFont="1" applyBorder="1" applyAlignment="1" applyProtection="1">
      <alignment horizontal="center"/>
    </xf>
    <xf numFmtId="0" fontId="51" fillId="0" borderId="0" xfId="0" applyFont="1" applyBorder="1" applyProtection="1"/>
    <xf numFmtId="0" fontId="52" fillId="0" borderId="0" xfId="0" quotePrefix="1" applyFont="1" applyBorder="1" applyProtection="1"/>
    <xf numFmtId="0" fontId="52" fillId="0" borderId="0" xfId="0" applyFont="1" applyBorder="1" applyProtection="1"/>
    <xf numFmtId="0" fontId="2" fillId="0" borderId="12" xfId="0" applyFont="1" applyBorder="1" applyAlignment="1" applyProtection="1">
      <alignment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9" fontId="49" fillId="0" borderId="6" xfId="0" applyNumberFormat="1" applyFont="1" applyBorder="1" applyAlignment="1" applyProtection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50" fillId="0" borderId="9" xfId="0" applyNumberFormat="1" applyFont="1" applyBorder="1" applyAlignment="1">
      <alignment horizontal="center" vertical="center"/>
    </xf>
    <xf numFmtId="0" fontId="0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Border="1"/>
    <xf numFmtId="0" fontId="0" fillId="0" borderId="22" xfId="0" applyFont="1" applyBorder="1" applyAlignment="1">
      <alignment horizontal="center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0" fontId="42" fillId="0" borderId="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43" fillId="8" borderId="0" xfId="0" applyFont="1" applyFill="1" applyAlignment="1">
      <alignment vertical="center"/>
    </xf>
    <xf numFmtId="0" fontId="40" fillId="8" borderId="0" xfId="0" applyFont="1" applyFill="1" applyAlignment="1">
      <alignment vertical="center"/>
    </xf>
    <xf numFmtId="0" fontId="40" fillId="8" borderId="2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6" fillId="2" borderId="0" xfId="0" applyFont="1" applyFill="1"/>
    <xf numFmtId="0" fontId="0" fillId="2" borderId="0" xfId="0" applyFont="1" applyFill="1"/>
    <xf numFmtId="0" fontId="0" fillId="2" borderId="2" xfId="0" applyFont="1" applyFill="1" applyBorder="1"/>
    <xf numFmtId="0" fontId="46" fillId="2" borderId="0" xfId="0" applyFont="1" applyFill="1" applyBorder="1"/>
    <xf numFmtId="0" fontId="2" fillId="2" borderId="0" xfId="0" applyFont="1" applyFill="1" applyBorder="1" applyProtection="1"/>
    <xf numFmtId="0" fontId="54" fillId="2" borderId="0" xfId="0" applyFont="1" applyFill="1" applyBorder="1" applyAlignment="1" applyProtection="1">
      <alignment horizontal="left" readingOrder="1"/>
    </xf>
    <xf numFmtId="0" fontId="55" fillId="0" borderId="0" xfId="0" applyFont="1" applyBorder="1" applyAlignment="1" applyProtection="1">
      <alignment horizontal="left" readingOrder="1"/>
    </xf>
    <xf numFmtId="0" fontId="49" fillId="0" borderId="0" xfId="0" applyFont="1" applyFill="1" applyBorder="1" applyAlignment="1">
      <alignment horizontal="left" indent="1"/>
    </xf>
    <xf numFmtId="0" fontId="42" fillId="0" borderId="0" xfId="3" applyFont="1" applyAlignment="1">
      <alignment vertical="top"/>
    </xf>
    <xf numFmtId="0" fontId="42" fillId="0" borderId="0" xfId="3" applyFont="1" applyAlignment="1">
      <alignment horizontal="left" vertical="top" indent="2"/>
    </xf>
    <xf numFmtId="0" fontId="0" fillId="0" borderId="0" xfId="3" applyFont="1" applyAlignment="1">
      <alignment vertical="top"/>
    </xf>
    <xf numFmtId="0" fontId="52" fillId="0" borderId="0" xfId="0" applyFont="1" applyFill="1"/>
    <xf numFmtId="0" fontId="55" fillId="0" borderId="0" xfId="0" applyFont="1"/>
    <xf numFmtId="0" fontId="2" fillId="0" borderId="0" xfId="3" applyFont="1" applyAlignment="1">
      <alignment vertical="top"/>
    </xf>
    <xf numFmtId="0" fontId="52" fillId="3" borderId="0" xfId="3" applyFont="1" applyFill="1"/>
    <xf numFmtId="0" fontId="56" fillId="0" borderId="0" xfId="3" applyFont="1" applyAlignment="1">
      <alignment vertical="top"/>
    </xf>
    <xf numFmtId="0" fontId="52" fillId="0" borderId="0" xfId="3" applyFont="1" applyAlignment="1">
      <alignment vertical="top"/>
    </xf>
    <xf numFmtId="0" fontId="55" fillId="3" borderId="0" xfId="0" applyFont="1" applyFill="1"/>
    <xf numFmtId="0" fontId="57" fillId="3" borderId="0" xfId="0" applyFont="1" applyFill="1"/>
    <xf numFmtId="0" fontId="2" fillId="3" borderId="0" xfId="0" applyFont="1" applyFill="1" applyBorder="1" applyProtection="1"/>
    <xf numFmtId="0" fontId="55" fillId="0" borderId="0" xfId="3" applyFont="1" applyFill="1" applyBorder="1" applyAlignment="1">
      <alignment horizontal="left"/>
    </xf>
    <xf numFmtId="0" fontId="58" fillId="0" borderId="0" xfId="0" applyFont="1" applyBorder="1"/>
    <xf numFmtId="0" fontId="2" fillId="0" borderId="0" xfId="0" applyFont="1" applyAlignment="1">
      <alignment horizontal="left" vertical="center" indent="1"/>
    </xf>
    <xf numFmtId="0" fontId="2" fillId="0" borderId="0" xfId="3" applyFont="1" applyFill="1"/>
    <xf numFmtId="0" fontId="55" fillId="0" borderId="0" xfId="3" applyFont="1" applyFill="1"/>
    <xf numFmtId="0" fontId="0" fillId="0" borderId="0" xfId="3" applyFont="1" applyFill="1" applyAlignment="1">
      <alignment vertical="top"/>
    </xf>
    <xf numFmtId="0" fontId="55" fillId="3" borderId="0" xfId="0" applyFont="1" applyFill="1" applyAlignment="1">
      <alignment horizontal="left" indent="4"/>
    </xf>
    <xf numFmtId="0" fontId="51" fillId="0" borderId="0" xfId="0" applyFont="1" applyBorder="1"/>
    <xf numFmtId="0" fontId="2" fillId="0" borderId="0" xfId="0" applyFont="1" applyAlignment="1">
      <alignment horizontal="left" indent="4"/>
    </xf>
    <xf numFmtId="0" fontId="55" fillId="0" borderId="0" xfId="0" applyFont="1" applyAlignment="1">
      <alignment horizontal="left" indent="4"/>
    </xf>
    <xf numFmtId="0" fontId="59" fillId="0" borderId="0" xfId="3" applyFont="1"/>
    <xf numFmtId="0" fontId="55" fillId="0" borderId="0" xfId="3" applyFont="1"/>
    <xf numFmtId="0" fontId="55" fillId="0" borderId="0" xfId="0" applyFont="1" applyFill="1" applyBorder="1" applyAlignment="1">
      <alignment horizontal="left" indent="1"/>
    </xf>
    <xf numFmtId="0" fontId="0" fillId="0" borderId="0" xfId="0" applyFont="1" applyFill="1" applyAlignment="1">
      <alignment vertical="top"/>
    </xf>
    <xf numFmtId="0" fontId="42" fillId="0" borderId="0" xfId="0" applyFont="1" applyAlignment="1">
      <alignment horizontal="left" vertical="top" indent="2"/>
    </xf>
    <xf numFmtId="0" fontId="4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5" fillId="0" borderId="0" xfId="0" applyFont="1" applyFill="1" applyAlignment="1">
      <alignment horizontal="left" indent="1"/>
    </xf>
    <xf numFmtId="0" fontId="48" fillId="0" borderId="0" xfId="3" applyFont="1"/>
    <xf numFmtId="0" fontId="2" fillId="0" borderId="0" xfId="3" applyFont="1"/>
    <xf numFmtId="0" fontId="55" fillId="0" borderId="7" xfId="3" applyFont="1" applyBorder="1" applyAlignment="1">
      <alignment horizontal="left"/>
    </xf>
    <xf numFmtId="9" fontId="55" fillId="0" borderId="8" xfId="3" applyNumberFormat="1" applyFont="1" applyBorder="1" applyAlignment="1">
      <alignment horizontal="right" indent="1"/>
    </xf>
    <xf numFmtId="9" fontId="55" fillId="0" borderId="8" xfId="3" applyNumberFormat="1" applyFont="1" applyBorder="1" applyAlignment="1">
      <alignment horizontal="right"/>
    </xf>
    <xf numFmtId="0" fontId="55" fillId="0" borderId="0" xfId="3" applyFont="1" applyFill="1" applyBorder="1" applyAlignment="1">
      <alignment horizontal="center"/>
    </xf>
    <xf numFmtId="165" fontId="55" fillId="0" borderId="1" xfId="4" applyNumberFormat="1" applyFont="1" applyBorder="1" applyAlignment="1">
      <alignment horizontal="center"/>
    </xf>
    <xf numFmtId="165" fontId="55" fillId="0" borderId="0" xfId="4" applyNumberFormat="1" applyFont="1" applyAlignment="1">
      <alignment horizontal="center"/>
    </xf>
    <xf numFmtId="165" fontId="49" fillId="0" borderId="0" xfId="4" applyNumberFormat="1" applyFont="1" applyFill="1" applyAlignment="1">
      <alignment horizontal="center"/>
    </xf>
    <xf numFmtId="0" fontId="55" fillId="0" borderId="8" xfId="3" applyFont="1" applyFill="1" applyBorder="1" applyAlignment="1">
      <alignment horizontal="center"/>
    </xf>
    <xf numFmtId="0" fontId="0" fillId="0" borderId="9" xfId="0" applyFont="1" applyBorder="1"/>
    <xf numFmtId="165" fontId="55" fillId="0" borderId="7" xfId="4" applyNumberFormat="1" applyFont="1" applyBorder="1" applyAlignment="1">
      <alignment horizontal="center"/>
    </xf>
    <xf numFmtId="165" fontId="55" fillId="0" borderId="8" xfId="4" applyNumberFormat="1" applyFont="1" applyBorder="1" applyAlignment="1">
      <alignment horizontal="center"/>
    </xf>
    <xf numFmtId="165" fontId="49" fillId="0" borderId="8" xfId="4" applyNumberFormat="1" applyFont="1" applyFill="1" applyBorder="1" applyAlignment="1">
      <alignment horizontal="center"/>
    </xf>
    <xf numFmtId="0" fontId="2" fillId="0" borderId="4" xfId="3" applyFont="1" applyBorder="1"/>
    <xf numFmtId="0" fontId="0" fillId="0" borderId="4" xfId="0" applyFont="1" applyBorder="1"/>
    <xf numFmtId="165" fontId="41" fillId="0" borderId="0" xfId="3" applyNumberFormat="1" applyFont="1"/>
    <xf numFmtId="165" fontId="49" fillId="0" borderId="0" xfId="3" applyNumberFormat="1" applyFont="1" applyFill="1"/>
    <xf numFmtId="0" fontId="2" fillId="0" borderId="0" xfId="3" applyFont="1" applyAlignment="1">
      <alignment horizontal="right"/>
    </xf>
    <xf numFmtId="166" fontId="41" fillId="0" borderId="0" xfId="5" applyNumberFormat="1" applyFont="1" applyAlignment="1">
      <alignment horizontal="right" indent="1"/>
    </xf>
    <xf numFmtId="0" fontId="60" fillId="0" borderId="0" xfId="3" applyFont="1" applyFill="1" applyBorder="1"/>
    <xf numFmtId="0" fontId="61" fillId="0" borderId="0" xfId="3" applyFont="1" applyFill="1"/>
    <xf numFmtId="9" fontId="55" fillId="0" borderId="0" xfId="3" applyNumberFormat="1" applyFont="1" applyFill="1" applyBorder="1" applyAlignment="1">
      <alignment horizontal="center"/>
    </xf>
    <xf numFmtId="0" fontId="61" fillId="0" borderId="0" xfId="3" applyFont="1"/>
    <xf numFmtId="0" fontId="62" fillId="0" borderId="0" xfId="3" applyFont="1"/>
    <xf numFmtId="0" fontId="55" fillId="0" borderId="7" xfId="3" applyFont="1" applyBorder="1" applyAlignment="1">
      <alignment horizontal="center" wrapText="1"/>
    </xf>
    <xf numFmtId="0" fontId="55" fillId="0" borderId="9" xfId="3" applyFont="1" applyBorder="1" applyAlignment="1">
      <alignment horizontal="center" wrapText="1"/>
    </xf>
    <xf numFmtId="0" fontId="55" fillId="0" borderId="12" xfId="3" applyNumberFormat="1" applyFont="1" applyFill="1" applyBorder="1" applyAlignment="1">
      <alignment horizontal="center" vertical="top" wrapText="1"/>
    </xf>
    <xf numFmtId="0" fontId="55" fillId="0" borderId="13" xfId="3" applyNumberFormat="1" applyFont="1" applyFill="1" applyBorder="1" applyAlignment="1">
      <alignment horizontal="center" vertical="top" wrapText="1"/>
    </xf>
    <xf numFmtId="0" fontId="55" fillId="0" borderId="14" xfId="3" applyNumberFormat="1" applyFont="1" applyFill="1" applyBorder="1" applyAlignment="1">
      <alignment horizontal="center" vertical="top" wrapText="1"/>
    </xf>
    <xf numFmtId="0" fontId="55" fillId="0" borderId="15" xfId="3" applyFont="1" applyBorder="1" applyAlignment="1">
      <alignment horizontal="center" vertical="top" wrapText="1"/>
    </xf>
    <xf numFmtId="0" fontId="51" fillId="0" borderId="15" xfId="3" applyFont="1" applyBorder="1" applyAlignment="1">
      <alignment horizontal="center" vertical="top" wrapText="1"/>
    </xf>
    <xf numFmtId="9" fontId="55" fillId="0" borderId="16" xfId="3" applyNumberFormat="1" applyFont="1" applyBorder="1" applyAlignment="1">
      <alignment horizontal="center" vertical="top" wrapText="1"/>
    </xf>
    <xf numFmtId="0" fontId="55" fillId="0" borderId="16" xfId="3" applyFont="1" applyBorder="1" applyAlignment="1">
      <alignment horizontal="center" vertical="top" wrapText="1"/>
    </xf>
    <xf numFmtId="0" fontId="51" fillId="0" borderId="16" xfId="3" applyFont="1" applyBorder="1" applyAlignment="1">
      <alignment horizontal="center" vertical="top" wrapText="1"/>
    </xf>
    <xf numFmtId="0" fontId="51" fillId="3" borderId="16" xfId="3" applyFont="1" applyFill="1" applyBorder="1" applyAlignment="1">
      <alignment horizontal="center" vertical="top" wrapText="1"/>
    </xf>
    <xf numFmtId="0" fontId="55" fillId="0" borderId="17" xfId="3" applyFont="1" applyBorder="1" applyAlignment="1">
      <alignment horizontal="center" vertical="top" wrapText="1"/>
    </xf>
    <xf numFmtId="0" fontId="51" fillId="3" borderId="17" xfId="3" applyFont="1" applyFill="1" applyBorder="1" applyAlignment="1">
      <alignment horizontal="center" vertical="top" wrapText="1"/>
    </xf>
    <xf numFmtId="9" fontId="55" fillId="0" borderId="17" xfId="3" applyNumberFormat="1" applyFont="1" applyBorder="1" applyAlignment="1">
      <alignment horizontal="center" vertical="top" wrapText="1"/>
    </xf>
    <xf numFmtId="0" fontId="51" fillId="0" borderId="0" xfId="0" applyFont="1"/>
    <xf numFmtId="165" fontId="62" fillId="0" borderId="0" xfId="4" applyNumberFormat="1" applyFont="1"/>
    <xf numFmtId="0" fontId="61" fillId="0" borderId="0" xfId="3" applyFont="1" applyBorder="1" applyAlignment="1">
      <alignment horizontal="center" vertical="top" wrapText="1"/>
    </xf>
    <xf numFmtId="0" fontId="55" fillId="0" borderId="0" xfId="0" applyFont="1" applyFill="1"/>
    <xf numFmtId="9" fontId="63" fillId="0" borderId="0" xfId="3" applyNumberFormat="1" applyFont="1" applyBorder="1" applyAlignment="1">
      <alignment horizontal="center" vertical="top" wrapText="1"/>
    </xf>
    <xf numFmtId="9" fontId="55" fillId="0" borderId="0" xfId="3" applyNumberFormat="1" applyFont="1" applyBorder="1" applyAlignment="1">
      <alignment horizontal="center" vertical="top" wrapText="1"/>
    </xf>
    <xf numFmtId="0" fontId="61" fillId="0" borderId="3" xfId="3" applyFont="1" applyBorder="1" applyAlignment="1">
      <alignment horizontal="left"/>
    </xf>
    <xf numFmtId="0" fontId="61" fillId="0" borderId="4" xfId="3" applyFont="1" applyBorder="1" applyAlignment="1">
      <alignment horizontal="center" wrapText="1"/>
    </xf>
    <xf numFmtId="0" fontId="61" fillId="0" borderId="18" xfId="3" applyFont="1" applyBorder="1" applyAlignment="1">
      <alignment horizontal="center" vertical="top"/>
    </xf>
    <xf numFmtId="0" fontId="55" fillId="0" borderId="8" xfId="3" applyFont="1" applyBorder="1" applyAlignment="1">
      <alignment horizontal="center" wrapText="1"/>
    </xf>
    <xf numFmtId="9" fontId="63" fillId="0" borderId="19" xfId="3" applyNumberFormat="1" applyFont="1" applyBorder="1" applyAlignment="1">
      <alignment horizontal="center" vertical="top" wrapText="1"/>
    </xf>
    <xf numFmtId="0" fontId="55" fillId="0" borderId="20" xfId="3" applyFont="1" applyBorder="1" applyAlignment="1">
      <alignment horizontal="center" vertical="top" wrapText="1"/>
    </xf>
    <xf numFmtId="0" fontId="51" fillId="3" borderId="20" xfId="3" applyFont="1" applyFill="1" applyBorder="1" applyAlignment="1">
      <alignment horizontal="center" vertical="top" wrapText="1"/>
    </xf>
    <xf numFmtId="9" fontId="52" fillId="0" borderId="15" xfId="3" applyNumberFormat="1" applyFont="1" applyBorder="1" applyAlignment="1">
      <alignment horizontal="center" vertical="top" wrapText="1"/>
    </xf>
    <xf numFmtId="9" fontId="52" fillId="0" borderId="16" xfId="3" applyNumberFormat="1" applyFont="1" applyBorder="1" applyAlignment="1">
      <alignment horizontal="center" vertical="top" wrapText="1"/>
    </xf>
    <xf numFmtId="0" fontId="55" fillId="3" borderId="17" xfId="3" applyFont="1" applyFill="1" applyBorder="1" applyAlignment="1">
      <alignment horizontal="center" vertical="top" wrapText="1"/>
    </xf>
    <xf numFmtId="9" fontId="52" fillId="0" borderId="17" xfId="3" applyNumberFormat="1" applyFont="1" applyBorder="1" applyAlignment="1">
      <alignment horizontal="center" vertical="top" wrapText="1"/>
    </xf>
    <xf numFmtId="0" fontId="62" fillId="3" borderId="0" xfId="3" applyFont="1" applyFill="1"/>
    <xf numFmtId="0" fontId="2" fillId="0" borderId="0" xfId="0" quotePrefix="1" applyFont="1" applyBorder="1" applyAlignment="1" applyProtection="1"/>
    <xf numFmtId="0" fontId="61" fillId="0" borderId="3" xfId="3" applyFont="1" applyBorder="1" applyAlignment="1">
      <alignment horizontal="center" wrapText="1"/>
    </xf>
    <xf numFmtId="0" fontId="61" fillId="0" borderId="5" xfId="3" applyFont="1" applyBorder="1" applyAlignment="1">
      <alignment horizontal="center" wrapText="1"/>
    </xf>
    <xf numFmtId="0" fontId="61" fillId="0" borderId="18" xfId="3" applyFont="1" applyBorder="1" applyAlignment="1">
      <alignment horizontal="center" vertical="top" wrapText="1"/>
    </xf>
    <xf numFmtId="0" fontId="64" fillId="0" borderId="0" xfId="3" applyFont="1" applyAlignment="1">
      <alignment horizontal="left" indent="2"/>
    </xf>
    <xf numFmtId="9" fontId="55" fillId="0" borderId="19" xfId="3" applyNumberFormat="1" applyFont="1" applyBorder="1" applyAlignment="1">
      <alignment horizontal="center" vertical="top" wrapText="1"/>
    </xf>
    <xf numFmtId="0" fontId="64" fillId="0" borderId="0" xfId="4" applyNumberFormat="1" applyFont="1" applyAlignment="1">
      <alignment horizontal="center"/>
    </xf>
    <xf numFmtId="0" fontId="64" fillId="0" borderId="0" xfId="4" applyNumberFormat="1" applyFont="1" applyAlignment="1">
      <alignment horizontal="right"/>
    </xf>
    <xf numFmtId="166" fontId="52" fillId="0" borderId="15" xfId="3" applyNumberFormat="1" applyFont="1" applyBorder="1" applyAlignment="1">
      <alignment horizontal="center" vertical="top" wrapText="1"/>
    </xf>
    <xf numFmtId="166" fontId="65" fillId="0" borderId="0" xfId="2" applyNumberFormat="1" applyFont="1"/>
    <xf numFmtId="166" fontId="66" fillId="0" borderId="0" xfId="5" applyNumberFormat="1" applyFont="1"/>
    <xf numFmtId="166" fontId="52" fillId="0" borderId="16" xfId="3" applyNumberFormat="1" applyFont="1" applyBorder="1" applyAlignment="1">
      <alignment horizontal="center" vertical="top" wrapText="1"/>
    </xf>
    <xf numFmtId="0" fontId="51" fillId="0" borderId="17" xfId="3" applyFont="1" applyBorder="1" applyAlignment="1">
      <alignment horizontal="center" vertical="top" wrapText="1"/>
    </xf>
    <xf numFmtId="166" fontId="52" fillId="0" borderId="17" xfId="3" applyNumberFormat="1" applyFont="1" applyBorder="1" applyAlignment="1">
      <alignment horizontal="center" vertical="top" wrapText="1"/>
    </xf>
    <xf numFmtId="165" fontId="65" fillId="0" borderId="0" xfId="4" quotePrefix="1" applyNumberFormat="1" applyFont="1"/>
    <xf numFmtId="165" fontId="55" fillId="0" borderId="0" xfId="4" applyNumberFormat="1" applyFont="1"/>
    <xf numFmtId="0" fontId="2" fillId="0" borderId="0" xfId="3" applyFont="1" applyAlignment="1">
      <alignment horizontal="left"/>
    </xf>
    <xf numFmtId="0" fontId="2" fillId="0" borderId="8" xfId="3" applyFont="1" applyBorder="1"/>
    <xf numFmtId="0" fontId="2" fillId="0" borderId="8" xfId="0" applyFont="1" applyBorder="1" applyProtection="1"/>
    <xf numFmtId="0" fontId="2" fillId="0" borderId="13" xfId="3" applyFont="1" applyBorder="1"/>
    <xf numFmtId="0" fontId="2" fillId="0" borderId="13" xfId="3" applyFont="1" applyBorder="1" applyAlignment="1">
      <alignment horizontal="right"/>
    </xf>
    <xf numFmtId="0" fontId="2" fillId="0" borderId="13" xfId="3" applyFont="1" applyBorder="1" applyAlignment="1">
      <alignment horizontal="left" indent="2"/>
    </xf>
    <xf numFmtId="0" fontId="67" fillId="0" borderId="13" xfId="3" applyFont="1" applyBorder="1"/>
    <xf numFmtId="0" fontId="2" fillId="0" borderId="0" xfId="3" applyFont="1" applyAlignment="1">
      <alignment horizontal="center"/>
    </xf>
    <xf numFmtId="9" fontId="2" fillId="0" borderId="0" xfId="3" applyNumberFormat="1" applyFont="1"/>
    <xf numFmtId="164" fontId="2" fillId="0" borderId="0" xfId="1" applyFont="1"/>
    <xf numFmtId="0" fontId="60" fillId="4" borderId="0" xfId="3" applyFont="1" applyFill="1" applyBorder="1"/>
    <xf numFmtId="0" fontId="55" fillId="4" borderId="0" xfId="3" applyFont="1" applyFill="1"/>
    <xf numFmtId="0" fontId="49" fillId="0" borderId="0" xfId="3" applyFont="1" applyAlignment="1">
      <alignment horizontal="right" indent="1"/>
    </xf>
    <xf numFmtId="0" fontId="66" fillId="0" borderId="0" xfId="3" applyFont="1" applyAlignment="1">
      <alignment horizontal="right"/>
    </xf>
    <xf numFmtId="0" fontId="52" fillId="0" borderId="0" xfId="3" applyFont="1" applyFill="1" applyBorder="1" applyAlignment="1">
      <alignment horizontal="left" indent="2"/>
    </xf>
    <xf numFmtId="9" fontId="62" fillId="0" borderId="0" xfId="3" applyNumberFormat="1" applyFont="1"/>
    <xf numFmtId="0" fontId="67" fillId="0" borderId="0" xfId="3" applyFont="1"/>
    <xf numFmtId="0" fontId="59" fillId="0" borderId="0" xfId="3" applyFont="1" applyAlignment="1">
      <alignment horizontal="left" indent="2"/>
    </xf>
    <xf numFmtId="0" fontId="51" fillId="0" borderId="0" xfId="3" applyFont="1"/>
    <xf numFmtId="9" fontId="62" fillId="0" borderId="0" xfId="3" applyNumberFormat="1" applyFont="1" applyAlignment="1">
      <alignment horizontal="right"/>
    </xf>
    <xf numFmtId="166" fontId="49" fillId="0" borderId="0" xfId="3" applyNumberFormat="1" applyFont="1" applyAlignment="1">
      <alignment horizontal="right"/>
    </xf>
    <xf numFmtId="166" fontId="49" fillId="0" borderId="0" xfId="5" applyNumberFormat="1" applyFont="1" applyAlignment="1">
      <alignment horizontal="right"/>
    </xf>
    <xf numFmtId="0" fontId="55" fillId="0" borderId="0" xfId="0" quotePrefix="1" applyFont="1"/>
    <xf numFmtId="0" fontId="43" fillId="8" borderId="0" xfId="0" applyFont="1" applyFill="1" applyBorder="1" applyAlignment="1">
      <alignment vertical="center"/>
    </xf>
    <xf numFmtId="0" fontId="45" fillId="8" borderId="0" xfId="0" applyFont="1" applyFill="1" applyBorder="1" applyAlignment="1" applyProtection="1">
      <alignment vertical="center"/>
    </xf>
    <xf numFmtId="0" fontId="45" fillId="8" borderId="0" xfId="0" applyFont="1" applyFill="1" applyBorder="1" applyAlignment="1" applyProtection="1">
      <alignment horizontal="left" vertical="center" readingOrder="1"/>
    </xf>
    <xf numFmtId="0" fontId="68" fillId="2" borderId="0" xfId="0" applyFont="1" applyFill="1"/>
    <xf numFmtId="0" fontId="69" fillId="2" borderId="0" xfId="0" applyFont="1" applyFill="1"/>
    <xf numFmtId="0" fontId="69" fillId="2" borderId="2" xfId="0" applyFont="1" applyFill="1" applyBorder="1"/>
    <xf numFmtId="0" fontId="68" fillId="2" borderId="0" xfId="0" applyFont="1" applyFill="1" applyBorder="1"/>
    <xf numFmtId="0" fontId="55" fillId="2" borderId="0" xfId="0" applyFont="1" applyFill="1" applyBorder="1" applyProtection="1"/>
    <xf numFmtId="0" fontId="55" fillId="2" borderId="0" xfId="0" applyFont="1" applyFill="1" applyBorder="1" applyAlignment="1" applyProtection="1">
      <alignment horizontal="left" readingOrder="1"/>
    </xf>
    <xf numFmtId="0" fontId="70" fillId="0" borderId="1" xfId="3" applyFont="1" applyBorder="1"/>
    <xf numFmtId="165" fontId="66" fillId="0" borderId="0" xfId="4" applyNumberFormat="1" applyFont="1"/>
    <xf numFmtId="0" fontId="55" fillId="0" borderId="7" xfId="3" applyFont="1" applyBorder="1" applyAlignment="1">
      <alignment horizontal="right"/>
    </xf>
    <xf numFmtId="0" fontId="66" fillId="0" borderId="0" xfId="3" applyFont="1" applyAlignment="1">
      <alignment horizontal="left" indent="2"/>
    </xf>
    <xf numFmtId="0" fontId="66" fillId="0" borderId="0" xfId="3" applyFont="1" applyAlignment="1">
      <alignment horizontal="left"/>
    </xf>
    <xf numFmtId="167" fontId="55" fillId="0" borderId="1" xfId="4" applyNumberFormat="1" applyFont="1" applyBorder="1"/>
    <xf numFmtId="168" fontId="55" fillId="0" borderId="0" xfId="4" applyNumberFormat="1" applyFont="1" applyFill="1"/>
    <xf numFmtId="0" fontId="2" fillId="0" borderId="4" xfId="3" applyFont="1" applyBorder="1" applyAlignment="1">
      <alignment horizontal="center"/>
    </xf>
    <xf numFmtId="165" fontId="49" fillId="5" borderId="0" xfId="4" applyNumberFormat="1" applyFont="1" applyFill="1"/>
    <xf numFmtId="165" fontId="66" fillId="0" borderId="0" xfId="4" applyNumberFormat="1" applyFont="1" applyFill="1" applyAlignment="1"/>
    <xf numFmtId="9" fontId="66" fillId="0" borderId="0" xfId="5" applyFont="1"/>
    <xf numFmtId="0" fontId="2" fillId="0" borderId="0" xfId="3" applyFont="1" applyBorder="1" applyAlignment="1">
      <alignment horizontal="center"/>
    </xf>
    <xf numFmtId="9" fontId="66" fillId="0" borderId="0" xfId="5" applyFont="1" applyBorder="1" applyAlignment="1">
      <alignment horizontal="right"/>
    </xf>
    <xf numFmtId="168" fontId="55" fillId="0" borderId="0" xfId="4" applyNumberFormat="1" applyFont="1"/>
    <xf numFmtId="165" fontId="66" fillId="0" borderId="0" xfId="4" applyNumberFormat="1" applyFont="1" applyAlignment="1"/>
    <xf numFmtId="165" fontId="49" fillId="0" borderId="0" xfId="4" applyNumberFormat="1" applyFont="1"/>
    <xf numFmtId="167" fontId="55" fillId="0" borderId="7" xfId="4" applyNumberFormat="1" applyFont="1" applyBorder="1"/>
    <xf numFmtId="168" fontId="55" fillId="0" borderId="8" xfId="4" applyNumberFormat="1" applyFont="1" applyBorder="1"/>
    <xf numFmtId="0" fontId="2" fillId="0" borderId="8" xfId="3" applyFont="1" applyBorder="1" applyAlignment="1">
      <alignment horizontal="center"/>
    </xf>
    <xf numFmtId="165" fontId="49" fillId="0" borderId="8" xfId="4" applyNumberFormat="1" applyFont="1" applyBorder="1"/>
    <xf numFmtId="165" fontId="66" fillId="0" borderId="0" xfId="4" applyNumberFormat="1" applyFont="1" applyBorder="1" applyAlignment="1"/>
    <xf numFmtId="167" fontId="41" fillId="0" borderId="0" xfId="4" applyNumberFormat="1" applyFont="1" applyFill="1"/>
    <xf numFmtId="168" fontId="41" fillId="0" borderId="0" xfId="3" applyNumberFormat="1" applyFont="1" applyFill="1"/>
    <xf numFmtId="165" fontId="66" fillId="0" borderId="0" xfId="3" applyNumberFormat="1" applyFont="1" applyFill="1" applyBorder="1" applyAlignment="1"/>
    <xf numFmtId="0" fontId="55" fillId="0" borderId="0" xfId="0" applyFont="1" applyFill="1" applyBorder="1" applyAlignment="1">
      <alignment horizontal="left"/>
    </xf>
    <xf numFmtId="0" fontId="51" fillId="0" borderId="0" xfId="0" applyFont="1" applyAlignment="1">
      <alignment horizontal="left"/>
    </xf>
    <xf numFmtId="0" fontId="51" fillId="0" borderId="0" xfId="0" applyFont="1" applyFill="1" applyAlignment="1">
      <alignment horizontal="left"/>
    </xf>
    <xf numFmtId="0" fontId="2" fillId="0" borderId="0" xfId="0" applyFont="1" applyFill="1" applyAlignment="1">
      <alignment vertical="top"/>
    </xf>
    <xf numFmtId="0" fontId="55" fillId="3" borderId="0" xfId="0" applyFont="1" applyFill="1" applyAlignment="1">
      <alignment horizontal="left" vertical="top"/>
    </xf>
    <xf numFmtId="0" fontId="5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51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0" fontId="2" fillId="0" borderId="0" xfId="0" applyFont="1" applyFill="1" applyAlignment="1">
      <alignment horizontal="center" vertical="top"/>
    </xf>
    <xf numFmtId="0" fontId="67" fillId="0" borderId="0" xfId="0" applyFont="1" applyAlignment="1">
      <alignment horizontal="left" vertical="top"/>
    </xf>
    <xf numFmtId="0" fontId="50" fillId="5" borderId="0" xfId="3" applyFont="1" applyFill="1" applyAlignment="1">
      <alignment vertical="top"/>
    </xf>
    <xf numFmtId="0" fontId="0" fillId="5" borderId="0" xfId="3" applyFont="1" applyFill="1" applyAlignment="1">
      <alignment vertical="top"/>
    </xf>
    <xf numFmtId="0" fontId="67" fillId="5" borderId="0" xfId="3" applyFont="1" applyFill="1" applyAlignment="1">
      <alignment vertical="top"/>
    </xf>
    <xf numFmtId="0" fontId="5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62" fillId="0" borderId="0" xfId="0" applyFont="1"/>
    <xf numFmtId="0" fontId="59" fillId="0" borderId="0" xfId="3" applyFont="1" applyFill="1" applyBorder="1" applyAlignment="1">
      <alignment horizontal="left"/>
    </xf>
    <xf numFmtId="0" fontId="67" fillId="0" borderId="0" xfId="3" applyFont="1" applyAlignment="1">
      <alignment horizontal="right"/>
    </xf>
    <xf numFmtId="167" fontId="2" fillId="0" borderId="0" xfId="4" applyNumberFormat="1" applyFont="1" applyAlignment="1">
      <alignment horizontal="right"/>
    </xf>
    <xf numFmtId="0" fontId="2" fillId="0" borderId="0" xfId="3" applyFont="1" applyBorder="1" applyAlignment="1">
      <alignment horizontal="right"/>
    </xf>
    <xf numFmtId="0" fontId="55" fillId="0" borderId="8" xfId="3" applyFont="1" applyFill="1" applyBorder="1" applyAlignment="1">
      <alignment horizontal="center" vertical="center"/>
    </xf>
    <xf numFmtId="0" fontId="55" fillId="0" borderId="7" xfId="3" applyFont="1" applyBorder="1" applyAlignment="1">
      <alignment horizontal="center" vertical="center" wrapText="1"/>
    </xf>
    <xf numFmtId="9" fontId="55" fillId="0" borderId="8" xfId="3" applyNumberFormat="1" applyFont="1" applyBorder="1" applyAlignment="1">
      <alignment horizontal="right" vertical="center"/>
    </xf>
    <xf numFmtId="0" fontId="2" fillId="0" borderId="0" xfId="3" applyFont="1" applyAlignment="1">
      <alignment horizontal="center" vertical="center"/>
    </xf>
    <xf numFmtId="0" fontId="66" fillId="0" borderId="0" xfId="3" applyFont="1" applyAlignment="1">
      <alignment horizontal="center" vertical="center" wrapText="1"/>
    </xf>
    <xf numFmtId="37" fontId="55" fillId="0" borderId="1" xfId="4" applyNumberFormat="1" applyFont="1" applyBorder="1" applyAlignment="1">
      <alignment horizontal="center"/>
    </xf>
    <xf numFmtId="37" fontId="55" fillId="0" borderId="7" xfId="4" applyNumberFormat="1" applyFont="1" applyBorder="1" applyAlignment="1">
      <alignment horizontal="center"/>
    </xf>
    <xf numFmtId="165" fontId="49" fillId="5" borderId="8" xfId="4" applyNumberFormat="1" applyFont="1" applyFill="1" applyBorder="1"/>
    <xf numFmtId="37" fontId="41" fillId="0" borderId="3" xfId="4" applyNumberFormat="1" applyFont="1" applyFill="1" applyBorder="1" applyAlignment="1">
      <alignment horizontal="center"/>
    </xf>
    <xf numFmtId="168" fontId="41" fillId="0" borderId="0" xfId="3" applyNumberFormat="1" applyFont="1"/>
    <xf numFmtId="9" fontId="2" fillId="0" borderId="0" xfId="5" applyFont="1" applyAlignment="1">
      <alignment horizontal="center"/>
    </xf>
    <xf numFmtId="0" fontId="55" fillId="3" borderId="0" xfId="0" applyFont="1" applyFill="1" applyBorder="1" applyAlignment="1">
      <alignment horizontal="left"/>
    </xf>
    <xf numFmtId="0" fontId="52" fillId="5" borderId="0" xfId="3" applyFont="1" applyFill="1" applyAlignment="1">
      <alignment vertical="top"/>
    </xf>
    <xf numFmtId="0" fontId="2" fillId="5" borderId="0" xfId="3" applyFont="1" applyFill="1" applyAlignment="1">
      <alignment vertical="top"/>
    </xf>
    <xf numFmtId="0" fontId="2" fillId="5" borderId="0" xfId="3" applyFont="1" applyFill="1" applyAlignment="1">
      <alignment horizontal="left" vertical="top"/>
    </xf>
    <xf numFmtId="0" fontId="2" fillId="0" borderId="0" xfId="0" applyFont="1" applyAlignment="1">
      <alignment horizontal="right"/>
    </xf>
    <xf numFmtId="166" fontId="41" fillId="0" borderId="0" xfId="2" applyNumberFormat="1" applyFont="1" applyAlignment="1">
      <alignment horizontal="right" indent="1"/>
    </xf>
    <xf numFmtId="9" fontId="55" fillId="0" borderId="0" xfId="2" applyFont="1" applyBorder="1"/>
    <xf numFmtId="0" fontId="2" fillId="0" borderId="0" xfId="3" applyFont="1" applyAlignment="1">
      <alignment horizontal="center" wrapText="1"/>
    </xf>
    <xf numFmtId="9" fontId="55" fillId="0" borderId="8" xfId="3" applyNumberFormat="1" applyFont="1" applyBorder="1" applyAlignment="1">
      <alignment horizontal="right" wrapText="1" indent="1"/>
    </xf>
    <xf numFmtId="9" fontId="55" fillId="0" borderId="8" xfId="3" applyNumberFormat="1" applyFont="1" applyBorder="1" applyAlignment="1">
      <alignment horizontal="left"/>
    </xf>
    <xf numFmtId="169" fontId="49" fillId="5" borderId="0" xfId="4" applyNumberFormat="1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169" fontId="49" fillId="5" borderId="8" xfId="4" applyNumberFormat="1" applyFont="1" applyFill="1" applyBorder="1" applyAlignment="1">
      <alignment horizontal="center"/>
    </xf>
    <xf numFmtId="0" fontId="41" fillId="0" borderId="0" xfId="3" applyFont="1" applyAlignment="1">
      <alignment horizontal="center"/>
    </xf>
    <xf numFmtId="0" fontId="55" fillId="0" borderId="0" xfId="3" applyFont="1" applyAlignment="1">
      <alignment horizontal="center"/>
    </xf>
    <xf numFmtId="169" fontId="49" fillId="0" borderId="0" xfId="3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8" xfId="0" applyNumberFormat="1" applyFont="1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42" fillId="0" borderId="3" xfId="0" applyFont="1" applyFill="1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71" fontId="0" fillId="0" borderId="0" xfId="1" applyNumberFormat="1" applyFont="1"/>
    <xf numFmtId="0" fontId="19" fillId="0" borderId="0" xfId="0" applyFont="1" applyFill="1"/>
    <xf numFmtId="0" fontId="71" fillId="0" borderId="0" xfId="0" applyFont="1" applyFill="1"/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18" xfId="0" applyFont="1" applyBorder="1"/>
    <xf numFmtId="3" fontId="9" fillId="0" borderId="18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/>
    <xf numFmtId="3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9" xfId="0" applyFont="1" applyBorder="1"/>
    <xf numFmtId="3" fontId="9" fillId="0" borderId="19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0" xfId="0" applyFont="1" applyFill="1" applyBorder="1"/>
    <xf numFmtId="0" fontId="52" fillId="0" borderId="0" xfId="0" applyFont="1"/>
    <xf numFmtId="0" fontId="59" fillId="0" borderId="0" xfId="0" applyFont="1"/>
    <xf numFmtId="0" fontId="72" fillId="0" borderId="0" xfId="0" applyFont="1" applyFill="1" applyBorder="1"/>
    <xf numFmtId="0" fontId="13" fillId="0" borderId="0" xfId="0" applyFont="1" applyFill="1" applyBorder="1"/>
    <xf numFmtId="0" fontId="0" fillId="12" borderId="1" xfId="0" applyFont="1" applyFill="1" applyBorder="1"/>
    <xf numFmtId="0" fontId="0" fillId="12" borderId="22" xfId="0" applyFont="1" applyFill="1" applyBorder="1"/>
    <xf numFmtId="0" fontId="0" fillId="0" borderId="0" xfId="0" quotePrefix="1" applyFont="1"/>
    <xf numFmtId="9" fontId="0" fillId="0" borderId="0" xfId="2" applyFont="1"/>
    <xf numFmtId="171" fontId="73" fillId="0" borderId="0" xfId="1" applyNumberFormat="1" applyFont="1"/>
    <xf numFmtId="9" fontId="73" fillId="0" borderId="0" xfId="2" applyFont="1"/>
    <xf numFmtId="0" fontId="73" fillId="0" borderId="0" xfId="0" applyFont="1"/>
    <xf numFmtId="0" fontId="55" fillId="0" borderId="21" xfId="3" applyNumberFormat="1" applyFont="1" applyFill="1" applyBorder="1" applyAlignment="1">
      <alignment horizontal="center" vertical="top" wrapText="1"/>
    </xf>
    <xf numFmtId="9" fontId="74" fillId="0" borderId="0" xfId="2" applyFont="1"/>
    <xf numFmtId="0" fontId="74" fillId="0" borderId="0" xfId="0" applyFont="1"/>
    <xf numFmtId="9" fontId="75" fillId="0" borderId="21" xfId="3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166" fontId="24" fillId="0" borderId="0" xfId="2" applyNumberFormat="1" applyFont="1"/>
    <xf numFmtId="166" fontId="24" fillId="0" borderId="0" xfId="0" applyNumberFormat="1" applyFont="1"/>
    <xf numFmtId="166" fontId="6" fillId="0" borderId="0" xfId="0" applyNumberFormat="1" applyFont="1" applyBorder="1" applyProtection="1"/>
    <xf numFmtId="166" fontId="33" fillId="0" borderId="0" xfId="0" applyNumberFormat="1" applyFont="1"/>
    <xf numFmtId="166" fontId="24" fillId="0" borderId="8" xfId="2" applyNumberFormat="1" applyFont="1" applyBorder="1"/>
    <xf numFmtId="166" fontId="24" fillId="0" borderId="8" xfId="0" applyNumberFormat="1" applyFont="1" applyBorder="1"/>
    <xf numFmtId="0" fontId="6" fillId="0" borderId="8" xfId="0" applyFont="1" applyBorder="1" applyProtection="1"/>
    <xf numFmtId="166" fontId="6" fillId="0" borderId="8" xfId="0" applyNumberFormat="1" applyFont="1" applyBorder="1" applyProtection="1"/>
    <xf numFmtId="0" fontId="76" fillId="0" borderId="0" xfId="0" applyFont="1" applyBorder="1" applyProtection="1"/>
    <xf numFmtId="0" fontId="76" fillId="0" borderId="0" xfId="0" applyFont="1" applyFill="1" applyBorder="1" applyProtection="1"/>
    <xf numFmtId="0" fontId="7" fillId="0" borderId="0" xfId="0" applyFont="1" applyBorder="1" applyProtection="1"/>
    <xf numFmtId="0" fontId="78" fillId="9" borderId="0" xfId="0" applyFont="1" applyFill="1"/>
    <xf numFmtId="9" fontId="2" fillId="0" borderId="0" xfId="2" applyFont="1" applyBorder="1" applyProtection="1"/>
    <xf numFmtId="9" fontId="81" fillId="0" borderId="0" xfId="2" applyFont="1" applyBorder="1" applyProtection="1"/>
    <xf numFmtId="0" fontId="2" fillId="0" borderId="19" xfId="0" applyFont="1" applyBorder="1" applyAlignment="1" applyProtection="1">
      <alignment horizontal="center" wrapText="1"/>
    </xf>
    <xf numFmtId="0" fontId="0" fillId="0" borderId="0" xfId="0" applyAlignment="1">
      <alignment horizontal="right"/>
    </xf>
    <xf numFmtId="0" fontId="24" fillId="0" borderId="0" xfId="0" applyFont="1" applyBorder="1" applyAlignment="1">
      <alignment horizontal="center"/>
    </xf>
    <xf numFmtId="0" fontId="0" fillId="0" borderId="9" xfId="0" applyBorder="1"/>
    <xf numFmtId="164" fontId="24" fillId="0" borderId="0" xfId="1" applyFont="1" applyAlignment="1">
      <alignment horizontal="right"/>
    </xf>
    <xf numFmtId="167" fontId="24" fillId="0" borderId="0" xfId="1" applyNumberFormat="1" applyFont="1" applyAlignment="1">
      <alignment horizontal="right"/>
    </xf>
    <xf numFmtId="171" fontId="24" fillId="0" borderId="0" xfId="1" applyNumberFormat="1" applyFont="1" applyAlignment="1">
      <alignment horizontal="right"/>
    </xf>
    <xf numFmtId="171" fontId="24" fillId="0" borderId="6" xfId="1" applyNumberFormat="1" applyFont="1" applyBorder="1" applyAlignment="1">
      <alignment horizontal="right"/>
    </xf>
    <xf numFmtId="171" fontId="6" fillId="0" borderId="0" xfId="1" applyNumberFormat="1" applyFont="1" applyBorder="1" applyAlignment="1" applyProtection="1">
      <alignment horizontal="right"/>
    </xf>
    <xf numFmtId="171" fontId="24" fillId="0" borderId="0" xfId="1" applyNumberFormat="1" applyFont="1" applyBorder="1" applyAlignment="1">
      <alignment horizontal="right"/>
    </xf>
    <xf numFmtId="167" fontId="24" fillId="0" borderId="0" xfId="1" applyNumberFormat="1" applyFont="1"/>
    <xf numFmtId="171" fontId="24" fillId="0" borderId="0" xfId="1" applyNumberFormat="1" applyFont="1"/>
    <xf numFmtId="171" fontId="6" fillId="0" borderId="0" xfId="1" applyNumberFormat="1" applyFont="1" applyBorder="1" applyProtection="1"/>
    <xf numFmtId="0" fontId="6" fillId="0" borderId="0" xfId="0" applyFont="1" applyFill="1" applyBorder="1" applyAlignment="1" applyProtection="1">
      <alignment horizontal="right"/>
    </xf>
    <xf numFmtId="0" fontId="24" fillId="0" borderId="8" xfId="0" applyFont="1" applyFill="1" applyBorder="1" applyAlignment="1">
      <alignment horizontal="right"/>
    </xf>
    <xf numFmtId="0" fontId="24" fillId="0" borderId="9" xfId="0" applyFont="1" applyFill="1" applyBorder="1" applyAlignment="1">
      <alignment horizontal="right"/>
    </xf>
    <xf numFmtId="171" fontId="24" fillId="0" borderId="6" xfId="1" applyNumberFormat="1" applyFont="1" applyBorder="1"/>
    <xf numFmtId="0" fontId="0" fillId="0" borderId="9" xfId="0" applyFill="1" applyBorder="1"/>
    <xf numFmtId="0" fontId="24" fillId="0" borderId="6" xfId="0" applyFont="1" applyBorder="1"/>
    <xf numFmtId="171" fontId="24" fillId="0" borderId="0" xfId="0" applyNumberFormat="1" applyFont="1" applyAlignment="1">
      <alignment horizontal="right"/>
    </xf>
    <xf numFmtId="9" fontId="24" fillId="0" borderId="0" xfId="2" applyFont="1" applyAlignment="1">
      <alignment horizontal="right"/>
    </xf>
    <xf numFmtId="9" fontId="24" fillId="0" borderId="6" xfId="2" applyFont="1" applyBorder="1" applyAlignment="1">
      <alignment horizontal="right"/>
    </xf>
    <xf numFmtId="9" fontId="6" fillId="0" borderId="0" xfId="2" applyFont="1" applyBorder="1" applyAlignment="1" applyProtection="1">
      <alignment horizontal="right"/>
    </xf>
    <xf numFmtId="9" fontId="24" fillId="0" borderId="0" xfId="2" applyFont="1" applyBorder="1" applyAlignment="1">
      <alignment horizontal="right"/>
    </xf>
    <xf numFmtId="166" fontId="24" fillId="0" borderId="0" xfId="2" applyNumberFormat="1" applyFont="1" applyAlignment="1">
      <alignment horizontal="right"/>
    </xf>
    <xf numFmtId="166" fontId="24" fillId="0" borderId="6" xfId="2" applyNumberFormat="1" applyFont="1" applyBorder="1" applyAlignment="1">
      <alignment horizontal="right"/>
    </xf>
    <xf numFmtId="166" fontId="6" fillId="0" borderId="0" xfId="2" applyNumberFormat="1" applyFont="1" applyBorder="1" applyAlignment="1" applyProtection="1">
      <alignment horizontal="right"/>
    </xf>
    <xf numFmtId="166" fontId="24" fillId="0" borderId="0" xfId="2" applyNumberFormat="1" applyFont="1" applyBorder="1" applyAlignment="1">
      <alignment horizontal="right"/>
    </xf>
    <xf numFmtId="166" fontId="24" fillId="0" borderId="8" xfId="2" applyNumberFormat="1" applyFont="1" applyBorder="1" applyAlignment="1">
      <alignment horizontal="right"/>
    </xf>
    <xf numFmtId="166" fontId="24" fillId="0" borderId="9" xfId="2" applyNumberFormat="1" applyFont="1" applyBorder="1" applyAlignment="1">
      <alignment horizontal="right"/>
    </xf>
    <xf numFmtId="166" fontId="6" fillId="0" borderId="8" xfId="2" applyNumberFormat="1" applyFont="1" applyBorder="1" applyAlignment="1" applyProtection="1">
      <alignment horizontal="right"/>
    </xf>
    <xf numFmtId="0" fontId="33" fillId="0" borderId="0" xfId="0" applyFont="1" applyAlignment="1">
      <alignment horizontal="center"/>
    </xf>
    <xf numFmtId="0" fontId="33" fillId="0" borderId="6" xfId="0" applyFont="1" applyBorder="1" applyAlignment="1">
      <alignment horizontal="center"/>
    </xf>
    <xf numFmtId="166" fontId="33" fillId="0" borderId="0" xfId="0" applyNumberFormat="1" applyFont="1" applyAlignment="1">
      <alignment horizontal="right"/>
    </xf>
    <xf numFmtId="166" fontId="76" fillId="0" borderId="0" xfId="2" applyNumberFormat="1" applyFont="1" applyBorder="1" applyAlignment="1" applyProtection="1">
      <alignment horizontal="right"/>
    </xf>
    <xf numFmtId="166" fontId="76" fillId="0" borderId="6" xfId="2" applyNumberFormat="1" applyFont="1" applyBorder="1" applyAlignment="1" applyProtection="1">
      <alignment horizontal="right"/>
    </xf>
    <xf numFmtId="171" fontId="24" fillId="0" borderId="8" xfId="1" applyNumberFormat="1" applyFont="1" applyBorder="1" applyAlignment="1">
      <alignment horizontal="right"/>
    </xf>
    <xf numFmtId="171" fontId="24" fillId="0" borderId="9" xfId="1" applyNumberFormat="1" applyFont="1" applyBorder="1" applyAlignment="1">
      <alignment horizontal="right"/>
    </xf>
    <xf numFmtId="171" fontId="6" fillId="0" borderId="8" xfId="1" applyNumberFormat="1" applyFont="1" applyBorder="1" applyAlignment="1" applyProtection="1">
      <alignment horizontal="right"/>
    </xf>
    <xf numFmtId="171" fontId="33" fillId="0" borderId="0" xfId="1" applyNumberFormat="1" applyFont="1" applyAlignment="1">
      <alignment horizontal="right"/>
    </xf>
    <xf numFmtId="171" fontId="76" fillId="0" borderId="0" xfId="1" applyNumberFormat="1" applyFont="1" applyBorder="1" applyAlignment="1" applyProtection="1">
      <alignment horizontal="right"/>
    </xf>
    <xf numFmtId="171" fontId="76" fillId="0" borderId="6" xfId="1" applyNumberFormat="1" applyFont="1" applyBorder="1" applyAlignment="1" applyProtection="1">
      <alignment horizontal="right"/>
    </xf>
    <xf numFmtId="9" fontId="24" fillId="0" borderId="8" xfId="2" applyFont="1" applyBorder="1" applyAlignment="1">
      <alignment horizontal="right"/>
    </xf>
    <xf numFmtId="9" fontId="24" fillId="0" borderId="9" xfId="2" applyFont="1" applyBorder="1" applyAlignment="1">
      <alignment horizontal="right"/>
    </xf>
    <xf numFmtId="9" fontId="6" fillId="0" borderId="8" xfId="2" applyFont="1" applyBorder="1" applyAlignment="1" applyProtection="1">
      <alignment horizontal="right"/>
    </xf>
    <xf numFmtId="0" fontId="30" fillId="0" borderId="0" xfId="0" applyFont="1"/>
    <xf numFmtId="171" fontId="30" fillId="0" borderId="0" xfId="1" applyNumberFormat="1" applyFont="1"/>
    <xf numFmtId="171" fontId="12" fillId="0" borderId="0" xfId="1" applyNumberFormat="1" applyFont="1" applyBorder="1" applyProtection="1"/>
    <xf numFmtId="171" fontId="30" fillId="0" borderId="0" xfId="0" applyNumberFormat="1" applyFont="1"/>
    <xf numFmtId="166" fontId="30" fillId="0" borderId="0" xfId="2" applyNumberFormat="1" applyFont="1"/>
    <xf numFmtId="0" fontId="24" fillId="0" borderId="0" xfId="0" applyFont="1" applyFill="1" applyBorder="1" applyAlignment="1">
      <alignment horizontal="right"/>
    </xf>
    <xf numFmtId="0" fontId="24" fillId="0" borderId="0" xfId="0" applyFont="1" applyBorder="1"/>
    <xf numFmtId="0" fontId="33" fillId="0" borderId="0" xfId="0" applyFont="1" applyBorder="1" applyAlignment="1">
      <alignment horizontal="right"/>
    </xf>
    <xf numFmtId="171" fontId="33" fillId="0" borderId="0" xfId="1" applyNumberFormat="1" applyFont="1" applyBorder="1" applyAlignment="1">
      <alignment horizontal="right"/>
    </xf>
    <xf numFmtId="0" fontId="13" fillId="0" borderId="0" xfId="0" applyFont="1"/>
    <xf numFmtId="0" fontId="13" fillId="0" borderId="0" xfId="0" applyFont="1" applyFill="1"/>
    <xf numFmtId="0" fontId="74" fillId="0" borderId="0" xfId="0" applyFont="1" applyBorder="1"/>
    <xf numFmtId="0" fontId="24" fillId="0" borderId="6" xfId="0" applyFont="1" applyFill="1" applyBorder="1" applyAlignment="1">
      <alignment horizontal="right"/>
    </xf>
    <xf numFmtId="0" fontId="0" fillId="0" borderId="6" xfId="0" applyBorder="1"/>
    <xf numFmtId="0" fontId="24" fillId="0" borderId="9" xfId="0" applyFont="1" applyBorder="1"/>
    <xf numFmtId="0" fontId="24" fillId="0" borderId="7" xfId="0" applyFont="1" applyBorder="1" applyAlignment="1">
      <alignment horizontal="center"/>
    </xf>
    <xf numFmtId="0" fontId="24" fillId="0" borderId="1" xfId="0" applyFont="1" applyBorder="1"/>
    <xf numFmtId="9" fontId="24" fillId="0" borderId="1" xfId="2" applyFont="1" applyBorder="1" applyAlignment="1">
      <alignment horizontal="right"/>
    </xf>
    <xf numFmtId="9" fontId="24" fillId="0" borderId="1" xfId="2" applyFont="1" applyBorder="1"/>
    <xf numFmtId="9" fontId="24" fillId="0" borderId="0" xfId="2" applyFont="1" applyBorder="1"/>
    <xf numFmtId="9" fontId="24" fillId="0" borderId="6" xfId="2" applyFont="1" applyBorder="1"/>
    <xf numFmtId="9" fontId="24" fillId="0" borderId="0" xfId="2" applyFont="1" applyBorder="1" applyAlignment="1">
      <alignment horizontal="center"/>
    </xf>
    <xf numFmtId="0" fontId="13" fillId="0" borderId="0" xfId="0" applyFont="1" applyBorder="1"/>
    <xf numFmtId="0" fontId="84" fillId="0" borderId="6" xfId="0" applyFont="1" applyBorder="1" applyAlignment="1">
      <alignment horizontal="right"/>
    </xf>
    <xf numFmtId="171" fontId="24" fillId="0" borderId="0" xfId="1" applyNumberFormat="1" applyFont="1" applyBorder="1"/>
    <xf numFmtId="171" fontId="24" fillId="0" borderId="0" xfId="1" applyNumberFormat="1" applyFont="1" applyBorder="1" applyAlignment="1">
      <alignment horizontal="center"/>
    </xf>
    <xf numFmtId="171" fontId="24" fillId="0" borderId="6" xfId="1" applyNumberFormat="1" applyFont="1" applyBorder="1" applyAlignment="1">
      <alignment horizontal="center"/>
    </xf>
    <xf numFmtId="164" fontId="24" fillId="0" borderId="0" xfId="0" applyNumberFormat="1" applyFont="1"/>
    <xf numFmtId="0" fontId="24" fillId="0" borderId="10" xfId="0" applyFont="1" applyBorder="1"/>
    <xf numFmtId="0" fontId="24" fillId="0" borderId="10" xfId="0" applyFont="1" applyBorder="1" applyAlignment="1">
      <alignment horizontal="right"/>
    </xf>
    <xf numFmtId="167" fontId="24" fillId="0" borderId="0" xfId="0" applyNumberFormat="1" applyFont="1" applyAlignment="1">
      <alignment horizontal="right"/>
    </xf>
    <xf numFmtId="0" fontId="24" fillId="0" borderId="7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4" fillId="0" borderId="5" xfId="0" applyFont="1" applyBorder="1" applyAlignment="1">
      <alignment horizontal="right"/>
    </xf>
    <xf numFmtId="171" fontId="33" fillId="0" borderId="0" xfId="1" applyNumberFormat="1" applyFont="1"/>
    <xf numFmtId="171" fontId="84" fillId="0" borderId="0" xfId="1" applyNumberFormat="1" applyFont="1" applyBorder="1" applyAlignment="1">
      <alignment horizontal="right"/>
    </xf>
    <xf numFmtId="171" fontId="84" fillId="0" borderId="0" xfId="1" applyNumberFormat="1" applyFont="1"/>
    <xf numFmtId="171" fontId="84" fillId="0" borderId="0" xfId="1" applyNumberFormat="1" applyFont="1" applyBorder="1"/>
    <xf numFmtId="171" fontId="0" fillId="0" borderId="0" xfId="0" applyNumberFormat="1"/>
    <xf numFmtId="171" fontId="87" fillId="0" borderId="0" xfId="1" applyNumberFormat="1" applyFont="1"/>
    <xf numFmtId="0" fontId="24" fillId="0" borderId="0" xfId="0" applyFont="1" applyFill="1" applyBorder="1"/>
    <xf numFmtId="171" fontId="24" fillId="0" borderId="0" xfId="1" applyNumberFormat="1" applyFont="1" applyFill="1" applyBorder="1"/>
    <xf numFmtId="164" fontId="24" fillId="0" borderId="0" xfId="1" applyNumberFormat="1" applyFont="1" applyBorder="1" applyAlignment="1">
      <alignment horizontal="center"/>
    </xf>
    <xf numFmtId="0" fontId="82" fillId="0" borderId="0" xfId="0" applyFont="1" applyBorder="1" applyAlignment="1">
      <alignment horizontal="right"/>
    </xf>
    <xf numFmtId="171" fontId="82" fillId="0" borderId="0" xfId="1" applyNumberFormat="1" applyFont="1" applyBorder="1" applyAlignment="1">
      <alignment horizontal="right"/>
    </xf>
    <xf numFmtId="171" fontId="82" fillId="0" borderId="0" xfId="1" applyNumberFormat="1" applyFont="1" applyBorder="1"/>
    <xf numFmtId="171" fontId="82" fillId="0" borderId="0" xfId="1" applyNumberFormat="1" applyFont="1" applyBorder="1" applyAlignment="1">
      <alignment horizontal="center"/>
    </xf>
    <xf numFmtId="171" fontId="82" fillId="14" borderId="0" xfId="1" applyNumberFormat="1" applyFont="1" applyFill="1" applyBorder="1" applyAlignment="1">
      <alignment horizontal="right"/>
    </xf>
    <xf numFmtId="171" fontId="24" fillId="0" borderId="0" xfId="1" applyNumberFormat="1" applyFont="1" applyFill="1"/>
    <xf numFmtId="166" fontId="0" fillId="0" borderId="0" xfId="2" applyNumberFormat="1" applyFont="1"/>
    <xf numFmtId="171" fontId="78" fillId="9" borderId="0" xfId="0" applyNumberFormat="1" applyFont="1" applyFill="1"/>
    <xf numFmtId="0" fontId="9" fillId="9" borderId="0" xfId="0" applyFont="1" applyFill="1"/>
    <xf numFmtId="171" fontId="88" fillId="9" borderId="0" xfId="1" applyNumberFormat="1" applyFont="1" applyFill="1" applyBorder="1" applyProtection="1"/>
    <xf numFmtId="166" fontId="0" fillId="9" borderId="0" xfId="2" applyNumberFormat="1" applyFont="1" applyFill="1"/>
    <xf numFmtId="166" fontId="33" fillId="0" borderId="0" xfId="2" applyNumberFormat="1" applyFont="1" applyAlignment="1">
      <alignment horizontal="right"/>
    </xf>
    <xf numFmtId="0" fontId="24" fillId="0" borderId="7" xfId="0" applyFont="1" applyBorder="1" applyAlignment="1">
      <alignment horizontal="right"/>
    </xf>
    <xf numFmtId="0" fontId="34" fillId="0" borderId="0" xfId="0" applyFont="1" applyBorder="1"/>
    <xf numFmtId="166" fontId="24" fillId="0" borderId="0" xfId="2" applyNumberFormat="1" applyFont="1" applyBorder="1"/>
    <xf numFmtId="0" fontId="33" fillId="0" borderId="0" xfId="0" applyFont="1" applyBorder="1"/>
    <xf numFmtId="166" fontId="33" fillId="0" borderId="0" xfId="0" applyNumberFormat="1" applyFont="1" applyBorder="1"/>
    <xf numFmtId="171" fontId="33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8" xfId="0" applyFont="1" applyBorder="1" applyAlignment="1">
      <alignment horizontal="right"/>
    </xf>
    <xf numFmtId="0" fontId="76" fillId="0" borderId="8" xfId="0" applyFont="1" applyBorder="1" applyAlignment="1">
      <alignment horizontal="right"/>
    </xf>
    <xf numFmtId="166" fontId="6" fillId="0" borderId="0" xfId="2" applyNumberFormat="1" applyFont="1"/>
    <xf numFmtId="166" fontId="76" fillId="0" borderId="0" xfId="2" applyNumberFormat="1" applyFont="1"/>
    <xf numFmtId="166" fontId="11" fillId="0" borderId="0" xfId="2" applyNumberFormat="1" applyFont="1"/>
    <xf numFmtId="166" fontId="77" fillId="0" borderId="0" xfId="2" applyNumberFormat="1" applyFont="1"/>
    <xf numFmtId="0" fontId="6" fillId="0" borderId="8" xfId="0" applyFont="1" applyBorder="1"/>
    <xf numFmtId="166" fontId="6" fillId="0" borderId="8" xfId="2" applyNumberFormat="1" applyFont="1" applyBorder="1"/>
    <xf numFmtId="166" fontId="11" fillId="0" borderId="8" xfId="2" applyNumberFormat="1" applyFont="1" applyBorder="1"/>
    <xf numFmtId="166" fontId="77" fillId="0" borderId="8" xfId="2" applyNumberFormat="1" applyFont="1" applyBorder="1"/>
    <xf numFmtId="0" fontId="76" fillId="0" borderId="0" xfId="0" applyFont="1" applyAlignment="1">
      <alignment horizontal="right"/>
    </xf>
    <xf numFmtId="166" fontId="89" fillId="0" borderId="0" xfId="2" applyNumberFormat="1" applyFont="1"/>
    <xf numFmtId="166" fontId="90" fillId="0" borderId="0" xfId="2" applyNumberFormat="1" applyFont="1"/>
    <xf numFmtId="171" fontId="82" fillId="14" borderId="0" xfId="0" applyNumberFormat="1" applyFont="1" applyFill="1"/>
    <xf numFmtId="171" fontId="24" fillId="0" borderId="8" xfId="1" applyNumberFormat="1" applyFont="1" applyBorder="1"/>
    <xf numFmtId="0" fontId="33" fillId="0" borderId="5" xfId="0" applyFont="1" applyBorder="1"/>
    <xf numFmtId="9" fontId="33" fillId="0" borderId="0" xfId="2" applyFont="1"/>
    <xf numFmtId="9" fontId="33" fillId="0" borderId="5" xfId="2" applyFont="1" applyBorder="1"/>
    <xf numFmtId="166" fontId="33" fillId="0" borderId="0" xfId="2" applyNumberFormat="1" applyFont="1"/>
    <xf numFmtId="166" fontId="33" fillId="0" borderId="5" xfId="2" applyNumberFormat="1" applyFont="1" applyBorder="1"/>
    <xf numFmtId="0" fontId="74" fillId="0" borderId="12" xfId="0" applyFont="1" applyBorder="1" applyAlignment="1">
      <alignment horizontal="center"/>
    </xf>
    <xf numFmtId="0" fontId="74" fillId="0" borderId="13" xfId="0" applyFont="1" applyBorder="1" applyAlignment="1">
      <alignment horizontal="center"/>
    </xf>
    <xf numFmtId="0" fontId="74" fillId="0" borderId="14" xfId="0" applyFont="1" applyBorder="1" applyAlignment="1">
      <alignment horizontal="center"/>
    </xf>
    <xf numFmtId="171" fontId="33" fillId="0" borderId="0" xfId="2" applyNumberFormat="1" applyFont="1"/>
    <xf numFmtId="171" fontId="33" fillId="0" borderId="5" xfId="2" applyNumberFormat="1" applyFont="1" applyBorder="1"/>
    <xf numFmtId="166" fontId="91" fillId="0" borderId="0" xfId="2" applyNumberFormat="1" applyFont="1"/>
    <xf numFmtId="166" fontId="91" fillId="0" borderId="6" xfId="2" applyNumberFormat="1" applyFont="1" applyBorder="1"/>
    <xf numFmtId="0" fontId="91" fillId="0" borderId="0" xfId="0" applyFont="1" applyAlignment="1">
      <alignment horizontal="right"/>
    </xf>
    <xf numFmtId="0" fontId="86" fillId="0" borderId="6" xfId="0" applyFont="1" applyBorder="1" applyAlignment="1">
      <alignment horizontal="right"/>
    </xf>
    <xf numFmtId="171" fontId="84" fillId="0" borderId="0" xfId="0" applyNumberFormat="1" applyFont="1"/>
    <xf numFmtId="171" fontId="84" fillId="0" borderId="6" xfId="0" applyNumberFormat="1" applyFont="1" applyBorder="1"/>
    <xf numFmtId="0" fontId="0" fillId="0" borderId="0" xfId="0" applyFont="1" applyAlignment="1">
      <alignment horizontal="right"/>
    </xf>
    <xf numFmtId="0" fontId="92" fillId="0" borderId="0" xfId="0" applyFont="1"/>
    <xf numFmtId="0" fontId="24" fillId="0" borderId="21" xfId="0" applyFont="1" applyFill="1" applyBorder="1" applyAlignment="1">
      <alignment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93" fillId="0" borderId="0" xfId="0" applyFont="1" applyFill="1" applyBorder="1" applyAlignment="1">
      <alignment horizontal="right" vertical="center" wrapText="1"/>
    </xf>
    <xf numFmtId="0" fontId="24" fillId="0" borderId="22" xfId="0" applyFont="1" applyBorder="1"/>
    <xf numFmtId="0" fontId="24" fillId="0" borderId="22" xfId="0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93" fillId="0" borderId="0" xfId="0" applyFont="1"/>
    <xf numFmtId="0" fontId="24" fillId="0" borderId="19" xfId="0" applyFont="1" applyBorder="1"/>
    <xf numFmtId="0" fontId="92" fillId="0" borderId="0" xfId="0" applyFont="1" applyFill="1" applyBorder="1"/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9" fontId="24" fillId="0" borderId="3" xfId="0" applyNumberFormat="1" applyFont="1" applyBorder="1" applyAlignment="1">
      <alignment horizontal="center"/>
    </xf>
    <xf numFmtId="9" fontId="24" fillId="0" borderId="4" xfId="0" applyNumberFormat="1" applyFont="1" applyBorder="1" applyAlignment="1">
      <alignment horizontal="center"/>
    </xf>
    <xf numFmtId="9" fontId="24" fillId="0" borderId="5" xfId="0" applyNumberFormat="1" applyFont="1" applyBorder="1" applyAlignment="1">
      <alignment horizontal="center"/>
    </xf>
    <xf numFmtId="9" fontId="24" fillId="0" borderId="7" xfId="0" applyNumberFormat="1" applyFont="1" applyBorder="1" applyAlignment="1">
      <alignment horizontal="center"/>
    </xf>
    <xf numFmtId="9" fontId="24" fillId="0" borderId="8" xfId="0" applyNumberFormat="1" applyFont="1" applyBorder="1" applyAlignment="1">
      <alignment horizontal="center"/>
    </xf>
    <xf numFmtId="9" fontId="24" fillId="0" borderId="9" xfId="0" applyNumberFormat="1" applyFont="1" applyBorder="1" applyAlignment="1">
      <alignment horizontal="center"/>
    </xf>
    <xf numFmtId="0" fontId="92" fillId="0" borderId="3" xfId="0" applyFont="1" applyFill="1" applyBorder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166" fontId="3" fillId="0" borderId="0" xfId="2" applyNumberFormat="1" applyFont="1" applyAlignment="1">
      <alignment horizontal="right"/>
    </xf>
    <xf numFmtId="0" fontId="85" fillId="0" borderId="0" xfId="0" applyFont="1"/>
    <xf numFmtId="0" fontId="0" fillId="0" borderId="0" xfId="0" applyAlignment="1">
      <alignment horizontal="left"/>
    </xf>
    <xf numFmtId="166" fontId="85" fillId="0" borderId="0" xfId="2" applyNumberFormat="1" applyFont="1"/>
    <xf numFmtId="0" fontId="0" fillId="13" borderId="0" xfId="0" applyFill="1"/>
    <xf numFmtId="166" fontId="85" fillId="13" borderId="0" xfId="2" applyNumberFormat="1" applyFont="1" applyFill="1"/>
    <xf numFmtId="1" fontId="3" fillId="0" borderId="0" xfId="2" applyNumberFormat="1" applyFont="1"/>
    <xf numFmtId="0" fontId="0" fillId="0" borderId="0" xfId="0" applyAlignment="1">
      <alignment vertical="center"/>
    </xf>
    <xf numFmtId="0" fontId="14" fillId="0" borderId="21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" xfId="0" applyFont="1" applyFill="1" applyBorder="1" applyAlignment="1">
      <alignment horizontal="left" vertical="center" indent="2"/>
    </xf>
    <xf numFmtId="0" fontId="14" fillId="0" borderId="7" xfId="0" applyFont="1" applyFill="1" applyBorder="1" applyAlignment="1">
      <alignment horizontal="left" vertical="center" indent="2"/>
    </xf>
    <xf numFmtId="0" fontId="83" fillId="0" borderId="21" xfId="0" applyFont="1" applyFill="1" applyBorder="1" applyAlignment="1">
      <alignment vertical="center"/>
    </xf>
    <xf numFmtId="0" fontId="83" fillId="0" borderId="3" xfId="0" applyFont="1" applyFill="1" applyBorder="1" applyAlignment="1">
      <alignment vertical="center"/>
    </xf>
    <xf numFmtId="0" fontId="28" fillId="10" borderId="21" xfId="0" applyFont="1" applyFill="1" applyBorder="1" applyAlignment="1">
      <alignment vertical="center"/>
    </xf>
    <xf numFmtId="171" fontId="33" fillId="0" borderId="5" xfId="1" applyNumberFormat="1" applyFont="1" applyBorder="1"/>
    <xf numFmtId="0" fontId="24" fillId="0" borderId="0" xfId="1" applyNumberFormat="1" applyFont="1" applyAlignment="1">
      <alignment horizontal="right"/>
    </xf>
    <xf numFmtId="0" fontId="14" fillId="0" borderId="18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horizontal="left" vertical="center" wrapText="1" indent="2"/>
    </xf>
    <xf numFmtId="0" fontId="14" fillId="0" borderId="19" xfId="0" applyFont="1" applyFill="1" applyBorder="1" applyAlignment="1">
      <alignment horizontal="left" vertical="center" indent="2"/>
    </xf>
    <xf numFmtId="0" fontId="14" fillId="0" borderId="22" xfId="0" applyFont="1" applyFill="1" applyBorder="1" applyAlignment="1">
      <alignment horizontal="left" vertical="center" indent="2"/>
    </xf>
    <xf numFmtId="0" fontId="14" fillId="0" borderId="19" xfId="0" applyFont="1" applyFill="1" applyBorder="1" applyAlignment="1">
      <alignment horizontal="left" vertical="center" wrapText="1" indent="2"/>
    </xf>
    <xf numFmtId="0" fontId="69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69" fillId="0" borderId="21" xfId="0" applyFont="1" applyFill="1" applyBorder="1" applyAlignment="1">
      <alignment vertical="center" wrapText="1"/>
    </xf>
    <xf numFmtId="0" fontId="69" fillId="0" borderId="18" xfId="0" applyFont="1" applyFill="1" applyBorder="1" applyAlignment="1">
      <alignment vertical="center"/>
    </xf>
    <xf numFmtId="0" fontId="69" fillId="0" borderId="22" xfId="0" applyFont="1" applyFill="1" applyBorder="1" applyAlignment="1">
      <alignment vertical="center"/>
    </xf>
    <xf numFmtId="166" fontId="3" fillId="0" borderId="0" xfId="2" applyNumberFormat="1" applyFont="1"/>
    <xf numFmtId="166" fontId="0" fillId="0" borderId="0" xfId="0" applyNumberFormat="1"/>
    <xf numFmtId="0" fontId="95" fillId="0" borderId="0" xfId="0" applyFo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6" fillId="0" borderId="9" xfId="0" applyFont="1" applyFill="1" applyBorder="1" applyAlignment="1" applyProtection="1">
      <alignment horizontal="right"/>
    </xf>
    <xf numFmtId="0" fontId="97" fillId="0" borderId="0" xfId="0" applyFont="1"/>
    <xf numFmtId="0" fontId="0" fillId="0" borderId="7" xfId="0" applyBorder="1"/>
    <xf numFmtId="0" fontId="0" fillId="0" borderId="8" xfId="0" applyBorder="1"/>
    <xf numFmtId="0" fontId="24" fillId="0" borderId="7" xfId="0" applyFont="1" applyFill="1" applyBorder="1" applyAlignment="1">
      <alignment horizontal="right"/>
    </xf>
    <xf numFmtId="9" fontId="24" fillId="0" borderId="8" xfId="2" applyFont="1" applyBorder="1"/>
    <xf numFmtId="9" fontId="24" fillId="0" borderId="9" xfId="2" applyFont="1" applyBorder="1"/>
    <xf numFmtId="166" fontId="24" fillId="0" borderId="6" xfId="2" applyNumberFormat="1" applyFont="1" applyBorder="1"/>
    <xf numFmtId="166" fontId="24" fillId="0" borderId="9" xfId="2" applyNumberFormat="1" applyFont="1" applyBorder="1"/>
    <xf numFmtId="0" fontId="33" fillId="0" borderId="6" xfId="0" applyFont="1" applyBorder="1"/>
    <xf numFmtId="166" fontId="33" fillId="0" borderId="6" xfId="2" applyNumberFormat="1" applyFont="1" applyBorder="1"/>
    <xf numFmtId="164" fontId="0" fillId="0" borderId="0" xfId="0" applyNumberFormat="1"/>
    <xf numFmtId="171" fontId="24" fillId="0" borderId="7" xfId="1" applyNumberFormat="1" applyFont="1" applyBorder="1"/>
    <xf numFmtId="171" fontId="24" fillId="0" borderId="9" xfId="1" applyNumberFormat="1" applyFont="1" applyBorder="1"/>
    <xf numFmtId="171" fontId="98" fillId="0" borderId="0" xfId="1" applyNumberFormat="1" applyFont="1"/>
    <xf numFmtId="171" fontId="98" fillId="0" borderId="6" xfId="1" applyNumberFormat="1" applyFont="1" applyBorder="1"/>
    <xf numFmtId="9" fontId="33" fillId="0" borderId="6" xfId="2" applyFont="1" applyBorder="1"/>
    <xf numFmtId="9" fontId="24" fillId="0" borderId="7" xfId="2" applyFont="1" applyBorder="1"/>
    <xf numFmtId="167" fontId="0" fillId="0" borderId="0" xfId="1" applyNumberFormat="1" applyFont="1"/>
    <xf numFmtId="167" fontId="0" fillId="0" borderId="8" xfId="1" applyNumberFormat="1" applyFont="1" applyBorder="1"/>
    <xf numFmtId="171" fontId="0" fillId="0" borderId="8" xfId="1" applyNumberFormat="1" applyFont="1" applyBorder="1"/>
    <xf numFmtId="9" fontId="0" fillId="0" borderId="0" xfId="0" applyNumberFormat="1"/>
    <xf numFmtId="0" fontId="97" fillId="0" borderId="22" xfId="0" applyFont="1" applyBorder="1"/>
    <xf numFmtId="0" fontId="31" fillId="0" borderId="19" xfId="0" applyFont="1" applyBorder="1"/>
    <xf numFmtId="0" fontId="0" fillId="0" borderId="22" xfId="0" applyBorder="1"/>
    <xf numFmtId="171" fontId="24" fillId="0" borderId="0" xfId="0" applyNumberFormat="1" applyFont="1"/>
    <xf numFmtId="9" fontId="14" fillId="15" borderId="22" xfId="0" applyNumberFormat="1" applyFont="1" applyFill="1" applyBorder="1"/>
    <xf numFmtId="9" fontId="14" fillId="15" borderId="19" xfId="0" applyNumberFormat="1" applyFont="1" applyFill="1" applyBorder="1"/>
    <xf numFmtId="0" fontId="39" fillId="0" borderId="0" xfId="0" applyFont="1" applyAlignment="1">
      <alignment horizontal="right"/>
    </xf>
    <xf numFmtId="0" fontId="97" fillId="0" borderId="0" xfId="0" applyFont="1" applyAlignment="1">
      <alignment horizontal="right"/>
    </xf>
    <xf numFmtId="0" fontId="99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74" fillId="0" borderId="7" xfId="0" applyFont="1" applyBorder="1" applyAlignment="1">
      <alignment horizontal="center"/>
    </xf>
    <xf numFmtId="0" fontId="6" fillId="0" borderId="7" xfId="0" applyFont="1" applyFill="1" applyBorder="1" applyAlignment="1" applyProtection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99" fillId="0" borderId="0" xfId="0" applyFont="1" applyAlignment="1">
      <alignment horizontal="right"/>
    </xf>
    <xf numFmtId="0" fontId="91" fillId="0" borderId="0" xfId="0" applyFont="1"/>
    <xf numFmtId="171" fontId="86" fillId="0" borderId="0" xfId="1" applyNumberFormat="1" applyFont="1"/>
    <xf numFmtId="166" fontId="87" fillId="0" borderId="0" xfId="2" applyNumberFormat="1" applyFont="1"/>
    <xf numFmtId="171" fontId="100" fillId="0" borderId="0" xfId="1" applyNumberFormat="1" applyFont="1"/>
    <xf numFmtId="166" fontId="100" fillId="0" borderId="0" xfId="2" applyNumberFormat="1" applyFont="1"/>
    <xf numFmtId="0" fontId="101" fillId="0" borderId="0" xfId="0" applyFont="1" applyFill="1" applyBorder="1" applyAlignment="1" applyProtection="1">
      <alignment horizontal="left"/>
    </xf>
    <xf numFmtId="9" fontId="86" fillId="0" borderId="0" xfId="0" applyNumberFormat="1" applyFont="1"/>
    <xf numFmtId="167" fontId="0" fillId="0" borderId="6" xfId="1" applyNumberFormat="1" applyFont="1" applyBorder="1"/>
    <xf numFmtId="167" fontId="0" fillId="0" borderId="9" xfId="1" applyNumberFormat="1" applyFont="1" applyBorder="1"/>
    <xf numFmtId="166" fontId="39" fillId="0" borderId="0" xfId="2" applyNumberFormat="1" applyFont="1"/>
    <xf numFmtId="171" fontId="0" fillId="0" borderId="0" xfId="1" applyNumberFormat="1" applyFont="1" applyBorder="1"/>
    <xf numFmtId="171" fontId="85" fillId="0" borderId="0" xfId="0" applyNumberFormat="1" applyFont="1"/>
    <xf numFmtId="0" fontId="102" fillId="0" borderId="0" xfId="0" applyFont="1" applyAlignment="1">
      <alignment horizontal="right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166" fontId="87" fillId="0" borderId="0" xfId="0" applyNumberFormat="1" applyFont="1"/>
    <xf numFmtId="0" fontId="0" fillId="0" borderId="8" xfId="0" applyBorder="1" applyAlignment="1">
      <alignment horizontal="right"/>
    </xf>
    <xf numFmtId="2" fontId="103" fillId="0" borderId="0" xfId="0" applyNumberFormat="1" applyFont="1"/>
    <xf numFmtId="164" fontId="103" fillId="0" borderId="0" xfId="1" applyFont="1"/>
    <xf numFmtId="164" fontId="103" fillId="0" borderId="6" xfId="1" applyFont="1" applyBorder="1"/>
    <xf numFmtId="172" fontId="103" fillId="0" borderId="0" xfId="0" applyNumberFormat="1" applyFont="1"/>
    <xf numFmtId="166" fontId="103" fillId="0" borderId="6" xfId="0" applyNumberFormat="1" applyFont="1" applyBorder="1" applyAlignment="1">
      <alignment horizontal="right"/>
    </xf>
    <xf numFmtId="9" fontId="87" fillId="0" borderId="0" xfId="2" applyFont="1"/>
    <xf numFmtId="9" fontId="103" fillId="0" borderId="0" xfId="2" applyFont="1"/>
    <xf numFmtId="9" fontId="87" fillId="0" borderId="0" xfId="2" applyFont="1" applyAlignment="1">
      <alignment horizontal="right"/>
    </xf>
    <xf numFmtId="167" fontId="87" fillId="0" borderId="0" xfId="1" applyNumberFormat="1" applyFont="1" applyAlignment="1">
      <alignment horizontal="right"/>
    </xf>
    <xf numFmtId="171" fontId="104" fillId="14" borderId="0" xfId="1" applyNumberFormat="1" applyFont="1" applyFill="1"/>
    <xf numFmtId="9" fontId="86" fillId="15" borderId="0" xfId="0" applyNumberFormat="1" applyFont="1" applyFill="1"/>
    <xf numFmtId="166" fontId="91" fillId="14" borderId="1" xfId="2" applyNumberFormat="1" applyFont="1" applyFill="1" applyBorder="1"/>
    <xf numFmtId="0" fontId="0" fillId="15" borderId="0" xfId="0" applyFill="1"/>
    <xf numFmtId="0" fontId="0" fillId="0" borderId="22" xfId="0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67" fontId="105" fillId="0" borderId="0" xfId="1" applyNumberFormat="1" applyFont="1"/>
    <xf numFmtId="167" fontId="103" fillId="0" borderId="0" xfId="1" applyNumberFormat="1" applyFont="1"/>
    <xf numFmtId="167" fontId="24" fillId="0" borderId="0" xfId="1" applyNumberFormat="1" applyFont="1" applyFill="1" applyBorder="1"/>
    <xf numFmtId="0" fontId="30" fillId="0" borderId="0" xfId="0" applyFont="1" applyBorder="1"/>
    <xf numFmtId="166" fontId="30" fillId="0" borderId="0" xfId="2" applyNumberFormat="1" applyFont="1" applyBorder="1"/>
    <xf numFmtId="171" fontId="30" fillId="0" borderId="0" xfId="0" applyNumberFormat="1" applyFont="1" applyBorder="1"/>
    <xf numFmtId="9" fontId="24" fillId="0" borderId="7" xfId="2" applyFont="1" applyBorder="1" applyAlignment="1">
      <alignment horizontal="right"/>
    </xf>
    <xf numFmtId="9" fontId="33" fillId="0" borderId="0" xfId="2" applyFont="1" applyAlignment="1">
      <alignment horizontal="right"/>
    </xf>
    <xf numFmtId="9" fontId="76" fillId="0" borderId="0" xfId="2" applyFont="1" applyBorder="1" applyAlignment="1" applyProtection="1">
      <alignment horizontal="right"/>
    </xf>
    <xf numFmtId="9" fontId="76" fillId="0" borderId="6" xfId="2" applyFont="1" applyBorder="1" applyAlignment="1" applyProtection="1">
      <alignment horizontal="right"/>
    </xf>
    <xf numFmtId="0" fontId="30" fillId="0" borderId="0" xfId="0" applyFont="1" applyAlignment="1">
      <alignment horizontal="right"/>
    </xf>
    <xf numFmtId="0" fontId="106" fillId="0" borderId="6" xfId="0" applyFont="1" applyBorder="1"/>
    <xf numFmtId="171" fontId="107" fillId="0" borderId="0" xfId="0" applyNumberFormat="1" applyFont="1" applyBorder="1"/>
    <xf numFmtId="0" fontId="106" fillId="0" borderId="6" xfId="0" applyFont="1" applyBorder="1" applyAlignment="1">
      <alignment horizontal="right"/>
    </xf>
    <xf numFmtId="9" fontId="107" fillId="0" borderId="0" xfId="2" applyFont="1" applyBorder="1"/>
    <xf numFmtId="167" fontId="107" fillId="0" borderId="0" xfId="1" applyNumberFormat="1" applyFont="1" applyBorder="1"/>
    <xf numFmtId="171" fontId="107" fillId="0" borderId="0" xfId="1" applyNumberFormat="1" applyFont="1" applyBorder="1"/>
    <xf numFmtId="9" fontId="107" fillId="0" borderId="0" xfId="2" applyFont="1"/>
    <xf numFmtId="0" fontId="0" fillId="0" borderId="9" xfId="0" applyBorder="1" applyAlignment="1">
      <alignment horizontal="right"/>
    </xf>
    <xf numFmtId="0" fontId="86" fillId="0" borderId="6" xfId="0" applyFont="1" applyBorder="1"/>
    <xf numFmtId="0" fontId="86" fillId="0" borderId="6" xfId="0" applyFont="1" applyFill="1" applyBorder="1" applyAlignment="1">
      <alignment horizontal="right"/>
    </xf>
    <xf numFmtId="9" fontId="24" fillId="0" borderId="0" xfId="0" applyNumberFormat="1" applyFont="1" applyBorder="1"/>
    <xf numFmtId="171" fontId="24" fillId="0" borderId="0" xfId="0" applyNumberFormat="1" applyFont="1" applyBorder="1"/>
    <xf numFmtId="0" fontId="76" fillId="0" borderId="0" xfId="0" applyFont="1" applyFill="1" applyBorder="1" applyAlignment="1" applyProtection="1">
      <alignment horizontal="right"/>
    </xf>
    <xf numFmtId="0" fontId="108" fillId="0" borderId="6" xfId="0" applyFont="1" applyFill="1" applyBorder="1" applyAlignment="1">
      <alignment horizontal="right"/>
    </xf>
    <xf numFmtId="0" fontId="108" fillId="0" borderId="6" xfId="0" applyFont="1" applyBorder="1"/>
    <xf numFmtId="9" fontId="109" fillId="0" borderId="0" xfId="0" applyNumberFormat="1" applyFont="1" applyBorder="1"/>
    <xf numFmtId="0" fontId="86" fillId="0" borderId="0" xfId="0" applyFont="1" applyBorder="1" applyAlignment="1">
      <alignment horizontal="right"/>
    </xf>
    <xf numFmtId="9" fontId="109" fillId="0" borderId="0" xfId="0" applyNumberFormat="1" applyFont="1" applyBorder="1" applyAlignment="1">
      <alignment horizontal="right"/>
    </xf>
    <xf numFmtId="171" fontId="24" fillId="0" borderId="0" xfId="0" applyNumberFormat="1" applyFont="1" applyAlignment="1">
      <alignment horizontal="center"/>
    </xf>
    <xf numFmtId="171" fontId="24" fillId="0" borderId="8" xfId="0" applyNumberFormat="1" applyFont="1" applyBorder="1" applyAlignment="1">
      <alignment horizontal="right"/>
    </xf>
    <xf numFmtId="171" fontId="24" fillId="0" borderId="0" xfId="1" applyNumberFormat="1" applyFont="1" applyAlignment="1">
      <alignment horizontal="center"/>
    </xf>
    <xf numFmtId="171" fontId="24" fillId="0" borderId="8" xfId="1" applyNumberFormat="1" applyFont="1" applyBorder="1" applyAlignment="1">
      <alignment horizontal="center"/>
    </xf>
    <xf numFmtId="171" fontId="24" fillId="0" borderId="9" xfId="1" applyNumberFormat="1" applyFont="1" applyBorder="1" applyAlignment="1">
      <alignment horizontal="center"/>
    </xf>
    <xf numFmtId="171" fontId="110" fillId="14" borderId="0" xfId="1" applyNumberFormat="1" applyFont="1" applyFill="1"/>
    <xf numFmtId="166" fontId="111" fillId="14" borderId="0" xfId="2" applyNumberFormat="1" applyFont="1" applyFill="1" applyBorder="1"/>
    <xf numFmtId="166" fontId="33" fillId="0" borderId="6" xfId="2" applyNumberFormat="1" applyFont="1" applyBorder="1" applyAlignment="1">
      <alignment horizontal="right"/>
    </xf>
    <xf numFmtId="171" fontId="33" fillId="0" borderId="0" xfId="1" applyNumberFormat="1" applyFont="1" applyAlignment="1">
      <alignment horizontal="center"/>
    </xf>
    <xf numFmtId="171" fontId="33" fillId="0" borderId="6" xfId="1" applyNumberFormat="1" applyFont="1" applyBorder="1" applyAlignment="1">
      <alignment horizontal="center"/>
    </xf>
    <xf numFmtId="171" fontId="107" fillId="0" borderId="0" xfId="0" applyNumberFormat="1" applyFont="1" applyBorder="1" applyAlignment="1">
      <alignment horizontal="right"/>
    </xf>
    <xf numFmtId="3" fontId="24" fillId="0" borderId="6" xfId="0" applyNumberFormat="1" applyFont="1" applyBorder="1" applyAlignment="1">
      <alignment horizontal="center"/>
    </xf>
    <xf numFmtId="3" fontId="24" fillId="0" borderId="9" xfId="0" applyNumberFormat="1" applyFont="1" applyBorder="1" applyAlignment="1">
      <alignment horizontal="center"/>
    </xf>
    <xf numFmtId="0" fontId="75" fillId="0" borderId="0" xfId="4" applyNumberFormat="1" applyFont="1" applyBorder="1" applyAlignment="1">
      <alignment horizontal="center" vertical="center"/>
    </xf>
    <xf numFmtId="166" fontId="52" fillId="0" borderId="0" xfId="3" applyNumberFormat="1" applyFont="1" applyBorder="1" applyAlignment="1">
      <alignment horizontal="center" vertical="top" wrapText="1"/>
    </xf>
    <xf numFmtId="0" fontId="61" fillId="0" borderId="21" xfId="3" applyFont="1" applyBorder="1" applyAlignment="1">
      <alignment horizontal="center" vertical="top" wrapText="1"/>
    </xf>
    <xf numFmtId="171" fontId="98" fillId="0" borderId="0" xfId="0" applyNumberFormat="1" applyFont="1"/>
    <xf numFmtId="9" fontId="98" fillId="0" borderId="0" xfId="2" applyFont="1"/>
    <xf numFmtId="9" fontId="33" fillId="0" borderId="4" xfId="2" applyFont="1" applyBorder="1"/>
    <xf numFmtId="171" fontId="24" fillId="0" borderId="7" xfId="1" applyNumberFormat="1" applyFont="1" applyBorder="1" applyAlignment="1">
      <alignment horizontal="right"/>
    </xf>
    <xf numFmtId="171" fontId="33" fillId="0" borderId="4" xfId="1" applyNumberFormat="1" applyFont="1" applyBorder="1"/>
    <xf numFmtId="171" fontId="85" fillId="0" borderId="0" xfId="1" applyNumberFormat="1" applyFont="1"/>
    <xf numFmtId="171" fontId="112" fillId="14" borderId="0" xfId="0" applyNumberFormat="1" applyFont="1" applyFill="1"/>
    <xf numFmtId="166" fontId="9" fillId="0" borderId="1" xfId="2" applyNumberFormat="1" applyFont="1" applyFill="1" applyBorder="1" applyAlignment="1">
      <alignment horizontal="right"/>
    </xf>
    <xf numFmtId="166" fontId="9" fillId="0" borderId="0" xfId="2" applyNumberFormat="1" applyFont="1" applyFill="1" applyBorder="1" applyAlignment="1">
      <alignment horizontal="right"/>
    </xf>
    <xf numFmtId="166" fontId="112" fillId="14" borderId="0" xfId="2" applyNumberFormat="1" applyFont="1" applyFill="1" applyBorder="1" applyAlignment="1">
      <alignment horizontal="right"/>
    </xf>
    <xf numFmtId="164" fontId="0" fillId="0" borderId="0" xfId="1" applyNumberFormat="1" applyFont="1"/>
    <xf numFmtId="9" fontId="9" fillId="0" borderId="18" xfId="2" applyFont="1" applyBorder="1" applyAlignment="1">
      <alignment horizontal="center"/>
    </xf>
    <xf numFmtId="9" fontId="9" fillId="0" borderId="22" xfId="2" applyFont="1" applyBorder="1" applyAlignment="1">
      <alignment horizontal="center"/>
    </xf>
    <xf numFmtId="9" fontId="9" fillId="0" borderId="19" xfId="2" applyFont="1" applyBorder="1" applyAlignment="1">
      <alignment horizontal="center"/>
    </xf>
    <xf numFmtId="0" fontId="33" fillId="0" borderId="6" xfId="0" applyFont="1" applyBorder="1" applyAlignment="1">
      <alignment horizontal="right"/>
    </xf>
    <xf numFmtId="171" fontId="33" fillId="0" borderId="6" xfId="1" applyNumberFormat="1" applyFont="1" applyBorder="1"/>
    <xf numFmtId="171" fontId="33" fillId="0" borderId="0" xfId="1" applyNumberFormat="1" applyFont="1" applyBorder="1"/>
    <xf numFmtId="166" fontId="33" fillId="0" borderId="0" xfId="2" applyNumberFormat="1" applyFont="1" applyBorder="1"/>
    <xf numFmtId="166" fontId="39" fillId="14" borderId="0" xfId="2" applyNumberFormat="1" applyFont="1" applyFill="1"/>
    <xf numFmtId="173" fontId="0" fillId="0" borderId="0" xfId="0" applyNumberFormat="1" applyFont="1" applyBorder="1" applyAlignment="1">
      <alignment horizontal="center"/>
    </xf>
    <xf numFmtId="171" fontId="39" fillId="0" borderId="0" xfId="0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/>
    <xf numFmtId="167" fontId="0" fillId="0" borderId="1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85" fillId="0" borderId="0" xfId="0" applyFont="1" applyFill="1" applyBorder="1"/>
    <xf numFmtId="171" fontId="85" fillId="0" borderId="0" xfId="1" applyNumberFormat="1" applyFont="1" applyAlignment="1">
      <alignment horizontal="center"/>
    </xf>
    <xf numFmtId="171" fontId="113" fillId="14" borderId="0" xfId="1" applyNumberFormat="1" applyFont="1" applyFill="1" applyBorder="1" applyAlignment="1">
      <alignment horizontal="center"/>
    </xf>
    <xf numFmtId="171" fontId="113" fillId="14" borderId="0" xfId="0" applyNumberFormat="1" applyFont="1" applyFill="1"/>
    <xf numFmtId="166" fontId="113" fillId="14" borderId="0" xfId="2" applyNumberFormat="1" applyFont="1" applyFill="1"/>
    <xf numFmtId="166" fontId="113" fillId="14" borderId="0" xfId="2" applyNumberFormat="1" applyFont="1" applyFill="1" applyBorder="1" applyAlignment="1">
      <alignment horizontal="right"/>
    </xf>
    <xf numFmtId="0" fontId="86" fillId="0" borderId="0" xfId="0" applyFont="1"/>
    <xf numFmtId="171" fontId="39" fillId="14" borderId="0" xfId="1" applyNumberFormat="1" applyFont="1" applyFill="1"/>
    <xf numFmtId="0" fontId="76" fillId="0" borderId="8" xfId="0" applyFont="1" applyFill="1" applyBorder="1" applyAlignment="1" applyProtection="1">
      <alignment horizontal="right"/>
    </xf>
    <xf numFmtId="171" fontId="33" fillId="0" borderId="0" xfId="0" applyNumberFormat="1" applyFont="1" applyFill="1"/>
    <xf numFmtId="166" fontId="33" fillId="0" borderId="0" xfId="2" applyNumberFormat="1" applyFont="1" applyFill="1"/>
    <xf numFmtId="164" fontId="24" fillId="0" borderId="0" xfId="1" applyNumberFormat="1" applyFont="1" applyBorder="1" applyAlignment="1">
      <alignment horizontal="right"/>
    </xf>
    <xf numFmtId="2" fontId="4" fillId="0" borderId="0" xfId="0" applyNumberFormat="1" applyFont="1" applyFill="1" applyBorder="1" applyProtection="1"/>
    <xf numFmtId="171" fontId="0" fillId="0" borderId="0" xfId="2" applyNumberFormat="1" applyFont="1"/>
    <xf numFmtId="0" fontId="55" fillId="0" borderId="0" xfId="3" applyFont="1" applyBorder="1" applyAlignment="1">
      <alignment horizontal="left"/>
    </xf>
    <xf numFmtId="9" fontId="55" fillId="0" borderId="0" xfId="3" applyNumberFormat="1" applyFont="1" applyBorder="1" applyAlignment="1">
      <alignment horizontal="right" wrapText="1" indent="1"/>
    </xf>
    <xf numFmtId="9" fontId="55" fillId="0" borderId="0" xfId="3" applyNumberFormat="1" applyFont="1" applyBorder="1" applyAlignment="1">
      <alignment horizontal="right"/>
    </xf>
    <xf numFmtId="165" fontId="55" fillId="0" borderId="0" xfId="4" applyNumberFormat="1" applyFont="1" applyBorder="1" applyAlignment="1">
      <alignment horizontal="center"/>
    </xf>
    <xf numFmtId="165" fontId="49" fillId="0" borderId="0" xfId="4" applyNumberFormat="1" applyFont="1" applyFill="1" applyBorder="1" applyAlignment="1">
      <alignment horizontal="center"/>
    </xf>
    <xf numFmtId="165" fontId="49" fillId="0" borderId="0" xfId="3" applyNumberFormat="1" applyFont="1" applyFill="1" applyBorder="1"/>
    <xf numFmtId="165" fontId="114" fillId="0" borderId="0" xfId="4" applyNumberFormat="1" applyFont="1" applyFill="1" applyBorder="1" applyAlignment="1">
      <alignment horizontal="left"/>
    </xf>
    <xf numFmtId="167" fontId="0" fillId="15" borderId="0" xfId="1" applyNumberFormat="1" applyFont="1" applyFill="1"/>
    <xf numFmtId="167" fontId="55" fillId="15" borderId="0" xfId="1" applyNumberFormat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173" fontId="0" fillId="15" borderId="0" xfId="0" applyNumberFormat="1" applyFill="1"/>
    <xf numFmtId="17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2" fontId="0" fillId="15" borderId="0" xfId="0" applyNumberFormat="1" applyFill="1" applyAlignment="1">
      <alignment horizontal="center"/>
    </xf>
    <xf numFmtId="0" fontId="0" fillId="0" borderId="0" xfId="0" quotePrefix="1"/>
    <xf numFmtId="0" fontId="55" fillId="0" borderId="8" xfId="3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 indent="1"/>
    </xf>
    <xf numFmtId="0" fontId="9" fillId="0" borderId="0" xfId="0" applyFont="1" applyAlignment="1">
      <alignment horizontal="left" indent="2"/>
    </xf>
    <xf numFmtId="0" fontId="85" fillId="0" borderId="0" xfId="0" applyFont="1" applyAlignment="1">
      <alignment horizontal="left" indent="1"/>
    </xf>
    <xf numFmtId="0" fontId="118" fillId="18" borderId="24" xfId="6" applyFont="1" applyFill="1" applyBorder="1" applyAlignment="1">
      <alignment horizontal="center" vertical="center"/>
    </xf>
    <xf numFmtId="0" fontId="118" fillId="18" borderId="24" xfId="6" applyFont="1" applyFill="1" applyBorder="1" applyAlignment="1">
      <alignment horizontal="center" vertical="center" wrapText="1"/>
    </xf>
    <xf numFmtId="0" fontId="120" fillId="0" borderId="25" xfId="6" applyFont="1" applyFill="1" applyBorder="1" applyAlignment="1"/>
    <xf numFmtId="14" fontId="120" fillId="0" borderId="25" xfId="6" applyNumberFormat="1" applyFont="1" applyFill="1" applyBorder="1" applyAlignment="1">
      <alignment horizontal="right"/>
    </xf>
    <xf numFmtId="0" fontId="117" fillId="0" borderId="0" xfId="6" applyBorder="1" applyAlignment="1"/>
    <xf numFmtId="0" fontId="117" fillId="0" borderId="0" xfId="6" applyAlignment="1"/>
    <xf numFmtId="0" fontId="117" fillId="0" borderId="25" xfId="6" applyBorder="1" applyAlignment="1"/>
    <xf numFmtId="1" fontId="0" fillId="0" borderId="0" xfId="0" applyNumberFormat="1"/>
    <xf numFmtId="14" fontId="118" fillId="18" borderId="26" xfId="6" applyNumberFormat="1" applyFont="1" applyFill="1" applyBorder="1" applyAlignment="1">
      <alignment horizontal="center" vertical="center"/>
    </xf>
    <xf numFmtId="0" fontId="120" fillId="19" borderId="0" xfId="6" applyFont="1" applyFill="1" applyBorder="1" applyAlignment="1"/>
    <xf numFmtId="14" fontId="120" fillId="19" borderId="0" xfId="6" applyNumberFormat="1" applyFont="1" applyFill="1" applyBorder="1" applyAlignment="1">
      <alignment horizontal="right"/>
    </xf>
    <xf numFmtId="0" fontId="117" fillId="19" borderId="0" xfId="6" applyFill="1" applyAlignment="1"/>
    <xf numFmtId="0" fontId="0" fillId="19" borderId="0" xfId="0" applyFill="1"/>
    <xf numFmtId="171" fontId="0" fillId="19" borderId="0" xfId="1" applyNumberFormat="1" applyFont="1" applyFill="1"/>
    <xf numFmtId="171" fontId="0" fillId="0" borderId="0" xfId="1" applyNumberFormat="1" applyFont="1" applyAlignment="1">
      <alignment horizontal="right"/>
    </xf>
    <xf numFmtId="0" fontId="118" fillId="18" borderId="27" xfId="6" applyFont="1" applyFill="1" applyBorder="1" applyAlignment="1">
      <alignment horizontal="center" vertical="center" wrapText="1"/>
    </xf>
    <xf numFmtId="0" fontId="121" fillId="19" borderId="0" xfId="0" applyFont="1" applyFill="1"/>
    <xf numFmtId="0" fontId="122" fillId="19" borderId="0" xfId="6" applyFont="1" applyFill="1" applyAlignment="1"/>
    <xf numFmtId="171" fontId="121" fillId="19" borderId="0" xfId="1" applyNumberFormat="1" applyFont="1" applyFill="1"/>
    <xf numFmtId="171" fontId="115" fillId="17" borderId="21" xfId="1" applyNumberFormat="1" applyFont="1" applyFill="1" applyBorder="1" applyAlignment="1">
      <alignment horizontal="center" vertical="center"/>
    </xf>
    <xf numFmtId="14" fontId="115" fillId="17" borderId="21" xfId="0" applyNumberFormat="1" applyFont="1" applyFill="1" applyBorder="1" applyAlignment="1">
      <alignment horizontal="center" vertical="center"/>
    </xf>
    <xf numFmtId="174" fontId="119" fillId="17" borderId="21" xfId="0" applyNumberFormat="1" applyFont="1" applyFill="1" applyBorder="1" applyAlignment="1">
      <alignment horizontal="center"/>
    </xf>
    <xf numFmtId="171" fontId="0" fillId="19" borderId="0" xfId="0" applyNumberFormat="1" applyFill="1"/>
    <xf numFmtId="171" fontId="121" fillId="19" borderId="0" xfId="0" applyNumberFormat="1" applyFont="1" applyFill="1"/>
    <xf numFmtId="0" fontId="119" fillId="0" borderId="0" xfId="0" applyFont="1"/>
    <xf numFmtId="0" fontId="124" fillId="20" borderId="0" xfId="0" quotePrefix="1" applyFont="1" applyFill="1"/>
    <xf numFmtId="0" fontId="125" fillId="20" borderId="0" xfId="0" applyFont="1" applyFill="1"/>
    <xf numFmtId="0" fontId="6" fillId="20" borderId="0" xfId="0" applyFont="1" applyFill="1"/>
    <xf numFmtId="0" fontId="6" fillId="0" borderId="0" xfId="0" applyFont="1" applyFill="1"/>
    <xf numFmtId="0" fontId="119" fillId="21" borderId="0" xfId="0" applyFont="1" applyFill="1"/>
    <xf numFmtId="0" fontId="6" fillId="21" borderId="0" xfId="0" applyFont="1" applyFill="1"/>
    <xf numFmtId="0" fontId="119" fillId="17" borderId="0" xfId="0" applyFont="1" applyFill="1"/>
    <xf numFmtId="0" fontId="6" fillId="17" borderId="0" xfId="0" applyFont="1" applyFill="1"/>
    <xf numFmtId="0" fontId="119" fillId="11" borderId="0" xfId="0" applyFont="1" applyFill="1"/>
    <xf numFmtId="0" fontId="6" fillId="11" borderId="0" xfId="0" applyFont="1" applyFill="1"/>
    <xf numFmtId="0" fontId="119" fillId="4" borderId="0" xfId="0" applyFont="1" applyFill="1"/>
    <xf numFmtId="0" fontId="6" fillId="4" borderId="0" xfId="0" applyFont="1" applyFill="1"/>
    <xf numFmtId="0" fontId="12" fillId="0" borderId="0" xfId="0" applyFont="1" applyFill="1"/>
    <xf numFmtId="0" fontId="126" fillId="0" borderId="0" xfId="0" applyFont="1"/>
    <xf numFmtId="0" fontId="89" fillId="0" borderId="0" xfId="0" applyFont="1"/>
    <xf numFmtId="0" fontId="6" fillId="0" borderId="9" xfId="0" applyFont="1" applyBorder="1"/>
    <xf numFmtId="0" fontId="6" fillId="0" borderId="0" xfId="0" applyFont="1" applyAlignment="1">
      <alignment horizontal="center"/>
    </xf>
    <xf numFmtId="166" fontId="127" fillId="0" borderId="8" xfId="0" applyNumberFormat="1" applyFont="1" applyBorder="1" applyAlignment="1">
      <alignment horizontal="center"/>
    </xf>
    <xf numFmtId="0" fontId="6" fillId="0" borderId="6" xfId="0" applyFont="1" applyBorder="1"/>
    <xf numFmtId="171" fontId="6" fillId="0" borderId="0" xfId="1" applyNumberFormat="1" applyFont="1"/>
    <xf numFmtId="166" fontId="127" fillId="0" borderId="0" xfId="0" applyNumberFormat="1" applyFont="1"/>
    <xf numFmtId="171" fontId="6" fillId="0" borderId="1" xfId="1" applyNumberFormat="1" applyFont="1" applyBorder="1"/>
    <xf numFmtId="171" fontId="6" fillId="0" borderId="6" xfId="1" applyNumberFormat="1" applyFont="1" applyBorder="1"/>
    <xf numFmtId="0" fontId="129" fillId="0" borderId="0" xfId="0" applyFont="1" applyAlignment="1">
      <alignment horizontal="center"/>
    </xf>
    <xf numFmtId="2" fontId="130" fillId="0" borderId="0" xfId="0" applyNumberFormat="1" applyFont="1"/>
    <xf numFmtId="0" fontId="119" fillId="0" borderId="6" xfId="0" applyFont="1" applyBorder="1"/>
    <xf numFmtId="0" fontId="89" fillId="0" borderId="0" xfId="0" applyFont="1" applyFill="1" applyBorder="1" applyAlignment="1">
      <alignment horizontal="left"/>
    </xf>
    <xf numFmtId="0" fontId="131" fillId="0" borderId="0" xfId="0" applyFont="1"/>
    <xf numFmtId="0" fontId="16" fillId="0" borderId="0" xfId="0" applyFont="1"/>
    <xf numFmtId="0" fontId="132" fillId="0" borderId="8" xfId="0" applyFont="1" applyBorder="1"/>
    <xf numFmtId="174" fontId="119" fillId="0" borderId="8" xfId="0" applyNumberFormat="1" applyFont="1" applyBorder="1"/>
    <xf numFmtId="174" fontId="128" fillId="0" borderId="8" xfId="0" applyNumberFormat="1" applyFont="1" applyBorder="1" applyAlignment="1">
      <alignment horizontal="center"/>
    </xf>
    <xf numFmtId="174" fontId="119" fillId="0" borderId="12" xfId="0" applyNumberFormat="1" applyFont="1" applyBorder="1"/>
    <xf numFmtId="174" fontId="119" fillId="0" borderId="31" xfId="0" applyNumberFormat="1" applyFont="1" applyBorder="1"/>
    <xf numFmtId="174" fontId="119" fillId="0" borderId="28" xfId="0" applyNumberFormat="1" applyFont="1" applyBorder="1"/>
    <xf numFmtId="171" fontId="6" fillId="0" borderId="0" xfId="1" applyNumberFormat="1" applyFont="1" applyBorder="1"/>
    <xf numFmtId="0" fontId="133" fillId="0" borderId="0" xfId="0" applyFont="1" applyBorder="1"/>
    <xf numFmtId="0" fontId="6" fillId="0" borderId="1" xfId="0" applyFont="1" applyBorder="1"/>
    <xf numFmtId="0" fontId="6" fillId="0" borderId="0" xfId="0" applyFont="1" applyBorder="1"/>
    <xf numFmtId="166" fontId="127" fillId="0" borderId="1" xfId="2" applyNumberFormat="1" applyFont="1" applyBorder="1"/>
    <xf numFmtId="166" fontId="127" fillId="0" borderId="6" xfId="2" applyNumberFormat="1" applyFont="1" applyBorder="1"/>
    <xf numFmtId="9" fontId="6" fillId="0" borderId="0" xfId="2" applyFont="1"/>
    <xf numFmtId="0" fontId="0" fillId="0" borderId="0" xfId="0" applyAlignment="1">
      <alignment vertical="top"/>
    </xf>
    <xf numFmtId="0" fontId="135" fillId="0" borderId="0" xfId="0" applyFont="1"/>
    <xf numFmtId="0" fontId="17" fillId="0" borderId="0" xfId="0" applyFont="1" applyBorder="1" applyAlignment="1">
      <alignment horizontal="left"/>
    </xf>
    <xf numFmtId="0" fontId="89" fillId="0" borderId="0" xfId="0" applyFont="1" applyFill="1"/>
    <xf numFmtId="1" fontId="6" fillId="0" borderId="0" xfId="0" applyNumberFormat="1" applyFont="1"/>
    <xf numFmtId="0" fontId="138" fillId="0" borderId="0" xfId="0" applyFont="1"/>
    <xf numFmtId="0" fontId="137" fillId="0" borderId="0" xfId="0" applyFont="1"/>
    <xf numFmtId="165" fontId="90" fillId="0" borderId="0" xfId="0" applyNumberFormat="1" applyFont="1" applyFill="1" applyBorder="1"/>
    <xf numFmtId="165" fontId="90" fillId="3" borderId="0" xfId="0" applyNumberFormat="1" applyFont="1" applyFill="1" applyBorder="1"/>
    <xf numFmtId="0" fontId="89" fillId="3" borderId="0" xfId="0" applyFont="1" applyFill="1" applyBorder="1"/>
    <xf numFmtId="0" fontId="89" fillId="0" borderId="0" xfId="0" applyFont="1" applyFill="1" applyBorder="1" applyAlignment="1">
      <alignment horizontal="center"/>
    </xf>
    <xf numFmtId="171" fontId="6" fillId="0" borderId="29" xfId="1" applyNumberFormat="1" applyFont="1" applyBorder="1"/>
    <xf numFmtId="171" fontId="6" fillId="0" borderId="32" xfId="1" applyNumberFormat="1" applyFont="1" applyBorder="1"/>
    <xf numFmtId="0" fontId="89" fillId="0" borderId="0" xfId="0" applyFont="1" applyFill="1" applyBorder="1" applyAlignment="1">
      <alignment horizontal="left" indent="2"/>
    </xf>
    <xf numFmtId="175" fontId="89" fillId="3" borderId="0" xfId="0" applyNumberFormat="1" applyFont="1" applyFill="1" applyBorder="1" applyAlignment="1">
      <alignment horizontal="left"/>
    </xf>
    <xf numFmtId="9" fontId="89" fillId="0" borderId="8" xfId="0" applyNumberFormat="1" applyFont="1" applyBorder="1" applyAlignment="1">
      <alignment horizontal="right" indent="1"/>
    </xf>
    <xf numFmtId="9" fontId="89" fillId="0" borderId="8" xfId="0" applyNumberFormat="1" applyFont="1" applyBorder="1" applyAlignment="1">
      <alignment horizontal="right"/>
    </xf>
    <xf numFmtId="0" fontId="140" fillId="0" borderId="0" xfId="0" applyFont="1"/>
    <xf numFmtId="171" fontId="6" fillId="0" borderId="30" xfId="1" applyNumberFormat="1" applyFont="1" applyBorder="1"/>
    <xf numFmtId="168" fontId="89" fillId="0" borderId="0" xfId="1" applyNumberFormat="1" applyFont="1"/>
    <xf numFmtId="1" fontId="6" fillId="0" borderId="1" xfId="0" applyNumberFormat="1" applyFont="1" applyBorder="1"/>
    <xf numFmtId="1" fontId="6" fillId="0" borderId="0" xfId="0" applyNumberFormat="1" applyFont="1" applyBorder="1"/>
    <xf numFmtId="1" fontId="6" fillId="0" borderId="6" xfId="0" applyNumberFormat="1" applyFont="1" applyBorder="1"/>
    <xf numFmtId="0" fontId="89" fillId="0" borderId="8" xfId="0" applyFont="1" applyFill="1" applyBorder="1" applyAlignment="1">
      <alignment horizontal="center"/>
    </xf>
    <xf numFmtId="168" fontId="89" fillId="0" borderId="8" xfId="1" applyNumberFormat="1" applyFont="1" applyBorder="1"/>
    <xf numFmtId="0" fontId="127" fillId="0" borderId="0" xfId="0" applyFont="1"/>
    <xf numFmtId="1" fontId="6" fillId="4" borderId="1" xfId="0" applyNumberFormat="1" applyFont="1" applyFill="1" applyBorder="1"/>
    <xf numFmtId="1" fontId="6" fillId="4" borderId="0" xfId="0" applyNumberFormat="1" applyFont="1" applyFill="1" applyBorder="1"/>
    <xf numFmtId="1" fontId="6" fillId="4" borderId="6" xfId="0" applyNumberFormat="1" applyFont="1" applyFill="1" applyBorder="1"/>
    <xf numFmtId="166" fontId="127" fillId="0" borderId="0" xfId="2" applyNumberFormat="1" applyFont="1" applyBorder="1"/>
    <xf numFmtId="166" fontId="119" fillId="0" borderId="0" xfId="2" applyNumberFormat="1" applyFont="1" applyAlignment="1">
      <alignment horizontal="right" indent="1"/>
    </xf>
    <xf numFmtId="9" fontId="89" fillId="0" borderId="0" xfId="2" applyFont="1" applyBorder="1"/>
    <xf numFmtId="0" fontId="89" fillId="0" borderId="0" xfId="0" applyFont="1" applyAlignment="1">
      <alignment horizontal="left"/>
    </xf>
    <xf numFmtId="0" fontId="89" fillId="0" borderId="0" xfId="0" applyFont="1" applyFill="1" applyAlignment="1">
      <alignment horizontal="left" indent="3"/>
    </xf>
    <xf numFmtId="1" fontId="6" fillId="0" borderId="8" xfId="0" applyNumberFormat="1" applyFont="1" applyBorder="1"/>
    <xf numFmtId="0" fontId="11" fillId="0" borderId="0" xfId="0" applyFont="1" applyAlignment="1">
      <alignment horizontal="center"/>
    </xf>
    <xf numFmtId="165" fontId="137" fillId="0" borderId="0" xfId="1" applyNumberFormat="1" applyFont="1"/>
    <xf numFmtId="165" fontId="11" fillId="0" borderId="0" xfId="1" quotePrefix="1" applyNumberFormat="1" applyFont="1"/>
    <xf numFmtId="174" fontId="119" fillId="0" borderId="0" xfId="0" applyNumberFormat="1" applyFont="1" applyBorder="1"/>
    <xf numFmtId="174" fontId="142" fillId="0" borderId="8" xfId="0" applyNumberFormat="1" applyFont="1" applyBorder="1" applyAlignment="1">
      <alignment horizontal="center"/>
    </xf>
    <xf numFmtId="0" fontId="89" fillId="0" borderId="0" xfId="0" applyFont="1" applyFill="1" applyBorder="1"/>
    <xf numFmtId="0" fontId="123" fillId="0" borderId="1" xfId="0" applyFont="1" applyBorder="1"/>
    <xf numFmtId="165" fontId="136" fillId="0" borderId="0" xfId="1" applyNumberFormat="1" applyFont="1"/>
    <xf numFmtId="9" fontId="123" fillId="0" borderId="0" xfId="0" applyNumberFormat="1" applyFont="1" applyBorder="1"/>
    <xf numFmtId="165" fontId="136" fillId="0" borderId="0" xfId="1" applyNumberFormat="1" applyFont="1" applyBorder="1"/>
    <xf numFmtId="0" fontId="131" fillId="0" borderId="0" xfId="0" applyFont="1" applyBorder="1"/>
    <xf numFmtId="0" fontId="89" fillId="0" borderId="7" xfId="0" applyFont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136" fillId="0" borderId="0" xfId="0" applyFont="1" applyAlignment="1">
      <alignment horizontal="center"/>
    </xf>
    <xf numFmtId="9" fontId="89" fillId="0" borderId="0" xfId="0" applyNumberFormat="1" applyFont="1" applyBorder="1" applyAlignment="1">
      <alignment horizontal="right"/>
    </xf>
    <xf numFmtId="171" fontId="89" fillId="0" borderId="1" xfId="1" applyNumberFormat="1" applyFont="1" applyBorder="1"/>
    <xf numFmtId="168" fontId="89" fillId="0" borderId="0" xfId="1" applyNumberFormat="1" applyFont="1" applyFill="1"/>
    <xf numFmtId="0" fontId="6" fillId="0" borderId="30" xfId="0" applyFont="1" applyFill="1" applyBorder="1" applyAlignment="1">
      <alignment horizontal="center"/>
    </xf>
    <xf numFmtId="168" fontId="18" fillId="0" borderId="0" xfId="1" applyNumberFormat="1" applyFont="1" applyFill="1"/>
    <xf numFmtId="9" fontId="136" fillId="0" borderId="0" xfId="2" applyFont="1" applyAlignment="1">
      <alignment horizontal="center"/>
    </xf>
    <xf numFmtId="165" fontId="18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168" fontId="18" fillId="0" borderId="0" xfId="1" applyNumberFormat="1" applyFont="1"/>
    <xf numFmtId="165" fontId="18" fillId="0" borderId="0" xfId="1" applyNumberFormat="1" applyFont="1" applyBorder="1"/>
    <xf numFmtId="171" fontId="89" fillId="0" borderId="7" xfId="1" applyNumberFormat="1" applyFont="1" applyBorder="1"/>
    <xf numFmtId="0" fontId="6" fillId="0" borderId="8" xfId="0" applyFont="1" applyFill="1" applyBorder="1"/>
    <xf numFmtId="168" fontId="18" fillId="0" borderId="8" xfId="1" applyNumberFormat="1" applyFont="1" applyBorder="1"/>
    <xf numFmtId="171" fontId="119" fillId="0" borderId="0" xfId="1" applyNumberFormat="1" applyFont="1" applyFill="1"/>
    <xf numFmtId="168" fontId="119" fillId="0" borderId="0" xfId="0" applyNumberFormat="1" applyFont="1"/>
    <xf numFmtId="168" fontId="18" fillId="0" borderId="0" xfId="0" applyNumberFormat="1" applyFont="1" applyFill="1"/>
    <xf numFmtId="9" fontId="136" fillId="0" borderId="0" xfId="2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8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89" fillId="3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19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89" fillId="0" borderId="0" xfId="0" applyFont="1" applyAlignment="1">
      <alignment vertical="top"/>
    </xf>
    <xf numFmtId="0" fontId="6" fillId="0" borderId="0" xfId="0" applyFont="1" applyFill="1" applyAlignment="1">
      <alignment horizontal="center" vertical="top"/>
    </xf>
    <xf numFmtId="0" fontId="138" fillId="0" borderId="0" xfId="0" applyFont="1" applyAlignment="1">
      <alignment horizontal="left" vertical="top"/>
    </xf>
    <xf numFmtId="166" fontId="143" fillId="0" borderId="0" xfId="0" applyNumberFormat="1" applyFont="1"/>
    <xf numFmtId="0" fontId="138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83" fillId="5" borderId="0" xfId="0" applyFont="1" applyFill="1" applyAlignment="1">
      <alignment vertical="top"/>
    </xf>
    <xf numFmtId="0" fontId="69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9" fontId="6" fillId="5" borderId="0" xfId="2" applyFont="1" applyFill="1" applyAlignment="1">
      <alignment horizontal="center" vertical="top"/>
    </xf>
    <xf numFmtId="9" fontId="6" fillId="0" borderId="0" xfId="2" applyFont="1" applyAlignment="1">
      <alignment horizontal="center" vertical="top"/>
    </xf>
    <xf numFmtId="0" fontId="6" fillId="0" borderId="7" xfId="0" applyFont="1" applyBorder="1"/>
    <xf numFmtId="0" fontId="6" fillId="0" borderId="0" xfId="0" applyFont="1" applyAlignment="1">
      <alignment horizontal="left" indent="1"/>
    </xf>
    <xf numFmtId="0" fontId="131" fillId="0" borderId="0" xfId="0" applyFont="1" applyAlignment="1">
      <alignment horizontal="left"/>
    </xf>
    <xf numFmtId="0" fontId="137" fillId="0" borderId="0" xfId="0" applyFont="1" applyFill="1"/>
    <xf numFmtId="0" fontId="16" fillId="0" borderId="0" xfId="0" quotePrefix="1" applyFont="1" applyFill="1"/>
    <xf numFmtId="0" fontId="139" fillId="0" borderId="0" xfId="0" applyFont="1" applyFill="1"/>
    <xf numFmtId="0" fontId="89" fillId="0" borderId="0" xfId="0" quotePrefix="1" applyFont="1" applyFill="1" applyBorder="1" applyAlignment="1">
      <alignment horizontal="left"/>
    </xf>
    <xf numFmtId="9" fontId="6" fillId="0" borderId="0" xfId="2" applyFont="1" applyAlignment="1">
      <alignment horizontal="center"/>
    </xf>
    <xf numFmtId="0" fontId="89" fillId="0" borderId="7" xfId="0" applyFont="1" applyBorder="1" applyAlignment="1">
      <alignment horizontal="center" wrapText="1"/>
    </xf>
    <xf numFmtId="9" fontId="89" fillId="0" borderId="8" xfId="0" applyNumberFormat="1" applyFont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Border="1"/>
    <xf numFmtId="37" fontId="89" fillId="0" borderId="1" xfId="1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9" fontId="129" fillId="0" borderId="0" xfId="7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6" fillId="0" borderId="0" xfId="0" applyNumberFormat="1" applyFont="1"/>
    <xf numFmtId="37" fontId="89" fillId="0" borderId="7" xfId="1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7" fontId="119" fillId="0" borderId="29" xfId="1" applyNumberFormat="1" applyFont="1" applyFill="1" applyBorder="1" applyAlignment="1">
      <alignment horizontal="center"/>
    </xf>
    <xf numFmtId="0" fontId="14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7" fontId="119" fillId="0" borderId="0" xfId="1" applyNumberFormat="1" applyFont="1" applyFill="1" applyBorder="1" applyAlignment="1">
      <alignment horizontal="center"/>
    </xf>
    <xf numFmtId="175" fontId="55" fillId="3" borderId="0" xfId="0" applyNumberFormat="1" applyFont="1" applyFill="1"/>
    <xf numFmtId="9" fontId="55" fillId="3" borderId="0" xfId="2" applyFont="1" applyFill="1" applyAlignment="1">
      <alignment horizontal="center"/>
    </xf>
    <xf numFmtId="9" fontId="2" fillId="0" borderId="0" xfId="2" applyFont="1" applyAlignment="1">
      <alignment horizontal="center"/>
    </xf>
    <xf numFmtId="0" fontId="89" fillId="3" borderId="0" xfId="0" applyFont="1" applyFill="1" applyBorder="1" applyAlignment="1">
      <alignment horizontal="left"/>
    </xf>
    <xf numFmtId="175" fontId="19" fillId="3" borderId="0" xfId="0" applyNumberFormat="1" applyFont="1" applyFill="1"/>
    <xf numFmtId="175" fontId="0" fillId="0" borderId="0" xfId="0" applyNumberFormat="1"/>
    <xf numFmtId="175" fontId="132" fillId="0" borderId="0" xfId="0" applyNumberFormat="1" applyFont="1"/>
    <xf numFmtId="175" fontId="8" fillId="0" borderId="0" xfId="0" applyNumberFormat="1" applyFont="1" applyAlignment="1">
      <alignment horizontal="left"/>
    </xf>
    <xf numFmtId="0" fontId="89" fillId="3" borderId="0" xfId="8" applyFont="1" applyFill="1"/>
    <xf numFmtId="0" fontId="6" fillId="0" borderId="0" xfId="0" applyFont="1" applyAlignment="1">
      <alignment horizontal="right" vertical="top"/>
    </xf>
    <xf numFmtId="9" fontId="89" fillId="5" borderId="0" xfId="2" applyFont="1" applyFill="1" applyAlignment="1">
      <alignment horizontal="center" vertical="top"/>
    </xf>
    <xf numFmtId="0" fontId="141" fillId="0" borderId="0" xfId="0" applyFont="1"/>
    <xf numFmtId="0" fontId="89" fillId="0" borderId="0" xfId="0" applyFont="1" applyAlignment="1">
      <alignment horizontal="right"/>
    </xf>
    <xf numFmtId="166" fontId="90" fillId="0" borderId="0" xfId="2" applyNumberFormat="1" applyFont="1" applyAlignment="1">
      <alignment horizontal="right" indent="1"/>
    </xf>
    <xf numFmtId="0" fontId="89" fillId="0" borderId="0" xfId="0" quotePrefix="1" applyFont="1" applyAlignment="1">
      <alignment horizontal="left"/>
    </xf>
    <xf numFmtId="0" fontId="2" fillId="0" borderId="0" xfId="0" applyFont="1" applyAlignment="1">
      <alignment horizontal="center" wrapText="1"/>
    </xf>
    <xf numFmtId="9" fontId="89" fillId="0" borderId="8" xfId="0" applyNumberFormat="1" applyFont="1" applyFill="1" applyBorder="1" applyAlignment="1">
      <alignment horizontal="right" wrapText="1" indent="1"/>
    </xf>
    <xf numFmtId="0" fontId="55" fillId="0" borderId="0" xfId="0" applyFont="1" applyFill="1" applyAlignment="1">
      <alignment horizontal="center" wrapText="1"/>
    </xf>
    <xf numFmtId="9" fontId="89" fillId="0" borderId="8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5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5" fillId="0" borderId="8" xfId="0" applyFont="1" applyFill="1" applyBorder="1" applyAlignment="1">
      <alignment horizontal="center"/>
    </xf>
    <xf numFmtId="0" fontId="119" fillId="0" borderId="0" xfId="0" applyFont="1" applyAlignment="1">
      <alignment horizontal="center"/>
    </xf>
    <xf numFmtId="0" fontId="90" fillId="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175" fontId="6" fillId="0" borderId="0" xfId="0" applyNumberFormat="1" applyFont="1"/>
    <xf numFmtId="9" fontId="2" fillId="0" borderId="0" xfId="7" applyFont="1" applyAlignment="1">
      <alignment horizontal="center"/>
    </xf>
    <xf numFmtId="175" fontId="2" fillId="0" borderId="0" xfId="0" applyNumberFormat="1" applyFont="1"/>
    <xf numFmtId="175" fontId="89" fillId="0" borderId="0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2" fillId="3" borderId="0" xfId="0" applyFont="1" applyFill="1"/>
    <xf numFmtId="0" fontId="145" fillId="0" borderId="0" xfId="0" applyFont="1" applyFill="1" applyBorder="1"/>
    <xf numFmtId="0" fontId="69" fillId="5" borderId="0" xfId="0" quotePrefix="1" applyFont="1" applyFill="1" applyAlignment="1">
      <alignment vertical="top"/>
    </xf>
    <xf numFmtId="174" fontId="119" fillId="0" borderId="30" xfId="0" applyNumberFormat="1" applyFont="1" applyBorder="1"/>
    <xf numFmtId="1" fontId="76" fillId="0" borderId="0" xfId="0" applyNumberFormat="1" applyFont="1"/>
    <xf numFmtId="0" fontId="76" fillId="0" borderId="0" xfId="0" applyFont="1"/>
    <xf numFmtId="0" fontId="85" fillId="0" borderId="0" xfId="0" applyFont="1" applyAlignment="1">
      <alignment horizontal="right"/>
    </xf>
    <xf numFmtId="1" fontId="0" fillId="0" borderId="8" xfId="0" applyNumberFormat="1" applyBorder="1"/>
    <xf numFmtId="9" fontId="52" fillId="15" borderId="0" xfId="3" applyNumberFormat="1" applyFont="1" applyFill="1"/>
    <xf numFmtId="9" fontId="0" fillId="0" borderId="0" xfId="0" applyNumberFormat="1" applyAlignment="1">
      <alignment horizontal="right"/>
    </xf>
    <xf numFmtId="0" fontId="85" fillId="0" borderId="8" xfId="0" applyFont="1" applyBorder="1" applyAlignment="1">
      <alignment horizontal="right"/>
    </xf>
    <xf numFmtId="0" fontId="113" fillId="14" borderId="0" xfId="0" applyFont="1" applyFill="1" applyAlignment="1">
      <alignment horizontal="right"/>
    </xf>
    <xf numFmtId="171" fontId="74" fillId="0" borderId="0" xfId="1" applyNumberFormat="1" applyFont="1"/>
    <xf numFmtId="171" fontId="116" fillId="12" borderId="23" xfId="1" applyNumberFormat="1" applyFont="1" applyFill="1" applyBorder="1" applyAlignment="1">
      <alignment horizontal="right" vertical="center" wrapText="1"/>
    </xf>
    <xf numFmtId="171" fontId="39" fillId="14" borderId="0" xfId="0" applyNumberFormat="1" applyFont="1" applyFill="1"/>
    <xf numFmtId="166" fontId="113" fillId="9" borderId="0" xfId="2" applyNumberFormat="1" applyFont="1" applyFill="1"/>
    <xf numFmtId="0" fontId="78" fillId="2" borderId="0" xfId="0" applyFont="1" applyFill="1"/>
    <xf numFmtId="171" fontId="78" fillId="2" borderId="0" xfId="0" applyNumberFormat="1" applyFont="1" applyFill="1"/>
    <xf numFmtId="166" fontId="113" fillId="2" borderId="0" xfId="2" applyNumberFormat="1" applyFont="1" applyFill="1"/>
    <xf numFmtId="171" fontId="110" fillId="14" borderId="0" xfId="1" applyNumberFormat="1" applyFont="1" applyFill="1" applyBorder="1"/>
    <xf numFmtId="166" fontId="74" fillId="0" borderId="0" xfId="2" applyNumberFormat="1" applyFont="1"/>
    <xf numFmtId="166" fontId="116" fillId="12" borderId="23" xfId="2" applyNumberFormat="1" applyFont="1" applyFill="1" applyBorder="1" applyAlignment="1">
      <alignment horizontal="right" vertical="center" wrapText="1"/>
    </xf>
    <xf numFmtId="170" fontId="116" fillId="12" borderId="23" xfId="1" applyNumberFormat="1" applyFont="1" applyFill="1" applyBorder="1" applyAlignment="1">
      <alignment horizontal="right" vertical="center" wrapText="1"/>
    </xf>
    <xf numFmtId="170" fontId="116" fillId="12" borderId="23" xfId="2" applyNumberFormat="1" applyFont="1" applyFill="1" applyBorder="1" applyAlignment="1">
      <alignment horizontal="right" vertical="center" wrapText="1"/>
    </xf>
    <xf numFmtId="0" fontId="83" fillId="0" borderId="0" xfId="0" applyFont="1"/>
    <xf numFmtId="171" fontId="83" fillId="0" borderId="0" xfId="1" applyNumberFormat="1" applyFont="1"/>
    <xf numFmtId="166" fontId="83" fillId="0" borderId="0" xfId="2" applyNumberFormat="1" applyFont="1"/>
    <xf numFmtId="171" fontId="113" fillId="14" borderId="0" xfId="1" applyNumberFormat="1" applyFont="1" applyFill="1"/>
    <xf numFmtId="171" fontId="113" fillId="14" borderId="8" xfId="1" applyNumberFormat="1" applyFont="1" applyFill="1" applyBorder="1"/>
    <xf numFmtId="0" fontId="4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46" fillId="0" borderId="0" xfId="0" applyFont="1"/>
    <xf numFmtId="0" fontId="115" fillId="0" borderId="8" xfId="0" applyFont="1" applyBorder="1" applyAlignment="1">
      <alignment horizontal="center"/>
    </xf>
    <xf numFmtId="1" fontId="146" fillId="14" borderId="0" xfId="0" applyNumberFormat="1" applyFont="1" applyFill="1"/>
    <xf numFmtId="9" fontId="149" fillId="0" borderId="6" xfId="0" applyNumberFormat="1" applyFont="1" applyBorder="1"/>
    <xf numFmtId="0" fontId="0" fillId="0" borderId="0" xfId="0" applyNumberFormat="1"/>
    <xf numFmtId="0" fontId="150" fillId="0" borderId="0" xfId="0" applyFont="1" applyAlignment="1">
      <alignment horizontal="right"/>
    </xf>
    <xf numFmtId="166" fontId="146" fillId="14" borderId="0" xfId="2" applyNumberFormat="1" applyFont="1" applyFill="1"/>
    <xf numFmtId="0" fontId="0" fillId="16" borderId="0" xfId="0" applyFill="1"/>
    <xf numFmtId="0" fontId="146" fillId="0" borderId="0" xfId="0" applyFont="1" applyFill="1"/>
    <xf numFmtId="0" fontId="147" fillId="0" borderId="0" xfId="0" applyFont="1" applyFill="1"/>
    <xf numFmtId="0" fontId="148" fillId="0" borderId="8" xfId="0" applyFont="1" applyFill="1" applyBorder="1" applyAlignment="1">
      <alignment horizontal="center"/>
    </xf>
    <xf numFmtId="1" fontId="146" fillId="0" borderId="0" xfId="0" applyNumberFormat="1" applyFont="1" applyFill="1"/>
    <xf numFmtId="0" fontId="146" fillId="0" borderId="0" xfId="0" applyNumberFormat="1" applyFont="1" applyFill="1"/>
    <xf numFmtId="1" fontId="147" fillId="0" borderId="0" xfId="0" applyNumberFormat="1" applyFont="1" applyFill="1"/>
    <xf numFmtId="166" fontId="146" fillId="0" borderId="0" xfId="2" applyNumberFormat="1" applyFont="1" applyFill="1"/>
    <xf numFmtId="166" fontId="0" fillId="0" borderId="0" xfId="2" applyNumberFormat="1" applyFont="1" applyFill="1"/>
    <xf numFmtId="0" fontId="148" fillId="0" borderId="0" xfId="0" applyFont="1" applyFill="1" applyBorder="1" applyAlignment="1">
      <alignment horizontal="center"/>
    </xf>
    <xf numFmtId="0" fontId="85" fillId="0" borderId="8" xfId="0" applyFont="1" applyFill="1" applyBorder="1" applyAlignment="1">
      <alignment horizontal="center"/>
    </xf>
    <xf numFmtId="171" fontId="9" fillId="0" borderId="0" xfId="1" applyNumberFormat="1" applyFont="1" applyFill="1"/>
    <xf numFmtId="171" fontId="112" fillId="0" borderId="0" xfId="1" applyNumberFormat="1" applyFont="1" applyFill="1"/>
    <xf numFmtId="171" fontId="112" fillId="14" borderId="0" xfId="1" applyNumberFormat="1" applyFont="1" applyFill="1"/>
    <xf numFmtId="0" fontId="115" fillId="0" borderId="8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/>
    <xf numFmtId="166" fontId="1" fillId="0" borderId="0" xfId="2" applyNumberFormat="1" applyFont="1" applyFill="1"/>
    <xf numFmtId="0" fontId="0" fillId="0" borderId="0" xfId="0" applyFont="1" applyFill="1"/>
    <xf numFmtId="1" fontId="0" fillId="0" borderId="0" xfId="0" applyNumberFormat="1" applyFont="1"/>
    <xf numFmtId="171" fontId="0" fillId="0" borderId="0" xfId="1" applyNumberFormat="1" applyFont="1" applyFill="1"/>
    <xf numFmtId="171" fontId="113" fillId="0" borderId="0" xfId="1" applyNumberFormat="1" applyFont="1" applyFill="1"/>
    <xf numFmtId="0" fontId="147" fillId="0" borderId="9" xfId="0" applyFont="1" applyBorder="1"/>
    <xf numFmtId="0" fontId="115" fillId="0" borderId="8" xfId="0" applyFont="1" applyBorder="1"/>
    <xf numFmtId="0" fontId="115" fillId="0" borderId="8" xfId="0" applyFont="1" applyBorder="1" applyAlignment="1">
      <alignment horizontal="right"/>
    </xf>
    <xf numFmtId="0" fontId="151" fillId="0" borderId="0" xfId="0" applyFont="1"/>
    <xf numFmtId="0" fontId="152" fillId="0" borderId="0" xfId="0" applyFont="1"/>
    <xf numFmtId="171" fontId="153" fillId="15" borderId="0" xfId="1" applyNumberFormat="1" applyFont="1" applyFill="1"/>
    <xf numFmtId="171" fontId="135" fillId="15" borderId="0" xfId="1" applyNumberFormat="1" applyFont="1" applyFill="1"/>
    <xf numFmtId="9" fontId="153" fillId="15" borderId="0" xfId="2" applyFont="1" applyFill="1"/>
    <xf numFmtId="0" fontId="16" fillId="0" borderId="0" xfId="0" applyFont="1" applyAlignment="1">
      <alignment horizontal="left"/>
    </xf>
    <xf numFmtId="9" fontId="154" fillId="0" borderId="0" xfId="2" applyFont="1"/>
    <xf numFmtId="0" fontId="17" fillId="12" borderId="8" xfId="0" applyFont="1" applyFill="1" applyBorder="1" applyAlignment="1">
      <alignment horizontal="left"/>
    </xf>
    <xf numFmtId="0" fontId="133" fillId="12" borderId="8" xfId="0" applyFont="1" applyFill="1" applyBorder="1"/>
    <xf numFmtId="0" fontId="133" fillId="12" borderId="9" xfId="0" applyFont="1" applyFill="1" applyBorder="1"/>
    <xf numFmtId="0" fontId="133" fillId="0" borderId="6" xfId="0" applyFont="1" applyBorder="1"/>
    <xf numFmtId="0" fontId="17" fillId="0" borderId="0" xfId="0" applyFont="1" applyFill="1" applyBorder="1"/>
    <xf numFmtId="171" fontId="155" fillId="15" borderId="0" xfId="0" applyNumberFormat="1" applyFont="1" applyFill="1" applyBorder="1"/>
    <xf numFmtId="171" fontId="155" fillId="0" borderId="0" xfId="0" applyNumberFormat="1" applyFont="1" applyFill="1" applyBorder="1"/>
    <xf numFmtId="171" fontId="155" fillId="0" borderId="6" xfId="0" applyNumberFormat="1" applyFont="1" applyFill="1" applyBorder="1"/>
    <xf numFmtId="0" fontId="17" fillId="0" borderId="0" xfId="0" applyFont="1"/>
    <xf numFmtId="9" fontId="0" fillId="0" borderId="0" xfId="2" applyFont="1" applyBorder="1"/>
    <xf numFmtId="9" fontId="0" fillId="0" borderId="6" xfId="2" applyFont="1" applyBorder="1"/>
    <xf numFmtId="171" fontId="0" fillId="0" borderId="6" xfId="1" applyNumberFormat="1" applyFont="1" applyBorder="1"/>
    <xf numFmtId="0" fontId="17" fillId="0" borderId="0" xfId="0" applyFont="1" applyBorder="1"/>
    <xf numFmtId="171" fontId="17" fillId="0" borderId="0" xfId="1" applyNumberFormat="1" applyFont="1" applyFill="1" applyBorder="1"/>
    <xf numFmtId="171" fontId="17" fillId="0" borderId="6" xfId="1" applyNumberFormat="1" applyFont="1" applyFill="1" applyBorder="1"/>
    <xf numFmtId="0" fontId="135" fillId="0" borderId="0" xfId="0" applyFont="1" applyBorder="1" applyAlignment="1">
      <alignment horizontal="left" indent="3"/>
    </xf>
    <xf numFmtId="171" fontId="153" fillId="0" borderId="0" xfId="1" applyNumberFormat="1" applyFont="1" applyBorder="1"/>
    <xf numFmtId="171" fontId="153" fillId="0" borderId="6" xfId="1" applyNumberFormat="1" applyFont="1" applyBorder="1"/>
    <xf numFmtId="171" fontId="155" fillId="0" borderId="0" xfId="1" applyNumberFormat="1" applyFont="1" applyFill="1" applyBorder="1"/>
    <xf numFmtId="171" fontId="155" fillId="0" borderId="6" xfId="1" applyNumberFormat="1" applyFont="1" applyFill="1" applyBorder="1"/>
    <xf numFmtId="0" fontId="17" fillId="0" borderId="33" xfId="0" applyFont="1" applyBorder="1"/>
    <xf numFmtId="171" fontId="17" fillId="12" borderId="33" xfId="0" applyNumberFormat="1" applyFont="1" applyFill="1" applyBorder="1"/>
    <xf numFmtId="171" fontId="17" fillId="12" borderId="34" xfId="0" applyNumberFormat="1" applyFont="1" applyFill="1" applyBorder="1"/>
    <xf numFmtId="166" fontId="17" fillId="12" borderId="33" xfId="2" applyNumberFormat="1" applyFont="1" applyFill="1" applyBorder="1"/>
    <xf numFmtId="9" fontId="156" fillId="0" borderId="0" xfId="2" applyFont="1" applyFill="1" applyBorder="1"/>
    <xf numFmtId="166" fontId="17" fillId="0" borderId="0" xfId="2" applyNumberFormat="1" applyFont="1" applyFill="1" applyBorder="1"/>
    <xf numFmtId="166" fontId="155" fillId="0" borderId="0" xfId="2" applyNumberFormat="1" applyFont="1" applyFill="1" applyBorder="1"/>
    <xf numFmtId="0" fontId="16" fillId="0" borderId="0" xfId="0" applyFont="1" applyBorder="1" applyAlignment="1">
      <alignment horizontal="left" indent="2"/>
    </xf>
    <xf numFmtId="171" fontId="16" fillId="0" borderId="0" xfId="1" applyNumberFormat="1" applyFont="1" applyBorder="1"/>
    <xf numFmtId="171" fontId="16" fillId="0" borderId="6" xfId="1" applyNumberFormat="1" applyFont="1" applyBorder="1"/>
    <xf numFmtId="2" fontId="17" fillId="0" borderId="0" xfId="0" applyNumberFormat="1" applyFont="1" applyBorder="1" applyAlignment="1">
      <alignment horizontal="left"/>
    </xf>
    <xf numFmtId="171" fontId="155" fillId="0" borderId="0" xfId="1" applyNumberFormat="1" applyFont="1" applyBorder="1"/>
    <xf numFmtId="171" fontId="155" fillId="0" borderId="6" xfId="1" applyNumberFormat="1" applyFont="1" applyBorder="1"/>
    <xf numFmtId="166" fontId="155" fillId="0" borderId="0" xfId="2" applyNumberFormat="1" applyFont="1"/>
    <xf numFmtId="10" fontId="0" fillId="0" borderId="0" xfId="2" applyNumberFormat="1" applyFont="1"/>
    <xf numFmtId="164" fontId="16" fillId="0" borderId="0" xfId="1" applyNumberFormat="1" applyFont="1" applyBorder="1"/>
    <xf numFmtId="10" fontId="0" fillId="0" borderId="0" xfId="0" applyNumberFormat="1"/>
    <xf numFmtId="3" fontId="0" fillId="0" borderId="0" xfId="0" applyNumberFormat="1"/>
    <xf numFmtId="9" fontId="0" fillId="7" borderId="0" xfId="0" applyNumberFormat="1" applyFill="1"/>
    <xf numFmtId="0" fontId="16" fillId="0" borderId="0" xfId="0" applyFont="1" applyAlignment="1">
      <alignment horizontal="right"/>
    </xf>
    <xf numFmtId="3" fontId="0" fillId="16" borderId="0" xfId="0" applyNumberFormat="1" applyFill="1"/>
    <xf numFmtId="0" fontId="123" fillId="0" borderId="29" xfId="0" applyFont="1" applyBorder="1"/>
    <xf numFmtId="0" fontId="157" fillId="0" borderId="31" xfId="0" applyFont="1" applyBorder="1"/>
    <xf numFmtId="0" fontId="157" fillId="0" borderId="28" xfId="0" applyFont="1" applyBorder="1"/>
    <xf numFmtId="0" fontId="157" fillId="0" borderId="0" xfId="0" applyFont="1" applyBorder="1"/>
    <xf numFmtId="0" fontId="134" fillId="0" borderId="1" xfId="0" applyFont="1" applyBorder="1"/>
    <xf numFmtId="0" fontId="152" fillId="0" borderId="0" xfId="0" applyFont="1" applyBorder="1"/>
    <xf numFmtId="0" fontId="152" fillId="0" borderId="6" xfId="0" applyFont="1" applyBorder="1"/>
    <xf numFmtId="0" fontId="16" fillId="0" borderId="1" xfId="0" applyFont="1" applyFill="1" applyBorder="1"/>
    <xf numFmtId="171" fontId="0" fillId="0" borderId="0" xfId="0" applyNumberFormat="1" applyBorder="1"/>
    <xf numFmtId="171" fontId="0" fillId="0" borderId="6" xfId="0" applyNumberFormat="1" applyBorder="1"/>
    <xf numFmtId="0" fontId="16" fillId="0" borderId="1" xfId="0" applyFont="1" applyBorder="1"/>
    <xf numFmtId="2" fontId="0" fillId="0" borderId="0" xfId="0" applyNumberFormat="1" applyBorder="1"/>
    <xf numFmtId="2" fontId="0" fillId="0" borderId="6" xfId="0" applyNumberFormat="1" applyBorder="1"/>
    <xf numFmtId="0" fontId="158" fillId="0" borderId="1" xfId="0" applyFont="1" applyBorder="1"/>
    <xf numFmtId="171" fontId="158" fillId="15" borderId="0" xfId="0" applyNumberFormat="1" applyFont="1" applyFill="1" applyBorder="1"/>
    <xf numFmtId="171" fontId="158" fillId="0" borderId="0" xfId="0" applyNumberFormat="1" applyFont="1" applyBorder="1"/>
    <xf numFmtId="171" fontId="158" fillId="0" borderId="6" xfId="0" applyNumberFormat="1" applyFont="1" applyBorder="1"/>
    <xf numFmtId="0" fontId="158" fillId="0" borderId="0" xfId="0" applyFont="1"/>
    <xf numFmtId="9" fontId="158" fillId="0" borderId="0" xfId="2" applyFont="1" applyBorder="1"/>
    <xf numFmtId="9" fontId="158" fillId="0" borderId="6" xfId="2" applyFont="1" applyBorder="1"/>
    <xf numFmtId="176" fontId="158" fillId="0" borderId="0" xfId="0" applyNumberFormat="1" applyFont="1" applyBorder="1"/>
    <xf numFmtId="176" fontId="158" fillId="0" borderId="6" xfId="0" applyNumberFormat="1" applyFont="1" applyBorder="1"/>
    <xf numFmtId="164" fontId="158" fillId="0" borderId="0" xfId="1" applyFont="1" applyBorder="1"/>
    <xf numFmtId="164" fontId="158" fillId="0" borderId="6" xfId="1" applyFont="1" applyBorder="1"/>
    <xf numFmtId="164" fontId="0" fillId="0" borderId="0" xfId="0" applyNumberFormat="1" applyBorder="1"/>
    <xf numFmtId="0" fontId="159" fillId="0" borderId="1" xfId="0" applyFont="1" applyBorder="1"/>
    <xf numFmtId="0" fontId="159" fillId="0" borderId="0" xfId="0" applyFont="1" applyBorder="1"/>
    <xf numFmtId="9" fontId="159" fillId="0" borderId="0" xfId="2" applyFont="1" applyBorder="1"/>
    <xf numFmtId="9" fontId="159" fillId="0" borderId="6" xfId="2" applyFont="1" applyBorder="1"/>
    <xf numFmtId="0" fontId="159" fillId="0" borderId="7" xfId="0" applyFont="1" applyBorder="1"/>
    <xf numFmtId="9" fontId="159" fillId="0" borderId="8" xfId="2" applyFont="1" applyBorder="1"/>
    <xf numFmtId="9" fontId="159" fillId="0" borderId="9" xfId="2" applyFont="1" applyBorder="1"/>
    <xf numFmtId="0" fontId="83" fillId="0" borderId="0" xfId="0" applyFont="1" applyAlignment="1">
      <alignment horizontal="left"/>
    </xf>
    <xf numFmtId="0" fontId="71" fillId="0" borderId="0" xfId="0" applyFont="1" applyAlignment="1">
      <alignment horizontal="left" indent="1"/>
    </xf>
    <xf numFmtId="171" fontId="71" fillId="0" borderId="0" xfId="1" applyNumberFormat="1" applyFont="1"/>
    <xf numFmtId="0" fontId="71" fillId="0" borderId="0" xfId="0" applyFont="1"/>
    <xf numFmtId="166" fontId="71" fillId="0" borderId="0" xfId="2" applyNumberFormat="1" applyFont="1"/>
    <xf numFmtId="0" fontId="160" fillId="0" borderId="0" xfId="0" applyFont="1"/>
    <xf numFmtId="171" fontId="160" fillId="0" borderId="0" xfId="1" applyNumberFormat="1" applyFont="1"/>
    <xf numFmtId="9" fontId="160" fillId="0" borderId="0" xfId="2" applyFont="1"/>
    <xf numFmtId="166" fontId="160" fillId="0" borderId="0" xfId="2" applyNumberFormat="1" applyFont="1"/>
    <xf numFmtId="166" fontId="30" fillId="0" borderId="0" xfId="2" applyNumberFormat="1" applyFont="1" applyFill="1" applyBorder="1"/>
    <xf numFmtId="10" fontId="24" fillId="0" borderId="0" xfId="0" applyNumberFormat="1" applyFont="1"/>
    <xf numFmtId="0" fontId="97" fillId="0" borderId="0" xfId="0" applyFont="1" applyAlignment="1">
      <alignment horizontal="left"/>
    </xf>
    <xf numFmtId="9" fontId="101" fillId="0" borderId="0" xfId="2" applyFont="1"/>
    <xf numFmtId="171" fontId="76" fillId="0" borderId="0" xfId="1" applyNumberFormat="1" applyFont="1"/>
    <xf numFmtId="0" fontId="69" fillId="0" borderId="0" xfId="0" applyFont="1"/>
    <xf numFmtId="0" fontId="102" fillId="0" borderId="0" xfId="0" applyFont="1"/>
    <xf numFmtId="167" fontId="102" fillId="0" borderId="0" xfId="1" applyNumberFormat="1" applyFont="1"/>
    <xf numFmtId="166" fontId="102" fillId="0" borderId="0" xfId="2" applyNumberFormat="1" applyFont="1"/>
    <xf numFmtId="0" fontId="13" fillId="0" borderId="0" xfId="0" applyFont="1" applyAlignment="1">
      <alignment horizontal="left"/>
    </xf>
    <xf numFmtId="0" fontId="113" fillId="0" borderId="0" xfId="0" applyFont="1" applyAlignment="1">
      <alignment horizontal="right"/>
    </xf>
    <xf numFmtId="171" fontId="113" fillId="0" borderId="0" xfId="1" applyNumberFormat="1" applyFont="1"/>
    <xf numFmtId="171" fontId="113" fillId="0" borderId="0" xfId="0" applyNumberFormat="1" applyFont="1"/>
    <xf numFmtId="171" fontId="113" fillId="0" borderId="0" xfId="0" applyNumberFormat="1" applyFont="1" applyFill="1"/>
    <xf numFmtId="10" fontId="83" fillId="0" borderId="0" xfId="2" applyNumberFormat="1" applyFont="1"/>
    <xf numFmtId="164" fontId="24" fillId="0" borderId="0" xfId="1" applyFont="1"/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171" fontId="39" fillId="0" borderId="0" xfId="1" applyNumberFormat="1" applyFont="1" applyAlignment="1">
      <alignment horizontal="center"/>
    </xf>
    <xf numFmtId="171" fontId="24" fillId="0" borderId="30" xfId="1" applyNumberFormat="1" applyFont="1" applyBorder="1"/>
    <xf numFmtId="171" fontId="24" fillId="0" borderId="32" xfId="1" applyNumberFormat="1" applyFont="1" applyBorder="1"/>
    <xf numFmtId="0" fontId="0" fillId="0" borderId="0" xfId="0" applyFill="1" applyAlignment="1">
      <alignment horizontal="center"/>
    </xf>
    <xf numFmtId="172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6" xfId="0" applyFill="1" applyBorder="1"/>
    <xf numFmtId="0" fontId="85" fillId="0" borderId="0" xfId="0" applyFont="1" applyFill="1"/>
    <xf numFmtId="0" fontId="0" fillId="0" borderId="0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6" fillId="0" borderId="9" xfId="0" applyNumberFormat="1" applyFont="1" applyBorder="1"/>
    <xf numFmtId="0" fontId="161" fillId="0" borderId="8" xfId="0" applyFont="1" applyBorder="1"/>
    <xf numFmtId="0" fontId="161" fillId="0" borderId="7" xfId="0" applyFont="1" applyBorder="1"/>
    <xf numFmtId="0" fontId="161" fillId="0" borderId="7" xfId="0" applyFont="1" applyBorder="1" applyAlignment="1">
      <alignment horizontal="left" indent="1"/>
    </xf>
    <xf numFmtId="0" fontId="161" fillId="0" borderId="0" xfId="0" applyFont="1"/>
    <xf numFmtId="0" fontId="132" fillId="0" borderId="0" xfId="0" applyFont="1"/>
    <xf numFmtId="0" fontId="132" fillId="0" borderId="0" xfId="0" applyFont="1" applyBorder="1"/>
    <xf numFmtId="0" fontId="132" fillId="0" borderId="29" xfId="0" applyFont="1" applyBorder="1"/>
    <xf numFmtId="0" fontId="16" fillId="3" borderId="29" xfId="0" applyFont="1" applyFill="1" applyBorder="1" applyAlignment="1">
      <alignment horizontal="left" indent="1"/>
    </xf>
    <xf numFmtId="0" fontId="16" fillId="3" borderId="0" xfId="0" applyFont="1" applyFill="1" applyBorder="1"/>
    <xf numFmtId="0" fontId="16" fillId="3" borderId="0" xfId="0" applyFont="1" applyFill="1"/>
    <xf numFmtId="0" fontId="19" fillId="3" borderId="0" xfId="0" applyFont="1" applyFill="1"/>
    <xf numFmtId="0" fontId="162" fillId="0" borderId="0" xfId="0" applyFont="1"/>
    <xf numFmtId="0" fontId="132" fillId="0" borderId="1" xfId="0" applyFont="1" applyBorder="1"/>
    <xf numFmtId="0" fontId="16" fillId="3" borderId="1" xfId="0" applyFont="1" applyFill="1" applyBorder="1"/>
    <xf numFmtId="0" fontId="163" fillId="3" borderId="0" xfId="0" applyFont="1" applyFill="1" applyBorder="1"/>
    <xf numFmtId="0" fontId="16" fillId="3" borderId="0" xfId="0" quotePrefix="1" applyFont="1" applyFill="1" applyBorder="1"/>
    <xf numFmtId="0" fontId="16" fillId="3" borderId="1" xfId="0" applyFont="1" applyFill="1" applyBorder="1" applyAlignment="1">
      <alignment horizontal="left" indent="1"/>
    </xf>
    <xf numFmtId="0" fontId="164" fillId="0" borderId="0" xfId="0" applyFont="1" applyFill="1"/>
    <xf numFmtId="0" fontId="132" fillId="0" borderId="0" xfId="0" applyFont="1" applyFill="1"/>
    <xf numFmtId="0" fontId="16" fillId="0" borderId="0" xfId="0" applyFont="1" applyFill="1"/>
    <xf numFmtId="0" fontId="164" fillId="0" borderId="0" xfId="0" applyFont="1"/>
    <xf numFmtId="0" fontId="165" fillId="0" borderId="0" xfId="0" applyFont="1"/>
    <xf numFmtId="0" fontId="166" fillId="0" borderId="1" xfId="0" applyFont="1" applyBorder="1" applyAlignment="1">
      <alignment horizontal="left" indent="1"/>
    </xf>
    <xf numFmtId="0" fontId="132" fillId="0" borderId="0" xfId="0" applyFont="1" applyAlignment="1">
      <alignment horizontal="right"/>
    </xf>
    <xf numFmtId="0" fontId="166" fillId="0" borderId="0" xfId="0" applyFont="1"/>
    <xf numFmtId="0" fontId="132" fillId="0" borderId="1" xfId="0" applyFont="1" applyBorder="1" applyAlignment="1">
      <alignment horizontal="left" indent="1"/>
    </xf>
    <xf numFmtId="0" fontId="165" fillId="3" borderId="1" xfId="0" applyFont="1" applyFill="1" applyBorder="1" applyAlignment="1">
      <alignment horizontal="left"/>
    </xf>
    <xf numFmtId="0" fontId="132" fillId="0" borderId="1" xfId="0" applyFont="1" applyBorder="1" applyAlignment="1">
      <alignment vertical="top"/>
    </xf>
    <xf numFmtId="0" fontId="132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vertical="top"/>
    </xf>
    <xf numFmtId="0" fontId="84" fillId="0" borderId="0" xfId="0" applyFont="1" applyAlignment="1">
      <alignment horizontal="right" vertical="top"/>
    </xf>
    <xf numFmtId="0" fontId="84" fillId="0" borderId="0" xfId="0" applyFont="1" applyAlignment="1">
      <alignment horizontal="left" vertical="top" indent="2"/>
    </xf>
    <xf numFmtId="0" fontId="16" fillId="0" borderId="1" xfId="0" applyFont="1" applyBorder="1" applyAlignment="1">
      <alignment horizontal="left" indent="1"/>
    </xf>
    <xf numFmtId="0" fontId="16" fillId="0" borderId="1" xfId="0" applyFont="1" applyFill="1" applyBorder="1" applyAlignment="1">
      <alignment horizontal="left" indent="1"/>
    </xf>
    <xf numFmtId="0" fontId="8" fillId="0" borderId="0" xfId="0" applyFont="1" applyFill="1"/>
    <xf numFmtId="0" fontId="166" fillId="0" borderId="1" xfId="0" applyFont="1" applyBorder="1"/>
    <xf numFmtId="0" fontId="165" fillId="0" borderId="0" xfId="0" applyFont="1" applyFill="1"/>
    <xf numFmtId="0" fontId="16" fillId="0" borderId="0" xfId="0" applyFont="1" applyBorder="1"/>
    <xf numFmtId="0" fontId="132" fillId="3" borderId="0" xfId="0" applyFont="1" applyFill="1"/>
    <xf numFmtId="0" fontId="8" fillId="0" borderId="1" xfId="0" applyFont="1" applyBorder="1"/>
    <xf numFmtId="0" fontId="166" fillId="0" borderId="0" xfId="0" applyFont="1" applyBorder="1"/>
    <xf numFmtId="0" fontId="8" fillId="0" borderId="1" xfId="0" applyFont="1" applyBorder="1" applyAlignment="1">
      <alignment horizontal="left" indent="1"/>
    </xf>
    <xf numFmtId="0" fontId="8" fillId="0" borderId="0" xfId="0" applyFont="1"/>
    <xf numFmtId="0" fontId="167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0" fontId="15" fillId="0" borderId="0" xfId="0" applyFont="1"/>
    <xf numFmtId="0" fontId="169" fillId="0" borderId="0" xfId="0" applyFont="1"/>
    <xf numFmtId="0" fontId="169" fillId="0" borderId="1" xfId="0" applyFont="1" applyBorder="1"/>
    <xf numFmtId="0" fontId="15" fillId="3" borderId="0" xfId="0" applyFont="1" applyFill="1"/>
    <xf numFmtId="0" fontId="72" fillId="3" borderId="0" xfId="0" applyFont="1" applyFill="1"/>
    <xf numFmtId="0" fontId="72" fillId="0" borderId="0" xfId="0" applyFont="1"/>
    <xf numFmtId="0" fontId="10" fillId="0" borderId="0" xfId="0" applyFont="1"/>
    <xf numFmtId="0" fontId="169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indent="1"/>
    </xf>
    <xf numFmtId="0" fontId="153" fillId="0" borderId="0" xfId="0" applyFont="1"/>
    <xf numFmtId="0" fontId="165" fillId="0" borderId="8" xfId="0" applyFont="1" applyBorder="1"/>
    <xf numFmtId="0" fontId="166" fillId="0" borderId="7" xfId="0" applyFont="1" applyBorder="1" applyAlignment="1">
      <alignment horizontal="left" indent="1"/>
    </xf>
    <xf numFmtId="0" fontId="166" fillId="0" borderId="8" xfId="0" applyFont="1" applyBorder="1"/>
    <xf numFmtId="0" fontId="132" fillId="0" borderId="7" xfId="0" applyFont="1" applyBorder="1" applyAlignment="1">
      <alignment horizontal="left" indent="1"/>
    </xf>
    <xf numFmtId="0" fontId="132" fillId="0" borderId="7" xfId="0" applyFont="1" applyBorder="1" applyAlignment="1">
      <alignment vertical="top"/>
    </xf>
    <xf numFmtId="0" fontId="16" fillId="0" borderId="8" xfId="0" applyFont="1" applyBorder="1"/>
    <xf numFmtId="0" fontId="165" fillId="0" borderId="0" xfId="0" applyFont="1" applyBorder="1"/>
    <xf numFmtId="9" fontId="0" fillId="0" borderId="0" xfId="0" applyNumberFormat="1" applyFont="1"/>
    <xf numFmtId="0" fontId="166" fillId="0" borderId="7" xfId="0" applyFont="1" applyBorder="1"/>
    <xf numFmtId="0" fontId="132" fillId="0" borderId="7" xfId="0" applyFont="1" applyBorder="1"/>
    <xf numFmtId="0" fontId="0" fillId="0" borderId="6" xfId="0" applyFont="1" applyBorder="1"/>
    <xf numFmtId="0" fontId="119" fillId="3" borderId="12" xfId="0" applyFont="1" applyFill="1" applyBorder="1" applyAlignment="1">
      <alignment horizontal="left" indent="1"/>
    </xf>
    <xf numFmtId="0" fontId="119" fillId="3" borderId="31" xfId="0" applyFont="1" applyFill="1" applyBorder="1" applyAlignment="1">
      <alignment horizontal="left" indent="1"/>
    </xf>
    <xf numFmtId="0" fontId="85" fillId="3" borderId="31" xfId="0" applyFont="1" applyFill="1" applyBorder="1" applyAlignment="1">
      <alignment horizontal="left" indent="1"/>
    </xf>
    <xf numFmtId="0" fontId="85" fillId="3" borderId="28" xfId="0" applyFont="1" applyFill="1" applyBorder="1" applyAlignment="1">
      <alignment horizontal="left" indent="1"/>
    </xf>
    <xf numFmtId="0" fontId="119" fillId="3" borderId="1" xfId="0" applyFont="1" applyFill="1" applyBorder="1" applyAlignment="1">
      <alignment vertical="center"/>
    </xf>
    <xf numFmtId="0" fontId="132" fillId="3" borderId="0" xfId="0" applyFont="1" applyFill="1" applyBorder="1" applyAlignment="1">
      <alignment horizontal="left" vertical="center"/>
    </xf>
    <xf numFmtId="0" fontId="0" fillId="3" borderId="0" xfId="0" quotePrefix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6" xfId="0" quotePrefix="1" applyFill="1" applyBorder="1" applyAlignment="1">
      <alignment horizontal="left" vertical="center" wrapText="1"/>
    </xf>
    <xf numFmtId="0" fontId="0" fillId="3" borderId="0" xfId="0" quotePrefix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132" fillId="3" borderId="0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85" fillId="3" borderId="31" xfId="0" applyFont="1" applyFill="1" applyBorder="1" applyAlignment="1"/>
    <xf numFmtId="0" fontId="119" fillId="3" borderId="30" xfId="0" applyFont="1" applyFill="1" applyBorder="1" applyAlignment="1"/>
    <xf numFmtId="0" fontId="85" fillId="3" borderId="0" xfId="0" applyFont="1" applyFill="1" applyBorder="1" applyAlignment="1"/>
    <xf numFmtId="0" fontId="119" fillId="3" borderId="32" xfId="0" applyFont="1" applyFill="1" applyBorder="1" applyAlignment="1"/>
    <xf numFmtId="0" fontId="85" fillId="3" borderId="6" xfId="0" applyFont="1" applyFill="1" applyBorder="1" applyAlignment="1"/>
    <xf numFmtId="0" fontId="76" fillId="3" borderId="0" xfId="0" applyFont="1" applyFill="1" applyBorder="1" applyAlignment="1"/>
    <xf numFmtId="0" fontId="119" fillId="3" borderId="29" xfId="0" applyFont="1" applyFill="1" applyBorder="1" applyAlignment="1"/>
    <xf numFmtId="0" fontId="119" fillId="3" borderId="1" xfId="0" applyFont="1" applyFill="1" applyBorder="1" applyAlignment="1"/>
    <xf numFmtId="0" fontId="119" fillId="3" borderId="12" xfId="0" applyFont="1" applyFill="1" applyBorder="1" applyAlignment="1"/>
    <xf numFmtId="0" fontId="39" fillId="3" borderId="0" xfId="0" quotePrefix="1" applyFont="1" applyFill="1" applyBorder="1" applyAlignment="1">
      <alignment horizontal="left" vertical="center" wrapText="1"/>
    </xf>
    <xf numFmtId="0" fontId="39" fillId="3" borderId="6" xfId="0" quotePrefix="1" applyFont="1" applyFill="1" applyBorder="1" applyAlignment="1">
      <alignment horizontal="left" vertical="center"/>
    </xf>
    <xf numFmtId="0" fontId="119" fillId="3" borderId="31" xfId="0" applyFont="1" applyFill="1" applyBorder="1" applyAlignment="1"/>
    <xf numFmtId="0" fontId="85" fillId="3" borderId="28" xfId="0" applyFont="1" applyFill="1" applyBorder="1" applyAlignment="1"/>
    <xf numFmtId="0" fontId="0" fillId="3" borderId="0" xfId="0" applyFill="1" applyBorder="1" applyAlignment="1">
      <alignment horizontal="left" vertical="center" wrapText="1"/>
    </xf>
    <xf numFmtId="0" fontId="132" fillId="3" borderId="0" xfId="0" quotePrefix="1" applyFont="1" applyFill="1" applyBorder="1" applyAlignment="1">
      <alignment horizontal="left" vertical="center"/>
    </xf>
    <xf numFmtId="0" fontId="9" fillId="3" borderId="0" xfId="0" quotePrefix="1" applyFont="1" applyFill="1" applyBorder="1" applyAlignment="1">
      <alignment horizontal="left" vertical="center"/>
    </xf>
    <xf numFmtId="0" fontId="0" fillId="0" borderId="8" xfId="0" quotePrefix="1" applyBorder="1"/>
    <xf numFmtId="0" fontId="170" fillId="22" borderId="35" xfId="0" applyFont="1" applyFill="1" applyBorder="1" applyAlignment="1">
      <alignment horizontal="left" vertical="center" wrapText="1" readingOrder="1"/>
    </xf>
    <xf numFmtId="0" fontId="172" fillId="23" borderId="36" xfId="0" applyFont="1" applyFill="1" applyBorder="1" applyAlignment="1">
      <alignment horizontal="left" vertical="center" wrapText="1" indent="2" readingOrder="1"/>
    </xf>
    <xf numFmtId="0" fontId="172" fillId="23" borderId="37" xfId="0" applyFont="1" applyFill="1" applyBorder="1" applyAlignment="1">
      <alignment horizontal="left" vertical="center" wrapText="1" indent="2" readingOrder="1"/>
    </xf>
    <xf numFmtId="0" fontId="172" fillId="24" borderId="38" xfId="0" applyFont="1" applyFill="1" applyBorder="1" applyAlignment="1">
      <alignment horizontal="left" vertical="center" wrapText="1" indent="2" readingOrder="1"/>
    </xf>
    <xf numFmtId="0" fontId="172" fillId="24" borderId="39" xfId="0" applyFont="1" applyFill="1" applyBorder="1" applyAlignment="1">
      <alignment horizontal="left" vertical="center" wrapText="1" indent="2" readingOrder="1"/>
    </xf>
    <xf numFmtId="0" fontId="172" fillId="24" borderId="37" xfId="0" applyFont="1" applyFill="1" applyBorder="1" applyAlignment="1">
      <alignment horizontal="left" vertical="center" wrapText="1" indent="2" readingOrder="1"/>
    </xf>
    <xf numFmtId="0" fontId="172" fillId="23" borderId="38" xfId="0" applyFont="1" applyFill="1" applyBorder="1" applyAlignment="1">
      <alignment horizontal="left" vertical="center" wrapText="1" indent="2" readingOrder="1"/>
    </xf>
    <xf numFmtId="0" fontId="172" fillId="23" borderId="39" xfId="0" applyFont="1" applyFill="1" applyBorder="1" applyAlignment="1">
      <alignment horizontal="left" vertical="center" wrapText="1" indent="2" readingOrder="1"/>
    </xf>
    <xf numFmtId="0" fontId="173" fillId="0" borderId="0" xfId="0" applyFont="1" applyAlignment="1">
      <alignment horizontal="left" vertical="center" readingOrder="1"/>
    </xf>
    <xf numFmtId="166" fontId="19" fillId="0" borderId="1" xfId="2" applyNumberFormat="1" applyFont="1" applyFill="1" applyBorder="1" applyAlignment="1">
      <alignment horizontal="center"/>
    </xf>
    <xf numFmtId="0" fontId="19" fillId="0" borderId="0" xfId="0" applyFont="1" applyFill="1" applyBorder="1"/>
    <xf numFmtId="166" fontId="19" fillId="0" borderId="0" xfId="2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Border="1" applyAlignment="1">
      <alignment horizontal="right"/>
    </xf>
    <xf numFmtId="0" fontId="61" fillId="0" borderId="0" xfId="3" applyFont="1" applyBorder="1" applyAlignment="1">
      <alignment vertical="top" wrapText="1"/>
    </xf>
    <xf numFmtId="166" fontId="52" fillId="0" borderId="1" xfId="3" applyNumberFormat="1" applyFont="1" applyBorder="1" applyAlignment="1">
      <alignment horizontal="center" vertical="top" wrapText="1"/>
    </xf>
    <xf numFmtId="0" fontId="61" fillId="0" borderId="21" xfId="3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174" fillId="0" borderId="0" xfId="0" applyFont="1" applyAlignment="1">
      <alignment horizontal="right"/>
    </xf>
    <xf numFmtId="9" fontId="174" fillId="0" borderId="0" xfId="2" applyFont="1" applyFill="1" applyBorder="1"/>
    <xf numFmtId="0" fontId="0" fillId="15" borderId="0" xfId="0" applyFont="1" applyFill="1" applyAlignment="1">
      <alignment horizontal="right"/>
    </xf>
    <xf numFmtId="171" fontId="0" fillId="0" borderId="8" xfId="1" applyNumberFormat="1" applyFont="1" applyBorder="1" applyAlignment="1">
      <alignment horizontal="right"/>
    </xf>
    <xf numFmtId="167" fontId="0" fillId="0" borderId="7" xfId="1" applyNumberFormat="1" applyFont="1" applyBorder="1"/>
    <xf numFmtId="9" fontId="49" fillId="0" borderId="0" xfId="2" applyFont="1" applyFill="1" applyBorder="1" applyAlignment="1">
      <alignment horizontal="center"/>
    </xf>
    <xf numFmtId="0" fontId="39" fillId="0" borderId="0" xfId="0" applyFont="1"/>
    <xf numFmtId="0" fontId="113" fillId="0" borderId="0" xfId="0" applyFont="1"/>
    <xf numFmtId="166" fontId="6" fillId="0" borderId="0" xfId="2" applyNumberFormat="1" applyFont="1" applyBorder="1" applyProtection="1"/>
    <xf numFmtId="0" fontId="6" fillId="0" borderId="0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4" fillId="0" borderId="6" xfId="0" applyFont="1" applyFill="1" applyBorder="1" applyAlignment="1">
      <alignment horizontal="right" vertical="center"/>
    </xf>
    <xf numFmtId="0" fontId="119" fillId="0" borderId="0" xfId="0" applyFont="1" applyAlignment="1">
      <alignment horizontal="left" vertical="top" wrapText="1"/>
    </xf>
    <xf numFmtId="0" fontId="175" fillId="0" borderId="0" xfId="0" applyFont="1"/>
    <xf numFmtId="0" fontId="40" fillId="10" borderId="12" xfId="0" applyFont="1" applyFill="1" applyBorder="1"/>
    <xf numFmtId="0" fontId="40" fillId="10" borderId="31" xfId="0" applyFont="1" applyFill="1" applyBorder="1"/>
    <xf numFmtId="0" fontId="40" fillId="10" borderId="28" xfId="0" applyFont="1" applyFill="1" applyBorder="1"/>
    <xf numFmtId="0" fontId="40" fillId="10" borderId="21" xfId="0" applyFont="1" applyFill="1" applyBorder="1"/>
    <xf numFmtId="0" fontId="40" fillId="0" borderId="31" xfId="0" applyFont="1" applyFill="1" applyBorder="1"/>
    <xf numFmtId="0" fontId="176" fillId="0" borderId="12" xfId="0" applyFont="1" applyFill="1" applyBorder="1"/>
    <xf numFmtId="0" fontId="40" fillId="0" borderId="28" xfId="0" applyFont="1" applyFill="1" applyBorder="1"/>
    <xf numFmtId="0" fontId="0" fillId="0" borderId="12" xfId="0" applyFill="1" applyBorder="1" applyAlignment="1">
      <alignment horizontal="left" indent="2"/>
    </xf>
    <xf numFmtId="0" fontId="0" fillId="0" borderId="31" xfId="0" applyBorder="1"/>
    <xf numFmtId="0" fontId="0" fillId="0" borderId="28" xfId="0" applyBorder="1"/>
    <xf numFmtId="171" fontId="0" fillId="0" borderId="21" xfId="1" applyNumberFormat="1" applyFont="1" applyFill="1" applyBorder="1"/>
    <xf numFmtId="0" fontId="0" fillId="0" borderId="12" xfId="0" applyBorder="1" applyAlignment="1">
      <alignment horizontal="left" indent="2"/>
    </xf>
    <xf numFmtId="9" fontId="0" fillId="0" borderId="21" xfId="2" applyFont="1" applyFill="1" applyBorder="1"/>
    <xf numFmtId="167" fontId="0" fillId="0" borderId="21" xfId="1" applyNumberFormat="1" applyFont="1" applyFill="1" applyBorder="1"/>
    <xf numFmtId="0" fontId="3" fillId="0" borderId="12" xfId="0" applyFont="1" applyBorder="1"/>
    <xf numFmtId="0" fontId="85" fillId="0" borderId="12" xfId="0" applyFont="1" applyBorder="1" applyAlignment="1">
      <alignment horizontal="left" indent="2"/>
    </xf>
    <xf numFmtId="0" fontId="85" fillId="0" borderId="31" xfId="0" applyFont="1" applyBorder="1"/>
    <xf numFmtId="0" fontId="85" fillId="0" borderId="28" xfId="0" applyFont="1" applyBorder="1"/>
    <xf numFmtId="0" fontId="0" fillId="0" borderId="21" xfId="0" applyBorder="1"/>
    <xf numFmtId="171" fontId="85" fillId="0" borderId="21" xfId="1" applyNumberFormat="1" applyFont="1" applyBorder="1"/>
    <xf numFmtId="171" fontId="85" fillId="0" borderId="21" xfId="1" applyNumberFormat="1" applyFont="1" applyFill="1" applyBorder="1"/>
    <xf numFmtId="164" fontId="0" fillId="0" borderId="0" xfId="1" applyFont="1"/>
    <xf numFmtId="0" fontId="0" fillId="0" borderId="0" xfId="0" applyFill="1" applyBorder="1"/>
    <xf numFmtId="171" fontId="0" fillId="0" borderId="0" xfId="1" applyNumberFormat="1" applyFont="1" applyFill="1" applyBorder="1"/>
    <xf numFmtId="9" fontId="177" fillId="0" borderId="0" xfId="2" applyFont="1" applyFill="1" applyBorder="1"/>
    <xf numFmtId="167" fontId="0" fillId="0" borderId="0" xfId="1" applyNumberFormat="1" applyFont="1" applyFill="1" applyBorder="1"/>
    <xf numFmtId="171" fontId="178" fillId="0" borderId="0" xfId="1" applyNumberFormat="1" applyFont="1"/>
    <xf numFmtId="0" fontId="179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179" fillId="0" borderId="8" xfId="0" applyFont="1" applyFill="1" applyBorder="1" applyAlignment="1">
      <alignment horizontal="right" vertical="center" wrapText="1"/>
    </xf>
    <xf numFmtId="9" fontId="69" fillId="0" borderId="0" xfId="2" applyFont="1"/>
    <xf numFmtId="166" fontId="69" fillId="0" borderId="0" xfId="2" applyNumberFormat="1" applyFont="1"/>
    <xf numFmtId="0" fontId="179" fillId="0" borderId="8" xfId="0" applyFont="1" applyBorder="1" applyAlignment="1">
      <alignment horizontal="right"/>
    </xf>
    <xf numFmtId="166" fontId="69" fillId="0" borderId="8" xfId="2" applyNumberFormat="1" applyFont="1" applyBorder="1"/>
    <xf numFmtId="166" fontId="71" fillId="0" borderId="0" xfId="0" applyNumberFormat="1" applyFont="1"/>
    <xf numFmtId="0" fontId="179" fillId="0" borderId="8" xfId="0" applyFont="1" applyFill="1" applyBorder="1" applyAlignment="1">
      <alignment horizontal="right" wrapText="1"/>
    </xf>
    <xf numFmtId="171" fontId="69" fillId="0" borderId="0" xfId="1" applyNumberFormat="1" applyFont="1"/>
    <xf numFmtId="171" fontId="69" fillId="0" borderId="8" xfId="1" applyNumberFormat="1" applyFont="1" applyBorder="1"/>
    <xf numFmtId="9" fontId="178" fillId="0" borderId="0" xfId="2" applyFont="1"/>
    <xf numFmtId="171" fontId="69" fillId="0" borderId="0" xfId="0" applyNumberFormat="1" applyFont="1"/>
    <xf numFmtId="171" fontId="69" fillId="0" borderId="8" xfId="0" applyNumberFormat="1" applyFont="1" applyBorder="1"/>
    <xf numFmtId="9" fontId="91" fillId="0" borderId="0" xfId="0" applyNumberFormat="1" applyFont="1"/>
    <xf numFmtId="0" fontId="0" fillId="0" borderId="0" xfId="0" applyFont="1" applyFill="1" applyBorder="1" applyAlignment="1">
      <alignment horizontal="right"/>
    </xf>
    <xf numFmtId="173" fontId="0" fillId="0" borderId="0" xfId="0" applyNumberFormat="1" applyFont="1" applyFill="1" applyBorder="1" applyAlignment="1">
      <alignment horizontal="center"/>
    </xf>
    <xf numFmtId="166" fontId="113" fillId="0" borderId="0" xfId="2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164" fontId="39" fillId="0" borderId="0" xfId="1" applyNumberFormat="1" applyFont="1" applyAlignment="1">
      <alignment horizontal="center"/>
    </xf>
    <xf numFmtId="171" fontId="0" fillId="0" borderId="8" xfId="1" applyNumberFormat="1" applyFont="1" applyFill="1" applyBorder="1"/>
    <xf numFmtId="171" fontId="0" fillId="0" borderId="30" xfId="1" applyNumberFormat="1" applyFont="1" applyFill="1" applyBorder="1"/>
    <xf numFmtId="166" fontId="178" fillId="0" borderId="0" xfId="2" applyNumberFormat="1" applyFont="1" applyFill="1" applyBorder="1"/>
    <xf numFmtId="166" fontId="85" fillId="0" borderId="0" xfId="2" applyNumberFormat="1" applyFont="1" applyFill="1" applyBorder="1"/>
    <xf numFmtId="0" fontId="0" fillId="0" borderId="0" xfId="0" applyAlignment="1">
      <alignment horizontal="center"/>
    </xf>
    <xf numFmtId="0" fontId="24" fillId="0" borderId="6" xfId="0" applyFont="1" applyBorder="1" applyAlignment="1">
      <alignment horizontal="center"/>
    </xf>
    <xf numFmtId="9" fontId="6" fillId="0" borderId="0" xfId="0" applyNumberFormat="1" applyFont="1"/>
    <xf numFmtId="171" fontId="6" fillId="0" borderId="0" xfId="0" applyNumberFormat="1" applyFont="1"/>
    <xf numFmtId="177" fontId="6" fillId="0" borderId="0" xfId="0" applyNumberFormat="1" applyFont="1"/>
    <xf numFmtId="168" fontId="6" fillId="0" borderId="1" xfId="1" applyNumberFormat="1" applyFont="1" applyBorder="1"/>
    <xf numFmtId="171" fontId="6" fillId="0" borderId="8" xfId="1" applyNumberFormat="1" applyFont="1" applyBorder="1"/>
    <xf numFmtId="0" fontId="0" fillId="0" borderId="0" xfId="0" applyFill="1" applyBorder="1" applyAlignment="1">
      <alignment horizontal="right"/>
    </xf>
    <xf numFmtId="171" fontId="69" fillId="0" borderId="30" xfId="1" applyNumberFormat="1" applyFont="1" applyBorder="1"/>
    <xf numFmtId="171" fontId="69" fillId="0" borderId="0" xfId="1" applyNumberFormat="1" applyFont="1" applyBorder="1"/>
    <xf numFmtId="171" fontId="69" fillId="0" borderId="30" xfId="0" applyNumberFormat="1" applyFont="1" applyBorder="1"/>
    <xf numFmtId="171" fontId="69" fillId="0" borderId="0" xfId="0" applyNumberFormat="1" applyFont="1" applyBorder="1"/>
    <xf numFmtId="0" fontId="0" fillId="0" borderId="29" xfId="0" applyBorder="1"/>
    <xf numFmtId="0" fontId="0" fillId="0" borderId="30" xfId="0" applyBorder="1" applyAlignment="1">
      <alignment horizontal="right"/>
    </xf>
    <xf numFmtId="0" fontId="0" fillId="0" borderId="0" xfId="0" applyBorder="1" applyAlignment="1">
      <alignment horizontal="right"/>
    </xf>
    <xf numFmtId="9" fontId="0" fillId="0" borderId="0" xfId="0" applyNumberFormat="1" applyBorder="1"/>
    <xf numFmtId="9" fontId="0" fillId="0" borderId="6" xfId="0" applyNumberFormat="1" applyBorder="1"/>
    <xf numFmtId="164" fontId="0" fillId="0" borderId="32" xfId="1" applyFont="1" applyBorder="1" applyAlignment="1">
      <alignment horizontal="right"/>
    </xf>
    <xf numFmtId="164" fontId="0" fillId="25" borderId="0" xfId="1" applyFont="1" applyFill="1" applyBorder="1"/>
    <xf numFmtId="0" fontId="0" fillId="25" borderId="6" xfId="0" applyFill="1" applyBorder="1"/>
    <xf numFmtId="0" fontId="42" fillId="0" borderId="0" xfId="0" applyFont="1" applyFill="1" applyBorder="1" applyAlignment="1">
      <alignment horizontal="right"/>
    </xf>
    <xf numFmtId="0" fontId="183" fillId="0" borderId="8" xfId="0" applyFont="1" applyFill="1" applyBorder="1" applyAlignment="1">
      <alignment horizontal="right" vertical="center" wrapText="1"/>
    </xf>
    <xf numFmtId="0" fontId="0" fillId="0" borderId="8" xfId="0" applyFill="1" applyBorder="1"/>
    <xf numFmtId="0" fontId="6" fillId="0" borderId="8" xfId="0" applyFont="1" applyFill="1" applyBorder="1" applyProtection="1"/>
    <xf numFmtId="9" fontId="0" fillId="0" borderId="0" xfId="2" applyFont="1" applyAlignment="1">
      <alignment horizontal="right"/>
    </xf>
    <xf numFmtId="0" fontId="40" fillId="10" borderId="21" xfId="0" applyFont="1" applyFill="1" applyBorder="1" applyAlignment="1">
      <alignment horizontal="right"/>
    </xf>
    <xf numFmtId="0" fontId="40" fillId="0" borderId="31" xfId="0" applyFont="1" applyFill="1" applyBorder="1" applyAlignment="1">
      <alignment horizontal="right"/>
    </xf>
    <xf numFmtId="171" fontId="0" fillId="0" borderId="21" xfId="1" applyNumberFormat="1" applyFont="1" applyFill="1" applyBorder="1" applyAlignment="1">
      <alignment horizontal="right"/>
    </xf>
    <xf numFmtId="9" fontId="0" fillId="0" borderId="21" xfId="2" applyFont="1" applyFill="1" applyBorder="1" applyAlignment="1">
      <alignment horizontal="right"/>
    </xf>
    <xf numFmtId="167" fontId="0" fillId="0" borderId="21" xfId="1" applyNumberFormat="1" applyFont="1" applyFill="1" applyBorder="1" applyAlignment="1">
      <alignment horizontal="right"/>
    </xf>
    <xf numFmtId="171" fontId="85" fillId="0" borderId="21" xfId="1" applyNumberFormat="1" applyFont="1" applyFill="1" applyBorder="1" applyAlignment="1">
      <alignment horizontal="right"/>
    </xf>
    <xf numFmtId="171" fontId="85" fillId="0" borderId="21" xfId="1" applyNumberFormat="1" applyFont="1" applyBorder="1" applyAlignment="1">
      <alignment horizontal="right"/>
    </xf>
    <xf numFmtId="166" fontId="74" fillId="0" borderId="0" xfId="2" applyNumberFormat="1" applyFont="1" applyAlignment="1">
      <alignment horizontal="right"/>
    </xf>
    <xf numFmtId="166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6" fillId="9" borderId="0" xfId="0" applyFont="1" applyFill="1" applyBorder="1" applyAlignment="1" applyProtection="1">
      <alignment horizontal="right"/>
    </xf>
    <xf numFmtId="0" fontId="0" fillId="0" borderId="8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180" fillId="0" borderId="0" xfId="0" applyFont="1" applyFill="1" applyBorder="1" applyAlignment="1">
      <alignment horizontal="right"/>
    </xf>
    <xf numFmtId="0" fontId="42" fillId="0" borderId="8" xfId="0" applyFont="1" applyFill="1" applyBorder="1" applyAlignment="1">
      <alignment horizontal="right"/>
    </xf>
    <xf numFmtId="0" fontId="85" fillId="0" borderId="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22" fillId="8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right"/>
    </xf>
    <xf numFmtId="171" fontId="0" fillId="0" borderId="0" xfId="1" applyNumberFormat="1" applyFont="1" applyBorder="1" applyAlignment="1">
      <alignment horizontal="right"/>
    </xf>
    <xf numFmtId="171" fontId="0" fillId="0" borderId="0" xfId="0" applyNumberFormat="1" applyBorder="1" applyAlignment="1">
      <alignment horizontal="right"/>
    </xf>
    <xf numFmtId="166" fontId="0" fillId="0" borderId="8" xfId="2" applyNumberFormat="1" applyFont="1" applyBorder="1" applyAlignment="1">
      <alignment horizontal="right"/>
    </xf>
    <xf numFmtId="171" fontId="0" fillId="0" borderId="0" xfId="1" applyNumberFormat="1" applyFont="1" applyFill="1" applyBorder="1" applyAlignment="1">
      <alignment horizontal="right"/>
    </xf>
    <xf numFmtId="9" fontId="177" fillId="0" borderId="0" xfId="2" applyFont="1" applyFill="1" applyBorder="1" applyAlignment="1">
      <alignment horizontal="right"/>
    </xf>
    <xf numFmtId="166" fontId="85" fillId="0" borderId="0" xfId="2" applyNumberFormat="1" applyFont="1" applyAlignment="1">
      <alignment horizontal="right"/>
    </xf>
    <xf numFmtId="171" fontId="178" fillId="0" borderId="0" xfId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0" fontId="26" fillId="2" borderId="0" xfId="0" applyFont="1" applyFill="1" applyAlignment="1">
      <alignment horizontal="right"/>
    </xf>
    <xf numFmtId="166" fontId="0" fillId="0" borderId="0" xfId="0" applyNumberFormat="1" applyAlignment="1">
      <alignment horizontal="right"/>
    </xf>
    <xf numFmtId="171" fontId="6" fillId="0" borderId="0" xfId="0" applyNumberFormat="1" applyFont="1" applyFill="1" applyBorder="1" applyProtection="1"/>
    <xf numFmtId="166" fontId="24" fillId="0" borderId="0" xfId="0" applyNumberFormat="1" applyFont="1" applyBorder="1" applyAlignment="1">
      <alignment horizontal="right"/>
    </xf>
    <xf numFmtId="0" fontId="85" fillId="0" borderId="8" xfId="0" applyFont="1" applyFill="1" applyBorder="1" applyAlignment="1">
      <alignment horizontal="right"/>
    </xf>
    <xf numFmtId="0" fontId="85" fillId="0" borderId="8" xfId="0" applyFont="1" applyFill="1" applyBorder="1"/>
    <xf numFmtId="166" fontId="101" fillId="0" borderId="0" xfId="2" applyNumberFormat="1" applyFont="1" applyBorder="1" applyProtection="1"/>
    <xf numFmtId="0" fontId="2" fillId="0" borderId="8" xfId="0" applyFont="1" applyFill="1" applyBorder="1" applyProtection="1"/>
    <xf numFmtId="0" fontId="0" fillId="0" borderId="8" xfId="0" applyFont="1" applyFill="1" applyBorder="1"/>
    <xf numFmtId="0" fontId="2" fillId="0" borderId="0" xfId="0" applyFont="1" applyBorder="1" applyAlignment="1" applyProtection="1">
      <alignment horizontal="right"/>
    </xf>
    <xf numFmtId="166" fontId="2" fillId="0" borderId="0" xfId="2" applyNumberFormat="1" applyFont="1" applyBorder="1" applyProtection="1"/>
    <xf numFmtId="0" fontId="2" fillId="0" borderId="8" xfId="0" applyFont="1" applyBorder="1" applyAlignment="1" applyProtection="1">
      <alignment horizontal="right"/>
    </xf>
    <xf numFmtId="166" fontId="2" fillId="0" borderId="8" xfId="2" applyNumberFormat="1" applyFont="1" applyBorder="1" applyProtection="1"/>
    <xf numFmtId="166" fontId="0" fillId="0" borderId="8" xfId="0" applyNumberFormat="1" applyFont="1" applyBorder="1"/>
    <xf numFmtId="166" fontId="41" fillId="0" borderId="0" xfId="0" applyNumberFormat="1" applyFont="1" applyBorder="1" applyProtection="1"/>
    <xf numFmtId="0" fontId="24" fillId="0" borderId="32" xfId="0" applyFont="1" applyBorder="1"/>
    <xf numFmtId="171" fontId="24" fillId="0" borderId="32" xfId="0" applyNumberFormat="1" applyFont="1" applyBorder="1"/>
    <xf numFmtId="9" fontId="86" fillId="0" borderId="0" xfId="2" applyFont="1"/>
    <xf numFmtId="1" fontId="2" fillId="0" borderId="0" xfId="0" applyNumberFormat="1" applyFont="1" applyBorder="1" applyProtection="1"/>
    <xf numFmtId="0" fontId="161" fillId="0" borderId="0" xfId="0" applyFont="1" applyBorder="1" applyAlignment="1" applyProtection="1">
      <alignment horizontal="right"/>
    </xf>
    <xf numFmtId="0" fontId="161" fillId="0" borderId="8" xfId="0" applyFont="1" applyBorder="1" applyAlignment="1" applyProtection="1">
      <alignment horizontal="right"/>
    </xf>
    <xf numFmtId="0" fontId="144" fillId="0" borderId="8" xfId="0" applyFont="1" applyFill="1" applyBorder="1" applyProtection="1"/>
    <xf numFmtId="171" fontId="161" fillId="0" borderId="0" xfId="1" applyNumberFormat="1" applyFont="1" applyBorder="1" applyProtection="1"/>
    <xf numFmtId="171" fontId="9" fillId="0" borderId="0" xfId="1" applyNumberFormat="1" applyFont="1"/>
    <xf numFmtId="171" fontId="9" fillId="0" borderId="0" xfId="1" applyNumberFormat="1" applyFont="1" applyBorder="1"/>
    <xf numFmtId="171" fontId="161" fillId="0" borderId="8" xfId="1" applyNumberFormat="1" applyFont="1" applyBorder="1" applyProtection="1"/>
    <xf numFmtId="171" fontId="9" fillId="0" borderId="8" xfId="1" applyNumberFormat="1" applyFont="1" applyBorder="1"/>
    <xf numFmtId="10" fontId="161" fillId="0" borderId="0" xfId="2" applyNumberFormat="1" applyFont="1" applyBorder="1" applyProtection="1"/>
    <xf numFmtId="0" fontId="0" fillId="0" borderId="8" xfId="0" applyFont="1" applyBorder="1" applyAlignment="1">
      <alignment horizontal="right"/>
    </xf>
    <xf numFmtId="178" fontId="0" fillId="0" borderId="0" xfId="0" applyNumberFormat="1" applyFont="1"/>
    <xf numFmtId="171" fontId="0" fillId="0" borderId="0" xfId="0" applyNumberFormat="1" applyFont="1"/>
    <xf numFmtId="0" fontId="184" fillId="0" borderId="8" xfId="0" applyFont="1" applyFill="1" applyBorder="1" applyAlignment="1">
      <alignment horizontal="right" wrapText="1"/>
    </xf>
    <xf numFmtId="0" fontId="184" fillId="0" borderId="0" xfId="0" applyFont="1" applyAlignment="1">
      <alignment horizontal="right"/>
    </xf>
    <xf numFmtId="0" fontId="184" fillId="0" borderId="8" xfId="0" applyFont="1" applyBorder="1" applyAlignment="1">
      <alignment horizontal="right"/>
    </xf>
    <xf numFmtId="0" fontId="184" fillId="0" borderId="8" xfId="0" applyFont="1" applyFill="1" applyBorder="1" applyAlignment="1">
      <alignment horizontal="right" vertical="center" wrapText="1"/>
    </xf>
    <xf numFmtId="0" fontId="0" fillId="14" borderId="0" xfId="0" applyFill="1" applyAlignment="1">
      <alignment horizontal="right"/>
    </xf>
    <xf numFmtId="171" fontId="0" fillId="14" borderId="0" xfId="1" applyNumberFormat="1" applyFont="1" applyFill="1"/>
    <xf numFmtId="0" fontId="0" fillId="14" borderId="0" xfId="0" applyFont="1" applyFill="1" applyAlignment="1">
      <alignment horizontal="right"/>
    </xf>
    <xf numFmtId="171" fontId="0" fillId="14" borderId="0" xfId="0" applyNumberFormat="1" applyFont="1" applyFill="1"/>
    <xf numFmtId="0" fontId="0" fillId="14" borderId="0" xfId="0" applyFill="1"/>
    <xf numFmtId="171" fontId="85" fillId="14" borderId="0" xfId="0" applyNumberFormat="1" applyFont="1" applyFill="1" applyAlignment="1">
      <alignment horizontal="right"/>
    </xf>
    <xf numFmtId="171" fontId="85" fillId="14" borderId="0" xfId="0" applyNumberFormat="1" applyFont="1" applyFill="1"/>
    <xf numFmtId="0" fontId="0" fillId="14" borderId="0" xfId="0" applyFont="1" applyFill="1" applyBorder="1" applyAlignment="1">
      <alignment horizontal="right"/>
    </xf>
    <xf numFmtId="171" fontId="0" fillId="14" borderId="0" xfId="0" applyNumberFormat="1" applyFill="1" applyBorder="1"/>
    <xf numFmtId="0" fontId="6" fillId="14" borderId="0" xfId="0" applyFont="1" applyFill="1" applyBorder="1" applyAlignment="1" applyProtection="1">
      <alignment horizontal="right"/>
    </xf>
    <xf numFmtId="171" fontId="161" fillId="14" borderId="0" xfId="1" applyNumberFormat="1" applyFont="1" applyFill="1" applyBorder="1" applyProtection="1"/>
    <xf numFmtId="171" fontId="0" fillId="14" borderId="0" xfId="1" applyNumberFormat="1" applyFont="1" applyFill="1" applyAlignment="1">
      <alignment horizontal="right"/>
    </xf>
    <xf numFmtId="3" fontId="24" fillId="0" borderId="0" xfId="0" applyNumberFormat="1" applyFont="1" applyBorder="1" applyAlignment="1">
      <alignment horizontal="center"/>
    </xf>
    <xf numFmtId="0" fontId="32" fillId="9" borderId="0" xfId="0" applyFont="1" applyFill="1" applyBorder="1" applyProtection="1"/>
    <xf numFmtId="0" fontId="185" fillId="2" borderId="0" xfId="0" applyFont="1" applyFill="1"/>
    <xf numFmtId="171" fontId="0" fillId="0" borderId="30" xfId="1" applyNumberFormat="1" applyFont="1" applyBorder="1"/>
    <xf numFmtId="166" fontId="0" fillId="0" borderId="30" xfId="0" applyNumberFormat="1" applyFont="1" applyBorder="1"/>
    <xf numFmtId="166" fontId="0" fillId="0" borderId="0" xfId="0" applyNumberFormat="1" applyFont="1" applyBorder="1"/>
    <xf numFmtId="0" fontId="0" fillId="0" borderId="9" xfId="0" applyBorder="1" applyAlignment="1">
      <alignment horizontal="center"/>
    </xf>
    <xf numFmtId="171" fontId="186" fillId="0" borderId="0" xfId="1" applyNumberFormat="1" applyFont="1" applyBorder="1" applyAlignment="1">
      <alignment vertical="center"/>
    </xf>
    <xf numFmtId="0" fontId="85" fillId="19" borderId="0" xfId="0" applyFont="1" applyFill="1" applyAlignment="1">
      <alignment horizontal="left"/>
    </xf>
    <xf numFmtId="166" fontId="0" fillId="19" borderId="0" xfId="2" applyNumberFormat="1" applyFont="1" applyFill="1"/>
    <xf numFmtId="0" fontId="85" fillId="19" borderId="0" xfId="0" applyFont="1" applyFill="1"/>
    <xf numFmtId="166" fontId="83" fillId="0" borderId="0" xfId="2" applyNumberFormat="1" applyFont="1" applyFill="1"/>
    <xf numFmtId="166" fontId="160" fillId="0" borderId="0" xfId="2" applyNumberFormat="1" applyFont="1" applyFill="1"/>
    <xf numFmtId="166" fontId="77" fillId="9" borderId="0" xfId="2" applyNumberFormat="1" applyFont="1" applyFill="1" applyBorder="1" applyProtection="1"/>
    <xf numFmtId="0" fontId="22" fillId="10" borderId="10" xfId="0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0" xfId="0" applyNumberFormat="1" applyFont="1" applyFill="1" applyBorder="1"/>
    <xf numFmtId="171" fontId="11" fillId="0" borderId="29" xfId="1" applyNumberFormat="1" applyFont="1" applyBorder="1"/>
    <xf numFmtId="171" fontId="11" fillId="0" borderId="0" xfId="1" applyNumberFormat="1" applyFont="1" applyBorder="1"/>
    <xf numFmtId="171" fontId="11" fillId="0" borderId="1" xfId="1" applyNumberFormat="1" applyFont="1" applyBorder="1"/>
    <xf numFmtId="1" fontId="11" fillId="0" borderId="1" xfId="0" applyNumberFormat="1" applyFont="1" applyBorder="1"/>
    <xf numFmtId="1" fontId="11" fillId="0" borderId="0" xfId="0" applyNumberFormat="1" applyFont="1" applyBorder="1"/>
    <xf numFmtId="171" fontId="11" fillId="0" borderId="30" xfId="1" applyNumberFormat="1" applyFont="1" applyBorder="1"/>
    <xf numFmtId="0" fontId="11" fillId="0" borderId="0" xfId="0" applyFont="1" applyBorder="1"/>
    <xf numFmtId="171" fontId="11" fillId="0" borderId="32" xfId="1" applyNumberFormat="1" applyFont="1" applyBorder="1"/>
    <xf numFmtId="171" fontId="11" fillId="0" borderId="6" xfId="1" applyNumberFormat="1" applyFont="1" applyBorder="1"/>
    <xf numFmtId="0" fontId="11" fillId="0" borderId="1" xfId="0" applyFont="1" applyBorder="1"/>
    <xf numFmtId="0" fontId="11" fillId="0" borderId="6" xfId="0" applyFont="1" applyBorder="1"/>
    <xf numFmtId="1" fontId="11" fillId="4" borderId="6" xfId="0" applyNumberFormat="1" applyFont="1" applyFill="1" applyBorder="1"/>
    <xf numFmtId="1" fontId="11" fillId="0" borderId="6" xfId="0" applyNumberFormat="1" applyFont="1" applyBorder="1"/>
    <xf numFmtId="171" fontId="39" fillId="0" borderId="0" xfId="1" applyNumberFormat="1" applyFont="1"/>
    <xf numFmtId="171" fontId="82" fillId="0" borderId="0" xfId="1" applyNumberFormat="1" applyFont="1"/>
    <xf numFmtId="171" fontId="39" fillId="0" borderId="0" xfId="0" applyNumberFormat="1" applyFont="1" applyBorder="1"/>
    <xf numFmtId="171" fontId="111" fillId="0" borderId="0" xfId="1" applyNumberFormat="1" applyFont="1" applyBorder="1" applyAlignment="1">
      <alignment horizontal="right"/>
    </xf>
    <xf numFmtId="171" fontId="111" fillId="0" borderId="0" xfId="1" applyNumberFormat="1" applyFont="1" applyBorder="1"/>
    <xf numFmtId="171" fontId="82" fillId="0" borderId="1" xfId="1" applyNumberFormat="1" applyFont="1" applyBorder="1" applyAlignment="1">
      <alignment horizontal="right"/>
    </xf>
    <xf numFmtId="171" fontId="82" fillId="0" borderId="6" xfId="1" applyNumberFormat="1" applyFont="1" applyBorder="1" applyAlignment="1">
      <alignment horizontal="right"/>
    </xf>
    <xf numFmtId="9" fontId="187" fillId="0" borderId="0" xfId="0" applyNumberFormat="1" applyFont="1" applyBorder="1" applyAlignment="1">
      <alignment horizontal="right"/>
    </xf>
    <xf numFmtId="9" fontId="150" fillId="0" borderId="0" xfId="2" applyFont="1"/>
    <xf numFmtId="9" fontId="188" fillId="0" borderId="0" xfId="2" applyFont="1" applyBorder="1" applyAlignment="1">
      <alignment horizontal="right"/>
    </xf>
    <xf numFmtId="9" fontId="188" fillId="0" borderId="0" xfId="2" applyFont="1" applyBorder="1"/>
    <xf numFmtId="9" fontId="187" fillId="0" borderId="1" xfId="2" applyFont="1" applyBorder="1" applyAlignment="1">
      <alignment horizontal="right"/>
    </xf>
    <xf numFmtId="9" fontId="187" fillId="0" borderId="0" xfId="2" applyFont="1" applyBorder="1" applyAlignment="1">
      <alignment horizontal="right"/>
    </xf>
    <xf numFmtId="9" fontId="187" fillId="0" borderId="6" xfId="2" applyFont="1" applyBorder="1" applyAlignment="1">
      <alignment horizontal="right"/>
    </xf>
    <xf numFmtId="9" fontId="187" fillId="0" borderId="1" xfId="2" applyFont="1" applyBorder="1"/>
    <xf numFmtId="9" fontId="187" fillId="0" borderId="0" xfId="2" applyFont="1" applyBorder="1"/>
    <xf numFmtId="9" fontId="187" fillId="0" borderId="6" xfId="2" applyFont="1" applyBorder="1"/>
    <xf numFmtId="171" fontId="82" fillId="0" borderId="6" xfId="1" applyNumberFormat="1" applyFont="1" applyBorder="1"/>
    <xf numFmtId="171" fontId="82" fillId="0" borderId="1" xfId="1" applyNumberFormat="1" applyFont="1" applyBorder="1"/>
    <xf numFmtId="171" fontId="82" fillId="0" borderId="7" xfId="1" applyNumberFormat="1" applyFont="1" applyBorder="1" applyAlignment="1">
      <alignment horizontal="right"/>
    </xf>
    <xf numFmtId="171" fontId="82" fillId="0" borderId="8" xfId="1" applyNumberFormat="1" applyFont="1" applyBorder="1" applyAlignment="1">
      <alignment horizontal="right"/>
    </xf>
    <xf numFmtId="171" fontId="82" fillId="0" borderId="9" xfId="1" applyNumberFormat="1" applyFont="1" applyBorder="1" applyAlignment="1">
      <alignment horizontal="right"/>
    </xf>
    <xf numFmtId="171" fontId="82" fillId="0" borderId="7" xfId="1" applyNumberFormat="1" applyFont="1" applyBorder="1"/>
    <xf numFmtId="171" fontId="82" fillId="0" borderId="8" xfId="1" applyNumberFormat="1" applyFont="1" applyBorder="1"/>
    <xf numFmtId="171" fontId="82" fillId="0" borderId="9" xfId="1" applyNumberFormat="1" applyFont="1" applyBorder="1"/>
    <xf numFmtId="166" fontId="187" fillId="0" borderId="0" xfId="2" applyNumberFormat="1" applyFont="1"/>
    <xf numFmtId="166" fontId="187" fillId="0" borderId="8" xfId="2" applyNumberFormat="1" applyFont="1" applyBorder="1"/>
    <xf numFmtId="171" fontId="187" fillId="0" borderId="0" xfId="1" applyNumberFormat="1" applyFont="1"/>
    <xf numFmtId="171" fontId="187" fillId="0" borderId="8" xfId="1" applyNumberFormat="1" applyFont="1" applyBorder="1"/>
    <xf numFmtId="171" fontId="187" fillId="0" borderId="7" xfId="1" applyNumberFormat="1" applyFont="1" applyBorder="1"/>
    <xf numFmtId="9" fontId="189" fillId="0" borderId="0" xfId="0" applyNumberFormat="1" applyFont="1"/>
    <xf numFmtId="9" fontId="189" fillId="0" borderId="0" xfId="2" applyFont="1" applyBorder="1" applyAlignment="1">
      <alignment horizontal="right"/>
    </xf>
    <xf numFmtId="9" fontId="189" fillId="0" borderId="0" xfId="2" applyFont="1" applyBorder="1"/>
    <xf numFmtId="9" fontId="189" fillId="0" borderId="0" xfId="2" applyFont="1"/>
    <xf numFmtId="171" fontId="187" fillId="0" borderId="0" xfId="1" applyNumberFormat="1" applyFont="1" applyBorder="1" applyAlignment="1">
      <alignment horizontal="right"/>
    </xf>
    <xf numFmtId="9" fontId="189" fillId="0" borderId="0" xfId="0" applyNumberFormat="1" applyFont="1" applyBorder="1" applyAlignment="1">
      <alignment horizontal="right"/>
    </xf>
    <xf numFmtId="9" fontId="189" fillId="0" borderId="0" xfId="2" applyFont="1" applyBorder="1" applyAlignment="1">
      <alignment horizontal="center"/>
    </xf>
    <xf numFmtId="9" fontId="189" fillId="0" borderId="6" xfId="2" applyFont="1" applyBorder="1" applyAlignment="1">
      <alignment horizontal="center"/>
    </xf>
    <xf numFmtId="171" fontId="82" fillId="0" borderId="0" xfId="0" applyNumberFormat="1" applyFont="1"/>
    <xf numFmtId="166" fontId="82" fillId="0" borderId="0" xfId="2" applyNumberFormat="1" applyFont="1" applyFill="1" applyBorder="1"/>
    <xf numFmtId="166" fontId="82" fillId="0" borderId="7" xfId="2" applyNumberFormat="1" applyFont="1" applyBorder="1"/>
    <xf numFmtId="166" fontId="82" fillId="0" borderId="0" xfId="2" applyNumberFormat="1" applyFont="1"/>
    <xf numFmtId="166" fontId="82" fillId="0" borderId="8" xfId="2" applyNumberFormat="1" applyFont="1" applyBorder="1"/>
    <xf numFmtId="9" fontId="187" fillId="0" borderId="0" xfId="2" applyFont="1"/>
    <xf numFmtId="9" fontId="187" fillId="0" borderId="8" xfId="2" applyFont="1" applyBorder="1"/>
    <xf numFmtId="0" fontId="174" fillId="0" borderId="0" xfId="0" applyFont="1"/>
    <xf numFmtId="171" fontId="189" fillId="0" borderId="6" xfId="1" applyNumberFormat="1" applyFont="1" applyBorder="1"/>
    <xf numFmtId="171" fontId="189" fillId="0" borderId="9" xfId="1" applyNumberFormat="1" applyFont="1" applyBorder="1"/>
    <xf numFmtId="1" fontId="187" fillId="0" borderId="0" xfId="0" applyNumberFormat="1" applyFont="1"/>
    <xf numFmtId="1" fontId="187" fillId="0" borderId="8" xfId="0" applyNumberFormat="1" applyFont="1" applyBorder="1"/>
    <xf numFmtId="1" fontId="187" fillId="0" borderId="8" xfId="1" applyNumberFormat="1" applyFont="1" applyBorder="1"/>
    <xf numFmtId="171" fontId="189" fillId="0" borderId="0" xfId="1" applyNumberFormat="1" applyFont="1"/>
    <xf numFmtId="171" fontId="189" fillId="0" borderId="8" xfId="1" applyNumberFormat="1" applyFont="1" applyBorder="1"/>
    <xf numFmtId="166" fontId="189" fillId="0" borderId="0" xfId="2" applyNumberFormat="1" applyFont="1"/>
    <xf numFmtId="166" fontId="189" fillId="0" borderId="6" xfId="2" applyNumberFormat="1" applyFont="1" applyBorder="1"/>
    <xf numFmtId="166" fontId="189" fillId="0" borderId="8" xfId="2" applyNumberFormat="1" applyFont="1" applyBorder="1"/>
    <xf numFmtId="166" fontId="189" fillId="0" borderId="9" xfId="2" applyNumberFormat="1" applyFont="1" applyBorder="1"/>
    <xf numFmtId="0" fontId="82" fillId="0" borderId="0" xfId="0" applyFont="1"/>
    <xf numFmtId="0" fontId="187" fillId="0" borderId="0" xfId="0" applyFont="1"/>
    <xf numFmtId="9" fontId="82" fillId="0" borderId="0" xfId="2" applyFont="1" applyAlignment="1">
      <alignment horizontal="right"/>
    </xf>
    <xf numFmtId="9" fontId="82" fillId="0" borderId="0" xfId="2" applyFont="1" applyBorder="1" applyAlignment="1">
      <alignment horizontal="right"/>
    </xf>
    <xf numFmtId="9" fontId="82" fillId="0" borderId="8" xfId="2" applyFont="1" applyBorder="1" applyAlignment="1">
      <alignment horizontal="right"/>
    </xf>
    <xf numFmtId="171" fontId="110" fillId="0" borderId="0" xfId="0" applyNumberFormat="1" applyFont="1"/>
    <xf numFmtId="166" fontId="82" fillId="0" borderId="0" xfId="2" applyNumberFormat="1" applyFont="1" applyAlignment="1">
      <alignment horizontal="right"/>
    </xf>
    <xf numFmtId="166" fontId="82" fillId="0" borderId="6" xfId="2" applyNumberFormat="1" applyFont="1" applyBorder="1" applyAlignment="1">
      <alignment horizontal="right"/>
    </xf>
    <xf numFmtId="166" fontId="82" fillId="0" borderId="8" xfId="2" applyNumberFormat="1" applyFont="1" applyBorder="1" applyAlignment="1">
      <alignment horizontal="right"/>
    </xf>
    <xf numFmtId="166" fontId="82" fillId="0" borderId="9" xfId="2" applyNumberFormat="1" applyFont="1" applyBorder="1" applyAlignment="1">
      <alignment horizontal="right"/>
    </xf>
    <xf numFmtId="9" fontId="190" fillId="0" borderId="0" xfId="0" applyNumberFormat="1" applyFont="1" applyBorder="1"/>
    <xf numFmtId="1" fontId="82" fillId="0" borderId="0" xfId="0" applyNumberFormat="1" applyFont="1" applyAlignment="1">
      <alignment horizontal="right"/>
    </xf>
    <xf numFmtId="1" fontId="82" fillId="0" borderId="8" xfId="0" applyNumberFormat="1" applyFont="1" applyBorder="1" applyAlignment="1">
      <alignment horizontal="right"/>
    </xf>
    <xf numFmtId="9" fontId="191" fillId="0" borderId="0" xfId="2" applyFont="1"/>
    <xf numFmtId="9" fontId="82" fillId="0" borderId="0" xfId="2" applyFont="1" applyBorder="1"/>
    <xf numFmtId="9" fontId="82" fillId="0" borderId="0" xfId="0" applyNumberFormat="1" applyFont="1" applyBorder="1"/>
    <xf numFmtId="9" fontId="189" fillId="0" borderId="0" xfId="0" applyNumberFormat="1" applyFont="1" applyBorder="1"/>
    <xf numFmtId="171" fontId="189" fillId="0" borderId="0" xfId="0" applyNumberFormat="1" applyFont="1"/>
    <xf numFmtId="168" fontId="24" fillId="0" borderId="0" xfId="1" applyNumberFormat="1" applyFont="1"/>
    <xf numFmtId="9" fontId="82" fillId="0" borderId="0" xfId="0" applyNumberFormat="1" applyFont="1"/>
    <xf numFmtId="171" fontId="192" fillId="0" borderId="0" xfId="0" applyNumberFormat="1" applyFont="1"/>
    <xf numFmtId="9" fontId="82" fillId="0" borderId="0" xfId="2" applyFont="1"/>
    <xf numFmtId="171" fontId="82" fillId="0" borderId="0" xfId="1" applyNumberFormat="1" applyFont="1" applyAlignment="1">
      <alignment horizontal="right"/>
    </xf>
    <xf numFmtId="9" fontId="82" fillId="0" borderId="7" xfId="2" applyFont="1" applyBorder="1" applyAlignment="1">
      <alignment horizontal="right"/>
    </xf>
    <xf numFmtId="9" fontId="189" fillId="0" borderId="0" xfId="2" applyFont="1" applyAlignment="1">
      <alignment horizontal="right"/>
    </xf>
    <xf numFmtId="9" fontId="189" fillId="0" borderId="8" xfId="2" applyFont="1" applyBorder="1" applyAlignment="1">
      <alignment horizontal="right"/>
    </xf>
    <xf numFmtId="166" fontId="189" fillId="0" borderId="0" xfId="2" applyNumberFormat="1" applyFont="1" applyBorder="1"/>
    <xf numFmtId="0" fontId="82" fillId="0" borderId="0" xfId="0" applyFont="1" applyAlignment="1">
      <alignment horizontal="right"/>
    </xf>
    <xf numFmtId="0" fontId="63" fillId="15" borderId="0" xfId="3" applyFont="1" applyFill="1" applyAlignment="1">
      <alignment horizontal="right" indent="1"/>
    </xf>
    <xf numFmtId="9" fontId="193" fillId="0" borderId="0" xfId="0" applyNumberFormat="1" applyFont="1" applyAlignment="1">
      <alignment horizontal="right"/>
    </xf>
    <xf numFmtId="171" fontId="193" fillId="0" borderId="0" xfId="1" applyNumberFormat="1" applyFont="1"/>
    <xf numFmtId="1" fontId="39" fillId="0" borderId="0" xfId="0" applyNumberFormat="1" applyFont="1"/>
    <xf numFmtId="166" fontId="150" fillId="0" borderId="0" xfId="2" applyNumberFormat="1" applyFont="1"/>
    <xf numFmtId="166" fontId="193" fillId="0" borderId="0" xfId="2" applyNumberFormat="1" applyFont="1"/>
    <xf numFmtId="170" fontId="116" fillId="14" borderId="23" xfId="2" applyNumberFormat="1" applyFont="1" applyFill="1" applyBorder="1" applyAlignment="1">
      <alignment horizontal="right" vertical="center" wrapText="1"/>
    </xf>
    <xf numFmtId="171" fontId="146" fillId="0" borderId="0" xfId="1" applyNumberFormat="1" applyFont="1"/>
    <xf numFmtId="170" fontId="116" fillId="26" borderId="23" xfId="2" applyNumberFormat="1" applyFont="1" applyFill="1" applyBorder="1" applyAlignment="1">
      <alignment horizontal="right" vertical="center" wrapText="1"/>
    </xf>
    <xf numFmtId="168" fontId="24" fillId="0" borderId="0" xfId="0" applyNumberFormat="1" applyFont="1"/>
    <xf numFmtId="166" fontId="189" fillId="0" borderId="0" xfId="0" applyNumberFormat="1" applyFont="1"/>
    <xf numFmtId="0" fontId="194" fillId="0" borderId="0" xfId="0" applyFont="1"/>
    <xf numFmtId="171" fontId="26" fillId="0" borderId="0" xfId="1" applyNumberFormat="1" applyFont="1" applyBorder="1"/>
    <xf numFmtId="166" fontId="26" fillId="0" borderId="0" xfId="0" applyNumberFormat="1" applyFont="1"/>
    <xf numFmtId="166" fontId="82" fillId="0" borderId="0" xfId="0" applyNumberFormat="1" applyFont="1"/>
    <xf numFmtId="2" fontId="82" fillId="0" borderId="0" xfId="0" applyNumberFormat="1" applyFont="1" applyBorder="1"/>
    <xf numFmtId="166" fontId="82" fillId="0" borderId="0" xfId="2" applyNumberFormat="1" applyFont="1" applyBorder="1"/>
    <xf numFmtId="0" fontId="26" fillId="0" borderId="0" xfId="0" applyFont="1" applyBorder="1"/>
    <xf numFmtId="0" fontId="195" fillId="0" borderId="0" xfId="0" applyFont="1" applyBorder="1"/>
    <xf numFmtId="166" fontId="26" fillId="0" borderId="8" xfId="2" applyNumberFormat="1" applyFont="1" applyBorder="1" applyAlignment="1">
      <alignment horizontal="right"/>
    </xf>
    <xf numFmtId="0" fontId="26" fillId="0" borderId="8" xfId="0" applyFont="1" applyBorder="1" applyAlignment="1">
      <alignment horizontal="right"/>
    </xf>
    <xf numFmtId="166" fontId="26" fillId="0" borderId="0" xfId="2" applyNumberFormat="1" applyFont="1" applyBorder="1"/>
    <xf numFmtId="171" fontId="26" fillId="0" borderId="0" xfId="1" applyNumberFormat="1" applyFont="1"/>
    <xf numFmtId="166" fontId="26" fillId="0" borderId="8" xfId="2" applyNumberFormat="1" applyFont="1" applyBorder="1"/>
    <xf numFmtId="171" fontId="26" fillId="0" borderId="8" xfId="1" applyNumberFormat="1" applyFont="1" applyBorder="1"/>
    <xf numFmtId="1" fontId="26" fillId="0" borderId="0" xfId="0" applyNumberFormat="1" applyFont="1" applyBorder="1"/>
    <xf numFmtId="166" fontId="196" fillId="0" borderId="0" xfId="2" applyNumberFormat="1" applyFont="1" applyAlignment="1">
      <alignment horizontal="left"/>
    </xf>
    <xf numFmtId="168" fontId="26" fillId="0" borderId="0" xfId="1" applyNumberFormat="1" applyFont="1"/>
    <xf numFmtId="168" fontId="26" fillId="0" borderId="8" xfId="1" applyNumberFormat="1" applyFont="1" applyBorder="1"/>
    <xf numFmtId="166" fontId="197" fillId="0" borderId="0" xfId="2" applyNumberFormat="1" applyFont="1"/>
    <xf numFmtId="166" fontId="0" fillId="0" borderId="1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171" fontId="0" fillId="0" borderId="1" xfId="1" applyNumberFormat="1" applyFont="1" applyBorder="1"/>
    <xf numFmtId="171" fontId="0" fillId="0" borderId="7" xfId="1" applyNumberFormat="1" applyFont="1" applyBorder="1"/>
    <xf numFmtId="171" fontId="39" fillId="14" borderId="1" xfId="1" applyNumberFormat="1" applyFont="1" applyFill="1" applyBorder="1"/>
    <xf numFmtId="0" fontId="198" fillId="0" borderId="0" xfId="0" applyFont="1"/>
    <xf numFmtId="2" fontId="26" fillId="0" borderId="0" xfId="0" applyNumberFormat="1" applyFont="1" applyBorder="1"/>
    <xf numFmtId="1" fontId="0" fillId="0" borderId="1" xfId="0" applyNumberFormat="1" applyBorder="1"/>
    <xf numFmtId="1" fontId="0" fillId="0" borderId="7" xfId="0" applyNumberFormat="1" applyBorder="1"/>
    <xf numFmtId="0" fontId="199" fillId="0" borderId="0" xfId="0" applyFont="1"/>
    <xf numFmtId="166" fontId="197" fillId="0" borderId="0" xfId="2" applyNumberFormat="1" applyFont="1" applyFill="1" applyBorder="1"/>
    <xf numFmtId="0" fontId="0" fillId="0" borderId="0" xfId="0" applyFill="1" applyAlignment="1">
      <alignment horizontal="left" indent="1"/>
    </xf>
    <xf numFmtId="43" fontId="197" fillId="0" borderId="0" xfId="0" applyNumberFormat="1" applyFont="1"/>
    <xf numFmtId="0" fontId="189" fillId="0" borderId="0" xfId="0" applyFont="1"/>
    <xf numFmtId="43" fontId="24" fillId="0" borderId="0" xfId="1" applyNumberFormat="1" applyFont="1" applyAlignment="1">
      <alignment horizontal="right"/>
    </xf>
    <xf numFmtId="0" fontId="193" fillId="0" borderId="0" xfId="0" applyFont="1"/>
    <xf numFmtId="1" fontId="193" fillId="0" borderId="0" xfId="0" applyNumberFormat="1" applyFont="1"/>
    <xf numFmtId="0" fontId="26" fillId="0" borderId="0" xfId="0" applyFont="1"/>
    <xf numFmtId="171" fontId="200" fillId="0" borderId="0" xfId="1" applyNumberFormat="1" applyFont="1" applyBorder="1" applyAlignment="1">
      <alignment horizontal="right" vertical="center"/>
    </xf>
    <xf numFmtId="166" fontId="201" fillId="0" borderId="0" xfId="2" applyNumberFormat="1" applyFont="1"/>
    <xf numFmtId="0" fontId="24" fillId="0" borderId="7" xfId="0" applyFont="1" applyFill="1" applyBorder="1" applyAlignment="1">
      <alignment horizontal="center"/>
    </xf>
    <xf numFmtId="0" fontId="98" fillId="0" borderId="0" xfId="0" applyFont="1"/>
    <xf numFmtId="164" fontId="98" fillId="0" borderId="0" xfId="1" applyFont="1"/>
    <xf numFmtId="0" fontId="22" fillId="0" borderId="0" xfId="0" applyFont="1" applyAlignment="1">
      <alignment vertical="center"/>
    </xf>
    <xf numFmtId="0" fontId="22" fillId="27" borderId="0" xfId="0" applyFont="1" applyFill="1" applyAlignment="1">
      <alignment vertical="center"/>
    </xf>
    <xf numFmtId="171" fontId="203" fillId="27" borderId="0" xfId="1" applyNumberFormat="1" applyFont="1" applyFill="1" applyBorder="1" applyAlignment="1">
      <alignment horizontal="right" vertical="center" indent="1"/>
    </xf>
    <xf numFmtId="171" fontId="204" fillId="27" borderId="0" xfId="1" applyNumberFormat="1" applyFont="1" applyFill="1" applyBorder="1" applyAlignment="1">
      <alignment horizontal="center" vertical="center" wrapText="1"/>
    </xf>
    <xf numFmtId="0" fontId="187" fillId="0" borderId="0" xfId="0" applyFont="1" applyAlignment="1">
      <alignment vertical="center"/>
    </xf>
    <xf numFmtId="171" fontId="189" fillId="0" borderId="0" xfId="1" applyNumberFormat="1" applyFont="1" applyFill="1" applyBorder="1" applyAlignment="1">
      <alignment vertical="center"/>
    </xf>
    <xf numFmtId="171" fontId="26" fillId="0" borderId="0" xfId="1" applyNumberFormat="1" applyFont="1" applyFill="1" applyBorder="1" applyAlignment="1">
      <alignment vertical="center"/>
    </xf>
    <xf numFmtId="0" fontId="205" fillId="2" borderId="0" xfId="0" applyFont="1" applyFill="1"/>
    <xf numFmtId="171" fontId="205" fillId="2" borderId="0" xfId="0" applyNumberFormat="1" applyFont="1" applyFill="1"/>
    <xf numFmtId="166" fontId="192" fillId="2" borderId="0" xfId="2" applyNumberFormat="1" applyFont="1" applyFill="1"/>
    <xf numFmtId="0" fontId="205" fillId="2" borderId="0" xfId="0" applyFont="1" applyFill="1" applyAlignment="1">
      <alignment horizontal="right"/>
    </xf>
    <xf numFmtId="0" fontId="98" fillId="0" borderId="7" xfId="0" applyFont="1" applyBorder="1"/>
    <xf numFmtId="0" fontId="98" fillId="0" borderId="8" xfId="0" applyFont="1" applyBorder="1"/>
    <xf numFmtId="0" fontId="98" fillId="0" borderId="0" xfId="0" applyFont="1" applyAlignment="1">
      <alignment horizontal="right"/>
    </xf>
    <xf numFmtId="0" fontId="82" fillId="0" borderId="1" xfId="0" applyFont="1" applyBorder="1"/>
    <xf numFmtId="166" fontId="104" fillId="0" borderId="7" xfId="2" applyNumberFormat="1" applyFont="1" applyBorder="1"/>
    <xf numFmtId="166" fontId="104" fillId="0" borderId="8" xfId="2" applyNumberFormat="1" applyFont="1" applyBorder="1"/>
    <xf numFmtId="166" fontId="94" fillId="0" borderId="8" xfId="2" applyNumberFormat="1" applyFont="1" applyBorder="1"/>
    <xf numFmtId="168" fontId="82" fillId="0" borderId="1" xfId="0" applyNumberFormat="1" applyFont="1" applyBorder="1"/>
    <xf numFmtId="168" fontId="82" fillId="0" borderId="0" xfId="0" applyNumberFormat="1" applyFont="1"/>
    <xf numFmtId="168" fontId="82" fillId="14" borderId="0" xfId="0" applyNumberFormat="1" applyFont="1" applyFill="1"/>
    <xf numFmtId="0" fontId="206" fillId="0" borderId="0" xfId="0" applyFont="1" applyFill="1" applyBorder="1" applyAlignment="1">
      <alignment horizontal="right"/>
    </xf>
    <xf numFmtId="0" fontId="98" fillId="0" borderId="0" xfId="0" applyFont="1" applyFill="1" applyBorder="1" applyAlignment="1">
      <alignment horizontal="right"/>
    </xf>
    <xf numFmtId="171" fontId="24" fillId="0" borderId="1" xfId="1" applyNumberFormat="1" applyFont="1" applyBorder="1"/>
    <xf numFmtId="9" fontId="24" fillId="0" borderId="1" xfId="2" applyNumberFormat="1" applyFont="1" applyBorder="1"/>
    <xf numFmtId="9" fontId="24" fillId="0" borderId="0" xfId="2" applyNumberFormat="1" applyFont="1"/>
    <xf numFmtId="168" fontId="24" fillId="0" borderId="1" xfId="1" applyNumberFormat="1" applyFont="1" applyBorder="1"/>
    <xf numFmtId="0" fontId="82" fillId="0" borderId="7" xfId="0" applyFont="1" applyBorder="1"/>
    <xf numFmtId="0" fontId="82" fillId="0" borderId="8" xfId="0" applyFont="1" applyBorder="1"/>
    <xf numFmtId="9" fontId="187" fillId="0" borderId="7" xfId="2" applyFont="1" applyBorder="1"/>
    <xf numFmtId="166" fontId="187" fillId="0" borderId="1" xfId="2" applyNumberFormat="1" applyFont="1" applyBorder="1"/>
    <xf numFmtId="166" fontId="187" fillId="0" borderId="7" xfId="2" applyNumberFormat="1" applyFont="1" applyBorder="1"/>
    <xf numFmtId="168" fontId="187" fillId="0" borderId="1" xfId="1" applyNumberFormat="1" applyFont="1" applyBorder="1"/>
    <xf numFmtId="168" fontId="187" fillId="0" borderId="0" xfId="1" applyNumberFormat="1" applyFont="1"/>
    <xf numFmtId="168" fontId="187" fillId="0" borderId="7" xfId="1" applyNumberFormat="1" applyFont="1" applyBorder="1"/>
    <xf numFmtId="168" fontId="187" fillId="0" borderId="8" xfId="1" applyNumberFormat="1" applyFont="1" applyBorder="1"/>
    <xf numFmtId="1" fontId="24" fillId="0" borderId="0" xfId="0" applyNumberFormat="1" applyFont="1"/>
    <xf numFmtId="1" fontId="24" fillId="0" borderId="8" xfId="0" applyNumberFormat="1" applyFont="1" applyBorder="1"/>
    <xf numFmtId="168" fontId="24" fillId="0" borderId="8" xfId="0" applyNumberFormat="1" applyFont="1" applyBorder="1"/>
    <xf numFmtId="43" fontId="24" fillId="0" borderId="8" xfId="1" applyNumberFormat="1" applyFont="1" applyBorder="1"/>
    <xf numFmtId="0" fontId="24" fillId="15" borderId="0" xfId="0" applyFont="1" applyFill="1"/>
    <xf numFmtId="9" fontId="24" fillId="15" borderId="0" xfId="0" applyNumberFormat="1" applyFont="1" applyFill="1"/>
    <xf numFmtId="168" fontId="24" fillId="0" borderId="8" xfId="1" applyNumberFormat="1" applyFont="1" applyBorder="1"/>
    <xf numFmtId="168" fontId="82" fillId="0" borderId="0" xfId="0" applyNumberFormat="1" applyFont="1" applyBorder="1"/>
    <xf numFmtId="9" fontId="202" fillId="0" borderId="0" xfId="2" applyFont="1" applyBorder="1"/>
    <xf numFmtId="168" fontId="82" fillId="0" borderId="0" xfId="0" applyNumberFormat="1" applyFont="1" applyFill="1"/>
    <xf numFmtId="0" fontId="23" fillId="0" borderId="0" xfId="0" applyFont="1"/>
    <xf numFmtId="0" fontId="98" fillId="0" borderId="1" xfId="0" applyFont="1" applyBorder="1"/>
    <xf numFmtId="166" fontId="24" fillId="0" borderId="1" xfId="2" applyNumberFormat="1" applyFont="1" applyBorder="1"/>
    <xf numFmtId="166" fontId="24" fillId="0" borderId="7" xfId="2" applyNumberFormat="1" applyFont="1" applyBorder="1"/>
    <xf numFmtId="0" fontId="207" fillId="0" borderId="8" xfId="0" applyFont="1" applyBorder="1"/>
    <xf numFmtId="0" fontId="207" fillId="0" borderId="7" xfId="0" applyFont="1" applyFill="1" applyBorder="1" applyAlignment="1">
      <alignment horizontal="center"/>
    </xf>
    <xf numFmtId="0" fontId="207" fillId="0" borderId="8" xfId="0" applyFont="1" applyBorder="1" applyAlignment="1">
      <alignment horizontal="center"/>
    </xf>
    <xf numFmtId="0" fontId="207" fillId="0" borderId="0" xfId="0" applyFont="1" applyAlignment="1">
      <alignment horizontal="right"/>
    </xf>
    <xf numFmtId="0" fontId="207" fillId="0" borderId="1" xfId="0" applyFont="1" applyBorder="1"/>
    <xf numFmtId="0" fontId="207" fillId="0" borderId="0" xfId="0" applyFont="1"/>
    <xf numFmtId="0" fontId="207" fillId="0" borderId="8" xfId="0" applyFont="1" applyBorder="1" applyAlignment="1">
      <alignment horizontal="right"/>
    </xf>
    <xf numFmtId="0" fontId="207" fillId="0" borderId="7" xfId="0" applyFont="1" applyBorder="1"/>
    <xf numFmtId="9" fontId="207" fillId="0" borderId="0" xfId="0" applyNumberFormat="1" applyFont="1"/>
    <xf numFmtId="9" fontId="207" fillId="0" borderId="8" xfId="0" applyNumberFormat="1" applyFont="1" applyBorder="1"/>
    <xf numFmtId="166" fontId="207" fillId="0" borderId="0" xfId="0" applyNumberFormat="1" applyFont="1"/>
    <xf numFmtId="166" fontId="208" fillId="0" borderId="0" xfId="2" applyNumberFormat="1" applyFont="1"/>
    <xf numFmtId="171" fontId="24" fillId="0" borderId="1" xfId="0" applyNumberFormat="1" applyFont="1" applyBorder="1"/>
    <xf numFmtId="172" fontId="24" fillId="0" borderId="8" xfId="0" applyNumberFormat="1" applyFont="1" applyBorder="1"/>
    <xf numFmtId="1" fontId="24" fillId="0" borderId="1" xfId="0" applyNumberFormat="1" applyFont="1" applyBorder="1"/>
    <xf numFmtId="1" fontId="24" fillId="0" borderId="7" xfId="0" applyNumberFormat="1" applyFont="1" applyBorder="1"/>
    <xf numFmtId="171" fontId="82" fillId="0" borderId="1" xfId="1" applyNumberFormat="1" applyFont="1" applyFill="1" applyBorder="1"/>
    <xf numFmtId="9" fontId="208" fillId="0" borderId="0" xfId="0" applyNumberFormat="1" applyFont="1"/>
    <xf numFmtId="168" fontId="26" fillId="0" borderId="0" xfId="0" applyNumberFormat="1" applyFont="1"/>
    <xf numFmtId="43" fontId="24" fillId="0" borderId="9" xfId="1" applyNumberFormat="1" applyFont="1" applyBorder="1"/>
    <xf numFmtId="166" fontId="202" fillId="0" borderId="0" xfId="2" applyNumberFormat="1" applyFont="1" applyBorder="1"/>
    <xf numFmtId="9" fontId="209" fillId="0" borderId="0" xfId="2" applyFont="1" applyBorder="1" applyAlignment="1">
      <alignment horizontal="right" vertical="center"/>
    </xf>
    <xf numFmtId="0" fontId="201" fillId="0" borderId="0" xfId="2" applyNumberFormat="1" applyFont="1"/>
    <xf numFmtId="171" fontId="24" fillId="14" borderId="0" xfId="1" applyNumberFormat="1" applyFont="1" applyFill="1"/>
    <xf numFmtId="9" fontId="202" fillId="0" borderId="1" xfId="2" applyFont="1" applyBorder="1"/>
    <xf numFmtId="0" fontId="83" fillId="0" borderId="0" xfId="0" applyFont="1" applyFill="1"/>
    <xf numFmtId="171" fontId="83" fillId="0" borderId="0" xfId="1" applyNumberFormat="1" applyFont="1" applyFill="1"/>
    <xf numFmtId="170" fontId="116" fillId="19" borderId="23" xfId="2" applyNumberFormat="1" applyFont="1" applyFill="1" applyBorder="1" applyAlignment="1">
      <alignment horizontal="right" vertical="center" wrapText="1"/>
    </xf>
    <xf numFmtId="2" fontId="0" fillId="15" borderId="0" xfId="0" applyNumberFormat="1" applyFill="1" applyAlignment="1">
      <alignment horizontal="left" indent="1"/>
    </xf>
    <xf numFmtId="0" fontId="171" fillId="24" borderId="38" xfId="0" applyFont="1" applyFill="1" applyBorder="1" applyAlignment="1">
      <alignment horizontal="left" vertical="center" wrapText="1" readingOrder="1"/>
    </xf>
    <xf numFmtId="0" fontId="171" fillId="24" borderId="39" xfId="0" applyFont="1" applyFill="1" applyBorder="1" applyAlignment="1">
      <alignment horizontal="left" vertical="center" wrapText="1" readingOrder="1"/>
    </xf>
    <xf numFmtId="0" fontId="171" fillId="24" borderId="37" xfId="0" applyFont="1" applyFill="1" applyBorder="1" applyAlignment="1">
      <alignment horizontal="left" vertical="center" wrapText="1" readingOrder="1"/>
    </xf>
    <xf numFmtId="0" fontId="171" fillId="23" borderId="36" xfId="0" applyFont="1" applyFill="1" applyBorder="1" applyAlignment="1">
      <alignment horizontal="left" vertical="center" wrapText="1" readingOrder="1"/>
    </xf>
    <xf numFmtId="0" fontId="171" fillId="23" borderId="37" xfId="0" applyFont="1" applyFill="1" applyBorder="1" applyAlignment="1">
      <alignment horizontal="left" vertical="center" wrapText="1" readingOrder="1"/>
    </xf>
    <xf numFmtId="0" fontId="171" fillId="23" borderId="38" xfId="0" applyFont="1" applyFill="1" applyBorder="1" applyAlignment="1">
      <alignment horizontal="left" vertical="center" wrapText="1" readingOrder="1"/>
    </xf>
    <xf numFmtId="0" fontId="171" fillId="23" borderId="39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55" fillId="0" borderId="3" xfId="3" applyFont="1" applyBorder="1" applyAlignment="1">
      <alignment horizontal="center" wrapText="1"/>
    </xf>
    <xf numFmtId="0" fontId="55" fillId="0" borderId="5" xfId="3" applyFont="1" applyBorder="1" applyAlignment="1">
      <alignment horizontal="center" wrapText="1"/>
    </xf>
    <xf numFmtId="0" fontId="55" fillId="0" borderId="12" xfId="3" applyFont="1" applyBorder="1" applyAlignment="1">
      <alignment horizontal="left" vertical="top" wrapText="1" indent="2"/>
    </xf>
    <xf numFmtId="0" fontId="55" fillId="0" borderId="13" xfId="3" applyFont="1" applyBorder="1" applyAlignment="1">
      <alignment horizontal="left" vertical="top" wrapText="1" indent="2"/>
    </xf>
    <xf numFmtId="0" fontId="55" fillId="0" borderId="14" xfId="3" applyFont="1" applyBorder="1" applyAlignment="1">
      <alignment horizontal="left" vertical="top" wrapText="1" indent="2"/>
    </xf>
    <xf numFmtId="0" fontId="55" fillId="0" borderId="8" xfId="3" applyFont="1" applyFill="1" applyBorder="1" applyAlignment="1">
      <alignment horizontal="center"/>
    </xf>
    <xf numFmtId="0" fontId="55" fillId="0" borderId="9" xfId="3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55" fillId="0" borderId="12" xfId="3" applyFont="1" applyBorder="1" applyAlignment="1">
      <alignment horizontal="center" vertical="top" wrapText="1"/>
    </xf>
    <xf numFmtId="0" fontId="55" fillId="0" borderId="13" xfId="3" applyFont="1" applyBorder="1" applyAlignment="1">
      <alignment horizontal="center" vertical="top" wrapText="1"/>
    </xf>
    <xf numFmtId="0" fontId="55" fillId="0" borderId="14" xfId="3" applyFont="1" applyBorder="1" applyAlignment="1">
      <alignment horizontal="center" vertical="top" wrapText="1"/>
    </xf>
    <xf numFmtId="0" fontId="74" fillId="0" borderId="12" xfId="0" applyFont="1" applyBorder="1" applyAlignment="1">
      <alignment horizontal="center"/>
    </xf>
    <xf numFmtId="0" fontId="74" fillId="0" borderId="13" xfId="0" applyFont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16" fillId="0" borderId="7" xfId="3" applyFont="1" applyBorder="1" applyAlignment="1">
      <alignment horizontal="center" wrapText="1"/>
    </xf>
    <xf numFmtId="0" fontId="16" fillId="0" borderId="9" xfId="3" applyFont="1" applyBorder="1" applyAlignment="1">
      <alignment horizontal="center" wrapText="1"/>
    </xf>
    <xf numFmtId="0" fontId="6" fillId="0" borderId="7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16" fillId="0" borderId="3" xfId="3" applyFont="1" applyBorder="1" applyAlignment="1">
      <alignment horizontal="center" wrapText="1"/>
    </xf>
    <xf numFmtId="0" fontId="16" fillId="0" borderId="5" xfId="3" applyFont="1" applyBorder="1" applyAlignment="1">
      <alignment horizontal="center" wrapText="1"/>
    </xf>
    <xf numFmtId="0" fontId="16" fillId="0" borderId="12" xfId="3" applyFont="1" applyBorder="1" applyAlignment="1">
      <alignment horizontal="center" vertical="top" wrapText="1"/>
    </xf>
    <xf numFmtId="0" fontId="16" fillId="0" borderId="13" xfId="3" applyFont="1" applyBorder="1" applyAlignment="1">
      <alignment horizontal="center" vertical="top" wrapText="1"/>
    </xf>
    <xf numFmtId="0" fontId="16" fillId="0" borderId="14" xfId="3" applyFont="1" applyBorder="1" applyAlignment="1">
      <alignment horizontal="center" vertical="top" wrapText="1"/>
    </xf>
    <xf numFmtId="0" fontId="17" fillId="0" borderId="3" xfId="3" applyFont="1" applyBorder="1" applyAlignment="1">
      <alignment horizontal="center" wrapText="1"/>
    </xf>
    <xf numFmtId="0" fontId="17" fillId="0" borderId="5" xfId="3" applyFont="1" applyBorder="1" applyAlignment="1">
      <alignment horizontal="center" wrapText="1"/>
    </xf>
    <xf numFmtId="0" fontId="6" fillId="0" borderId="1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24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</xf>
    <xf numFmtId="0" fontId="94" fillId="0" borderId="12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4" fillId="0" borderId="14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119" fillId="0" borderId="0" xfId="0" applyFont="1" applyAlignment="1">
      <alignment horizontal="left" vertical="top" wrapText="1"/>
    </xf>
    <xf numFmtId="0" fontId="149" fillId="0" borderId="0" xfId="0" applyFont="1"/>
    <xf numFmtId="171" fontId="14" fillId="0" borderId="0" xfId="0" applyNumberFormat="1" applyFont="1"/>
    <xf numFmtId="171" fontId="85" fillId="0" borderId="0" xfId="1" applyNumberFormat="1" applyFont="1" applyFill="1"/>
  </cellXfs>
  <cellStyles count="9">
    <cellStyle name="Comma" xfId="1" builtinId="3"/>
    <cellStyle name="Comma 2" xfId="4"/>
    <cellStyle name="Normal" xfId="0" builtinId="0"/>
    <cellStyle name="Normal 2" xfId="3"/>
    <cellStyle name="Normal 5" xfId="8"/>
    <cellStyle name="Normal_Sheet1_1" xfId="6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colors>
    <mruColors>
      <color rgb="FF0000FF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660651</xdr:colOff>
      <xdr:row>286</xdr:row>
      <xdr:rowOff>115214</xdr:rowOff>
    </xdr:from>
    <xdr:to>
      <xdr:col>22</xdr:col>
      <xdr:colOff>441241</xdr:colOff>
      <xdr:row>288</xdr:row>
      <xdr:rowOff>100567</xdr:rowOff>
    </xdr:to>
    <xdr:cxnSp macro="">
      <xdr:nvCxnSpPr>
        <xdr:cNvPr id="7" name="Elbow Connector 6"/>
        <xdr:cNvCxnSpPr>
          <a:stCxn id="14" idx="2"/>
          <a:endCxn id="15" idx="0"/>
        </xdr:cNvCxnSpPr>
      </xdr:nvCxnSpPr>
      <xdr:spPr>
        <a:xfrm rot="5400000">
          <a:off x="14333801" y="52021689"/>
          <a:ext cx="342540" cy="185227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70683</xdr:colOff>
      <xdr:row>286</xdr:row>
      <xdr:rowOff>115215</xdr:rowOff>
    </xdr:from>
    <xdr:to>
      <xdr:col>22</xdr:col>
      <xdr:colOff>441241</xdr:colOff>
      <xdr:row>288</xdr:row>
      <xdr:rowOff>107328</xdr:rowOff>
    </xdr:to>
    <xdr:cxnSp macro="">
      <xdr:nvCxnSpPr>
        <xdr:cNvPr id="8" name="Elbow Connector 7"/>
        <xdr:cNvCxnSpPr>
          <a:stCxn id="14" idx="2"/>
          <a:endCxn id="18" idx="0"/>
        </xdr:cNvCxnSpPr>
      </xdr:nvCxnSpPr>
      <xdr:spPr>
        <a:xfrm rot="5400000">
          <a:off x="14726000" y="52420648"/>
          <a:ext cx="349300" cy="106112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70683</xdr:colOff>
      <xdr:row>290</xdr:row>
      <xdr:rowOff>70143</xdr:rowOff>
    </xdr:from>
    <xdr:to>
      <xdr:col>21</xdr:col>
      <xdr:colOff>70832</xdr:colOff>
      <xdr:row>291</xdr:row>
      <xdr:rowOff>100493</xdr:rowOff>
    </xdr:to>
    <xdr:cxnSp macro="">
      <xdr:nvCxnSpPr>
        <xdr:cNvPr id="9" name="Straight Arrow Connector 8"/>
        <xdr:cNvCxnSpPr>
          <a:stCxn id="18" idx="2"/>
          <a:endCxn id="16" idx="0"/>
        </xdr:cNvCxnSpPr>
      </xdr:nvCxnSpPr>
      <xdr:spPr>
        <a:xfrm>
          <a:off x="14370089" y="53445862"/>
          <a:ext cx="149" cy="220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441241</xdr:colOff>
      <xdr:row>286</xdr:row>
      <xdr:rowOff>115214</xdr:rowOff>
    </xdr:from>
    <xdr:to>
      <xdr:col>24</xdr:col>
      <xdr:colOff>36522</xdr:colOff>
      <xdr:row>288</xdr:row>
      <xdr:rowOff>113347</xdr:rowOff>
    </xdr:to>
    <xdr:cxnSp macro="">
      <xdr:nvCxnSpPr>
        <xdr:cNvPr id="10" name="Elbow Connector 9"/>
        <xdr:cNvCxnSpPr>
          <a:stCxn id="14" idx="2"/>
          <a:endCxn id="17" idx="0"/>
        </xdr:cNvCxnSpPr>
      </xdr:nvCxnSpPr>
      <xdr:spPr>
        <a:xfrm rot="16200000" flipH="1">
          <a:off x="15741753" y="52466015"/>
          <a:ext cx="355320" cy="9764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36522</xdr:colOff>
      <xdr:row>290</xdr:row>
      <xdr:rowOff>76162</xdr:rowOff>
    </xdr:from>
    <xdr:to>
      <xdr:col>24</xdr:col>
      <xdr:colOff>457823</xdr:colOff>
      <xdr:row>291</xdr:row>
      <xdr:rowOff>110633</xdr:rowOff>
    </xdr:to>
    <xdr:cxnSp macro="">
      <xdr:nvCxnSpPr>
        <xdr:cNvPr id="11" name="Elbow Connector 10"/>
        <xdr:cNvCxnSpPr>
          <a:stCxn id="17" idx="2"/>
          <a:endCxn id="20" idx="0"/>
        </xdr:cNvCxnSpPr>
      </xdr:nvCxnSpPr>
      <xdr:spPr>
        <a:xfrm rot="16200000" flipH="1">
          <a:off x="16505781" y="53353716"/>
          <a:ext cx="224971" cy="4213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319514</xdr:colOff>
      <xdr:row>290</xdr:row>
      <xdr:rowOff>76162</xdr:rowOff>
    </xdr:from>
    <xdr:to>
      <xdr:col>24</xdr:col>
      <xdr:colOff>36523</xdr:colOff>
      <xdr:row>291</xdr:row>
      <xdr:rowOff>110633</xdr:rowOff>
    </xdr:to>
    <xdr:cxnSp macro="">
      <xdr:nvCxnSpPr>
        <xdr:cNvPr id="12" name="Elbow Connector 11"/>
        <xdr:cNvCxnSpPr>
          <a:stCxn id="17" idx="2"/>
          <a:endCxn id="19" idx="0"/>
        </xdr:cNvCxnSpPr>
      </xdr:nvCxnSpPr>
      <xdr:spPr>
        <a:xfrm rot="5400000">
          <a:off x="16091345" y="53360581"/>
          <a:ext cx="224971" cy="4075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385763</xdr:colOff>
      <xdr:row>284</xdr:row>
      <xdr:rowOff>152398</xdr:rowOff>
    </xdr:from>
    <xdr:to>
      <xdr:col>25</xdr:col>
      <xdr:colOff>116191</xdr:colOff>
      <xdr:row>296</xdr:row>
      <xdr:rowOff>39423</xdr:rowOff>
    </xdr:to>
    <xdr:grpSp>
      <xdr:nvGrpSpPr>
        <xdr:cNvPr id="13" name="Group 12"/>
        <xdr:cNvGrpSpPr/>
      </xdr:nvGrpSpPr>
      <xdr:grpSpPr>
        <a:xfrm>
          <a:off x="11565732" y="57314304"/>
          <a:ext cx="3302303" cy="2173025"/>
          <a:chOff x="3838575" y="26155650"/>
          <a:chExt cx="3961910" cy="1951569"/>
        </a:xfrm>
      </xdr:grpSpPr>
      <xdr:sp macro="" textlink="">
        <xdr:nvSpPr>
          <xdr:cNvPr id="14" name="Rectangle 13"/>
          <xdr:cNvSpPr/>
        </xdr:nvSpPr>
        <xdr:spPr>
          <a:xfrm>
            <a:off x="5639059" y="26155650"/>
            <a:ext cx="750126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SUM1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3838575" y="26777950"/>
            <a:ext cx="562280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16" name="Rectangle 15"/>
          <xdr:cNvSpPr/>
        </xdr:nvSpPr>
        <xdr:spPr>
          <a:xfrm>
            <a:off x="4572153" y="27292302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17" name="Rectangle 16"/>
          <xdr:cNvSpPr/>
        </xdr:nvSpPr>
        <xdr:spPr>
          <a:xfrm>
            <a:off x="6670970" y="26789954"/>
            <a:ext cx="683530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UM2</a:t>
            </a:r>
          </a:p>
        </xdr:txBody>
      </xdr:sp>
      <xdr:sp macro="" textlink="">
        <xdr:nvSpPr>
          <xdr:cNvPr id="18" name="Rectangle 17"/>
          <xdr:cNvSpPr/>
        </xdr:nvSpPr>
        <xdr:spPr>
          <a:xfrm>
            <a:off x="4572000" y="26784300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6239028" y="27301827"/>
            <a:ext cx="713732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20" name="Rectangle 19"/>
          <xdr:cNvSpPr/>
        </xdr:nvSpPr>
        <xdr:spPr>
          <a:xfrm>
            <a:off x="7086753" y="27301827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UM3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5419878" y="27806652"/>
            <a:ext cx="713732" cy="300567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AG</a:t>
            </a:r>
          </a:p>
        </xdr:txBody>
      </xdr:sp>
      <xdr:sp macro="" textlink="">
        <xdr:nvSpPr>
          <xdr:cNvPr id="22" name="Rectangle 21"/>
          <xdr:cNvSpPr/>
        </xdr:nvSpPr>
        <xdr:spPr>
          <a:xfrm>
            <a:off x="5419725" y="27298650"/>
            <a:ext cx="713732" cy="3005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</a:t>
            </a:r>
          </a:p>
        </xdr:txBody>
      </xdr:sp>
    </xdr:grpSp>
    <xdr:clientData/>
  </xdr:twoCellAnchor>
  <xdr:twoCellAnchor>
    <xdr:from>
      <xdr:col>22</xdr:col>
      <xdr:colOff>208994</xdr:colOff>
      <xdr:row>290</xdr:row>
      <xdr:rowOff>76162</xdr:rowOff>
    </xdr:from>
    <xdr:to>
      <xdr:col>24</xdr:col>
      <xdr:colOff>36523</xdr:colOff>
      <xdr:row>291</xdr:row>
      <xdr:rowOff>107251</xdr:rowOff>
    </xdr:to>
    <xdr:cxnSp macro="">
      <xdr:nvCxnSpPr>
        <xdr:cNvPr id="23" name="Elbow Connector 22"/>
        <xdr:cNvCxnSpPr>
          <a:stCxn id="17" idx="2"/>
          <a:endCxn id="22" idx="0"/>
        </xdr:cNvCxnSpPr>
      </xdr:nvCxnSpPr>
      <xdr:spPr>
        <a:xfrm rot="5400000">
          <a:off x="15692495" y="52958349"/>
          <a:ext cx="221589" cy="120865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51962</xdr:colOff>
      <xdr:row>291</xdr:row>
      <xdr:rowOff>33215</xdr:rowOff>
    </xdr:from>
    <xdr:to>
      <xdr:col>21</xdr:col>
      <xdr:colOff>52116</xdr:colOff>
      <xdr:row>292</xdr:row>
      <xdr:rowOff>68393</xdr:rowOff>
    </xdr:to>
    <xdr:cxnSp macro="">
      <xdr:nvCxnSpPr>
        <xdr:cNvPr id="24" name="Straight Arrow Connector 23"/>
        <xdr:cNvCxnSpPr/>
      </xdr:nvCxnSpPr>
      <xdr:spPr>
        <a:xfrm rot="16200000" flipH="1">
          <a:off x="6230462" y="25220540"/>
          <a:ext cx="197103" cy="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165653</xdr:colOff>
      <xdr:row>54</xdr:row>
      <xdr:rowOff>1</xdr:rowOff>
    </xdr:from>
    <xdr:to>
      <xdr:col>3</xdr:col>
      <xdr:colOff>682073</xdr:colOff>
      <xdr:row>60</xdr:row>
      <xdr:rowOff>82826</xdr:rowOff>
    </xdr:to>
    <xdr:grpSp>
      <xdr:nvGrpSpPr>
        <xdr:cNvPr id="46" name="Group 45"/>
        <xdr:cNvGrpSpPr/>
      </xdr:nvGrpSpPr>
      <xdr:grpSpPr>
        <a:xfrm>
          <a:off x="2314070" y="7577668"/>
          <a:ext cx="516420" cy="1162325"/>
          <a:chOff x="8334151" y="27266747"/>
          <a:chExt cx="1080000" cy="1753378"/>
        </a:xfrm>
      </xdr:grpSpPr>
      <xdr:sp macro="" textlink="">
        <xdr:nvSpPr>
          <xdr:cNvPr id="47" name="Rectangle 46"/>
          <xdr:cNvSpPr/>
        </xdr:nvSpPr>
        <xdr:spPr>
          <a:xfrm>
            <a:off x="8334151" y="27266747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48" name="Rectangle 47"/>
          <xdr:cNvSpPr/>
        </xdr:nvSpPr>
        <xdr:spPr>
          <a:xfrm>
            <a:off x="8455449" y="28028105"/>
            <a:ext cx="829938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US 1</a:t>
            </a:r>
          </a:p>
        </xdr:txBody>
      </xdr:sp>
      <xdr:cxnSp macro="">
        <xdr:nvCxnSpPr>
          <xdr:cNvPr id="49" name="Elbow Connector 48"/>
          <xdr:cNvCxnSpPr>
            <a:stCxn id="47" idx="2"/>
            <a:endCxn id="48" idx="0"/>
          </xdr:cNvCxnSpPr>
        </xdr:nvCxnSpPr>
        <xdr:spPr>
          <a:xfrm rot="5400000">
            <a:off x="8645175" y="27799129"/>
            <a:ext cx="454220" cy="373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Rectangle 49"/>
          <xdr:cNvSpPr/>
        </xdr:nvSpPr>
        <xdr:spPr>
          <a:xfrm>
            <a:off x="8460957" y="28712987"/>
            <a:ext cx="829938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000" b="1">
                <a:solidFill>
                  <a:srgbClr val="002060"/>
                </a:solidFill>
              </a:rPr>
              <a:t>AG 2</a:t>
            </a:r>
          </a:p>
        </xdr:txBody>
      </xdr:sp>
      <xdr:cxnSp macro="">
        <xdr:nvCxnSpPr>
          <xdr:cNvPr id="51" name="Elbow Connector 50"/>
          <xdr:cNvCxnSpPr>
            <a:stCxn id="48" idx="2"/>
            <a:endCxn id="50" idx="0"/>
          </xdr:cNvCxnSpPr>
        </xdr:nvCxnSpPr>
        <xdr:spPr>
          <a:xfrm rot="16200000" flipH="1">
            <a:off x="8684300" y="28521360"/>
            <a:ext cx="377745" cy="550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2071</xdr:colOff>
      <xdr:row>53</xdr:row>
      <xdr:rowOff>165653</xdr:rowOff>
    </xdr:from>
    <xdr:to>
      <xdr:col>5</xdr:col>
      <xdr:colOff>231913</xdr:colOff>
      <xdr:row>60</xdr:row>
      <xdr:rowOff>124238</xdr:rowOff>
    </xdr:to>
    <xdr:grpSp>
      <xdr:nvGrpSpPr>
        <xdr:cNvPr id="52" name="Group 51"/>
        <xdr:cNvGrpSpPr/>
      </xdr:nvGrpSpPr>
      <xdr:grpSpPr>
        <a:xfrm>
          <a:off x="5346654" y="7563403"/>
          <a:ext cx="579092" cy="1218002"/>
          <a:chOff x="10845997" y="27263075"/>
          <a:chExt cx="1597584" cy="1753378"/>
        </a:xfrm>
      </xdr:grpSpPr>
      <xdr:sp macro="" textlink="">
        <xdr:nvSpPr>
          <xdr:cNvPr id="53" name="Rectangle 52"/>
          <xdr:cNvSpPr/>
        </xdr:nvSpPr>
        <xdr:spPr>
          <a:xfrm>
            <a:off x="10845997" y="27263075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54" name="Rectangle 53"/>
          <xdr:cNvSpPr/>
        </xdr:nvSpPr>
        <xdr:spPr>
          <a:xfrm>
            <a:off x="11747680" y="28024433"/>
            <a:ext cx="695901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1</a:t>
            </a:r>
          </a:p>
        </xdr:txBody>
      </xdr:sp>
      <xdr:cxnSp macro="">
        <xdr:nvCxnSpPr>
          <xdr:cNvPr id="55" name="Elbow Connector 54"/>
          <xdr:cNvCxnSpPr>
            <a:stCxn id="53" idx="2"/>
            <a:endCxn id="54" idx="0"/>
          </xdr:cNvCxnSpPr>
        </xdr:nvCxnSpPr>
        <xdr:spPr>
          <a:xfrm rot="16200000" flipH="1">
            <a:off x="11513704" y="27442506"/>
            <a:ext cx="454220" cy="70963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Rectangle 55"/>
          <xdr:cNvSpPr/>
        </xdr:nvSpPr>
        <xdr:spPr>
          <a:xfrm>
            <a:off x="11037070" y="28709315"/>
            <a:ext cx="695901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2</a:t>
            </a:r>
          </a:p>
        </xdr:txBody>
      </xdr:sp>
      <xdr:cxnSp macro="">
        <xdr:nvCxnSpPr>
          <xdr:cNvPr id="57" name="Shape 45"/>
          <xdr:cNvCxnSpPr>
            <a:stCxn id="56" idx="0"/>
            <a:endCxn id="53" idx="2"/>
          </xdr:cNvCxnSpPr>
        </xdr:nvCxnSpPr>
        <xdr:spPr>
          <a:xfrm rot="5400000" flipH="1" flipV="1">
            <a:off x="10815958" y="28139276"/>
            <a:ext cx="1139102" cy="97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54</xdr:row>
      <xdr:rowOff>1</xdr:rowOff>
    </xdr:from>
    <xdr:to>
      <xdr:col>6</xdr:col>
      <xdr:colOff>682487</xdr:colOff>
      <xdr:row>60</xdr:row>
      <xdr:rowOff>157370</xdr:rowOff>
    </xdr:to>
    <xdr:grpSp>
      <xdr:nvGrpSpPr>
        <xdr:cNvPr id="58" name="Group 57"/>
        <xdr:cNvGrpSpPr/>
      </xdr:nvGrpSpPr>
      <xdr:grpSpPr>
        <a:xfrm>
          <a:off x="6392333" y="7577668"/>
          <a:ext cx="682487" cy="1236869"/>
          <a:chOff x="10845997" y="27263075"/>
          <a:chExt cx="1637983" cy="1753378"/>
        </a:xfrm>
      </xdr:grpSpPr>
      <xdr:sp macro="" textlink="">
        <xdr:nvSpPr>
          <xdr:cNvPr id="59" name="Rectangle 58"/>
          <xdr:cNvSpPr/>
        </xdr:nvSpPr>
        <xdr:spPr>
          <a:xfrm>
            <a:off x="10845997" y="27263075"/>
            <a:ext cx="1080000" cy="307138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UM/SM/BM</a:t>
            </a:r>
          </a:p>
        </xdr:txBody>
      </xdr:sp>
      <xdr:sp macro="" textlink="">
        <xdr:nvSpPr>
          <xdr:cNvPr id="60" name="Rectangle 59"/>
          <xdr:cNvSpPr/>
        </xdr:nvSpPr>
        <xdr:spPr>
          <a:xfrm>
            <a:off x="11747680" y="28024433"/>
            <a:ext cx="736300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UM 1</a:t>
            </a:r>
          </a:p>
        </xdr:txBody>
      </xdr:sp>
      <xdr:cxnSp macro="">
        <xdr:nvCxnSpPr>
          <xdr:cNvPr id="61" name="Elbow Connector 60"/>
          <xdr:cNvCxnSpPr>
            <a:stCxn id="59" idx="2"/>
            <a:endCxn id="60" idx="0"/>
          </xdr:cNvCxnSpPr>
        </xdr:nvCxnSpPr>
        <xdr:spPr>
          <a:xfrm rot="16200000" flipH="1">
            <a:off x="11523803" y="27432406"/>
            <a:ext cx="454220" cy="72983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11248233" y="28709315"/>
            <a:ext cx="736300" cy="307138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200" b="1">
                <a:solidFill>
                  <a:srgbClr val="002060"/>
                </a:solidFill>
              </a:rPr>
              <a:t>US 2</a:t>
            </a:r>
          </a:p>
        </xdr:txBody>
      </xdr:sp>
      <xdr:cxnSp macro="">
        <xdr:nvCxnSpPr>
          <xdr:cNvPr id="63" name="Shape 45"/>
          <xdr:cNvCxnSpPr>
            <a:stCxn id="62" idx="0"/>
            <a:endCxn id="60" idx="2"/>
          </xdr:cNvCxnSpPr>
        </xdr:nvCxnSpPr>
        <xdr:spPr>
          <a:xfrm rot="5400000" flipH="1" flipV="1">
            <a:off x="11677234" y="28270720"/>
            <a:ext cx="377745" cy="499447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1.3.%20GVL%20Agency%20Sales%20Plan_2017%202022_working%20file%20(22%20Jul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1.2.%20GVL%20Agency%20Compensation%202017%20Planning_GA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fin0113/AppData/Local/Microsoft/Windows/Temporary%20Internet%20Files/Content.Outlook/SNG5D7WW/G-Link/Quarter/PRODUCTION_BONUS_2015Q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Compensation%20scheme%202017/GVL%20Agency%20Sales%20Plan_2017%202022_working%20file%20(22%20July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EN%20CHAU/02_AGENCY/03_COMPENSATION/2017%20Projection/Projection%20File/Projection%20Agency%20Compensation%20H2'2016_v2_20161101_RSP%20&amp;%20MD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Compensation%20scheme%202017/Latest%20version/1%203%20%20GVL%20Agency%20Sales%20Plan_2017%202022_working%20file%20(22%20Ju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>
        <row r="8">
          <cell r="E8">
            <v>994</v>
          </cell>
          <cell r="F8">
            <v>1902.2251123898</v>
          </cell>
          <cell r="G8">
            <v>2508.4328014594726</v>
          </cell>
          <cell r="H8">
            <v>2964.6959881171629</v>
          </cell>
          <cell r="I8">
            <v>3592.8349340910254</v>
          </cell>
          <cell r="J8">
            <v>3905.0757369174785</v>
          </cell>
          <cell r="K8">
            <v>4497.143389184972</v>
          </cell>
          <cell r="L8">
            <v>5133.8735087424111</v>
          </cell>
        </row>
        <row r="9">
          <cell r="E9">
            <v>0.30862733471686926</v>
          </cell>
          <cell r="F9">
            <v>0.31722040253240313</v>
          </cell>
          <cell r="G9">
            <v>0.29497624576059656</v>
          </cell>
          <cell r="H9">
            <v>0.30384004518452984</v>
          </cell>
          <cell r="I9">
            <v>0.30148766316149822</v>
          </cell>
          <cell r="J9">
            <v>0.30036127927385681</v>
          </cell>
          <cell r="K9">
            <v>0.30131126640023598</v>
          </cell>
          <cell r="L9">
            <v>0.30150427477770436</v>
          </cell>
        </row>
        <row r="10">
          <cell r="E10">
            <v>1.6916426512968299</v>
          </cell>
          <cell r="F10">
            <v>1.99432892483585</v>
          </cell>
          <cell r="G10">
            <v>1.9760936497463046</v>
          </cell>
          <cell r="H10">
            <v>1.9631488654199447</v>
          </cell>
          <cell r="I10">
            <v>1.9840097674105779</v>
          </cell>
          <cell r="J10">
            <v>1.9709361185818006</v>
          </cell>
          <cell r="K10">
            <v>1.9739040756997071</v>
          </cell>
          <cell r="L10">
            <v>1.9751923780079468</v>
          </cell>
        </row>
        <row r="11">
          <cell r="E11">
            <v>807</v>
          </cell>
          <cell r="F11">
            <v>1061</v>
          </cell>
          <cell r="G11">
            <v>550</v>
          </cell>
          <cell r="H11">
            <v>600</v>
          </cell>
          <cell r="I11">
            <v>460</v>
          </cell>
          <cell r="J11">
            <v>240</v>
          </cell>
          <cell r="K11">
            <v>240</v>
          </cell>
          <cell r="L11">
            <v>240</v>
          </cell>
        </row>
        <row r="12">
          <cell r="E12">
            <v>7797</v>
          </cell>
          <cell r="F12">
            <v>11124.831529778599</v>
          </cell>
          <cell r="G12">
            <v>15382.93032320885</v>
          </cell>
          <cell r="H12">
            <v>19282.212929541856</v>
          </cell>
          <cell r="I12">
            <v>23469.337657971824</v>
          </cell>
          <cell r="J12">
            <v>26126.714010511419</v>
          </cell>
          <cell r="K12">
            <v>29697.111487265938</v>
          </cell>
          <cell r="L12">
            <v>33992.383219356852</v>
          </cell>
        </row>
        <row r="13">
          <cell r="E13">
            <v>4117</v>
          </cell>
          <cell r="F13">
            <v>10244.923698985</v>
          </cell>
          <cell r="G13">
            <v>14741.670769023571</v>
          </cell>
          <cell r="H13">
            <v>17485.917328914958</v>
          </cell>
          <cell r="I13">
            <v>21566.585749495702</v>
          </cell>
          <cell r="J13">
            <v>24339.48890427122</v>
          </cell>
          <cell r="K13">
            <v>27603.838470002378</v>
          </cell>
          <cell r="L13">
            <v>31669.217270708541</v>
          </cell>
        </row>
        <row r="16">
          <cell r="E16">
            <v>5648</v>
          </cell>
          <cell r="F16">
            <v>18091.673146246114</v>
          </cell>
          <cell r="G16">
            <v>29395.952996976965</v>
          </cell>
          <cell r="H16">
            <v>37486.632650057356</v>
          </cell>
          <cell r="I16">
            <v>47707.734746382368</v>
          </cell>
          <cell r="J16">
            <v>56924.891314878638</v>
          </cell>
          <cell r="K16">
            <v>65976.24960569384</v>
          </cell>
          <cell r="L16">
            <v>75887.789556690652</v>
          </cell>
        </row>
        <row r="17">
          <cell r="E17">
            <v>0.29070695112849682</v>
          </cell>
          <cell r="F17">
            <v>0.23578557538102102</v>
          </cell>
          <cell r="G17">
            <v>0.20909422924719515</v>
          </cell>
          <cell r="H17">
            <v>0.20902109817531037</v>
          </cell>
          <cell r="I17">
            <v>0.21909968143050945</v>
          </cell>
          <cell r="J17">
            <v>0.22026439715963406</v>
          </cell>
          <cell r="K17">
            <v>0.22652371401632046</v>
          </cell>
          <cell r="L17">
            <v>0.22793072535752404</v>
          </cell>
        </row>
        <row r="18">
          <cell r="E18">
            <v>1.6303116147308783</v>
          </cell>
          <cell r="F18">
            <v>1.5309299103746168</v>
          </cell>
          <cell r="G18">
            <v>1.4838163748627737</v>
          </cell>
          <cell r="H18">
            <v>1.555326142749482</v>
          </cell>
          <cell r="I18">
            <v>1.6247991659089773</v>
          </cell>
          <cell r="J18">
            <v>1.6582521884854549</v>
          </cell>
          <cell r="K18">
            <v>1.7155983365421703</v>
          </cell>
          <cell r="L18">
            <v>1.78003860080581</v>
          </cell>
        </row>
        <row r="19">
          <cell r="E19">
            <v>19.940748262380538</v>
          </cell>
          <cell r="F19">
            <v>17.022629359639133</v>
          </cell>
          <cell r="G19">
            <v>16.051940334403685</v>
          </cell>
          <cell r="H19">
            <v>16.601734372738939</v>
          </cell>
          <cell r="I19">
            <v>17.424411684862505</v>
          </cell>
          <cell r="J19">
            <v>18.574387948417524</v>
          </cell>
          <cell r="K19">
            <v>20.115166719366094</v>
          </cell>
          <cell r="L19">
            <v>21.897961607341092</v>
          </cell>
        </row>
        <row r="20">
          <cell r="E20">
            <v>32.509633498583568</v>
          </cell>
          <cell r="F20">
            <v>26.060452439892657</v>
          </cell>
          <cell r="G20">
            <v>23.81813191650842</v>
          </cell>
          <cell r="H20">
            <v>25.821111484903543</v>
          </cell>
          <cell r="I20">
            <v>28.311169572019239</v>
          </cell>
          <cell r="J20">
            <v>30.801019465241218</v>
          </cell>
          <cell r="K20">
            <v>34.509546563012897</v>
          </cell>
          <cell r="L20">
            <v>38.979216940030781</v>
          </cell>
        </row>
        <row r="21">
          <cell r="E21">
            <v>9.4507764366780762</v>
          </cell>
          <cell r="F21">
            <v>6.1446787732298231</v>
          </cell>
          <cell r="G21">
            <v>4.9802339351903466</v>
          </cell>
          <cell r="H21">
            <v>5.3971570786816576</v>
          </cell>
          <cell r="I21">
            <v>6.2029682341545476</v>
          </cell>
          <cell r="J21">
            <v>6.7843679844135112</v>
          </cell>
          <cell r="K21">
            <v>7.8172306564728284</v>
          </cell>
          <cell r="L21">
            <v>8.884561191009503</v>
          </cell>
        </row>
        <row r="22">
          <cell r="E22">
            <v>319929.83399999997</v>
          </cell>
          <cell r="F22">
            <v>471477.18758582999</v>
          </cell>
          <cell r="G22">
            <v>700156.68629347836</v>
          </cell>
          <cell r="H22">
            <v>967946.52085075621</v>
          </cell>
          <cell r="I22">
            <v>1350661.7683017454</v>
          </cell>
          <cell r="J22">
            <v>1753344.6854463178</v>
          </cell>
          <cell r="K22">
            <v>2276810.457820653</v>
          </cell>
          <cell r="L22">
            <v>2958046.6122296471</v>
          </cell>
        </row>
        <row r="23">
          <cell r="F23">
            <v>0.47368934522633488</v>
          </cell>
          <cell r="G23">
            <v>0.48502770596089229</v>
          </cell>
          <cell r="H23">
            <v>0.38247129506813105</v>
          </cell>
          <cell r="I23">
            <v>0.39538883523710555</v>
          </cell>
          <cell r="J23">
            <v>0.29813749570396575</v>
          </cell>
          <cell r="K23">
            <v>0.29855269002117857</v>
          </cell>
          <cell r="L23">
            <v>0.29920635337430257</v>
          </cell>
        </row>
        <row r="24">
          <cell r="E24">
            <v>0.16912469626074336</v>
          </cell>
          <cell r="F24">
            <v>0.24037440507521143</v>
          </cell>
          <cell r="G24">
            <v>0.15981919412265855</v>
          </cell>
          <cell r="H24">
            <v>0.15266265563396306</v>
          </cell>
          <cell r="I24">
            <v>0.1523044294537324</v>
          </cell>
          <cell r="J24">
            <v>0.14329601880081852</v>
          </cell>
          <cell r="K24">
            <v>0.14403723413868064</v>
          </cell>
          <cell r="L24">
            <v>0.14411165345053914</v>
          </cell>
        </row>
      </sheetData>
      <sheetData sheetId="5"/>
      <sheetData sheetId="6"/>
      <sheetData sheetId="7">
        <row r="10">
          <cell r="Z10">
            <v>16</v>
          </cell>
          <cell r="AB10">
            <v>33</v>
          </cell>
          <cell r="AF10">
            <v>45</v>
          </cell>
          <cell r="AG10">
            <v>45</v>
          </cell>
          <cell r="AH10">
            <v>45</v>
          </cell>
          <cell r="AI10">
            <v>45</v>
          </cell>
          <cell r="AJ10">
            <v>37</v>
          </cell>
          <cell r="AK10">
            <v>37</v>
          </cell>
        </row>
        <row r="11">
          <cell r="AF11">
            <v>7</v>
          </cell>
          <cell r="AG11">
            <v>7</v>
          </cell>
          <cell r="AH11">
            <v>7</v>
          </cell>
          <cell r="AI11">
            <v>7</v>
          </cell>
          <cell r="AJ11">
            <v>5</v>
          </cell>
          <cell r="AK11">
            <v>5</v>
          </cell>
        </row>
        <row r="12">
          <cell r="AF12">
            <v>2</v>
          </cell>
          <cell r="AG12">
            <v>2</v>
          </cell>
          <cell r="AH12">
            <v>2</v>
          </cell>
          <cell r="AI12">
            <v>2</v>
          </cell>
          <cell r="AJ12">
            <v>2</v>
          </cell>
          <cell r="AK12">
            <v>2</v>
          </cell>
        </row>
        <row r="13"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</row>
        <row r="20">
          <cell r="Z20">
            <v>100</v>
          </cell>
          <cell r="AA20">
            <v>101</v>
          </cell>
          <cell r="AB20">
            <v>103</v>
          </cell>
          <cell r="AC20">
            <v>105</v>
          </cell>
          <cell r="AD20">
            <v>107</v>
          </cell>
          <cell r="AE20">
            <v>109</v>
          </cell>
          <cell r="AF20">
            <v>111</v>
          </cell>
          <cell r="AG20">
            <v>113</v>
          </cell>
          <cell r="AH20">
            <v>115</v>
          </cell>
          <cell r="AI20">
            <v>117</v>
          </cell>
          <cell r="AJ20">
            <v>119</v>
          </cell>
          <cell r="AK20">
            <v>121</v>
          </cell>
        </row>
        <row r="21">
          <cell r="Z21">
            <v>59</v>
          </cell>
          <cell r="AA21">
            <v>59</v>
          </cell>
          <cell r="AB21">
            <v>60</v>
          </cell>
          <cell r="AC21">
            <v>61</v>
          </cell>
          <cell r="AD21">
            <v>62</v>
          </cell>
          <cell r="AE21">
            <v>63</v>
          </cell>
          <cell r="AF21">
            <v>64</v>
          </cell>
          <cell r="AG21">
            <v>65</v>
          </cell>
          <cell r="AH21">
            <v>66</v>
          </cell>
          <cell r="AI21">
            <v>67</v>
          </cell>
          <cell r="AJ21">
            <v>68</v>
          </cell>
          <cell r="AK21">
            <v>69</v>
          </cell>
        </row>
        <row r="26">
          <cell r="AL26">
            <v>195</v>
          </cell>
          <cell r="AM26">
            <v>196</v>
          </cell>
          <cell r="AN26">
            <v>199</v>
          </cell>
          <cell r="AO26">
            <v>202</v>
          </cell>
          <cell r="AP26">
            <v>205</v>
          </cell>
          <cell r="AQ26">
            <v>208</v>
          </cell>
          <cell r="AR26">
            <v>211</v>
          </cell>
          <cell r="AS26">
            <v>214</v>
          </cell>
          <cell r="AT26">
            <v>217</v>
          </cell>
          <cell r="AU26">
            <v>220</v>
          </cell>
          <cell r="AV26">
            <v>223</v>
          </cell>
          <cell r="AW26">
            <v>226</v>
          </cell>
          <cell r="AX26">
            <v>235</v>
          </cell>
          <cell r="AY26">
            <v>236</v>
          </cell>
          <cell r="AZ26">
            <v>239</v>
          </cell>
          <cell r="BA26">
            <v>242</v>
          </cell>
          <cell r="BB26">
            <v>245</v>
          </cell>
          <cell r="BC26">
            <v>248</v>
          </cell>
          <cell r="BD26">
            <v>251</v>
          </cell>
          <cell r="BE26">
            <v>254</v>
          </cell>
          <cell r="BF26">
            <v>257</v>
          </cell>
          <cell r="BG26">
            <v>260</v>
          </cell>
          <cell r="BH26">
            <v>263</v>
          </cell>
          <cell r="BI26">
            <v>266</v>
          </cell>
          <cell r="BJ26">
            <v>260</v>
          </cell>
          <cell r="BK26">
            <v>261</v>
          </cell>
          <cell r="BL26">
            <v>262</v>
          </cell>
          <cell r="BM26">
            <v>263</v>
          </cell>
          <cell r="BN26">
            <v>264</v>
          </cell>
          <cell r="BO26">
            <v>265</v>
          </cell>
          <cell r="BP26">
            <v>266</v>
          </cell>
          <cell r="BQ26">
            <v>267</v>
          </cell>
          <cell r="BR26">
            <v>268</v>
          </cell>
          <cell r="BS26">
            <v>269</v>
          </cell>
          <cell r="BT26">
            <v>270</v>
          </cell>
          <cell r="BU26">
            <v>271</v>
          </cell>
          <cell r="BV26">
            <v>294</v>
          </cell>
          <cell r="BW26">
            <v>295</v>
          </cell>
          <cell r="BX26">
            <v>296</v>
          </cell>
          <cell r="BY26">
            <v>297</v>
          </cell>
          <cell r="BZ26">
            <v>298</v>
          </cell>
          <cell r="CA26">
            <v>299</v>
          </cell>
          <cell r="CB26">
            <v>300</v>
          </cell>
          <cell r="CC26">
            <v>301</v>
          </cell>
          <cell r="CD26">
            <v>302</v>
          </cell>
          <cell r="CE26">
            <v>303</v>
          </cell>
          <cell r="CF26">
            <v>304</v>
          </cell>
          <cell r="CG26">
            <v>305</v>
          </cell>
          <cell r="CH26">
            <v>329</v>
          </cell>
          <cell r="CI26">
            <v>330</v>
          </cell>
          <cell r="CJ26">
            <v>331</v>
          </cell>
          <cell r="CK26">
            <v>332</v>
          </cell>
          <cell r="CL26">
            <v>333</v>
          </cell>
          <cell r="CM26">
            <v>334</v>
          </cell>
          <cell r="CN26">
            <v>335</v>
          </cell>
          <cell r="CO26">
            <v>336</v>
          </cell>
          <cell r="CP26">
            <v>337</v>
          </cell>
          <cell r="CQ26">
            <v>338</v>
          </cell>
          <cell r="CR26">
            <v>339</v>
          </cell>
          <cell r="CS26">
            <v>340</v>
          </cell>
        </row>
        <row r="38">
          <cell r="AL38">
            <v>44</v>
          </cell>
          <cell r="AM38">
            <v>45</v>
          </cell>
          <cell r="AN38">
            <v>45</v>
          </cell>
          <cell r="AO38">
            <v>47</v>
          </cell>
          <cell r="AP38">
            <v>48</v>
          </cell>
          <cell r="AQ38">
            <v>49</v>
          </cell>
          <cell r="AR38">
            <v>50</v>
          </cell>
          <cell r="AS38">
            <v>51</v>
          </cell>
          <cell r="AT38">
            <v>52</v>
          </cell>
          <cell r="AU38">
            <v>53</v>
          </cell>
          <cell r="AV38">
            <v>54</v>
          </cell>
          <cell r="AW38">
            <v>55</v>
          </cell>
          <cell r="AX38">
            <v>56</v>
          </cell>
          <cell r="AY38">
            <v>56</v>
          </cell>
          <cell r="AZ38">
            <v>56</v>
          </cell>
          <cell r="BA38">
            <v>58</v>
          </cell>
          <cell r="BB38">
            <v>59</v>
          </cell>
          <cell r="BC38">
            <v>60</v>
          </cell>
          <cell r="BD38">
            <v>61</v>
          </cell>
          <cell r="BE38">
            <v>63</v>
          </cell>
          <cell r="BF38">
            <v>64</v>
          </cell>
          <cell r="BG38">
            <v>65</v>
          </cell>
          <cell r="BH38">
            <v>67</v>
          </cell>
          <cell r="BI38">
            <v>68</v>
          </cell>
          <cell r="BJ38">
            <v>69</v>
          </cell>
          <cell r="BK38">
            <v>69</v>
          </cell>
          <cell r="BL38">
            <v>70</v>
          </cell>
          <cell r="BM38">
            <v>71</v>
          </cell>
          <cell r="BN38">
            <v>72</v>
          </cell>
          <cell r="BO38">
            <v>73</v>
          </cell>
          <cell r="BP38">
            <v>74</v>
          </cell>
          <cell r="BQ38">
            <v>74</v>
          </cell>
          <cell r="BR38">
            <v>75</v>
          </cell>
          <cell r="BS38">
            <v>76</v>
          </cell>
          <cell r="BT38">
            <v>77</v>
          </cell>
          <cell r="BU38">
            <v>77</v>
          </cell>
        </row>
        <row r="40">
          <cell r="AL40">
            <v>3</v>
          </cell>
          <cell r="AM40">
            <v>13</v>
          </cell>
          <cell r="AN40">
            <v>15</v>
          </cell>
          <cell r="AO40">
            <v>16</v>
          </cell>
          <cell r="AP40">
            <v>8</v>
          </cell>
          <cell r="AQ40">
            <v>9</v>
          </cell>
          <cell r="AR40">
            <v>13</v>
          </cell>
          <cell r="AS40">
            <v>9</v>
          </cell>
          <cell r="AT40">
            <v>12</v>
          </cell>
          <cell r="AU40">
            <v>18</v>
          </cell>
          <cell r="AV40">
            <v>13</v>
          </cell>
          <cell r="AW40">
            <v>14</v>
          </cell>
          <cell r="AX40">
            <v>39</v>
          </cell>
          <cell r="AY40">
            <v>26</v>
          </cell>
          <cell r="AZ40">
            <v>16</v>
          </cell>
          <cell r="BA40">
            <v>27</v>
          </cell>
          <cell r="BB40">
            <v>8</v>
          </cell>
          <cell r="BC40">
            <v>9</v>
          </cell>
          <cell r="BD40">
            <v>26</v>
          </cell>
          <cell r="BE40">
            <v>11</v>
          </cell>
          <cell r="BF40">
            <v>14</v>
          </cell>
          <cell r="BG40">
            <v>35</v>
          </cell>
          <cell r="BH40">
            <v>16</v>
          </cell>
          <cell r="BI40">
            <v>18</v>
          </cell>
          <cell r="BJ40">
            <v>22</v>
          </cell>
          <cell r="BK40">
            <v>20</v>
          </cell>
          <cell r="BL40">
            <v>20</v>
          </cell>
          <cell r="BM40">
            <v>15</v>
          </cell>
          <cell r="BN40">
            <v>11</v>
          </cell>
          <cell r="BO40">
            <v>13</v>
          </cell>
          <cell r="BP40">
            <v>12</v>
          </cell>
          <cell r="BQ40">
            <v>15</v>
          </cell>
          <cell r="BR40">
            <v>18</v>
          </cell>
          <cell r="BS40">
            <v>18</v>
          </cell>
          <cell r="BT40">
            <v>20</v>
          </cell>
          <cell r="BU40">
            <v>22</v>
          </cell>
        </row>
      </sheetData>
      <sheetData sheetId="8">
        <row r="8">
          <cell r="Z8">
            <v>20</v>
          </cell>
        </row>
        <row r="11">
          <cell r="Z11">
            <v>1794.5917037284321</v>
          </cell>
          <cell r="AA11">
            <v>1871.8082502962395</v>
          </cell>
          <cell r="AB11">
            <v>1973.9888797338535</v>
          </cell>
          <cell r="AC11">
            <v>1902.2907117976904</v>
          </cell>
          <cell r="AD11">
            <v>2014.9190846447134</v>
          </cell>
          <cell r="AE11">
            <v>2148.3476767016191</v>
          </cell>
          <cell r="AF11">
            <v>2071.9648378944012</v>
          </cell>
          <cell r="AG11">
            <v>2188.0217551482751</v>
          </cell>
          <cell r="AH11">
            <v>2331.1422846074338</v>
          </cell>
          <cell r="AI11">
            <v>2260.6748094943919</v>
          </cell>
          <cell r="AJ11">
            <v>2380.5711328942421</v>
          </cell>
          <cell r="AK11">
            <v>2508.4328014594726</v>
          </cell>
          <cell r="AL11">
            <v>2289.1546070332602</v>
          </cell>
          <cell r="AM11">
            <v>2386.7396839991425</v>
          </cell>
          <cell r="AN11">
            <v>2528.2949770980235</v>
          </cell>
          <cell r="AO11">
            <v>2422.5563880956151</v>
          </cell>
          <cell r="AP11">
            <v>2544.4695236540347</v>
          </cell>
          <cell r="AQ11">
            <v>2669.8391682070082</v>
          </cell>
          <cell r="AR11">
            <v>2540.6157367821475</v>
          </cell>
          <cell r="AS11">
            <v>2670.3102771527078</v>
          </cell>
          <cell r="AT11">
            <v>2806.5099599594632</v>
          </cell>
          <cell r="AU11">
            <v>2678.062118017031</v>
          </cell>
          <cell r="AV11">
            <v>2819.3515109248856</v>
          </cell>
          <cell r="AW11">
            <v>2964.6959881171629</v>
          </cell>
          <cell r="AX11">
            <v>2855.9045028370383</v>
          </cell>
          <cell r="AY11">
            <v>2969.1573502752522</v>
          </cell>
          <cell r="AZ11">
            <v>3124.6166844600571</v>
          </cell>
          <cell r="BA11">
            <v>3012.8163962278068</v>
          </cell>
          <cell r="BB11">
            <v>3130.632511993384</v>
          </cell>
          <cell r="BC11">
            <v>3253.6273928978044</v>
          </cell>
          <cell r="BD11">
            <v>3130.7841276462359</v>
          </cell>
          <cell r="BE11">
            <v>3261.9159261127552</v>
          </cell>
          <cell r="BF11">
            <v>3401.3886465521564</v>
          </cell>
          <cell r="BG11">
            <v>3292.8239878097179</v>
          </cell>
          <cell r="BH11">
            <v>3440.7144052897693</v>
          </cell>
          <cell r="BI11">
            <v>3592.8349340910254</v>
          </cell>
          <cell r="BJ11">
            <v>3408.4651119834061</v>
          </cell>
          <cell r="BK11">
            <v>3546.9729278309501</v>
          </cell>
          <cell r="BL11">
            <v>3687.2732046799138</v>
          </cell>
          <cell r="BM11">
            <v>3487.9970077389535</v>
          </cell>
          <cell r="BN11">
            <v>3608.6772365453371</v>
          </cell>
          <cell r="BO11">
            <v>3733.8339001660383</v>
          </cell>
          <cell r="BP11">
            <v>3528.0869897445218</v>
          </cell>
          <cell r="BQ11">
            <v>3660.7661277293805</v>
          </cell>
          <cell r="BR11">
            <v>3801.0644166598545</v>
          </cell>
          <cell r="BS11">
            <v>3606.2783446071003</v>
          </cell>
          <cell r="BT11">
            <v>3753.5913344191376</v>
          </cell>
          <cell r="BU11">
            <v>3905.0757369174785</v>
          </cell>
          <cell r="BV11">
            <v>3779.1380779539813</v>
          </cell>
          <cell r="BW11">
            <v>3934.7176060128345</v>
          </cell>
          <cell r="BX11">
            <v>4091.1511407309595</v>
          </cell>
          <cell r="BY11">
            <v>3932.3135561681947</v>
          </cell>
          <cell r="BZ11">
            <v>4065.135848838911</v>
          </cell>
          <cell r="CA11">
            <v>4202.8966492341387</v>
          </cell>
          <cell r="CB11">
            <v>4027.2909939029814</v>
          </cell>
          <cell r="CC11">
            <v>4172.6170711784689</v>
          </cell>
          <cell r="CD11">
            <v>4326.7007758957643</v>
          </cell>
          <cell r="CE11">
            <v>4168.3776957305517</v>
          </cell>
          <cell r="CF11">
            <v>4330.2837370420857</v>
          </cell>
          <cell r="CG11">
            <v>4497.143389184972</v>
          </cell>
          <cell r="CH11">
            <v>4344.0406589412187</v>
          </cell>
          <cell r="CI11">
            <v>4516.958135363926</v>
          </cell>
          <cell r="CJ11">
            <v>4691.3300342061957</v>
          </cell>
          <cell r="CK11">
            <v>4504.7536413917014</v>
          </cell>
          <cell r="CL11">
            <v>4653.1811352332334</v>
          </cell>
          <cell r="CM11">
            <v>4807.8294953832074</v>
          </cell>
          <cell r="CN11">
            <v>4605.5150950151074</v>
          </cell>
          <cell r="CO11">
            <v>4769.2967123017943</v>
          </cell>
          <cell r="CP11">
            <v>4943.1816042129967</v>
          </cell>
          <cell r="CQ11">
            <v>4761.5786771563671</v>
          </cell>
          <cell r="CR11">
            <v>4944.7714556759947</v>
          </cell>
          <cell r="CS11">
            <v>5133.8735087424111</v>
          </cell>
        </row>
        <row r="40">
          <cell r="AL40">
            <v>13604.9875825622</v>
          </cell>
          <cell r="AM40">
            <v>12888.690637904594</v>
          </cell>
          <cell r="AN40">
            <v>13332.133505722133</v>
          </cell>
          <cell r="AO40">
            <v>13593.584841810061</v>
          </cell>
          <cell r="AP40">
            <v>14078.253473727724</v>
          </cell>
          <cell r="AQ40">
            <v>14753.690342790875</v>
          </cell>
          <cell r="AR40">
            <v>14796.296606611888</v>
          </cell>
          <cell r="AS40">
            <v>15316.345315997864</v>
          </cell>
          <cell r="AT40">
            <v>16207.297827850558</v>
          </cell>
          <cell r="AU40">
            <v>16397.322116571249</v>
          </cell>
          <cell r="AV40">
            <v>16889.254695453903</v>
          </cell>
          <cell r="AW40">
            <v>17485.917328914958</v>
          </cell>
          <cell r="AX40">
            <v>16409.26958313684</v>
          </cell>
          <cell r="AY40">
            <v>15370.878476241331</v>
          </cell>
          <cell r="AZ40">
            <v>15857.776013808971</v>
          </cell>
          <cell r="BA40">
            <v>16239.304287770374</v>
          </cell>
          <cell r="BB40">
            <v>16982.927739549232</v>
          </cell>
          <cell r="BC40">
            <v>17730.585025923046</v>
          </cell>
          <cell r="BD40">
            <v>17997.242633802016</v>
          </cell>
          <cell r="BE40">
            <v>18700.014343896568</v>
          </cell>
          <cell r="BF40">
            <v>19771.689823642249</v>
          </cell>
          <cell r="BG40">
            <v>20257.859002700628</v>
          </cell>
          <cell r="BH40">
            <v>20860.295038489345</v>
          </cell>
          <cell r="BI40">
            <v>21566.585749495702</v>
          </cell>
          <cell r="BJ40">
            <v>20395.166944903256</v>
          </cell>
          <cell r="BK40">
            <v>19078.759395759324</v>
          </cell>
          <cell r="BL40">
            <v>19481.313219981057</v>
          </cell>
          <cell r="BM40">
            <v>19941.885838528156</v>
          </cell>
          <cell r="BN40">
            <v>20659.248859956831</v>
          </cell>
          <cell r="BO40">
            <v>21265.829994412958</v>
          </cell>
          <cell r="BP40">
            <v>21388.526263427018</v>
          </cell>
          <cell r="BQ40">
            <v>21993.455111572861</v>
          </cell>
          <cell r="BR40">
            <v>22941.634394022742</v>
          </cell>
          <cell r="BS40">
            <v>23255.986312226745</v>
          </cell>
          <cell r="BT40">
            <v>23697.617490092987</v>
          </cell>
          <cell r="BU40">
            <v>24339.48890427122</v>
          </cell>
          <cell r="BV40">
            <v>23006.682096653563</v>
          </cell>
          <cell r="BW40">
            <v>21455.522443083351</v>
          </cell>
          <cell r="BX40">
            <v>21912.367874931093</v>
          </cell>
          <cell r="BY40">
            <v>22450.610628173876</v>
          </cell>
          <cell r="BZ40">
            <v>23189.181480502706</v>
          </cell>
          <cell r="CA40">
            <v>23895.921272366093</v>
          </cell>
          <cell r="CB40">
            <v>24039.756904205842</v>
          </cell>
          <cell r="CC40">
            <v>24742.918299227029</v>
          </cell>
          <cell r="CD40">
            <v>25854.271689375029</v>
          </cell>
          <cell r="CE40">
            <v>26278.401367855891</v>
          </cell>
          <cell r="CF40">
            <v>26825.903945776583</v>
          </cell>
          <cell r="CG40">
            <v>27603.838470002378</v>
          </cell>
          <cell r="CH40">
            <v>26118.583130327945</v>
          </cell>
          <cell r="CI40">
            <v>24373.708123255004</v>
          </cell>
          <cell r="CJ40">
            <v>24927.637194757244</v>
          </cell>
          <cell r="CK40">
            <v>25598.525311389592</v>
          </cell>
          <cell r="CL40">
            <v>26491.706531066306</v>
          </cell>
          <cell r="CM40">
            <v>27346.3198490205</v>
          </cell>
          <cell r="CN40">
            <v>27558.481997096635</v>
          </cell>
          <cell r="CO40">
            <v>28348.887809269203</v>
          </cell>
          <cell r="CP40">
            <v>29622.055574022266</v>
          </cell>
          <cell r="CQ40">
            <v>30127.301857424078</v>
          </cell>
          <cell r="CR40">
            <v>30759.917537674573</v>
          </cell>
          <cell r="CS40">
            <v>31669.217270708541</v>
          </cell>
        </row>
        <row r="77">
          <cell r="AF77">
            <v>3721.1306895084845</v>
          </cell>
          <cell r="AG77">
            <v>4141.3275183915339</v>
          </cell>
          <cell r="AH77">
            <v>4660.6501773405189</v>
          </cell>
          <cell r="AI77">
            <v>4387.7721933164175</v>
          </cell>
          <cell r="AJ77">
            <v>4846.9398353509405</v>
          </cell>
          <cell r="AK77">
            <v>5462.0987517470958</v>
          </cell>
        </row>
        <row r="88">
          <cell r="AF88">
            <v>1.4408486282416026</v>
          </cell>
          <cell r="AG88">
            <v>1.5241608204866186</v>
          </cell>
          <cell r="AH88">
            <v>1.5812574378218431</v>
          </cell>
          <cell r="AI88">
            <v>1.4617330421115176</v>
          </cell>
          <cell r="AJ88">
            <v>1.5267788353612097</v>
          </cell>
          <cell r="AK88">
            <v>1.5853491003332512</v>
          </cell>
        </row>
        <row r="99">
          <cell r="AF99">
            <v>16.095081640269612</v>
          </cell>
          <cell r="AG99">
            <v>16.070777184894332</v>
          </cell>
          <cell r="AH99">
            <v>15.953615369207728</v>
          </cell>
          <cell r="AI99">
            <v>16.032963006433</v>
          </cell>
          <cell r="AJ99">
            <v>16.089004853403338</v>
          </cell>
          <cell r="AK99">
            <v>15.984195138035355</v>
          </cell>
        </row>
        <row r="110">
          <cell r="AF110">
            <v>23.190576302819075</v>
          </cell>
          <cell r="AG110">
            <v>24.494448939986174</v>
          </cell>
          <cell r="AH110">
            <v>25.226772962708591</v>
          </cell>
          <cell r="AI110">
            <v>23.435911789454735</v>
          </cell>
          <cell r="AJ110">
            <v>24.564352092199996</v>
          </cell>
          <cell r="AK110">
            <v>25.340529381635481</v>
          </cell>
        </row>
        <row r="121">
          <cell r="AF121">
            <v>5.1613450970519068</v>
          </cell>
          <cell r="AG121">
            <v>5.5264878907144164</v>
          </cell>
          <cell r="AH121">
            <v>5.7834078972486305</v>
          </cell>
          <cell r="AI121">
            <v>5.3397319620357333</v>
          </cell>
          <cell r="AJ121">
            <v>5.6623405857749924</v>
          </cell>
          <cell r="AK121">
            <v>5.9224801366885904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Full_Expense w GA"/>
      <sheetName val="CS Cost"/>
      <sheetName val="Cost Saving from Branch"/>
      <sheetName val="GA Comp Scheme_Revised"/>
      <sheetName val="GA Comp Scheme_Clean"/>
      <sheetName val="GA summary_monthly (HCM HN)"/>
      <sheetName val="Sheet1"/>
      <sheetName val="Competitor Scheme"/>
      <sheetName val="GA Income_Model"/>
      <sheetName val="GA summary_yearly"/>
      <sheetName val="GA summary_monthly"/>
      <sheetName val="Assumption_GA"/>
      <sheetName val="Small GA Plan"/>
      <sheetName val="Mid GA Plan"/>
      <sheetName val="Big GA Plan"/>
      <sheetName val="GA-S tenure"/>
      <sheetName val="GA-M tenure"/>
      <sheetName val="GA-B tenure"/>
      <sheetName val="GA-S_tmp"/>
      <sheetName val="GA-M_tmp"/>
      <sheetName val="GA-B_tmp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1193.4259355345598</v>
          </cell>
          <cell r="J183">
            <v>1292.3365006990819</v>
          </cell>
          <cell r="K183">
            <v>2454.1392460064944</v>
          </cell>
          <cell r="L183">
            <v>4914.2570810527804</v>
          </cell>
          <cell r="M183">
            <v>7446.9605452111182</v>
          </cell>
          <cell r="N183">
            <v>9926.1025800164316</v>
          </cell>
          <cell r="O183">
            <v>9965.5894154636844</v>
          </cell>
          <cell r="P183">
            <v>9783.9467044703815</v>
          </cell>
          <cell r="Q183">
            <v>9627.9745905138661</v>
          </cell>
          <cell r="R183">
            <v>10688.832810975506</v>
          </cell>
          <cell r="S183">
            <v>10683.508644430312</v>
          </cell>
          <cell r="T183">
            <v>12947.433933375727</v>
          </cell>
          <cell r="U183">
            <v>13178.131744809791</v>
          </cell>
          <cell r="V183">
            <v>13081.117752229316</v>
          </cell>
          <cell r="W183">
            <v>14288.297209346332</v>
          </cell>
          <cell r="X183">
            <v>15705.022673254256</v>
          </cell>
          <cell r="Y183">
            <v>17118.030165222252</v>
          </cell>
          <cell r="Z183">
            <v>17321.108331594063</v>
          </cell>
          <cell r="AA183">
            <v>17263.055896210779</v>
          </cell>
          <cell r="AB183">
            <v>17223.368931151268</v>
          </cell>
          <cell r="AC183">
            <v>18373.183181866763</v>
          </cell>
          <cell r="AD183">
            <v>18552.328078343457</v>
          </cell>
          <cell r="AE183">
            <v>18498.38856725999</v>
          </cell>
          <cell r="AF183">
            <v>19861.535297185113</v>
          </cell>
          <cell r="AG183">
            <v>20092.547377909494</v>
          </cell>
          <cell r="AH183">
            <v>20085.544007508095</v>
          </cell>
          <cell r="AI183">
            <v>21472.214351005648</v>
          </cell>
          <cell r="AJ183">
            <v>23112.803899530587</v>
          </cell>
          <cell r="AK183">
            <v>23557.105226653715</v>
          </cell>
          <cell r="AL183">
            <v>23801.045929538479</v>
          </cell>
          <cell r="AM183">
            <v>23879.548434368706</v>
          </cell>
          <cell r="AN183">
            <v>23941.374995215909</v>
          </cell>
          <cell r="AO183">
            <v>24098.835039071972</v>
          </cell>
          <cell r="AP183">
            <v>25493.412770919615</v>
          </cell>
          <cell r="AQ183">
            <v>25680.303236172469</v>
          </cell>
          <cell r="AR183">
            <v>26062.196998062729</v>
          </cell>
          <cell r="AS183">
            <v>26425.403921006517</v>
          </cell>
          <cell r="AT183">
            <v>27751.799828208656</v>
          </cell>
          <cell r="AU183">
            <v>28420.624726364054</v>
          </cell>
          <cell r="AV183">
            <v>29271.298012925658</v>
          </cell>
          <cell r="AW183">
            <v>30105.701498242113</v>
          </cell>
          <cell r="AX183">
            <v>30900.303688678945</v>
          </cell>
          <cell r="AY183">
            <v>31313.767613126674</v>
          </cell>
          <cell r="AZ183">
            <v>31695.707781316974</v>
          </cell>
          <cell r="BA183">
            <v>32185.178320730032</v>
          </cell>
          <cell r="BB183">
            <v>32948.096857187462</v>
          </cell>
          <cell r="BC183">
            <v>33399.241725262909</v>
          </cell>
          <cell r="BD183">
            <v>34432.888320502148</v>
          </cell>
          <cell r="BE183">
            <v>35181.916428316923</v>
          </cell>
          <cell r="BF183">
            <v>35828.061794351634</v>
          </cell>
          <cell r="BG183">
            <v>36927.58930749297</v>
          </cell>
          <cell r="BH183">
            <v>38337.493304318115</v>
          </cell>
          <cell r="BI183">
            <v>39690.808753061763</v>
          </cell>
          <cell r="BJ183">
            <v>40872.581530020136</v>
          </cell>
          <cell r="BK183">
            <v>41754.237759190168</v>
          </cell>
          <cell r="BL183">
            <v>42599.517809773301</v>
          </cell>
          <cell r="BM183">
            <v>43680.031265201564</v>
          </cell>
          <cell r="BN183">
            <v>44919.148896119899</v>
          </cell>
          <cell r="BO183">
            <v>45849.0006579888</v>
          </cell>
          <cell r="BP183">
            <v>47409.530297301295</v>
          </cell>
          <cell r="BQ183">
            <v>47986.796362333036</v>
          </cell>
          <cell r="BR183">
            <v>48916.852727287544</v>
          </cell>
          <cell r="BS183">
            <v>49924.371937519179</v>
          </cell>
          <cell r="BT183">
            <v>50357.966813274179</v>
          </cell>
          <cell r="BU183">
            <v>50363.503563603219</v>
          </cell>
          <cell r="BV183">
            <v>50248.229437266382</v>
          </cell>
          <cell r="BW183">
            <v>51280.456101244235</v>
          </cell>
          <cell r="BX183">
            <v>52736.485813938802</v>
          </cell>
          <cell r="BY183">
            <v>54405.112906543298</v>
          </cell>
          <cell r="BZ183">
            <v>55749.41116280821</v>
          </cell>
          <cell r="CA183">
            <v>57128.25535041219</v>
          </cell>
          <cell r="CB183">
            <v>57955.52243119201</v>
          </cell>
          <cell r="CC183">
            <v>59690.7628792623</v>
          </cell>
          <cell r="CD183">
            <v>61583.039182748747</v>
          </cell>
          <cell r="CE183">
            <v>63367.232237007236</v>
          </cell>
          <cell r="CF183">
            <v>65341.908048095625</v>
          </cell>
          <cell r="CG183">
            <v>66855.279224121827</v>
          </cell>
          <cell r="CH183">
            <v>68687.153657357892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5">
          <cell r="I5">
            <v>1</v>
          </cell>
          <cell r="K5">
            <v>2</v>
          </cell>
          <cell r="L5">
            <v>2</v>
          </cell>
          <cell r="M5">
            <v>2</v>
          </cell>
          <cell r="N5">
            <v>3</v>
          </cell>
          <cell r="Q5">
            <v>1</v>
          </cell>
          <cell r="R5">
            <v>2</v>
          </cell>
          <cell r="S5">
            <v>1</v>
          </cell>
          <cell r="T5">
            <v>2</v>
          </cell>
          <cell r="U5">
            <v>1</v>
          </cell>
          <cell r="W5">
            <v>2</v>
          </cell>
          <cell r="X5">
            <v>2</v>
          </cell>
          <cell r="Y5">
            <v>2</v>
          </cell>
          <cell r="Z5">
            <v>2</v>
          </cell>
          <cell r="AC5">
            <v>1</v>
          </cell>
          <cell r="AD5">
            <v>1</v>
          </cell>
          <cell r="AE5">
            <v>2</v>
          </cell>
          <cell r="AF5">
            <v>1</v>
          </cell>
          <cell r="AI5">
            <v>2</v>
          </cell>
          <cell r="AJ5">
            <v>1</v>
          </cell>
          <cell r="AP5">
            <v>1</v>
          </cell>
          <cell r="AT5">
            <v>1</v>
          </cell>
          <cell r="BA5">
            <v>1</v>
          </cell>
          <cell r="BB5">
            <v>1</v>
          </cell>
          <cell r="BD5">
            <v>1</v>
          </cell>
          <cell r="BN5">
            <v>1</v>
          </cell>
          <cell r="BP5">
            <v>1</v>
          </cell>
          <cell r="BS5">
            <v>1</v>
          </cell>
          <cell r="BT5">
            <v>1</v>
          </cell>
          <cell r="BZ5">
            <v>1</v>
          </cell>
          <cell r="CB5">
            <v>1</v>
          </cell>
          <cell r="CE5">
            <v>1</v>
          </cell>
        </row>
        <row r="6">
          <cell r="L6">
            <v>2</v>
          </cell>
          <cell r="M6">
            <v>3</v>
          </cell>
          <cell r="N6">
            <v>2</v>
          </cell>
          <cell r="O6">
            <v>1</v>
          </cell>
          <cell r="Q6">
            <v>1</v>
          </cell>
          <cell r="R6">
            <v>1</v>
          </cell>
          <cell r="S6">
            <v>2</v>
          </cell>
          <cell r="T6">
            <v>1</v>
          </cell>
          <cell r="U6">
            <v>2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C6">
            <v>2</v>
          </cell>
          <cell r="AD6">
            <v>1</v>
          </cell>
          <cell r="AE6">
            <v>1</v>
          </cell>
          <cell r="AF6">
            <v>2</v>
          </cell>
          <cell r="AI6">
            <v>2</v>
          </cell>
          <cell r="AJ6">
            <v>2</v>
          </cell>
          <cell r="AP6">
            <v>1</v>
          </cell>
          <cell r="AQ6">
            <v>1</v>
          </cell>
          <cell r="AR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BA6">
            <v>1</v>
          </cell>
          <cell r="BB6">
            <v>1</v>
          </cell>
          <cell r="BD6">
            <v>1</v>
          </cell>
          <cell r="BG6">
            <v>1</v>
          </cell>
          <cell r="BH6">
            <v>1</v>
          </cell>
          <cell r="BN6">
            <v>1</v>
          </cell>
          <cell r="BP6">
            <v>1</v>
          </cell>
          <cell r="CE6">
            <v>1</v>
          </cell>
          <cell r="CF6">
            <v>1</v>
          </cell>
        </row>
        <row r="7">
          <cell r="L7">
            <v>1</v>
          </cell>
          <cell r="M7">
            <v>1</v>
          </cell>
          <cell r="N7">
            <v>1</v>
          </cell>
          <cell r="R7">
            <v>1</v>
          </cell>
          <cell r="T7">
            <v>1</v>
          </cell>
          <cell r="W7">
            <v>1</v>
          </cell>
          <cell r="AP7">
            <v>1</v>
          </cell>
          <cell r="AQ7">
            <v>1</v>
          </cell>
          <cell r="AR7">
            <v>1</v>
          </cell>
          <cell r="AU7">
            <v>1</v>
          </cell>
          <cell r="AV7">
            <v>1</v>
          </cell>
          <cell r="AW7">
            <v>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1217.7815668719998</v>
          </cell>
          <cell r="J95">
            <v>1318.7107149990632</v>
          </cell>
          <cell r="K95">
            <v>3722.00528728679</v>
          </cell>
          <cell r="L95">
            <v>8661.9339712096553</v>
          </cell>
          <cell r="M95">
            <v>14583.660687962849</v>
          </cell>
          <cell r="N95">
            <v>20895.040649843657</v>
          </cell>
          <cell r="O95">
            <v>22036.439446963814</v>
          </cell>
          <cell r="P95">
            <v>21867.376850239136</v>
          </cell>
          <cell r="Q95">
            <v>23733.536270368415</v>
          </cell>
          <cell r="R95">
            <v>27713.724755056825</v>
          </cell>
          <cell r="S95">
            <v>30852.094353299843</v>
          </cell>
          <cell r="T95">
            <v>34916.314813034776</v>
          </cell>
          <cell r="U95">
            <v>38226.223721641727</v>
          </cell>
          <cell r="V95">
            <v>38479.385736118129</v>
          </cell>
          <cell r="W95">
            <v>42641.879893972036</v>
          </cell>
          <cell r="X95">
            <v>46733.322822873437</v>
          </cell>
          <cell r="Y95">
            <v>50830.310089208768</v>
          </cell>
          <cell r="Z95">
            <v>54964.322216925029</v>
          </cell>
          <cell r="AA95">
            <v>55479.589133290137</v>
          </cell>
          <cell r="AB95">
            <v>55642.665718325508</v>
          </cell>
          <cell r="AC95">
            <v>58906.628210545925</v>
          </cell>
          <cell r="AD95">
            <v>61774.292711070259</v>
          </cell>
          <cell r="AE95">
            <v>65722.863637941031</v>
          </cell>
          <cell r="AF95">
            <v>69454.215083830626</v>
          </cell>
          <cell r="AG95">
            <v>70356.991276171771</v>
          </cell>
          <cell r="AH95">
            <v>70652.731042159576</v>
          </cell>
          <cell r="AI95">
            <v>75587.696195513345</v>
          </cell>
          <cell r="AJ95">
            <v>80131.259122634103</v>
          </cell>
          <cell r="AK95">
            <v>81768.255001762853</v>
          </cell>
          <cell r="AL95">
            <v>83189.345389484908</v>
          </cell>
          <cell r="AM95">
            <v>83878.807552081329</v>
          </cell>
          <cell r="AN95">
            <v>84400.144149258238</v>
          </cell>
          <cell r="AO95">
            <v>85402.665164240563</v>
          </cell>
          <cell r="AP95">
            <v>89349.487488816521</v>
          </cell>
          <cell r="AQ95">
            <v>92320.105123245405</v>
          </cell>
          <cell r="AR95">
            <v>95255.428423524965</v>
          </cell>
          <cell r="AS95">
            <v>96709.045890972193</v>
          </cell>
          <cell r="AT95">
            <v>99435.883214980233</v>
          </cell>
          <cell r="AU95">
            <v>103101.23515889348</v>
          </cell>
          <cell r="AV95">
            <v>107023.18918961959</v>
          </cell>
          <cell r="AW95">
            <v>110942.46809162911</v>
          </cell>
          <cell r="AX95">
            <v>113640.20270035822</v>
          </cell>
          <cell r="AY95">
            <v>115111.08644599568</v>
          </cell>
          <cell r="AZ95">
            <v>116435.39322677729</v>
          </cell>
          <cell r="BA95">
            <v>120636.18209116171</v>
          </cell>
          <cell r="BB95">
            <v>125584.42368111004</v>
          </cell>
          <cell r="BC95">
            <v>128288.51689478102</v>
          </cell>
          <cell r="BD95">
            <v>133214.37935489567</v>
          </cell>
          <cell r="BE95">
            <v>135953.46184835784</v>
          </cell>
          <cell r="BF95">
            <v>138005.67526435151</v>
          </cell>
          <cell r="BG95">
            <v>142497.0460893127</v>
          </cell>
          <cell r="BH95">
            <v>146833.87661260366</v>
          </cell>
          <cell r="BI95">
            <v>149336.23158956887</v>
          </cell>
          <cell r="BJ95">
            <v>152028.6236152456</v>
          </cell>
          <cell r="BK95">
            <v>154136.35350299842</v>
          </cell>
          <cell r="BL95">
            <v>156592.02465045647</v>
          </cell>
          <cell r="BM95">
            <v>159976.80388374542</v>
          </cell>
          <cell r="BN95">
            <v>166070.21140722983</v>
          </cell>
          <cell r="BO95">
            <v>169724.09842267784</v>
          </cell>
          <cell r="BP95">
            <v>175799.57496891852</v>
          </cell>
          <cell r="BQ95">
            <v>178578.07359775467</v>
          </cell>
          <cell r="BR95">
            <v>181617.93754491879</v>
          </cell>
          <cell r="BS95">
            <v>186845.91915928075</v>
          </cell>
          <cell r="BT95">
            <v>192173.00726289127</v>
          </cell>
          <cell r="BU95">
            <v>196125.82437320813</v>
          </cell>
          <cell r="BV95">
            <v>199220.36815244879</v>
          </cell>
          <cell r="BW95">
            <v>203571.48853565753</v>
          </cell>
          <cell r="BX95">
            <v>208552.67792316989</v>
          </cell>
          <cell r="BY95">
            <v>213409.77534233619</v>
          </cell>
          <cell r="BZ95">
            <v>219643.08876883393</v>
          </cell>
          <cell r="CA95">
            <v>225086.43130407043</v>
          </cell>
          <cell r="CB95">
            <v>231477.29390345741</v>
          </cell>
          <cell r="CC95">
            <v>237462.60197336404</v>
          </cell>
          <cell r="CD95">
            <v>243868.89493824897</v>
          </cell>
          <cell r="CE95">
            <v>252963.75556879005</v>
          </cell>
          <cell r="CF95">
            <v>260266.79495274258</v>
          </cell>
          <cell r="CG95">
            <v>265730.61767700169</v>
          </cell>
          <cell r="CH95">
            <v>271105.84091848478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1193.4259355345598</v>
          </cell>
          <cell r="J183">
            <v>1292.3365006990819</v>
          </cell>
          <cell r="K183">
            <v>3647.5651815410547</v>
          </cell>
          <cell r="L183">
            <v>8488.6952917854614</v>
          </cell>
          <cell r="M183">
            <v>14291.987474203588</v>
          </cell>
          <cell r="N183">
            <v>20477.139836846782</v>
          </cell>
          <cell r="O183">
            <v>21595.710658024538</v>
          </cell>
          <cell r="P183">
            <v>21430.029313234354</v>
          </cell>
          <cell r="Q183">
            <v>23258.865544961052</v>
          </cell>
          <cell r="R183">
            <v>27159.450259955691</v>
          </cell>
          <cell r="S183">
            <v>30235.052466233843</v>
          </cell>
          <cell r="T183">
            <v>34217.988516774087</v>
          </cell>
          <cell r="U183">
            <v>37461.699247208897</v>
          </cell>
          <cell r="V183">
            <v>37709.798021395763</v>
          </cell>
          <cell r="W183">
            <v>41789.042296092608</v>
          </cell>
          <cell r="X183">
            <v>45798.656366415969</v>
          </cell>
          <cell r="Y183">
            <v>49813.703887424585</v>
          </cell>
          <cell r="Z183">
            <v>53865.035772586532</v>
          </cell>
          <cell r="AA183">
            <v>54369.997350624333</v>
          </cell>
          <cell r="AB183">
            <v>54529.812403959011</v>
          </cell>
          <cell r="AC183">
            <v>57728.49564633501</v>
          </cell>
          <cell r="AD183">
            <v>60538.806856848838</v>
          </cell>
          <cell r="AE183">
            <v>64408.406365182222</v>
          </cell>
          <cell r="AF183">
            <v>68065.130782153996</v>
          </cell>
          <cell r="AG183">
            <v>68949.851450648319</v>
          </cell>
          <cell r="AH183">
            <v>69239.67642131637</v>
          </cell>
          <cell r="AI183">
            <v>74075.942271603068</v>
          </cell>
          <cell r="AJ183">
            <v>78528.633940181404</v>
          </cell>
          <cell r="AK183">
            <v>80132.889901727613</v>
          </cell>
          <cell r="AL183">
            <v>81525.558481695189</v>
          </cell>
          <cell r="AM183">
            <v>82201.231401039709</v>
          </cell>
          <cell r="AN183">
            <v>82712.141266273087</v>
          </cell>
          <cell r="AO183">
            <v>83694.61186095576</v>
          </cell>
          <cell r="AP183">
            <v>87562.497739040191</v>
          </cell>
          <cell r="AQ183">
            <v>90473.703020780478</v>
          </cell>
          <cell r="AR183">
            <v>93350.319855054462</v>
          </cell>
          <cell r="AS183">
            <v>94774.864973152755</v>
          </cell>
          <cell r="AT183">
            <v>97447.165550680627</v>
          </cell>
          <cell r="AU183">
            <v>101039.21045571558</v>
          </cell>
          <cell r="AV183">
            <v>104882.72540582719</v>
          </cell>
          <cell r="AW183">
            <v>108723.61872979652</v>
          </cell>
          <cell r="AX183">
            <v>111367.39864635105</v>
          </cell>
          <cell r="AY183">
            <v>112808.86471707579</v>
          </cell>
          <cell r="AZ183">
            <v>114106.68536224171</v>
          </cell>
          <cell r="BA183">
            <v>118223.45844933849</v>
          </cell>
          <cell r="BB183">
            <v>123072.73520748784</v>
          </cell>
          <cell r="BC183">
            <v>125722.74655688538</v>
          </cell>
          <cell r="BD183">
            <v>130550.09176779778</v>
          </cell>
          <cell r="BE183">
            <v>133234.39261139065</v>
          </cell>
          <cell r="BF183">
            <v>135245.5617590645</v>
          </cell>
          <cell r="BG183">
            <v>139647.10516752649</v>
          </cell>
          <cell r="BH183">
            <v>143897.19908035151</v>
          </cell>
          <cell r="BI183">
            <v>146349.50695777746</v>
          </cell>
          <cell r="BJ183">
            <v>148988.05114294062</v>
          </cell>
          <cell r="BK183">
            <v>151053.62643293844</v>
          </cell>
          <cell r="BL183">
            <v>153460.18415744731</v>
          </cell>
          <cell r="BM183">
            <v>156777.26780607054</v>
          </cell>
          <cell r="BN183">
            <v>162748.80717908524</v>
          </cell>
          <cell r="BO183">
            <v>166329.61645422428</v>
          </cell>
          <cell r="BP183">
            <v>172283.5834695402</v>
          </cell>
          <cell r="BQ183">
            <v>175006.51212579955</v>
          </cell>
          <cell r="BR183">
            <v>177985.57879402043</v>
          </cell>
          <cell r="BS183">
            <v>183109.00077609514</v>
          </cell>
          <cell r="BT183">
            <v>188329.54711763348</v>
          </cell>
          <cell r="BU183">
            <v>192203.30788574394</v>
          </cell>
          <cell r="BV183">
            <v>195235.96078939983</v>
          </cell>
          <cell r="BW183">
            <v>199500.05876494435</v>
          </cell>
          <cell r="BX183">
            <v>204381.62436470637</v>
          </cell>
          <cell r="BY183">
            <v>209141.57983548942</v>
          </cell>
          <cell r="BZ183">
            <v>215250.22699345733</v>
          </cell>
          <cell r="CA183">
            <v>220584.70267798903</v>
          </cell>
          <cell r="CB183">
            <v>226847.74802538828</v>
          </cell>
          <cell r="CC183">
            <v>232713.34993389677</v>
          </cell>
          <cell r="CD183">
            <v>238991.51703948405</v>
          </cell>
          <cell r="CE183">
            <v>247904.4804574142</v>
          </cell>
          <cell r="CF183">
            <v>255061.45905368772</v>
          </cell>
          <cell r="CG183">
            <v>260416.00532346164</v>
          </cell>
          <cell r="CH183">
            <v>265683.72410011501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68.879047899999989</v>
          </cell>
          <cell r="J271">
            <v>74.587710124381402</v>
          </cell>
          <cell r="K271">
            <v>210.52066104563295</v>
          </cell>
          <cell r="L271">
            <v>489.92839203674521</v>
          </cell>
          <cell r="M271">
            <v>824.86768597074933</v>
          </cell>
          <cell r="N271">
            <v>1181.8461906020168</v>
          </cell>
          <cell r="O271">
            <v>1246.4049460952385</v>
          </cell>
          <cell r="P271">
            <v>1236.8425820271007</v>
          </cell>
          <cell r="Q271">
            <v>1342.394585428078</v>
          </cell>
          <cell r="R271">
            <v>1567.5183684986894</v>
          </cell>
          <cell r="S271">
            <v>1745.0279611594933</v>
          </cell>
          <cell r="T271">
            <v>1974.90468399518</v>
          </cell>
          <cell r="U271">
            <v>2158.6986520417804</v>
          </cell>
          <cell r="V271">
            <v>2172.9962485151068</v>
          </cell>
          <cell r="W271">
            <v>2401.5865603496745</v>
          </cell>
          <cell r="X271">
            <v>2620.2335171563673</v>
          </cell>
          <cell r="Y271">
            <v>2836.1053780417092</v>
          </cell>
          <cell r="Z271">
            <v>3053.4129311182842</v>
          </cell>
          <cell r="AA271">
            <v>3079.0872806859993</v>
          </cell>
          <cell r="AB271">
            <v>3087.7893985045407</v>
          </cell>
          <cell r="AC271">
            <v>3265.5726829473701</v>
          </cell>
          <cell r="AD271">
            <v>3417.460043648482</v>
          </cell>
          <cell r="AE271">
            <v>3630.9361609161406</v>
          </cell>
          <cell r="AF271">
            <v>3831.5583827615669</v>
          </cell>
          <cell r="AG271">
            <v>3868.6289675585513</v>
          </cell>
          <cell r="AH271">
            <v>3884.4992289005559</v>
          </cell>
          <cell r="AI271">
            <v>4145.1489912960515</v>
          </cell>
          <cell r="AJ271">
            <v>4372.4667481124588</v>
          </cell>
          <cell r="AK271">
            <v>4431.1725455655815</v>
          </cell>
          <cell r="AL271">
            <v>4477.4628003372909</v>
          </cell>
          <cell r="AM271">
            <v>4510.6231429727895</v>
          </cell>
          <cell r="AN271">
            <v>4538.4454926667167</v>
          </cell>
          <cell r="AO271">
            <v>4576.3319290688978</v>
          </cell>
          <cell r="AP271">
            <v>4776.4944475601778</v>
          </cell>
          <cell r="AQ271">
            <v>4920.872377141488</v>
          </cell>
          <cell r="AR271">
            <v>5060.7000872383733</v>
          </cell>
          <cell r="AS271">
            <v>5122.8510528417655</v>
          </cell>
          <cell r="AT271">
            <v>5274.4351449763089</v>
          </cell>
          <cell r="AU271">
            <v>5440.2022181864877</v>
          </cell>
          <cell r="AV271">
            <v>5612.1026938318628</v>
          </cell>
          <cell r="AW271">
            <v>5787.4104942456242</v>
          </cell>
          <cell r="AX271">
            <v>5891.3957308583304</v>
          </cell>
          <cell r="AY271">
            <v>5962.1877894045938</v>
          </cell>
          <cell r="AZ271">
            <v>6029.5051676893499</v>
          </cell>
          <cell r="BA271">
            <v>6237.1928981716428</v>
          </cell>
          <cell r="BB271">
            <v>6473.8665418714008</v>
          </cell>
          <cell r="BC271">
            <v>6587.6550248405247</v>
          </cell>
          <cell r="BD271">
            <v>6820.9461559565279</v>
          </cell>
          <cell r="BE271">
            <v>6941.7393863718935</v>
          </cell>
          <cell r="BF271">
            <v>7039.080682916222</v>
          </cell>
          <cell r="BG271">
            <v>7226.6988826977604</v>
          </cell>
          <cell r="BH271">
            <v>7400.2587706190443</v>
          </cell>
          <cell r="BI271">
            <v>7482.4486733251497</v>
          </cell>
          <cell r="BJ271">
            <v>7573.7928953437367</v>
          </cell>
          <cell r="BK271">
            <v>7672.9781730831974</v>
          </cell>
          <cell r="BL271">
            <v>7792.805945006894</v>
          </cell>
          <cell r="BM271">
            <v>7931.1206139847109</v>
          </cell>
          <cell r="BN271">
            <v>8203.3808221366671</v>
          </cell>
          <cell r="BO271">
            <v>8351.6246059949717</v>
          </cell>
          <cell r="BP271">
            <v>8621.8834553659835</v>
          </cell>
          <cell r="BQ271">
            <v>8737.1489708926201</v>
          </cell>
          <cell r="BR271">
            <v>8878.2307460788052</v>
          </cell>
          <cell r="BS271">
            <v>9086.3867104977689</v>
          </cell>
          <cell r="BT271">
            <v>9291.0206294470881</v>
          </cell>
          <cell r="BU271">
            <v>9424.4509057450923</v>
          </cell>
          <cell r="BV271">
            <v>9518.6562262053831</v>
          </cell>
        </row>
        <row r="359">
          <cell r="N359">
            <v>2774.545596205131</v>
          </cell>
          <cell r="Z359">
            <v>6988.6782999325487</v>
          </cell>
          <cell r="AL359">
            <v>9993.3300772222883</v>
          </cell>
          <cell r="AX359">
            <v>12768.535256297051</v>
          </cell>
          <cell r="BJ359">
            <v>15893.400296880107</v>
          </cell>
          <cell r="BV359">
            <v>19971.916655751833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20</v>
          </cell>
          <cell r="J447">
            <v>0</v>
          </cell>
          <cell r="K447">
            <v>42</v>
          </cell>
          <cell r="L447">
            <v>78</v>
          </cell>
          <cell r="M447">
            <v>98</v>
          </cell>
          <cell r="N447">
            <v>108</v>
          </cell>
          <cell r="O447">
            <v>30</v>
          </cell>
          <cell r="P447">
            <v>24</v>
          </cell>
          <cell r="Q447">
            <v>48</v>
          </cell>
          <cell r="R447">
            <v>88</v>
          </cell>
          <cell r="S447">
            <v>66</v>
          </cell>
          <cell r="T447">
            <v>92</v>
          </cell>
          <cell r="U447">
            <v>78</v>
          </cell>
          <cell r="V447">
            <v>32</v>
          </cell>
          <cell r="W447">
            <v>94</v>
          </cell>
          <cell r="X447">
            <v>74</v>
          </cell>
          <cell r="Y447">
            <v>80</v>
          </cell>
          <cell r="Z447">
            <v>72</v>
          </cell>
          <cell r="AA447">
            <v>32</v>
          </cell>
          <cell r="AB447">
            <v>24</v>
          </cell>
          <cell r="AC447">
            <v>70</v>
          </cell>
          <cell r="AD447">
            <v>52</v>
          </cell>
          <cell r="AE447">
            <v>74</v>
          </cell>
          <cell r="AF447">
            <v>64</v>
          </cell>
          <cell r="AG447">
            <v>26</v>
          </cell>
          <cell r="AH447">
            <v>18</v>
          </cell>
          <cell r="AI447">
            <v>84</v>
          </cell>
          <cell r="AJ447">
            <v>60</v>
          </cell>
          <cell r="AK447">
            <v>16</v>
          </cell>
          <cell r="AL447">
            <v>18</v>
          </cell>
          <cell r="AM447">
            <v>18</v>
          </cell>
          <cell r="AN447">
            <v>16</v>
          </cell>
          <cell r="AO447">
            <v>8</v>
          </cell>
          <cell r="AP447">
            <v>56</v>
          </cell>
          <cell r="AQ447">
            <v>30</v>
          </cell>
          <cell r="AR447">
            <v>38</v>
          </cell>
          <cell r="AS447">
            <v>10</v>
          </cell>
          <cell r="AT447">
            <v>48</v>
          </cell>
          <cell r="AU447">
            <v>28</v>
          </cell>
          <cell r="AV447">
            <v>36</v>
          </cell>
          <cell r="AW447">
            <v>34</v>
          </cell>
          <cell r="AX447">
            <v>16</v>
          </cell>
          <cell r="AY447">
            <v>14</v>
          </cell>
          <cell r="AZ447">
            <v>14</v>
          </cell>
          <cell r="BA447">
            <v>48</v>
          </cell>
          <cell r="BB447">
            <v>44</v>
          </cell>
          <cell r="BC447">
            <v>14</v>
          </cell>
          <cell r="BD447">
            <v>44</v>
          </cell>
          <cell r="BE447">
            <v>12</v>
          </cell>
          <cell r="BF447">
            <v>12</v>
          </cell>
          <cell r="BG447">
            <v>20</v>
          </cell>
          <cell r="BH447">
            <v>22</v>
          </cell>
          <cell r="BI447">
            <v>6</v>
          </cell>
          <cell r="BJ447">
            <v>8</v>
          </cell>
          <cell r="BK447">
            <v>8</v>
          </cell>
          <cell r="BL447">
            <v>6</v>
          </cell>
          <cell r="BM447">
            <v>4</v>
          </cell>
          <cell r="BN447">
            <v>38</v>
          </cell>
          <cell r="BO447">
            <v>2</v>
          </cell>
          <cell r="BP447">
            <v>40</v>
          </cell>
          <cell r="BQ447">
            <v>2</v>
          </cell>
          <cell r="BR447">
            <v>10</v>
          </cell>
          <cell r="BS447">
            <v>20</v>
          </cell>
          <cell r="BT447">
            <v>26</v>
          </cell>
          <cell r="BU447">
            <v>4</v>
          </cell>
          <cell r="BV447">
            <v>6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20</v>
          </cell>
          <cell r="J535">
            <v>19.414289392464447</v>
          </cell>
          <cell r="K535">
            <v>60.845731630717879</v>
          </cell>
          <cell r="L535">
            <v>137.50334987083576</v>
          </cell>
          <cell r="M535">
            <v>231.47649134128471</v>
          </cell>
          <cell r="N535">
            <v>333.57661504677264</v>
          </cell>
          <cell r="O535">
            <v>356.41413382079236</v>
          </cell>
          <cell r="P535">
            <v>371.97826164963885</v>
          </cell>
          <cell r="Q535">
            <v>413.03821783473433</v>
          </cell>
          <cell r="R535">
            <v>494.20766877811838</v>
          </cell>
          <cell r="S535">
            <v>549.9409915091876</v>
          </cell>
          <cell r="T535">
            <v>605.84561802245332</v>
          </cell>
          <cell r="U535">
            <v>666.84279728328295</v>
          </cell>
          <cell r="V535">
            <v>679.87028673646762</v>
          </cell>
          <cell r="W535">
            <v>758.35023008206849</v>
          </cell>
          <cell r="X535">
            <v>815.47137402822057</v>
          </cell>
          <cell r="Y535">
            <v>871.20041350502811</v>
          </cell>
          <cell r="Z535">
            <v>928.19206199125608</v>
          </cell>
          <cell r="AA535">
            <v>941.03791119484299</v>
          </cell>
          <cell r="AB535">
            <v>953.87129929539765</v>
          </cell>
          <cell r="AC535">
            <v>1010.6215461015893</v>
          </cell>
          <cell r="AD535">
            <v>1058.0558327983786</v>
          </cell>
          <cell r="AE535">
            <v>1108.8284104619429</v>
          </cell>
          <cell r="AF535">
            <v>1171.8804844757608</v>
          </cell>
          <cell r="AG535">
            <v>1183.4431618098554</v>
          </cell>
          <cell r="AH535">
            <v>1175.7820451900136</v>
          </cell>
          <cell r="AI535">
            <v>1253.6779817335239</v>
          </cell>
          <cell r="AJ535">
            <v>1308.0047171659826</v>
          </cell>
          <cell r="AK535">
            <v>1297.7585376188119</v>
          </cell>
          <cell r="AL535">
            <v>1313.0919225028858</v>
          </cell>
          <cell r="AM535">
            <v>1496.8374246573894</v>
          </cell>
          <cell r="AN535">
            <v>1497.934369893554</v>
          </cell>
          <cell r="AO535">
            <v>1518.5835666428775</v>
          </cell>
          <cell r="AP535">
            <v>1572.8106581875304</v>
          </cell>
          <cell r="AQ535">
            <v>1588.1331599341668</v>
          </cell>
          <cell r="AR535">
            <v>1641.6286821741028</v>
          </cell>
          <cell r="AS535">
            <v>1652.7802870070477</v>
          </cell>
          <cell r="AT535">
            <v>1688.2223758360062</v>
          </cell>
          <cell r="AU535">
            <v>1737.525927421138</v>
          </cell>
          <cell r="AV535">
            <v>1779.7842655891513</v>
          </cell>
          <cell r="AW535">
            <v>1803.1751258688239</v>
          </cell>
          <cell r="AX535">
            <v>1848.3377213334559</v>
          </cell>
          <cell r="AY535">
            <v>1872.7812169946426</v>
          </cell>
          <cell r="AZ535">
            <v>1883.1962496466094</v>
          </cell>
          <cell r="BA535">
            <v>1965.0499957578638</v>
          </cell>
          <cell r="BB535">
            <v>2025.9616167692309</v>
          </cell>
          <cell r="BC535">
            <v>2035.5586199671654</v>
          </cell>
          <cell r="BD535">
            <v>2119.3977568320943</v>
          </cell>
          <cell r="BE535">
            <v>2153.8878100897041</v>
          </cell>
          <cell r="BF535">
            <v>2163.7394305076923</v>
          </cell>
          <cell r="BG535">
            <v>2231.8488638409954</v>
          </cell>
          <cell r="BH535">
            <v>2278.2083659022833</v>
          </cell>
          <cell r="BI535">
            <v>2283.5916159849749</v>
          </cell>
          <cell r="BJ535">
            <v>2347.3530375256296</v>
          </cell>
          <cell r="BK535">
            <v>2384.8524882324723</v>
          </cell>
          <cell r="BL535">
            <v>2393.0063193555811</v>
          </cell>
          <cell r="BM535">
            <v>2462.7374342742801</v>
          </cell>
          <cell r="BN535">
            <v>2536.2477234412036</v>
          </cell>
          <cell r="BO535">
            <v>2543.3574526306711</v>
          </cell>
          <cell r="BP535">
            <v>2658.489475474737</v>
          </cell>
          <cell r="BQ535">
            <v>2706.1126041934299</v>
          </cell>
          <cell r="BR535">
            <v>2726.6801019817149</v>
          </cell>
          <cell r="BS535">
            <v>2837.7373260925651</v>
          </cell>
          <cell r="BT535">
            <v>2922.6903219850551</v>
          </cell>
          <cell r="BU535">
            <v>2943.2931262872207</v>
          </cell>
          <cell r="BV535">
            <v>3057.7683841156686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11.669900000000002</v>
          </cell>
          <cell r="J623">
            <v>11.328140789056045</v>
          </cell>
          <cell r="K623">
            <v>35.503180177865737</v>
          </cell>
          <cell r="L623">
            <v>79.421707132883313</v>
          </cell>
          <cell r="M623">
            <v>133.22957031606774</v>
          </cell>
          <cell r="N623">
            <v>191.91246452066886</v>
          </cell>
          <cell r="O623">
            <v>204.89357242993174</v>
          </cell>
          <cell r="P623">
            <v>213.77258244178773</v>
          </cell>
          <cell r="Q623">
            <v>237.36842214290462</v>
          </cell>
          <cell r="R623">
            <v>283.95148703631793</v>
          </cell>
          <cell r="S623">
            <v>315.83977851567101</v>
          </cell>
          <cell r="T623">
            <v>365.05913858282179</v>
          </cell>
          <cell r="U623">
            <v>407.38483356801925</v>
          </cell>
          <cell r="V623">
            <v>420.27401208121728</v>
          </cell>
          <cell r="W623">
            <v>474.2828709967078</v>
          </cell>
          <cell r="X623">
            <v>521.93249236998702</v>
          </cell>
          <cell r="Y623">
            <v>570.27451137430546</v>
          </cell>
          <cell r="Z623">
            <v>619.20231524974668</v>
          </cell>
          <cell r="AA623">
            <v>633.92745262451683</v>
          </cell>
          <cell r="AB623">
            <v>640.90580214150884</v>
          </cell>
          <cell r="AC623">
            <v>682.71868031270606</v>
          </cell>
          <cell r="AD623">
            <v>717.13765786545878</v>
          </cell>
          <cell r="AE623">
            <v>756.92199220630062</v>
          </cell>
          <cell r="AF623">
            <v>800.44479517417994</v>
          </cell>
          <cell r="AG623">
            <v>819.23943387587929</v>
          </cell>
          <cell r="AH623">
            <v>820.04711604085469</v>
          </cell>
          <cell r="AI623">
            <v>880.78176311237507</v>
          </cell>
          <cell r="AJ623">
            <v>922.91107184999305</v>
          </cell>
          <cell r="AK623">
            <v>933.63370640887672</v>
          </cell>
          <cell r="AL623">
            <v>960.59465541826137</v>
          </cell>
          <cell r="AM623">
            <v>969.75687851507143</v>
          </cell>
          <cell r="AN623">
            <v>969.71095826218311</v>
          </cell>
          <cell r="AO623">
            <v>990.24152817889046</v>
          </cell>
          <cell r="AP623">
            <v>1029.4704698717758</v>
          </cell>
          <cell r="AQ623">
            <v>1045.4007879386888</v>
          </cell>
          <cell r="AR623">
            <v>1086.8713332504972</v>
          </cell>
          <cell r="AS623">
            <v>1099.9637483600336</v>
          </cell>
          <cell r="AT623">
            <v>1119.6500290819431</v>
          </cell>
          <cell r="AU623">
            <v>1166.9112400776901</v>
          </cell>
          <cell r="AV623">
            <v>1213.511519137191</v>
          </cell>
          <cell r="AW623">
            <v>1244.0154560487993</v>
          </cell>
          <cell r="AX623">
            <v>1292.0443264615519</v>
          </cell>
          <cell r="AY623">
            <v>1310.6448406593793</v>
          </cell>
          <cell r="AZ623">
            <v>1316.6563578724292</v>
          </cell>
          <cell r="BA623">
            <v>1377.771545380105</v>
          </cell>
          <cell r="BB623">
            <v>1434.1531702208742</v>
          </cell>
          <cell r="BC623">
            <v>1454.5544357633187</v>
          </cell>
          <cell r="BD623">
            <v>1526.7317461152556</v>
          </cell>
          <cell r="BE623">
            <v>1560.241760000293</v>
          </cell>
          <cell r="BF623">
            <v>1569.8877435986622</v>
          </cell>
          <cell r="BG623">
            <v>1639.8869770740819</v>
          </cell>
          <cell r="BH623">
            <v>1695.4873400373599</v>
          </cell>
          <cell r="BI623">
            <v>1720.1362797590782</v>
          </cell>
          <cell r="BJ623">
            <v>1785.2754891118655</v>
          </cell>
          <cell r="BK623">
            <v>1815.9985360312583</v>
          </cell>
          <cell r="BL623">
            <v>1822.7882635369228</v>
          </cell>
          <cell r="BM623">
            <v>1891.4294459045504</v>
          </cell>
          <cell r="BN623">
            <v>1960.6862621862597</v>
          </cell>
          <cell r="BO623">
            <v>1981.5913432302139</v>
          </cell>
          <cell r="BP623">
            <v>2083.886267649978</v>
          </cell>
          <cell r="BQ623">
            <v>2130.1512737520957</v>
          </cell>
          <cell r="BR623">
            <v>2148.7136858887816</v>
          </cell>
          <cell r="BS623">
            <v>2260.0192158514237</v>
          </cell>
          <cell r="BT623">
            <v>2351.81495747587</v>
          </cell>
          <cell r="BU623">
            <v>2389.1688138094719</v>
          </cell>
          <cell r="BV623">
            <v>2501.1430768874466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155.83494999999999</v>
          </cell>
          <cell r="J711">
            <v>168.75047539452805</v>
          </cell>
          <cell r="K711">
            <v>476.2910883385361</v>
          </cell>
          <cell r="L711">
            <v>1120.1244231600569</v>
          </cell>
          <cell r="M711">
            <v>1893.8312395685268</v>
          </cell>
          <cell r="N711">
            <v>2714.3551774550433</v>
          </cell>
          <cell r="O711">
            <v>2864.5450557299755</v>
          </cell>
          <cell r="P711">
            <v>2843.1415057327549</v>
          </cell>
          <cell r="Q711">
            <v>3085.2880767532824</v>
          </cell>
          <cell r="R711">
            <v>3603.5712248341952</v>
          </cell>
          <cell r="S711">
            <v>4012.7605609508819</v>
          </cell>
          <cell r="T711">
            <v>4542.3524671714922</v>
          </cell>
          <cell r="U711">
            <v>4961.5946782395804</v>
          </cell>
          <cell r="V711">
            <v>4995.4515501882079</v>
          </cell>
          <cell r="W711">
            <v>5513.2499822105128</v>
          </cell>
          <cell r="X711">
            <v>5995.7649274579844</v>
          </cell>
          <cell r="Y711">
            <v>6468.8127381017475</v>
          </cell>
          <cell r="Z711">
            <v>6943.035768465058</v>
          </cell>
          <cell r="AA711">
            <v>6999.6236308763009</v>
          </cell>
          <cell r="AB711">
            <v>7020.301965351151</v>
          </cell>
          <cell r="AC711">
            <v>7423.0869511736355</v>
          </cell>
          <cell r="AD711">
            <v>7756.8703197960504</v>
          </cell>
          <cell r="AE711">
            <v>8234.7157043881598</v>
          </cell>
          <cell r="AF711">
            <v>8681.5624261587145</v>
          </cell>
          <cell r="AG711">
            <v>8752.2189791496603</v>
          </cell>
          <cell r="AH711">
            <v>8788.8026830191084</v>
          </cell>
          <cell r="AI711">
            <v>9361.2171345306942</v>
          </cell>
          <cell r="AJ711">
            <v>9834.6526312218593</v>
          </cell>
          <cell r="AK711">
            <v>9910.4846524391523</v>
          </cell>
          <cell r="AL711">
            <v>9961.4829156555916</v>
          </cell>
          <cell r="AM711">
            <v>10026.264646390675</v>
          </cell>
          <cell r="AN711">
            <v>10088.286417016436</v>
          </cell>
          <cell r="AO711">
            <v>10149.505394766436</v>
          </cell>
          <cell r="AP711">
            <v>10575.123374553837</v>
          </cell>
          <cell r="AQ711">
            <v>10874.873076864718</v>
          </cell>
          <cell r="AR711">
            <v>11161.586056365837</v>
          </cell>
          <cell r="AS711">
            <v>11261.111535169417</v>
          </cell>
          <cell r="AT711">
            <v>11604.650339809434</v>
          </cell>
          <cell r="AU711">
            <v>11910.969193306919</v>
          </cell>
          <cell r="AV711">
            <v>12227.031581038957</v>
          </cell>
          <cell r="AW711">
            <v>12553.571897918397</v>
          </cell>
          <cell r="AX711">
            <v>12697.220565169448</v>
          </cell>
          <cell r="AY711">
            <v>12841.575785036921</v>
          </cell>
          <cell r="AZ711">
            <v>12983.942344679139</v>
          </cell>
          <cell r="BA711">
            <v>13402.290975823649</v>
          </cell>
          <cell r="BB711">
            <v>13861.982982095409</v>
          </cell>
          <cell r="BC711">
            <v>14055.412822936258</v>
          </cell>
          <cell r="BD711">
            <v>14500.044214367927</v>
          </cell>
          <cell r="BE711">
            <v>14722.177719671547</v>
          </cell>
          <cell r="BF711">
            <v>14918.179139724709</v>
          </cell>
          <cell r="BG711">
            <v>15235.447399998084</v>
          </cell>
          <cell r="BH711">
            <v>15540.246410529977</v>
          </cell>
          <cell r="BI711">
            <v>15668.104654801575</v>
          </cell>
          <cell r="BJ711">
            <v>15803.046787162404</v>
          </cell>
          <cell r="BK711">
            <v>16009.138956443876</v>
          </cell>
          <cell r="BL711">
            <v>16252.771324275791</v>
          </cell>
          <cell r="BM711">
            <v>16504.435694283715</v>
          </cell>
          <cell r="BN711">
            <v>17028.397104851672</v>
          </cell>
          <cell r="BO711">
            <v>17287.320656586129</v>
          </cell>
          <cell r="BP711">
            <v>17804.212885138444</v>
          </cell>
          <cell r="BQ711">
            <v>18084.902459732632</v>
          </cell>
          <cell r="BR711">
            <v>18355.598022454637</v>
          </cell>
          <cell r="BS711">
            <v>18805.070971225832</v>
          </cell>
          <cell r="BT711">
            <v>19245.766103186754</v>
          </cell>
          <cell r="BU711">
            <v>19541.467328675983</v>
          </cell>
          <cell r="BV711">
            <v>19824.848806476744</v>
          </cell>
        </row>
        <row r="799"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40.517086999999997</v>
          </cell>
          <cell r="J799">
            <v>43.875123602577297</v>
          </cell>
          <cell r="K799">
            <v>123.83568296801938</v>
          </cell>
          <cell r="L799">
            <v>291.23235002161482</v>
          </cell>
          <cell r="M799">
            <v>492.39612228781704</v>
          </cell>
          <cell r="N799">
            <v>705.7323461383113</v>
          </cell>
          <cell r="O799">
            <v>744.78171448979367</v>
          </cell>
          <cell r="P799">
            <v>739.21679149051624</v>
          </cell>
          <cell r="Q799">
            <v>802.17489995585345</v>
          </cell>
          <cell r="R799">
            <v>936.92851845689063</v>
          </cell>
          <cell r="S799">
            <v>1043.3177458472294</v>
          </cell>
          <cell r="T799">
            <v>1181.0116414645881</v>
          </cell>
          <cell r="U799">
            <v>1290.0146163422912</v>
          </cell>
          <cell r="V799">
            <v>1298.817403048934</v>
          </cell>
          <cell r="W799">
            <v>1433.4449953747335</v>
          </cell>
          <cell r="X799">
            <v>1558.8988811390755</v>
          </cell>
          <cell r="Y799">
            <v>1681.8913119064546</v>
          </cell>
          <cell r="Z799">
            <v>1805.1892998009148</v>
          </cell>
          <cell r="AA799">
            <v>1819.9021440278389</v>
          </cell>
          <cell r="AB799">
            <v>1825.2785109912995</v>
          </cell>
          <cell r="AC799">
            <v>1930.0026073051456</v>
          </cell>
          <cell r="AD799">
            <v>2016.7862831469731</v>
          </cell>
          <cell r="AE799">
            <v>2141.0260831409223</v>
          </cell>
          <cell r="AF799">
            <v>2257.206230801266</v>
          </cell>
          <cell r="AG799">
            <v>2275.5769345789113</v>
          </cell>
          <cell r="AH799">
            <v>2285.0886975849685</v>
          </cell>
          <cell r="AI799">
            <v>2433.9164549779812</v>
          </cell>
          <cell r="AJ799">
            <v>2561.4182597092199</v>
          </cell>
          <cell r="AK799">
            <v>2587.1599931691449</v>
          </cell>
          <cell r="AL799">
            <v>2604.9426133146849</v>
          </cell>
          <cell r="AM799">
            <v>2623.4992250574537</v>
          </cell>
          <cell r="AN799">
            <v>2639.7866467292774</v>
          </cell>
          <cell r="AO799">
            <v>2657.4097718950434</v>
          </cell>
          <cell r="AP799">
            <v>2771.0750710876391</v>
          </cell>
          <cell r="AQ799">
            <v>2852.3181591933721</v>
          </cell>
          <cell r="AR799">
            <v>2929.9147457415952</v>
          </cell>
          <cell r="AS799">
            <v>2960.8704183049372</v>
          </cell>
          <cell r="AT799">
            <v>3050.5042069726196</v>
          </cell>
          <cell r="AU799">
            <v>3136.7468014508877</v>
          </cell>
          <cell r="AV799">
            <v>3224.4071324068409</v>
          </cell>
          <cell r="AW799">
            <v>3314.9296672703958</v>
          </cell>
          <cell r="AX799">
            <v>3359.7443703069589</v>
          </cell>
          <cell r="AY799">
            <v>3398.2077978410384</v>
          </cell>
          <cell r="AZ799">
            <v>3436.1452263553765</v>
          </cell>
          <cell r="BA799">
            <v>3550.6944899356945</v>
          </cell>
          <cell r="BB799">
            <v>3676.2960514042807</v>
          </cell>
          <cell r="BC799">
            <v>3731.0431455874473</v>
          </cell>
          <cell r="BD799">
            <v>3854.4662978078086</v>
          </cell>
          <cell r="BE799">
            <v>3915.4239850913577</v>
          </cell>
          <cell r="BF799">
            <v>3967.898967520478</v>
          </cell>
          <cell r="BG799">
            <v>4058.5074876436001</v>
          </cell>
          <cell r="BH799">
            <v>4145.6718672994039</v>
          </cell>
          <cell r="BI799">
            <v>4183.1205335159457</v>
          </cell>
          <cell r="BJ799">
            <v>4222.6042780516173</v>
          </cell>
          <cell r="BK799">
            <v>4277.8819663954719</v>
          </cell>
          <cell r="BL799">
            <v>4343.3172465135722</v>
          </cell>
          <cell r="BM799">
            <v>4412.6299980171871</v>
          </cell>
          <cell r="BN799">
            <v>4555.6128506991954</v>
          </cell>
          <cell r="BO799">
            <v>4631.2283034134589</v>
          </cell>
          <cell r="BP799">
            <v>4772.4337319187189</v>
          </cell>
          <cell r="BQ799">
            <v>4847.7529112819384</v>
          </cell>
          <cell r="BR799">
            <v>4922.2146524886157</v>
          </cell>
          <cell r="BS799">
            <v>5048.0853722735656</v>
          </cell>
          <cell r="BT799">
            <v>5167.1974712570545</v>
          </cell>
          <cell r="BU799">
            <v>5246.9640552877445</v>
          </cell>
          <cell r="BV799">
            <v>5320.6841260727451</v>
          </cell>
        </row>
        <row r="887"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60</v>
          </cell>
          <cell r="P887">
            <v>60</v>
          </cell>
          <cell r="Q887">
            <v>180</v>
          </cell>
          <cell r="R887">
            <v>435</v>
          </cell>
          <cell r="S887">
            <v>740</v>
          </cell>
          <cell r="T887">
            <v>1055</v>
          </cell>
          <cell r="U887">
            <v>1105</v>
          </cell>
          <cell r="V887">
            <v>1105</v>
          </cell>
          <cell r="W887">
            <v>1215</v>
          </cell>
          <cell r="X887">
            <v>1420</v>
          </cell>
          <cell r="Y887">
            <v>1580</v>
          </cell>
          <cell r="Z887">
            <v>1785</v>
          </cell>
          <cell r="AA887">
            <v>1945</v>
          </cell>
          <cell r="AB887">
            <v>1945</v>
          </cell>
          <cell r="AC887">
            <v>2150</v>
          </cell>
          <cell r="AD887">
            <v>2320</v>
          </cell>
          <cell r="AE887">
            <v>2550</v>
          </cell>
          <cell r="AF887">
            <v>2720</v>
          </cell>
          <cell r="AG887">
            <v>2720</v>
          </cell>
          <cell r="AH887">
            <v>2975</v>
          </cell>
          <cell r="AI887">
            <v>3200</v>
          </cell>
          <cell r="AJ887">
            <v>3115</v>
          </cell>
          <cell r="AK887">
            <v>2725</v>
          </cell>
          <cell r="AL887">
            <v>2255</v>
          </cell>
          <cell r="AM887">
            <v>2265</v>
          </cell>
          <cell r="AN887">
            <v>2470</v>
          </cell>
          <cell r="AO887">
            <v>2630</v>
          </cell>
          <cell r="AP887">
            <v>2585</v>
          </cell>
          <cell r="AQ887">
            <v>2425</v>
          </cell>
          <cell r="AR887">
            <v>2015</v>
          </cell>
          <cell r="AS887">
            <v>1900</v>
          </cell>
          <cell r="AT887">
            <v>2070</v>
          </cell>
          <cell r="AU887">
            <v>1830</v>
          </cell>
          <cell r="AV887">
            <v>1805</v>
          </cell>
          <cell r="AW887">
            <v>1550</v>
          </cell>
          <cell r="AX887">
            <v>1295</v>
          </cell>
          <cell r="AY887">
            <v>1455</v>
          </cell>
          <cell r="AZ887">
            <v>1675</v>
          </cell>
          <cell r="BA887">
            <v>1610</v>
          </cell>
          <cell r="BB887">
            <v>1635</v>
          </cell>
          <cell r="BC887">
            <v>1380</v>
          </cell>
          <cell r="BD887">
            <v>1060</v>
          </cell>
          <cell r="BE887">
            <v>1280</v>
          </cell>
          <cell r="BF887">
            <v>1440</v>
          </cell>
          <cell r="BG887">
            <v>1000</v>
          </cell>
          <cell r="BH887">
            <v>680</v>
          </cell>
          <cell r="BI887">
            <v>680</v>
          </cell>
          <cell r="BJ887">
            <v>680</v>
          </cell>
          <cell r="BK887">
            <v>680</v>
          </cell>
          <cell r="BL887">
            <v>825</v>
          </cell>
          <cell r="BM887">
            <v>910</v>
          </cell>
          <cell r="BN887">
            <v>705</v>
          </cell>
          <cell r="BO887">
            <v>535</v>
          </cell>
          <cell r="BP887">
            <v>475</v>
          </cell>
          <cell r="BQ887">
            <v>560</v>
          </cell>
          <cell r="BR887">
            <v>425</v>
          </cell>
          <cell r="BS887">
            <v>340</v>
          </cell>
          <cell r="BT887">
            <v>170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</row>
        <row r="975"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59.671296776727992</v>
          </cell>
          <cell r="J975">
            <v>64.61682503495409</v>
          </cell>
          <cell r="K975">
            <v>182.37825907705275</v>
          </cell>
          <cell r="L975">
            <v>424.43476458927307</v>
          </cell>
          <cell r="M975">
            <v>714.59937371017952</v>
          </cell>
          <cell r="N975">
            <v>1023.8569918423391</v>
          </cell>
          <cell r="O975">
            <v>1079.785532901227</v>
          </cell>
          <cell r="P975">
            <v>1071.5014656617177</v>
          </cell>
          <cell r="Q975">
            <v>1162.9432772480527</v>
          </cell>
          <cell r="R975">
            <v>1357.9725129977846</v>
          </cell>
          <cell r="S975">
            <v>1511.7526233116921</v>
          </cell>
          <cell r="T975">
            <v>1710.8994258387042</v>
          </cell>
          <cell r="U975">
            <v>1810.9008937646402</v>
          </cell>
          <cell r="V975">
            <v>1822.9142888899871</v>
          </cell>
          <cell r="W975">
            <v>1902.3495521121272</v>
          </cell>
          <cell r="X975">
            <v>1828.7588027993206</v>
          </cell>
          <cell r="Y975">
            <v>1698.3030884689615</v>
          </cell>
          <cell r="Z975">
            <v>1556.9816509119219</v>
          </cell>
          <cell r="AA975">
            <v>1516.7947936434414</v>
          </cell>
          <cell r="AB975">
            <v>1513.2943636821437</v>
          </cell>
          <cell r="AC975">
            <v>1547.2495954211031</v>
          </cell>
          <cell r="AD975">
            <v>1456.9175662215684</v>
          </cell>
          <cell r="AE975">
            <v>1468.7433082163388</v>
          </cell>
          <cell r="AF975">
            <v>1418.2293805137081</v>
          </cell>
          <cell r="AG975">
            <v>1271.9156285626655</v>
          </cell>
          <cell r="AH975">
            <v>1269.2654513342236</v>
          </cell>
          <cell r="AI975">
            <v>1265.010613608672</v>
          </cell>
          <cell r="AJ975">
            <v>1259.1383323211576</v>
          </cell>
          <cell r="AK975">
            <v>1102.3925595557114</v>
          </cell>
          <cell r="AL975">
            <v>934.47883690787376</v>
          </cell>
          <cell r="AM975">
            <v>934.35497786365204</v>
          </cell>
          <cell r="AN975">
            <v>936.14916550034991</v>
          </cell>
          <cell r="AO975">
            <v>781.52753292496413</v>
          </cell>
          <cell r="AP975">
            <v>809.10597242871222</v>
          </cell>
          <cell r="AQ975">
            <v>731.27321100514655</v>
          </cell>
          <cell r="AR975">
            <v>654.56493235881339</v>
          </cell>
          <cell r="AS975">
            <v>662.22369222148905</v>
          </cell>
          <cell r="AT975">
            <v>764.61175544876789</v>
          </cell>
          <cell r="AU975">
            <v>633.96171667583803</v>
          </cell>
          <cell r="AV975">
            <v>555.60433643104693</v>
          </cell>
          <cell r="AW975">
            <v>634.46917519033252</v>
          </cell>
          <cell r="AX975">
            <v>641.82294933392188</v>
          </cell>
          <cell r="AY975">
            <v>644.94881794808487</v>
          </cell>
          <cell r="AZ975">
            <v>650.24370709636685</v>
          </cell>
          <cell r="BA975">
            <v>758.65402928572303</v>
          </cell>
          <cell r="BB975">
            <v>729.18454580065134</v>
          </cell>
          <cell r="BC975">
            <v>653.62739630620763</v>
          </cell>
          <cell r="BD975">
            <v>668.06171465622572</v>
          </cell>
          <cell r="BE975">
            <v>680.40603752380139</v>
          </cell>
          <cell r="BF975">
            <v>577.0450258299411</v>
          </cell>
          <cell r="BG975">
            <v>531.66808749904305</v>
          </cell>
          <cell r="BH975">
            <v>488.7933824016261</v>
          </cell>
          <cell r="BI975">
            <v>403.3448547662432</v>
          </cell>
          <cell r="BJ975">
            <v>403.21637977333245</v>
          </cell>
          <cell r="BK975">
            <v>405.03158499618934</v>
          </cell>
          <cell r="BL975">
            <v>407.11195960263456</v>
          </cell>
          <cell r="BM975">
            <v>302.2500107403381</v>
          </cell>
          <cell r="BN975">
            <v>298.49524930487746</v>
          </cell>
          <cell r="BO975">
            <v>308.72758889844624</v>
          </cell>
          <cell r="BP975">
            <v>302.58946343470086</v>
          </cell>
          <cell r="BQ975">
            <v>311.55137571816323</v>
          </cell>
          <cell r="BR975">
            <v>310.66965380213691</v>
          </cell>
          <cell r="BS975">
            <v>320.22501855442499</v>
          </cell>
          <cell r="BT975">
            <v>334.06172356223749</v>
          </cell>
          <cell r="BU975">
            <v>336.86474181157234</v>
          </cell>
          <cell r="BV975">
            <v>333.44100966810458</v>
          </cell>
          <cell r="BW975">
            <v>331.83127423373332</v>
          </cell>
          <cell r="BX975">
            <v>331.22789821722426</v>
          </cell>
          <cell r="BY975">
            <v>330.34976862682885</v>
          </cell>
          <cell r="BZ975">
            <v>282.775074252477</v>
          </cell>
          <cell r="CA975">
            <v>287.34643203354125</v>
          </cell>
          <cell r="CB975">
            <v>238.37093675435554</v>
          </cell>
          <cell r="CC975">
            <v>242.07627882246913</v>
          </cell>
          <cell r="CD975">
            <v>239.19473310680516</v>
          </cell>
          <cell r="CE975">
            <v>280.07034279424443</v>
          </cell>
          <cell r="CF975">
            <v>270.25871623583885</v>
          </cell>
          <cell r="CG975">
            <v>270.85700352697859</v>
          </cell>
          <cell r="CH975">
            <v>267.82208686849253</v>
          </cell>
        </row>
        <row r="1063"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157.07963097483838</v>
          </cell>
          <cell r="J1063">
            <v>170.92711009787146</v>
          </cell>
          <cell r="K1063">
            <v>480.65912541574767</v>
          </cell>
          <cell r="L1063">
            <v>1115.5963237496287</v>
          </cell>
          <cell r="M1063">
            <v>1875.0351102032971</v>
          </cell>
          <cell r="N1063">
            <v>2685.5741510384378</v>
          </cell>
        </row>
      </sheetData>
      <sheetData sheetId="12" refreshError="1"/>
      <sheetData sheetId="13">
        <row r="18">
          <cell r="H18">
            <v>5.3015746897568858</v>
          </cell>
        </row>
        <row r="34">
          <cell r="H34">
            <v>6.3593043115962056</v>
          </cell>
        </row>
        <row r="50">
          <cell r="H50">
            <v>7.8463329943630438</v>
          </cell>
        </row>
        <row r="66">
          <cell r="H66">
            <v>7.3197844674227008</v>
          </cell>
        </row>
        <row r="82">
          <cell r="H82">
            <v>7.4278511342739035</v>
          </cell>
        </row>
        <row r="98">
          <cell r="H98">
            <v>7.28539842780883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RANCH"/>
      <sheetName val="UMBM"/>
      <sheetName val="US"/>
      <sheetName val="INDIVIDUAL"/>
      <sheetName val="Indi_Pivot"/>
    </sheetNames>
    <sheetDataSet>
      <sheetData sheetId="0" refreshError="1"/>
      <sheetData sheetId="1">
        <row r="7">
          <cell r="F7">
            <v>9.0122718418783387E-2</v>
          </cell>
        </row>
        <row r="8">
          <cell r="F8">
            <v>2.1657661218910444E-2</v>
          </cell>
        </row>
        <row r="9">
          <cell r="F9">
            <v>5.0344042647680491E-2</v>
          </cell>
        </row>
        <row r="10">
          <cell r="F10">
            <v>6.2266651800769401E-2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8">
          <cell r="W8">
            <v>25754863.375430539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Y22">
            <v>1882.2865947642795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lan"/>
      <sheetName val="Agency Comp Budget"/>
      <sheetName val="Pure Contest Tracking"/>
      <sheetName val="Full Expense Tracking"/>
      <sheetName val="Comp &amp; Incentive Items"/>
      <sheetName val="Comp &amp; Incentive Tracking"/>
      <sheetName val="Assumption"/>
      <sheetName val="Projection"/>
      <sheetName val="MDRT_Projection"/>
      <sheetName val="RSP &amp; MDRT Sum"/>
      <sheetName val="Sheet1"/>
      <sheetName val="Monthly Contest_Tracking_Sum"/>
      <sheetName val="Sheet6"/>
      <sheetName val="Monthly Contest Li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>
            <v>13641.9247</v>
          </cell>
          <cell r="E4">
            <v>13892.638999999999</v>
          </cell>
          <cell r="F4">
            <v>33141.966699999997</v>
          </cell>
          <cell r="G4">
            <v>30639.373500000002</v>
          </cell>
          <cell r="H4">
            <v>27458.014999999999</v>
          </cell>
          <cell r="I4">
            <v>41468.133600000001</v>
          </cell>
          <cell r="J4">
            <v>29747.920999999998</v>
          </cell>
          <cell r="K4">
            <v>31024.388999999999</v>
          </cell>
          <cell r="L4">
            <v>57115.435752778605</v>
          </cell>
          <cell r="M4">
            <v>47631.558536618817</v>
          </cell>
          <cell r="N4">
            <v>53942.523858297791</v>
          </cell>
          <cell r="O4">
            <v>70376.045614909744</v>
          </cell>
        </row>
        <row r="5">
          <cell r="D5">
            <v>4254.7024700000002</v>
          </cell>
          <cell r="E5">
            <v>4245.9432999999999</v>
          </cell>
          <cell r="F5">
            <v>10233.976975</v>
          </cell>
          <cell r="G5">
            <v>9777.6431200000006</v>
          </cell>
          <cell r="H5">
            <v>8583.7165700000005</v>
          </cell>
          <cell r="I5">
            <v>12969.911534999999</v>
          </cell>
          <cell r="J5">
            <v>9370.4067799999993</v>
          </cell>
          <cell r="K5">
            <v>9881.3886650000004</v>
          </cell>
          <cell r="L5">
            <v>18276.939440889153</v>
          </cell>
          <cell r="M5">
            <v>15242.098731718022</v>
          </cell>
          <cell r="N5">
            <v>17261.607634655295</v>
          </cell>
          <cell r="O5">
            <v>22520.334596771118</v>
          </cell>
        </row>
        <row r="14">
          <cell r="D14">
            <v>562</v>
          </cell>
          <cell r="E14">
            <v>543</v>
          </cell>
          <cell r="F14">
            <v>565</v>
          </cell>
          <cell r="G14">
            <v>595</v>
          </cell>
          <cell r="H14">
            <v>651</v>
          </cell>
          <cell r="I14">
            <v>724</v>
          </cell>
          <cell r="J14">
            <v>719</v>
          </cell>
          <cell r="K14">
            <v>784</v>
          </cell>
          <cell r="L14">
            <v>944</v>
          </cell>
          <cell r="M14">
            <v>1060</v>
          </cell>
          <cell r="N14">
            <v>1191</v>
          </cell>
          <cell r="O14">
            <v>1317</v>
          </cell>
        </row>
        <row r="15">
          <cell r="D15">
            <v>204</v>
          </cell>
          <cell r="E15">
            <v>204</v>
          </cell>
          <cell r="F15">
            <v>216</v>
          </cell>
          <cell r="G15">
            <v>235</v>
          </cell>
          <cell r="H15">
            <v>256</v>
          </cell>
          <cell r="I15">
            <v>280</v>
          </cell>
          <cell r="J15">
            <v>282</v>
          </cell>
          <cell r="K15">
            <v>297</v>
          </cell>
          <cell r="L15">
            <v>337</v>
          </cell>
          <cell r="M15">
            <v>350</v>
          </cell>
          <cell r="N15">
            <v>376</v>
          </cell>
          <cell r="O15">
            <v>400</v>
          </cell>
        </row>
        <row r="16">
          <cell r="D16">
            <v>70</v>
          </cell>
          <cell r="E16">
            <v>67</v>
          </cell>
          <cell r="F16">
            <v>68</v>
          </cell>
          <cell r="G16">
            <v>68</v>
          </cell>
          <cell r="H16">
            <v>69</v>
          </cell>
          <cell r="I16">
            <v>75</v>
          </cell>
          <cell r="J16">
            <v>78</v>
          </cell>
          <cell r="K16">
            <v>80</v>
          </cell>
          <cell r="L16">
            <v>96</v>
          </cell>
          <cell r="M16">
            <v>109</v>
          </cell>
          <cell r="N16">
            <v>114</v>
          </cell>
          <cell r="O16">
            <v>119</v>
          </cell>
        </row>
        <row r="17">
          <cell r="D17">
            <v>32</v>
          </cell>
          <cell r="E17">
            <v>33</v>
          </cell>
          <cell r="F17">
            <v>36</v>
          </cell>
          <cell r="G17">
            <v>38</v>
          </cell>
          <cell r="H17">
            <v>38</v>
          </cell>
          <cell r="I17">
            <v>45</v>
          </cell>
          <cell r="J17">
            <v>47</v>
          </cell>
          <cell r="K17">
            <v>50</v>
          </cell>
          <cell r="L17">
            <v>56</v>
          </cell>
          <cell r="M17">
            <v>60</v>
          </cell>
          <cell r="N17">
            <v>62</v>
          </cell>
          <cell r="O17">
            <v>64</v>
          </cell>
        </row>
        <row r="31">
          <cell r="D31">
            <v>12</v>
          </cell>
          <cell r="E31">
            <v>8</v>
          </cell>
          <cell r="F31">
            <v>40</v>
          </cell>
          <cell r="G31">
            <v>49</v>
          </cell>
          <cell r="H31">
            <v>88</v>
          </cell>
          <cell r="I31">
            <v>123</v>
          </cell>
          <cell r="J31">
            <v>73</v>
          </cell>
          <cell r="K31">
            <v>80</v>
          </cell>
          <cell r="L31">
            <v>117</v>
          </cell>
          <cell r="M31">
            <v>116.10000000000001</v>
          </cell>
          <cell r="N31">
            <v>108</v>
          </cell>
          <cell r="O31">
            <v>108</v>
          </cell>
        </row>
        <row r="33">
          <cell r="D33">
            <v>1</v>
          </cell>
          <cell r="E33">
            <v>1</v>
          </cell>
          <cell r="F33">
            <v>14</v>
          </cell>
          <cell r="G33">
            <v>9</v>
          </cell>
          <cell r="H33">
            <v>19</v>
          </cell>
          <cell r="I33">
            <v>20</v>
          </cell>
          <cell r="J33">
            <v>10</v>
          </cell>
          <cell r="K33">
            <v>19</v>
          </cell>
          <cell r="L33">
            <v>36</v>
          </cell>
          <cell r="M33">
            <v>22.5</v>
          </cell>
          <cell r="N33">
            <v>20.7</v>
          </cell>
          <cell r="O33">
            <v>20.7</v>
          </cell>
        </row>
        <row r="35">
          <cell r="D35">
            <v>0</v>
          </cell>
          <cell r="E35">
            <v>0</v>
          </cell>
          <cell r="F35">
            <v>3</v>
          </cell>
          <cell r="G35">
            <v>1</v>
          </cell>
          <cell r="H35">
            <v>6</v>
          </cell>
          <cell r="I35">
            <v>6</v>
          </cell>
          <cell r="J35">
            <v>2</v>
          </cell>
          <cell r="K35">
            <v>5</v>
          </cell>
          <cell r="L35">
            <v>13.5</v>
          </cell>
          <cell r="M35">
            <v>11.700000000000001</v>
          </cell>
          <cell r="N35">
            <v>4.5</v>
          </cell>
          <cell r="O35">
            <v>4.5</v>
          </cell>
        </row>
        <row r="37">
          <cell r="D37">
            <v>0</v>
          </cell>
          <cell r="E37">
            <v>0</v>
          </cell>
          <cell r="F37">
            <v>2</v>
          </cell>
          <cell r="G37">
            <v>2</v>
          </cell>
          <cell r="H37">
            <v>2</v>
          </cell>
          <cell r="I37">
            <v>3</v>
          </cell>
          <cell r="J37">
            <v>2</v>
          </cell>
          <cell r="K37">
            <v>2</v>
          </cell>
          <cell r="L37">
            <v>7</v>
          </cell>
          <cell r="M37">
            <v>4</v>
          </cell>
          <cell r="N37">
            <v>2</v>
          </cell>
          <cell r="O37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>
        <row r="45">
          <cell r="S45">
            <v>34321.297796595798</v>
          </cell>
        </row>
        <row r="46">
          <cell r="S46">
            <v>32250.92796261872</v>
          </cell>
        </row>
        <row r="47">
          <cell r="S47">
            <v>70684.424538215841</v>
          </cell>
        </row>
        <row r="48">
          <cell r="S48">
            <v>70401.181392558297</v>
          </cell>
        </row>
        <row r="49">
          <cell r="S49">
            <v>81385.213666934636</v>
          </cell>
        </row>
        <row r="50">
          <cell r="S50">
            <v>88189.814000671846</v>
          </cell>
        </row>
        <row r="51">
          <cell r="S51">
            <v>82962.854586778689</v>
          </cell>
        </row>
        <row r="52">
          <cell r="S52">
            <v>92166.847510437743</v>
          </cell>
        </row>
        <row r="53">
          <cell r="S53">
            <v>101894.627425999</v>
          </cell>
        </row>
        <row r="54">
          <cell r="S54">
            <v>96015.437422263494</v>
          </cell>
        </row>
        <row r="55">
          <cell r="S55">
            <v>104828.68554601222</v>
          </cell>
        </row>
        <row r="56">
          <cell r="S56">
            <v>112845.20900166998</v>
          </cell>
        </row>
        <row r="60">
          <cell r="S60">
            <v>47263.622369885292</v>
          </cell>
        </row>
        <row r="61">
          <cell r="S61">
            <v>43882.836063481911</v>
          </cell>
        </row>
        <row r="62">
          <cell r="S62">
            <v>100136.60504735899</v>
          </cell>
        </row>
        <row r="63">
          <cell r="S63">
            <v>98265.176335136173</v>
          </cell>
        </row>
        <row r="64">
          <cell r="S64">
            <v>113451.8404682462</v>
          </cell>
        </row>
        <row r="65">
          <cell r="S65">
            <v>121633.20845398761</v>
          </cell>
        </row>
        <row r="66">
          <cell r="S66">
            <v>115675.67310345649</v>
          </cell>
        </row>
        <row r="67">
          <cell r="S67">
            <v>128253.26564032436</v>
          </cell>
        </row>
        <row r="68">
          <cell r="S68">
            <v>141594.15261520579</v>
          </cell>
        </row>
        <row r="69">
          <cell r="S69">
            <v>135169.86425313604</v>
          </cell>
        </row>
        <row r="70">
          <cell r="S70">
            <v>146816.36621835019</v>
          </cell>
        </row>
        <row r="71">
          <cell r="S71">
            <v>158519.15773317625</v>
          </cell>
        </row>
        <row r="75">
          <cell r="S75">
            <v>62906.017346450491</v>
          </cell>
        </row>
        <row r="76">
          <cell r="S76">
            <v>58606.205861667389</v>
          </cell>
        </row>
        <row r="77">
          <cell r="S77">
            <v>131837.47078280666</v>
          </cell>
        </row>
        <row r="78">
          <cell r="S78">
            <v>130927.02075911182</v>
          </cell>
        </row>
        <row r="79">
          <cell r="S79">
            <v>149857.68304294563</v>
          </cell>
        </row>
        <row r="80">
          <cell r="S80">
            <v>158698.2168866914</v>
          </cell>
        </row>
        <row r="81">
          <cell r="S81">
            <v>151427.29952664426</v>
          </cell>
        </row>
        <row r="82">
          <cell r="S82">
            <v>166400.77403503735</v>
          </cell>
        </row>
        <row r="83">
          <cell r="S83">
            <v>183137.02266460669</v>
          </cell>
        </row>
        <row r="84">
          <cell r="S84">
            <v>173291.11433310361</v>
          </cell>
        </row>
        <row r="85">
          <cell r="S85">
            <v>186366.30331545442</v>
          </cell>
        </row>
        <row r="86">
          <cell r="S86">
            <v>199889.55689179816</v>
          </cell>
        </row>
        <row r="90">
          <cell r="S90">
            <v>81401.598139586975</v>
          </cell>
        </row>
        <row r="91">
          <cell r="S91">
            <v>75470.280181445152</v>
          </cell>
        </row>
        <row r="92">
          <cell r="S92">
            <v>169434.38471165992</v>
          </cell>
        </row>
        <row r="93">
          <cell r="S93">
            <v>168467.63540539288</v>
          </cell>
        </row>
        <row r="94">
          <cell r="S94">
            <v>192799.16214823214</v>
          </cell>
        </row>
        <row r="95">
          <cell r="S95">
            <v>204254.70715070594</v>
          </cell>
        </row>
        <row r="96">
          <cell r="S96">
            <v>194993.01011496337</v>
          </cell>
        </row>
        <row r="97">
          <cell r="S97">
            <v>216572.4955398695</v>
          </cell>
        </row>
        <row r="98">
          <cell r="S98">
            <v>238603.77049330593</v>
          </cell>
        </row>
        <row r="99">
          <cell r="S99">
            <v>226364.87782416897</v>
          </cell>
        </row>
        <row r="100">
          <cell r="S100">
            <v>245014.36622881636</v>
          </cell>
        </row>
        <row r="101">
          <cell r="S101">
            <v>263434.16988250619</v>
          </cell>
        </row>
        <row r="105">
          <cell r="S105">
            <v>104329.76892462958</v>
          </cell>
        </row>
        <row r="106">
          <cell r="S106">
            <v>96851.466058082238</v>
          </cell>
        </row>
        <row r="107">
          <cell r="S107">
            <v>217730.72621455471</v>
          </cell>
        </row>
        <row r="108">
          <cell r="S108">
            <v>217026.59580959508</v>
          </cell>
        </row>
        <row r="109">
          <cell r="S109">
            <v>248741.56737455723</v>
          </cell>
        </row>
        <row r="110">
          <cell r="S110">
            <v>263956.73104074755</v>
          </cell>
        </row>
        <row r="111">
          <cell r="S111">
            <v>252373.30016577523</v>
          </cell>
        </row>
        <row r="112">
          <cell r="S112">
            <v>280154.88038704911</v>
          </cell>
        </row>
        <row r="113">
          <cell r="S113">
            <v>308717.89028989204</v>
          </cell>
        </row>
        <row r="114">
          <cell r="S114">
            <v>296198.63401163981</v>
          </cell>
        </row>
        <row r="115">
          <cell r="S115">
            <v>323683.35146853433</v>
          </cell>
        </row>
        <row r="116">
          <cell r="S116">
            <v>348281.70048459002</v>
          </cell>
        </row>
      </sheetData>
      <sheetData sheetId="7">
        <row r="10">
          <cell r="AL10">
            <v>16</v>
          </cell>
          <cell r="AM10">
            <v>16</v>
          </cell>
          <cell r="AN10">
            <v>49</v>
          </cell>
          <cell r="AO10">
            <v>49</v>
          </cell>
          <cell r="AP10">
            <v>45</v>
          </cell>
          <cell r="AQ10">
            <v>45</v>
          </cell>
          <cell r="AR10">
            <v>45</v>
          </cell>
          <cell r="AS10">
            <v>45</v>
          </cell>
          <cell r="AT10">
            <v>45</v>
          </cell>
          <cell r="AU10">
            <v>45</v>
          </cell>
          <cell r="AV10">
            <v>45</v>
          </cell>
          <cell r="AW10">
            <v>45</v>
          </cell>
          <cell r="AX10">
            <v>16</v>
          </cell>
          <cell r="AY10">
            <v>16</v>
          </cell>
          <cell r="AZ10">
            <v>49</v>
          </cell>
          <cell r="BA10">
            <v>33</v>
          </cell>
          <cell r="BB10">
            <v>33</v>
          </cell>
          <cell r="BC10">
            <v>33</v>
          </cell>
          <cell r="BD10">
            <v>33</v>
          </cell>
          <cell r="BE10">
            <v>33</v>
          </cell>
          <cell r="BF10">
            <v>33</v>
          </cell>
          <cell r="BG10">
            <v>33</v>
          </cell>
          <cell r="BH10">
            <v>33</v>
          </cell>
          <cell r="BI10">
            <v>33</v>
          </cell>
          <cell r="BJ10">
            <v>16</v>
          </cell>
          <cell r="BK10">
            <v>16</v>
          </cell>
          <cell r="BL10">
            <v>16</v>
          </cell>
          <cell r="BM10">
            <v>16</v>
          </cell>
          <cell r="BN10">
            <v>16</v>
          </cell>
          <cell r="BO10">
            <v>16</v>
          </cell>
          <cell r="BP10">
            <v>16</v>
          </cell>
          <cell r="BQ10">
            <v>16</v>
          </cell>
          <cell r="BR10">
            <v>16</v>
          </cell>
          <cell r="BS10">
            <v>16</v>
          </cell>
          <cell r="BT10">
            <v>16</v>
          </cell>
          <cell r="BU10">
            <v>16</v>
          </cell>
          <cell r="BV10">
            <v>16</v>
          </cell>
          <cell r="BW10">
            <v>16</v>
          </cell>
          <cell r="BX10">
            <v>16</v>
          </cell>
          <cell r="BY10">
            <v>16</v>
          </cell>
          <cell r="BZ10">
            <v>16</v>
          </cell>
          <cell r="CA10">
            <v>16</v>
          </cell>
          <cell r="CB10">
            <v>16</v>
          </cell>
          <cell r="CC10">
            <v>16</v>
          </cell>
          <cell r="CD10">
            <v>16</v>
          </cell>
          <cell r="CE10">
            <v>16</v>
          </cell>
          <cell r="CF10">
            <v>16</v>
          </cell>
          <cell r="CG10">
            <v>16</v>
          </cell>
          <cell r="CH10">
            <v>16</v>
          </cell>
          <cell r="CI10">
            <v>16</v>
          </cell>
          <cell r="CJ10">
            <v>16</v>
          </cell>
          <cell r="CK10">
            <v>16</v>
          </cell>
          <cell r="CL10">
            <v>16</v>
          </cell>
          <cell r="CM10">
            <v>16</v>
          </cell>
          <cell r="CN10">
            <v>16</v>
          </cell>
          <cell r="CO10">
            <v>16</v>
          </cell>
          <cell r="CP10">
            <v>16</v>
          </cell>
          <cell r="CQ10">
            <v>16</v>
          </cell>
          <cell r="CR10">
            <v>16</v>
          </cell>
          <cell r="CS10">
            <v>16</v>
          </cell>
        </row>
        <row r="11">
          <cell r="AL11">
            <v>2</v>
          </cell>
          <cell r="AM11">
            <v>2</v>
          </cell>
          <cell r="AN11">
            <v>7</v>
          </cell>
          <cell r="AO11">
            <v>7</v>
          </cell>
          <cell r="AP11">
            <v>7</v>
          </cell>
          <cell r="AQ11">
            <v>7</v>
          </cell>
          <cell r="AR11">
            <v>7</v>
          </cell>
          <cell r="AS11">
            <v>7</v>
          </cell>
          <cell r="AT11">
            <v>7</v>
          </cell>
          <cell r="AU11">
            <v>7</v>
          </cell>
          <cell r="AV11">
            <v>7</v>
          </cell>
          <cell r="AW11">
            <v>7</v>
          </cell>
          <cell r="AX11">
            <v>2</v>
          </cell>
          <cell r="AY11">
            <v>2</v>
          </cell>
          <cell r="AZ11">
            <v>7</v>
          </cell>
          <cell r="BA11">
            <v>5</v>
          </cell>
          <cell r="BB11">
            <v>5</v>
          </cell>
          <cell r="BC11">
            <v>5</v>
          </cell>
          <cell r="BD11">
            <v>5</v>
          </cell>
          <cell r="BE11">
            <v>5</v>
          </cell>
          <cell r="BF11">
            <v>5</v>
          </cell>
          <cell r="BG11">
            <v>5</v>
          </cell>
          <cell r="BH11">
            <v>5</v>
          </cell>
          <cell r="BI11">
            <v>5</v>
          </cell>
          <cell r="BJ11">
            <v>2</v>
          </cell>
          <cell r="BK11">
            <v>2</v>
          </cell>
          <cell r="BL11">
            <v>2</v>
          </cell>
          <cell r="BM11">
            <v>2</v>
          </cell>
          <cell r="BN11">
            <v>2</v>
          </cell>
          <cell r="BO11">
            <v>2</v>
          </cell>
          <cell r="BP11">
            <v>2</v>
          </cell>
          <cell r="BQ11">
            <v>2</v>
          </cell>
          <cell r="BR11">
            <v>2</v>
          </cell>
          <cell r="BS11">
            <v>2</v>
          </cell>
          <cell r="BT11">
            <v>2</v>
          </cell>
          <cell r="BU11">
            <v>2</v>
          </cell>
          <cell r="BV11">
            <v>2</v>
          </cell>
          <cell r="BW11">
            <v>2</v>
          </cell>
          <cell r="BX11">
            <v>2</v>
          </cell>
          <cell r="BY11">
            <v>2</v>
          </cell>
          <cell r="BZ11">
            <v>2</v>
          </cell>
          <cell r="CA11">
            <v>2</v>
          </cell>
          <cell r="CB11">
            <v>2</v>
          </cell>
          <cell r="CC11">
            <v>2</v>
          </cell>
          <cell r="CD11">
            <v>2</v>
          </cell>
          <cell r="CE11">
            <v>2</v>
          </cell>
          <cell r="CF11">
            <v>2</v>
          </cell>
          <cell r="CG11">
            <v>2</v>
          </cell>
          <cell r="CH11">
            <v>2</v>
          </cell>
          <cell r="CI11">
            <v>2</v>
          </cell>
          <cell r="CJ11">
            <v>2</v>
          </cell>
          <cell r="CK11">
            <v>2</v>
          </cell>
          <cell r="CL11">
            <v>2</v>
          </cell>
          <cell r="CM11">
            <v>2</v>
          </cell>
          <cell r="CN11">
            <v>2</v>
          </cell>
          <cell r="CO11">
            <v>2</v>
          </cell>
          <cell r="CP11">
            <v>2</v>
          </cell>
          <cell r="CQ11">
            <v>2</v>
          </cell>
          <cell r="CR11">
            <v>2</v>
          </cell>
          <cell r="CS11">
            <v>2</v>
          </cell>
        </row>
        <row r="12">
          <cell r="AL12">
            <v>1</v>
          </cell>
          <cell r="AM12">
            <v>1</v>
          </cell>
          <cell r="AN12">
            <v>2</v>
          </cell>
          <cell r="AO12">
            <v>2</v>
          </cell>
          <cell r="AP12">
            <v>2</v>
          </cell>
          <cell r="AQ12">
            <v>2</v>
          </cell>
          <cell r="AR12">
            <v>2</v>
          </cell>
          <cell r="AS12">
            <v>2</v>
          </cell>
          <cell r="AT12">
            <v>2</v>
          </cell>
          <cell r="AU12">
            <v>2</v>
          </cell>
          <cell r="AV12">
            <v>2</v>
          </cell>
          <cell r="AW12">
            <v>2</v>
          </cell>
          <cell r="AX12">
            <v>1</v>
          </cell>
          <cell r="AY12">
            <v>1</v>
          </cell>
          <cell r="AZ12">
            <v>2</v>
          </cell>
          <cell r="BA12">
            <v>2</v>
          </cell>
          <cell r="BB12">
            <v>2</v>
          </cell>
          <cell r="BC12">
            <v>2</v>
          </cell>
          <cell r="BD12">
            <v>2</v>
          </cell>
          <cell r="BE12">
            <v>2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1</v>
          </cell>
        </row>
        <row r="13">
          <cell r="AL13">
            <v>0</v>
          </cell>
          <cell r="AM13">
            <v>0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  <cell r="AU13">
            <v>1</v>
          </cell>
          <cell r="AV13">
            <v>1</v>
          </cell>
          <cell r="AW13">
            <v>1</v>
          </cell>
          <cell r="AX13">
            <v>0</v>
          </cell>
          <cell r="AY13">
            <v>0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W63"/>
  <sheetViews>
    <sheetView showGridLines="0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24" sqref="P24"/>
    </sheetView>
  </sheetViews>
  <sheetFormatPr defaultRowHeight="15"/>
  <cols>
    <col min="1" max="1" width="2.140625" customWidth="1"/>
    <col min="2" max="2" width="28.42578125" customWidth="1"/>
    <col min="3" max="4" width="9.5703125" style="442" customWidth="1"/>
    <col min="5" max="5" width="11.5703125" style="442" customWidth="1"/>
    <col min="6" max="7" width="9.5703125" style="442" customWidth="1"/>
    <col min="8" max="8" width="11.28515625" style="442" hidden="1" customWidth="1"/>
    <col min="9" max="12" width="12.5703125" style="442" hidden="1" customWidth="1"/>
    <col min="13" max="13" width="2.28515625" customWidth="1"/>
    <col min="14" max="15" width="9.5703125" style="583" customWidth="1"/>
    <col min="16" max="16" width="11.5703125" style="583" customWidth="1"/>
    <col min="17" max="18" width="9.5703125" style="583" customWidth="1"/>
    <col min="19" max="23" width="10.42578125" style="583" hidden="1" customWidth="1"/>
  </cols>
  <sheetData>
    <row r="2" spans="2:23">
      <c r="C2" s="1114" t="s">
        <v>760</v>
      </c>
      <c r="F2" s="464">
        <f>F5/E5-1</f>
        <v>0.58561690226094187</v>
      </c>
      <c r="N2" s="1122" t="s">
        <v>761</v>
      </c>
    </row>
    <row r="3" spans="2:23" ht="30.75" thickBot="1">
      <c r="C3" s="1115" t="s">
        <v>726</v>
      </c>
      <c r="D3" s="1115" t="s">
        <v>727</v>
      </c>
      <c r="E3" s="1124" t="s">
        <v>1228</v>
      </c>
      <c r="F3" s="1124" t="s">
        <v>1226</v>
      </c>
      <c r="G3" s="1124" t="s">
        <v>1227</v>
      </c>
      <c r="H3" s="1124">
        <v>2018</v>
      </c>
      <c r="I3" s="1124">
        <v>2019</v>
      </c>
      <c r="J3" s="1124">
        <v>2020</v>
      </c>
      <c r="K3" s="1124">
        <v>2021</v>
      </c>
      <c r="L3" s="1124">
        <v>2022</v>
      </c>
      <c r="N3" s="1123" t="s">
        <v>726</v>
      </c>
      <c r="O3" s="1123" t="s">
        <v>727</v>
      </c>
      <c r="P3" s="1124" t="s">
        <v>1228</v>
      </c>
      <c r="Q3" s="1124" t="s">
        <v>1226</v>
      </c>
      <c r="R3" s="1124" t="s">
        <v>1227</v>
      </c>
      <c r="S3" s="1125">
        <v>2018</v>
      </c>
      <c r="T3" s="1125">
        <v>2019</v>
      </c>
      <c r="U3" s="1125">
        <v>2020</v>
      </c>
      <c r="V3" s="1125">
        <v>2021</v>
      </c>
      <c r="W3" s="1125">
        <v>2022</v>
      </c>
    </row>
    <row r="5" spans="2:23" s="1126" customFormat="1">
      <c r="B5" s="1126" t="s">
        <v>499</v>
      </c>
      <c r="C5" s="1127">
        <v>121827.155</v>
      </c>
      <c r="D5" s="1127">
        <v>319929.83399999997</v>
      </c>
      <c r="E5" s="1127">
        <v>274069.95832999999</v>
      </c>
      <c r="F5" s="1127">
        <v>434569.95832999999</v>
      </c>
      <c r="G5" s="1127">
        <f>[1]Summary!G22</f>
        <v>700156.68629347836</v>
      </c>
      <c r="H5" s="1127">
        <f>[1]Summary!H22</f>
        <v>967946.52085075621</v>
      </c>
      <c r="I5" s="1127">
        <f>[1]Summary!I22</f>
        <v>1350661.7683017454</v>
      </c>
      <c r="J5" s="1127">
        <f>[1]Summary!J22</f>
        <v>1753344.6854463178</v>
      </c>
      <c r="K5" s="1127">
        <f>[1]Summary!K22</f>
        <v>2276810.457820653</v>
      </c>
      <c r="L5" s="1127">
        <f>[1]Summary!L22</f>
        <v>2958046.6122296471</v>
      </c>
      <c r="N5" s="1128"/>
      <c r="O5" s="1128"/>
      <c r="P5" s="1128"/>
      <c r="Q5" s="1128"/>
      <c r="R5" s="1128"/>
      <c r="S5" s="1128"/>
      <c r="T5" s="1128"/>
      <c r="U5" s="1128"/>
      <c r="V5" s="1128"/>
      <c r="W5" s="1128"/>
    </row>
    <row r="6" spans="2:23" s="1126" customFormat="1">
      <c r="B6" s="1126" t="s">
        <v>206</v>
      </c>
      <c r="C6" s="1127">
        <v>116699.148</v>
      </c>
      <c r="D6" s="1127">
        <v>312309.09950000001</v>
      </c>
      <c r="E6" s="1127">
        <v>271033.51582999999</v>
      </c>
      <c r="F6" s="1127">
        <v>428323.51582999999</v>
      </c>
      <c r="G6" s="1127">
        <f>'Sale Plan &amp; KPIs'!N15</f>
        <v>721081.58529999992</v>
      </c>
      <c r="H6" s="1127">
        <f>H5*98%</f>
        <v>948587.5904337411</v>
      </c>
      <c r="I6" s="1127">
        <f t="shared" ref="I6:L6" si="0">I5*98%</f>
        <v>1323648.5329357104</v>
      </c>
      <c r="J6" s="1127">
        <f t="shared" si="0"/>
        <v>1718277.7917373914</v>
      </c>
      <c r="K6" s="1127">
        <f t="shared" si="0"/>
        <v>2231274.2486642399</v>
      </c>
      <c r="L6" s="1127">
        <f t="shared" si="0"/>
        <v>2898885.6799850543</v>
      </c>
      <c r="N6" s="1128"/>
      <c r="O6" s="1128"/>
      <c r="P6" s="1128"/>
      <c r="Q6" s="1128"/>
      <c r="R6" s="1270"/>
      <c r="S6" s="1128"/>
      <c r="T6" s="1128"/>
      <c r="U6" s="1128"/>
      <c r="V6" s="1128"/>
      <c r="W6" s="1128"/>
    </row>
    <row r="7" spans="2:23" s="1252" customFormat="1">
      <c r="B7" s="1252" t="s">
        <v>1203</v>
      </c>
      <c r="C7" s="1253"/>
      <c r="D7" s="1253"/>
      <c r="E7" s="1253"/>
      <c r="F7" s="1254">
        <f>'GA Cost Projection'!C6</f>
        <v>0.10689622786680239</v>
      </c>
      <c r="G7" s="1254">
        <f>'GA Cost Projection'!D6</f>
        <v>0.61842576018506712</v>
      </c>
      <c r="H7" s="1254">
        <f>'GA Cost Projection'!E6</f>
        <v>0.85610776491493668</v>
      </c>
      <c r="I7" s="1254">
        <f>'GA Cost Projection'!F6</f>
        <v>0.85991821890981623</v>
      </c>
      <c r="J7" s="1254">
        <f>'GA Cost Projection'!G6</f>
        <v>0.91478013993915797</v>
      </c>
      <c r="K7" s="1254">
        <f>'GA Cost Projection'!H6</f>
        <v>0.92974809987159523</v>
      </c>
      <c r="L7" s="1254">
        <f>'GA Cost Projection'!I6</f>
        <v>0.95777370447542065</v>
      </c>
      <c r="N7" s="1255"/>
      <c r="O7" s="1255"/>
      <c r="P7" s="1255"/>
      <c r="Q7" s="1255"/>
      <c r="R7" s="1255"/>
      <c r="S7" s="1255"/>
      <c r="T7" s="1255"/>
      <c r="U7" s="1255"/>
      <c r="V7" s="1255"/>
      <c r="W7" s="1255"/>
    </row>
    <row r="8" spans="2:23" s="1126" customFormat="1">
      <c r="C8" s="1127"/>
      <c r="D8" s="1127"/>
      <c r="E8" s="1127"/>
      <c r="F8" s="1127"/>
      <c r="G8" s="1127"/>
      <c r="H8" s="1127"/>
      <c r="I8" s="1127"/>
      <c r="J8" s="1127"/>
      <c r="K8" s="1127"/>
      <c r="L8" s="1127"/>
      <c r="N8" s="1128"/>
      <c r="O8" s="1128"/>
      <c r="P8" s="1128"/>
      <c r="Q8" s="1128"/>
      <c r="R8" s="1128"/>
      <c r="S8" s="1128"/>
      <c r="T8" s="1128"/>
      <c r="U8" s="1128"/>
      <c r="V8" s="1128"/>
      <c r="W8" s="1128"/>
    </row>
    <row r="9" spans="2:23" s="1126" customFormat="1">
      <c r="B9" s="1126" t="s">
        <v>759</v>
      </c>
      <c r="C9" s="1127">
        <f>C14+C16+C21+C30+C35+C44+C52</f>
        <v>108371.23842452624</v>
      </c>
      <c r="D9" s="1127">
        <f t="shared" ref="D9:L9" si="1">D14+D16+D21+D30+D35+D44+D52</f>
        <v>314761.5980192796</v>
      </c>
      <c r="E9" s="1127">
        <f t="shared" ref="E9" si="2">E14+E16+E21+E30+E35+E44+E52</f>
        <v>254397.98385267542</v>
      </c>
      <c r="F9" s="1127">
        <f t="shared" si="1"/>
        <v>427599.37121665542</v>
      </c>
      <c r="G9" s="1127">
        <f t="shared" si="1"/>
        <v>722782.45947608911</v>
      </c>
      <c r="H9" s="1127">
        <f t="shared" si="1"/>
        <v>200625.24393149611</v>
      </c>
      <c r="I9" s="1127">
        <f t="shared" si="1"/>
        <v>249230.44928728577</v>
      </c>
      <c r="J9" s="1127">
        <f t="shared" si="1"/>
        <v>319349.75249495305</v>
      </c>
      <c r="K9" s="1127">
        <f t="shared" si="1"/>
        <v>402409.26265926362</v>
      </c>
      <c r="L9" s="1127">
        <f t="shared" si="1"/>
        <v>528700.38332099759</v>
      </c>
      <c r="N9" s="1128">
        <f>N14+N16+N21+N30+N35+N44+N52</f>
        <v>0.92863778598046176</v>
      </c>
      <c r="O9" s="1128">
        <f t="shared" ref="O9:W9" si="3">O14+O16+O21+O30+O35+O44+O52</f>
        <v>1.0078527923880731</v>
      </c>
      <c r="P9" s="1128">
        <f t="shared" ref="P9" si="4">P14+P16+P21+P30+P35+P44+P52</f>
        <v>0.93862186406584902</v>
      </c>
      <c r="Q9" s="1128">
        <f>Q14+Q16+Q21+Q30+Q35+Q44+Q52</f>
        <v>0.99830935125767872</v>
      </c>
      <c r="R9" s="1128">
        <f>R14+R16+R21+R30+R35+R44+R52</f>
        <v>1.0023587818781718</v>
      </c>
      <c r="S9" s="1128">
        <f t="shared" si="3"/>
        <v>0.21149891265155635</v>
      </c>
      <c r="T9" s="1128">
        <f t="shared" si="3"/>
        <v>0.18829050392593219</v>
      </c>
      <c r="U9" s="1128">
        <f t="shared" si="3"/>
        <v>0.18585455392055725</v>
      </c>
      <c r="V9" s="1128">
        <f t="shared" si="3"/>
        <v>0.1803495302740877</v>
      </c>
      <c r="W9" s="1128">
        <f t="shared" si="3"/>
        <v>0.18238055642253662</v>
      </c>
    </row>
    <row r="10" spans="2:23" s="1126" customFormat="1">
      <c r="B10" s="1126" t="s">
        <v>1204</v>
      </c>
      <c r="C10" s="1127">
        <f>C14+C16+C21+C30+C35+C44</f>
        <v>105529.13901799999</v>
      </c>
      <c r="D10" s="1127">
        <f t="shared" ref="D10:L10" si="5">D14+D16+D21+D30+D35+D44</f>
        <v>307237.09797727957</v>
      </c>
      <c r="E10" s="1127">
        <f t="shared" ref="E10" si="6">E14+E16+E21+E30+E35+E44</f>
        <v>250100.98385267542</v>
      </c>
      <c r="F10" s="1127">
        <f t="shared" si="5"/>
        <v>412674.7747351554</v>
      </c>
      <c r="G10" s="1127">
        <f>G14+G16+G21+G30+G35+G44</f>
        <v>612788.85190014192</v>
      </c>
      <c r="H10" s="1127">
        <f t="shared" si="5"/>
        <v>0</v>
      </c>
      <c r="I10" s="1127">
        <f t="shared" si="5"/>
        <v>0</v>
      </c>
      <c r="J10" s="1127">
        <f t="shared" si="5"/>
        <v>0</v>
      </c>
      <c r="K10" s="1127">
        <f t="shared" si="5"/>
        <v>0</v>
      </c>
      <c r="L10" s="1127">
        <f t="shared" si="5"/>
        <v>0</v>
      </c>
      <c r="N10" s="1128">
        <f>N14+N16+N21+N30+N35+N44</f>
        <v>0.90428371437638932</v>
      </c>
      <c r="O10" s="1128">
        <f t="shared" ref="O10:W10" si="7">O14+O16+O21+O30+O35+O44</f>
        <v>0.98375967421109212</v>
      </c>
      <c r="P10" s="1128">
        <f t="shared" ref="P10" si="8">P14+P16+P21+P30+P35+P44</f>
        <v>0.92276773625866226</v>
      </c>
      <c r="Q10" s="1128">
        <f t="shared" si="7"/>
        <v>0.96346513670975853</v>
      </c>
      <c r="R10" s="1128">
        <f>R14+R16+R21+R30+R35+R44</f>
        <v>0.8498190279608876</v>
      </c>
      <c r="S10" s="1128">
        <f t="shared" si="7"/>
        <v>0</v>
      </c>
      <c r="T10" s="1128">
        <f t="shared" si="7"/>
        <v>0</v>
      </c>
      <c r="U10" s="1128">
        <f t="shared" si="7"/>
        <v>0</v>
      </c>
      <c r="V10" s="1128">
        <f t="shared" si="7"/>
        <v>0</v>
      </c>
      <c r="W10" s="1128">
        <f t="shared" si="7"/>
        <v>0</v>
      </c>
    </row>
    <row r="11" spans="2:23" s="1126" customFormat="1">
      <c r="B11" s="1126" t="s">
        <v>1206</v>
      </c>
      <c r="C11" s="1127">
        <f>C14+C16+C21+C30+C36+C44</f>
        <v>93969.139017999987</v>
      </c>
      <c r="D11" s="1127">
        <f t="shared" ref="D11:L11" si="9">D14+D16+D21+D30+D36+D44</f>
        <v>269975.13000872405</v>
      </c>
      <c r="E11" s="1127">
        <f t="shared" ref="E11" si="10">E14+E16+E21+E30+E36+E44</f>
        <v>212423.98385267542</v>
      </c>
      <c r="F11" s="1127">
        <f t="shared" si="9"/>
        <v>351835.93712756061</v>
      </c>
      <c r="G11" s="1127">
        <f t="shared" si="9"/>
        <v>571977.05190014187</v>
      </c>
      <c r="H11" s="1127">
        <f t="shared" si="9"/>
        <v>0</v>
      </c>
      <c r="I11" s="1127">
        <f t="shared" si="9"/>
        <v>0</v>
      </c>
      <c r="J11" s="1127">
        <f t="shared" si="9"/>
        <v>0</v>
      </c>
      <c r="K11" s="1127">
        <f t="shared" si="9"/>
        <v>0</v>
      </c>
      <c r="L11" s="1127">
        <f t="shared" si="9"/>
        <v>0</v>
      </c>
      <c r="N11" s="1128">
        <f>N14+N16+N21+N30+N36+N44</f>
        <v>0.80522557900765468</v>
      </c>
      <c r="O11" s="1128">
        <f t="shared" ref="O11:W11" si="11">O14+O16+O21+O30+O36+O44</f>
        <v>0.86444849170564764</v>
      </c>
      <c r="P11" s="1128">
        <f t="shared" ref="P11" si="12">P14+P16+P21+P30+P36+P44</f>
        <v>0.78375540826439272</v>
      </c>
      <c r="Q11" s="1128">
        <f t="shared" si="11"/>
        <v>0.82142568438199626</v>
      </c>
      <c r="R11" s="1128">
        <f t="shared" si="11"/>
        <v>0.7932209940740278</v>
      </c>
      <c r="S11" s="1128">
        <f t="shared" si="11"/>
        <v>0</v>
      </c>
      <c r="T11" s="1128">
        <f t="shared" si="11"/>
        <v>0</v>
      </c>
      <c r="U11" s="1128">
        <f t="shared" si="11"/>
        <v>0</v>
      </c>
      <c r="V11" s="1128">
        <f t="shared" si="11"/>
        <v>0</v>
      </c>
      <c r="W11" s="1128">
        <f t="shared" si="11"/>
        <v>0</v>
      </c>
    </row>
    <row r="12" spans="2:23" s="1126" customFormat="1">
      <c r="C12" s="1127"/>
      <c r="D12" s="1127"/>
      <c r="E12" s="1127"/>
      <c r="F12" s="1127"/>
      <c r="G12" s="1127"/>
      <c r="H12" s="1127"/>
      <c r="I12" s="1127"/>
      <c r="J12" s="1127"/>
      <c r="K12" s="1127"/>
      <c r="L12" s="1127"/>
      <c r="N12" s="1128"/>
      <c r="O12" s="1128"/>
      <c r="P12" s="1128"/>
      <c r="Q12" s="1128"/>
      <c r="R12" s="1128"/>
      <c r="S12" s="1128"/>
      <c r="T12" s="1128"/>
      <c r="U12" s="1128"/>
      <c r="V12" s="1128"/>
      <c r="W12" s="1128"/>
    </row>
    <row r="14" spans="2:23" s="1126" customFormat="1">
      <c r="B14" s="1126" t="s">
        <v>728</v>
      </c>
      <c r="C14" s="1127">
        <v>34879.911</v>
      </c>
      <c r="D14" s="1127">
        <v>99342.799446000005</v>
      </c>
      <c r="E14" s="1127">
        <v>84942.605505</v>
      </c>
      <c r="F14" s="1127">
        <v>134174.375505</v>
      </c>
      <c r="G14" s="1127">
        <f>'2017 Scheme &amp; cost projection'!Q22</f>
        <v>234351.51522249999</v>
      </c>
      <c r="H14" s="1127"/>
      <c r="I14" s="1127"/>
      <c r="J14" s="1127"/>
      <c r="K14" s="1127"/>
      <c r="L14" s="1127"/>
      <c r="N14" s="1128">
        <f>C14/C$6</f>
        <v>0.29888745203178346</v>
      </c>
      <c r="O14" s="1128">
        <f>D14/D$6</f>
        <v>0.31809127433381107</v>
      </c>
      <c r="P14" s="1128">
        <f>E14/E$6</f>
        <v>0.31340258877163535</v>
      </c>
      <c r="Q14" s="1128">
        <f>F14/F$6</f>
        <v>0.31325474914679519</v>
      </c>
      <c r="R14" s="1128">
        <f t="shared" ref="R14:W14" si="13">G14/G$6</f>
        <v>0.32500000000000001</v>
      </c>
      <c r="S14" s="1128">
        <f t="shared" si="13"/>
        <v>0</v>
      </c>
      <c r="T14" s="1128">
        <f t="shared" si="13"/>
        <v>0</v>
      </c>
      <c r="U14" s="1128">
        <f t="shared" si="13"/>
        <v>0</v>
      </c>
      <c r="V14" s="1128">
        <f t="shared" si="13"/>
        <v>0</v>
      </c>
      <c r="W14" s="1128">
        <f t="shared" si="13"/>
        <v>0</v>
      </c>
    </row>
    <row r="16" spans="2:23" s="1126" customFormat="1">
      <c r="B16" s="1126" t="s">
        <v>729</v>
      </c>
      <c r="C16" s="1127">
        <f>SUM(C17:C19)</f>
        <v>9763.7780840000014</v>
      </c>
      <c r="D16" s="1127">
        <f t="shared" ref="D16:L16" si="14">SUM(D17:D19)</f>
        <v>29740.268093999999</v>
      </c>
      <c r="E16" s="1127">
        <v>25387.289822999996</v>
      </c>
      <c r="F16" s="1127">
        <f t="shared" si="14"/>
        <v>41439.199822999995</v>
      </c>
      <c r="G16" s="1127">
        <f t="shared" si="14"/>
        <v>50005.034477202877</v>
      </c>
      <c r="H16" s="1127">
        <f t="shared" si="14"/>
        <v>0</v>
      </c>
      <c r="I16" s="1127">
        <f t="shared" si="14"/>
        <v>0</v>
      </c>
      <c r="J16" s="1127">
        <f t="shared" si="14"/>
        <v>0</v>
      </c>
      <c r="K16" s="1127">
        <f t="shared" si="14"/>
        <v>0</v>
      </c>
      <c r="L16" s="1127">
        <f t="shared" si="14"/>
        <v>0</v>
      </c>
      <c r="N16" s="1128">
        <f>C16/C$6</f>
        <v>8.3666232798889004E-2</v>
      </c>
      <c r="O16" s="1128">
        <f>D16/D$6</f>
        <v>9.5227030341458227E-2</v>
      </c>
      <c r="P16" s="1128">
        <f>E16/E$6</f>
        <v>9.3668451834287653E-2</v>
      </c>
      <c r="Q16" s="1128">
        <f t="shared" ref="Q16:W19" si="15">F16/F$6</f>
        <v>9.6747431069012471E-2</v>
      </c>
      <c r="R16" s="1128">
        <f t="shared" si="15"/>
        <v>6.9347263189918656E-2</v>
      </c>
      <c r="S16" s="1128">
        <f t="shared" si="15"/>
        <v>0</v>
      </c>
      <c r="T16" s="1128">
        <f t="shared" si="15"/>
        <v>0</v>
      </c>
      <c r="U16" s="1128">
        <f t="shared" si="15"/>
        <v>0</v>
      </c>
      <c r="V16" s="1128">
        <f t="shared" si="15"/>
        <v>0</v>
      </c>
      <c r="W16" s="1128">
        <f t="shared" si="15"/>
        <v>0</v>
      </c>
    </row>
    <row r="17" spans="2:23" hidden="1">
      <c r="B17" s="885" t="s">
        <v>556</v>
      </c>
      <c r="C17" s="442">
        <v>4858.1800440000006</v>
      </c>
      <c r="D17" s="442">
        <v>14632.381222</v>
      </c>
      <c r="F17" s="442">
        <v>20152.059366999998</v>
      </c>
      <c r="G17" s="442">
        <f>'2017 Scheme &amp; cost projection'!AB258</f>
        <v>37524.003071352236</v>
      </c>
      <c r="N17" s="583">
        <f t="shared" ref="N17:O19" si="16">C17/C$6</f>
        <v>4.1629952979605304E-2</v>
      </c>
      <c r="O17" s="583">
        <f t="shared" si="16"/>
        <v>4.6852241082395996E-2</v>
      </c>
      <c r="Q17" s="583">
        <f t="shared" si="15"/>
        <v>4.7048687784394902E-2</v>
      </c>
      <c r="R17" s="583">
        <f t="shared" si="15"/>
        <v>5.2038498605869531E-2</v>
      </c>
      <c r="S17" s="583">
        <f t="shared" si="15"/>
        <v>0</v>
      </c>
      <c r="T17" s="583">
        <f t="shared" si="15"/>
        <v>0</v>
      </c>
      <c r="U17" s="583">
        <f t="shared" si="15"/>
        <v>0</v>
      </c>
      <c r="V17" s="583">
        <f t="shared" si="15"/>
        <v>0</v>
      </c>
      <c r="W17" s="583">
        <f t="shared" si="15"/>
        <v>0</v>
      </c>
    </row>
    <row r="18" spans="2:23" hidden="1">
      <c r="B18" s="885" t="s">
        <v>730</v>
      </c>
      <c r="C18" s="442">
        <v>3497.2014280000003</v>
      </c>
      <c r="D18" s="442">
        <v>10901.362347999999</v>
      </c>
      <c r="F18" s="442">
        <v>14816.280462999999</v>
      </c>
      <c r="G18" s="442">
        <v>0</v>
      </c>
      <c r="N18" s="583">
        <f t="shared" si="16"/>
        <v>2.9967668898491017E-2</v>
      </c>
      <c r="O18" s="583">
        <f t="shared" si="16"/>
        <v>3.4905682752929199E-2</v>
      </c>
      <c r="Q18" s="583">
        <f t="shared" si="15"/>
        <v>3.4591330887563332E-2</v>
      </c>
      <c r="R18" s="583">
        <f t="shared" si="15"/>
        <v>0</v>
      </c>
      <c r="S18" s="583">
        <f t="shared" si="15"/>
        <v>0</v>
      </c>
      <c r="T18" s="583">
        <f t="shared" si="15"/>
        <v>0</v>
      </c>
      <c r="U18" s="583">
        <f t="shared" si="15"/>
        <v>0</v>
      </c>
      <c r="V18" s="583">
        <f t="shared" si="15"/>
        <v>0</v>
      </c>
      <c r="W18" s="583">
        <f t="shared" si="15"/>
        <v>0</v>
      </c>
    </row>
    <row r="19" spans="2:23" hidden="1">
      <c r="B19" s="885" t="s">
        <v>36</v>
      </c>
      <c r="C19" s="442">
        <v>1408.396612</v>
      </c>
      <c r="D19" s="442">
        <v>4206.5245239999986</v>
      </c>
      <c r="F19" s="442">
        <v>6470.859993</v>
      </c>
      <c r="G19" s="442">
        <f>'2017 Scheme &amp; cost projection'!AB288</f>
        <v>12481.031405850637</v>
      </c>
      <c r="N19" s="583">
        <f t="shared" si="16"/>
        <v>1.206861092079267E-2</v>
      </c>
      <c r="O19" s="583">
        <f t="shared" si="16"/>
        <v>1.3469106506133031E-2</v>
      </c>
      <c r="Q19" s="583">
        <f t="shared" si="15"/>
        <v>1.5107412397054241E-2</v>
      </c>
      <c r="R19" s="583">
        <f t="shared" si="15"/>
        <v>1.7308764584049126E-2</v>
      </c>
      <c r="S19" s="583">
        <f t="shared" si="15"/>
        <v>0</v>
      </c>
      <c r="T19" s="583">
        <f t="shared" si="15"/>
        <v>0</v>
      </c>
      <c r="U19" s="583">
        <f t="shared" si="15"/>
        <v>0</v>
      </c>
      <c r="V19" s="583">
        <f t="shared" si="15"/>
        <v>0</v>
      </c>
      <c r="W19" s="583">
        <f t="shared" si="15"/>
        <v>0</v>
      </c>
    </row>
    <row r="21" spans="2:23" s="1126" customFormat="1">
      <c r="B21" s="1247" t="s">
        <v>731</v>
      </c>
      <c r="C21" s="1127">
        <f>SUM(C22:C28)</f>
        <v>19023.250990999997</v>
      </c>
      <c r="D21" s="1127">
        <f t="shared" ref="D21:L21" si="17">SUM(D22:D28)</f>
        <v>56028.242899451339</v>
      </c>
      <c r="E21" s="1127">
        <f t="shared" si="17"/>
        <v>38080.716501999996</v>
      </c>
      <c r="F21" s="1127">
        <f t="shared" si="17"/>
        <v>63247.116502000012</v>
      </c>
      <c r="G21" s="1127">
        <f t="shared" si="17"/>
        <v>134199.76436940086</v>
      </c>
      <c r="H21" s="1127">
        <f t="shared" si="17"/>
        <v>0</v>
      </c>
      <c r="I21" s="1127">
        <f t="shared" si="17"/>
        <v>0</v>
      </c>
      <c r="J21" s="1127">
        <f t="shared" si="17"/>
        <v>0</v>
      </c>
      <c r="K21" s="1127">
        <f t="shared" si="17"/>
        <v>0</v>
      </c>
      <c r="L21" s="1127">
        <f t="shared" si="17"/>
        <v>0</v>
      </c>
      <c r="N21" s="1128">
        <f t="shared" ref="N21:P28" si="18">C21/C$6</f>
        <v>0.16301105292559631</v>
      </c>
      <c r="O21" s="1128">
        <f t="shared" si="18"/>
        <v>0.17939996941860267</v>
      </c>
      <c r="P21" s="1128">
        <f t="shared" si="18"/>
        <v>0.14050187256503477</v>
      </c>
      <c r="Q21" s="1128">
        <f t="shared" ref="Q21:W28" si="19">F21/F$6</f>
        <v>0.14766202219703145</v>
      </c>
      <c r="R21" s="1128">
        <f t="shared" si="19"/>
        <v>0.18610898836581463</v>
      </c>
      <c r="S21" s="1128">
        <f t="shared" si="19"/>
        <v>0</v>
      </c>
      <c r="T21" s="1128">
        <f t="shared" si="19"/>
        <v>0</v>
      </c>
      <c r="U21" s="1128">
        <f t="shared" si="19"/>
        <v>0</v>
      </c>
      <c r="V21" s="1128">
        <f t="shared" si="19"/>
        <v>0</v>
      </c>
      <c r="W21" s="1128">
        <f t="shared" si="19"/>
        <v>0</v>
      </c>
    </row>
    <row r="22" spans="2:23">
      <c r="B22" s="885" t="s">
        <v>732</v>
      </c>
      <c r="C22" s="442">
        <v>3209.8407399999996</v>
      </c>
      <c r="D22" s="442">
        <v>9716.52736</v>
      </c>
      <c r="E22" s="442">
        <v>5611.2588099999994</v>
      </c>
      <c r="F22" s="442">
        <v>8757.0588099999986</v>
      </c>
      <c r="G22" s="442">
        <f>'2017 Scheme &amp; cost projection'!Q113</f>
        <v>2267.5860944000005</v>
      </c>
      <c r="N22" s="583">
        <f t="shared" si="18"/>
        <v>2.750526284904839E-2</v>
      </c>
      <c r="O22" s="583">
        <f t="shared" si="18"/>
        <v>3.1111893235118496E-2</v>
      </c>
      <c r="P22" s="583">
        <f t="shared" si="18"/>
        <v>2.0703191606456312E-2</v>
      </c>
      <c r="Q22" s="583">
        <f t="shared" si="19"/>
        <v>2.0444963879768963E-2</v>
      </c>
      <c r="R22" s="583">
        <f t="shared" si="19"/>
        <v>3.1447011553576015E-3</v>
      </c>
      <c r="S22" s="583">
        <f t="shared" si="19"/>
        <v>0</v>
      </c>
      <c r="T22" s="583">
        <f t="shared" si="19"/>
        <v>0</v>
      </c>
      <c r="U22" s="583">
        <f t="shared" si="19"/>
        <v>0</v>
      </c>
      <c r="V22" s="583">
        <f t="shared" si="19"/>
        <v>0</v>
      </c>
      <c r="W22" s="583">
        <f t="shared" si="19"/>
        <v>0</v>
      </c>
    </row>
    <row r="23" spans="2:23">
      <c r="B23" s="885" t="s">
        <v>733</v>
      </c>
      <c r="C23" s="442">
        <v>11199.023729</v>
      </c>
      <c r="D23" s="442">
        <v>31433.503821000002</v>
      </c>
      <c r="E23" s="442">
        <v>23053.618799000003</v>
      </c>
      <c r="F23" s="442">
        <v>37996.168799000006</v>
      </c>
      <c r="G23" s="442">
        <f>'2017 Scheme &amp; cost projection'!Q37</f>
        <v>67383.6179906334</v>
      </c>
      <c r="N23" s="583">
        <f t="shared" si="18"/>
        <v>9.5964914233992532E-2</v>
      </c>
      <c r="O23" s="583">
        <f t="shared" si="18"/>
        <v>0.10064869666405606</v>
      </c>
      <c r="P23" s="583">
        <f t="shared" si="18"/>
        <v>8.5058184514198221E-2</v>
      </c>
      <c r="Q23" s="583">
        <f t="shared" si="19"/>
        <v>8.8709042101906319E-2</v>
      </c>
      <c r="R23" s="583">
        <f t="shared" si="19"/>
        <v>9.3447980595148625E-2</v>
      </c>
      <c r="S23" s="583">
        <f t="shared" si="19"/>
        <v>0</v>
      </c>
      <c r="T23" s="583">
        <f t="shared" si="19"/>
        <v>0</v>
      </c>
      <c r="U23" s="583">
        <f t="shared" si="19"/>
        <v>0</v>
      </c>
      <c r="V23" s="583">
        <f t="shared" si="19"/>
        <v>0</v>
      </c>
      <c r="W23" s="583">
        <f t="shared" si="19"/>
        <v>0</v>
      </c>
    </row>
    <row r="24" spans="2:23">
      <c r="B24" s="885" t="s">
        <v>557</v>
      </c>
      <c r="C24" s="442">
        <v>3256.6338059999998</v>
      </c>
      <c r="D24" s="442">
        <v>10454.396048000001</v>
      </c>
      <c r="E24" s="442">
        <v>7181.0527949999996</v>
      </c>
      <c r="F24" s="442">
        <v>12371.622794999999</v>
      </c>
      <c r="G24" s="442">
        <f>'2017 Scheme &amp; cost projection'!Q326</f>
        <v>27967.08434713944</v>
      </c>
      <c r="N24" s="583">
        <f t="shared" si="18"/>
        <v>2.7906234636777296E-2</v>
      </c>
      <c r="O24" s="583">
        <f t="shared" si="18"/>
        <v>3.3474516319688598E-2</v>
      </c>
      <c r="P24" s="583">
        <f t="shared" si="18"/>
        <v>2.6495073028179151E-2</v>
      </c>
      <c r="Q24" s="583">
        <f t="shared" si="19"/>
        <v>2.8883828082673497E-2</v>
      </c>
      <c r="R24" s="583">
        <f t="shared" si="19"/>
        <v>3.8784909942616227E-2</v>
      </c>
      <c r="S24" s="583">
        <f t="shared" si="19"/>
        <v>0</v>
      </c>
      <c r="T24" s="583">
        <f t="shared" si="19"/>
        <v>0</v>
      </c>
      <c r="U24" s="583">
        <f t="shared" si="19"/>
        <v>0</v>
      </c>
      <c r="V24" s="583">
        <f t="shared" si="19"/>
        <v>0</v>
      </c>
      <c r="W24" s="583">
        <f t="shared" si="19"/>
        <v>0</v>
      </c>
    </row>
    <row r="25" spans="2:23">
      <c r="B25" s="885" t="s">
        <v>558</v>
      </c>
      <c r="C25" s="442">
        <v>1357.752716</v>
      </c>
      <c r="D25" s="442">
        <v>4423.8156704513403</v>
      </c>
      <c r="E25" s="442">
        <v>2234.786098</v>
      </c>
      <c r="F25" s="442">
        <v>4122.2660980000001</v>
      </c>
      <c r="G25" s="442">
        <f>'2017 Scheme &amp; cost projection'!Q415</f>
        <v>11523.269212960844</v>
      </c>
      <c r="N25" s="583">
        <f t="shared" si="18"/>
        <v>1.1634641205778127E-2</v>
      </c>
      <c r="O25" s="583">
        <f t="shared" si="18"/>
        <v>1.4164863199739527E-2</v>
      </c>
      <c r="P25" s="583">
        <f t="shared" si="18"/>
        <v>8.2454234162011239E-3</v>
      </c>
      <c r="Q25" s="583">
        <f t="shared" si="19"/>
        <v>9.6241881326826623E-3</v>
      </c>
      <c r="R25" s="583">
        <f t="shared" si="19"/>
        <v>1.5980534585648427E-2</v>
      </c>
      <c r="S25" s="583">
        <f t="shared" si="19"/>
        <v>0</v>
      </c>
      <c r="T25" s="583">
        <f t="shared" si="19"/>
        <v>0</v>
      </c>
      <c r="U25" s="583">
        <f t="shared" si="19"/>
        <v>0</v>
      </c>
      <c r="V25" s="583">
        <f t="shared" si="19"/>
        <v>0</v>
      </c>
      <c r="W25" s="583">
        <f t="shared" si="19"/>
        <v>0</v>
      </c>
    </row>
    <row r="26" spans="2:23">
      <c r="B26" s="885" t="s">
        <v>734</v>
      </c>
      <c r="G26" s="442">
        <f>'2017 Scheme &amp; cost projection'!Q163*90%</f>
        <v>13850.614138997567</v>
      </c>
      <c r="N26" s="583">
        <f t="shared" si="18"/>
        <v>0</v>
      </c>
      <c r="O26" s="583">
        <f t="shared" si="18"/>
        <v>0</v>
      </c>
      <c r="P26" s="583">
        <f t="shared" si="18"/>
        <v>0</v>
      </c>
      <c r="Q26" s="583">
        <f t="shared" si="19"/>
        <v>0</v>
      </c>
      <c r="R26" s="583">
        <f t="shared" si="19"/>
        <v>1.9208109624981113E-2</v>
      </c>
      <c r="S26" s="583">
        <f t="shared" si="19"/>
        <v>0</v>
      </c>
      <c r="T26" s="583">
        <f t="shared" si="19"/>
        <v>0</v>
      </c>
      <c r="U26" s="583">
        <f t="shared" si="19"/>
        <v>0</v>
      </c>
      <c r="V26" s="583">
        <f t="shared" si="19"/>
        <v>0</v>
      </c>
      <c r="W26" s="583">
        <f t="shared" si="19"/>
        <v>0</v>
      </c>
    </row>
    <row r="27" spans="2:23">
      <c r="B27" s="885" t="s">
        <v>735</v>
      </c>
      <c r="G27" s="442">
        <f>'2017 Scheme &amp; cost projection'!Q505</f>
        <v>9707.5925852696</v>
      </c>
      <c r="N27" s="583">
        <f t="shared" si="18"/>
        <v>0</v>
      </c>
      <c r="O27" s="583">
        <f t="shared" si="18"/>
        <v>0</v>
      </c>
      <c r="P27" s="583">
        <f t="shared" si="18"/>
        <v>0</v>
      </c>
      <c r="Q27" s="583">
        <f t="shared" si="19"/>
        <v>0</v>
      </c>
      <c r="R27" s="583">
        <f t="shared" si="19"/>
        <v>1.3462544021604487E-2</v>
      </c>
      <c r="S27" s="583">
        <f t="shared" si="19"/>
        <v>0</v>
      </c>
      <c r="T27" s="583">
        <f t="shared" si="19"/>
        <v>0</v>
      </c>
      <c r="U27" s="583">
        <f t="shared" si="19"/>
        <v>0</v>
      </c>
      <c r="V27" s="583">
        <f t="shared" si="19"/>
        <v>0</v>
      </c>
      <c r="W27" s="583">
        <f t="shared" si="19"/>
        <v>0</v>
      </c>
    </row>
    <row r="28" spans="2:23">
      <c r="B28" s="885" t="s">
        <v>736</v>
      </c>
      <c r="G28" s="442">
        <v>1500</v>
      </c>
      <c r="N28" s="583">
        <f t="shared" si="18"/>
        <v>0</v>
      </c>
      <c r="O28" s="583">
        <f t="shared" si="18"/>
        <v>0</v>
      </c>
      <c r="P28" s="583">
        <f t="shared" si="18"/>
        <v>0</v>
      </c>
      <c r="Q28" s="583">
        <f t="shared" si="19"/>
        <v>0</v>
      </c>
      <c r="R28" s="583">
        <f t="shared" si="19"/>
        <v>2.0802084404581453E-3</v>
      </c>
      <c r="S28" s="583">
        <f t="shared" si="19"/>
        <v>0</v>
      </c>
      <c r="T28" s="583">
        <f t="shared" si="19"/>
        <v>0</v>
      </c>
      <c r="U28" s="583">
        <f t="shared" si="19"/>
        <v>0</v>
      </c>
      <c r="V28" s="583">
        <f t="shared" si="19"/>
        <v>0</v>
      </c>
      <c r="W28" s="583">
        <f t="shared" si="19"/>
        <v>0</v>
      </c>
    </row>
    <row r="30" spans="2:23" s="1126" customFormat="1">
      <c r="B30" s="1247" t="s">
        <v>569</v>
      </c>
      <c r="C30" s="1127">
        <f>SUM(C31:C33)</f>
        <v>1955.122325</v>
      </c>
      <c r="D30" s="1127">
        <f t="shared" ref="D30:L30" si="20">SUM(D31:D33)</f>
        <v>6629.1338302727263</v>
      </c>
      <c r="E30" s="1127">
        <f>5784.318131+3389</f>
        <v>9173.318131</v>
      </c>
      <c r="F30" s="1127">
        <f t="shared" si="20"/>
        <v>12776.903861342276</v>
      </c>
      <c r="G30" s="1127">
        <f t="shared" si="20"/>
        <v>16598.423532500001</v>
      </c>
      <c r="H30" s="1127">
        <f t="shared" si="20"/>
        <v>0</v>
      </c>
      <c r="I30" s="1127">
        <f t="shared" si="20"/>
        <v>0</v>
      </c>
      <c r="J30" s="1127">
        <f t="shared" si="20"/>
        <v>0</v>
      </c>
      <c r="K30" s="1127">
        <f t="shared" si="20"/>
        <v>0</v>
      </c>
      <c r="L30" s="1127">
        <f t="shared" si="20"/>
        <v>0</v>
      </c>
      <c r="N30" s="1128">
        <f>C30/C$6</f>
        <v>1.6753526983761698E-2</v>
      </c>
      <c r="O30" s="1128">
        <f>D30/D$6</f>
        <v>2.1226194948804962E-2</v>
      </c>
      <c r="P30" s="1128">
        <f>E30/E$6</f>
        <v>3.3845696547558229E-2</v>
      </c>
      <c r="Q30" s="1128">
        <f t="shared" ref="Q30:W33" si="21">F30/F$6</f>
        <v>2.9830031247720198E-2</v>
      </c>
      <c r="R30" s="1128">
        <f t="shared" si="21"/>
        <v>2.3018787153737071E-2</v>
      </c>
      <c r="S30" s="1128">
        <f t="shared" si="21"/>
        <v>0</v>
      </c>
      <c r="T30" s="1128">
        <f t="shared" si="21"/>
        <v>0</v>
      </c>
      <c r="U30" s="1128">
        <f t="shared" si="21"/>
        <v>0</v>
      </c>
      <c r="V30" s="1128">
        <f t="shared" si="21"/>
        <v>0</v>
      </c>
      <c r="W30" s="1128">
        <f t="shared" si="21"/>
        <v>0</v>
      </c>
    </row>
    <row r="31" spans="2:23" hidden="1">
      <c r="B31" s="885" t="s">
        <v>737</v>
      </c>
      <c r="C31" s="442">
        <v>1743.122325</v>
      </c>
      <c r="D31" s="442">
        <v>6073.0611029999991</v>
      </c>
      <c r="F31" s="442">
        <v>9387.4081310000001</v>
      </c>
      <c r="G31" s="1162">
        <f>'2017 Scheme &amp; cost projection'!Q603</f>
        <v>13251.023532499999</v>
      </c>
      <c r="N31" s="583">
        <f t="shared" ref="N31:O33" si="22">C31/C$6</f>
        <v>1.4936889899144766E-2</v>
      </c>
      <c r="O31" s="583">
        <f t="shared" si="22"/>
        <v>1.9445674534372633E-2</v>
      </c>
      <c r="Q31" s="583">
        <f t="shared" si="21"/>
        <v>2.1916630266748716E-2</v>
      </c>
      <c r="R31" s="583">
        <f t="shared" si="21"/>
        <v>1.8376593998010674E-2</v>
      </c>
      <c r="S31" s="583">
        <f t="shared" si="21"/>
        <v>0</v>
      </c>
      <c r="T31" s="583">
        <f t="shared" si="21"/>
        <v>0</v>
      </c>
      <c r="U31" s="583">
        <f t="shared" si="21"/>
        <v>0</v>
      </c>
      <c r="V31" s="583">
        <f t="shared" si="21"/>
        <v>0</v>
      </c>
      <c r="W31" s="583">
        <f t="shared" si="21"/>
        <v>0</v>
      </c>
    </row>
    <row r="32" spans="2:23" hidden="1">
      <c r="B32" s="885" t="s">
        <v>738</v>
      </c>
      <c r="C32" s="442">
        <v>211.99999999999997</v>
      </c>
      <c r="D32" s="442">
        <v>556.07272727272732</v>
      </c>
      <c r="F32" s="442">
        <v>3389.4957303422761</v>
      </c>
      <c r="G32" s="442">
        <f>'2017 Scheme &amp; cost projection'!Q295</f>
        <v>3347.4</v>
      </c>
      <c r="N32" s="583">
        <f t="shared" si="22"/>
        <v>1.8166370846169329E-3</v>
      </c>
      <c r="O32" s="583">
        <f t="shared" si="22"/>
        <v>1.7805204144323284E-3</v>
      </c>
      <c r="Q32" s="583">
        <f t="shared" si="21"/>
        <v>7.9134009809714821E-3</v>
      </c>
      <c r="R32" s="583">
        <f t="shared" si="21"/>
        <v>4.6421931557263972E-3</v>
      </c>
      <c r="S32" s="583">
        <f t="shared" si="21"/>
        <v>0</v>
      </c>
      <c r="T32" s="583">
        <f t="shared" si="21"/>
        <v>0</v>
      </c>
      <c r="U32" s="583">
        <f t="shared" si="21"/>
        <v>0</v>
      </c>
      <c r="V32" s="583">
        <f t="shared" si="21"/>
        <v>0</v>
      </c>
      <c r="W32" s="583">
        <f t="shared" si="21"/>
        <v>0</v>
      </c>
    </row>
    <row r="33" spans="2:23" hidden="1">
      <c r="B33" s="885" t="s">
        <v>739</v>
      </c>
      <c r="N33" s="583">
        <f t="shared" si="22"/>
        <v>0</v>
      </c>
      <c r="O33" s="583">
        <f t="shared" si="22"/>
        <v>0</v>
      </c>
      <c r="Q33" s="583">
        <f t="shared" si="21"/>
        <v>0</v>
      </c>
      <c r="R33" s="583">
        <f t="shared" si="21"/>
        <v>0</v>
      </c>
      <c r="S33" s="583">
        <f t="shared" si="21"/>
        <v>0</v>
      </c>
      <c r="T33" s="583">
        <f t="shared" si="21"/>
        <v>0</v>
      </c>
      <c r="U33" s="583">
        <f t="shared" si="21"/>
        <v>0</v>
      </c>
      <c r="V33" s="583">
        <f t="shared" si="21"/>
        <v>0</v>
      </c>
      <c r="W33" s="583">
        <f t="shared" si="21"/>
        <v>0</v>
      </c>
    </row>
    <row r="35" spans="2:23" s="1126" customFormat="1">
      <c r="B35" s="1247" t="s">
        <v>740</v>
      </c>
      <c r="C35" s="1127">
        <f>C36+C41+C42</f>
        <v>12725.641842999999</v>
      </c>
      <c r="D35" s="1127">
        <f t="shared" ref="D35:L35" si="23">D36+D41+D42</f>
        <v>43404.967968555524</v>
      </c>
      <c r="E35" s="1127">
        <f t="shared" si="23"/>
        <v>45696.4</v>
      </c>
      <c r="F35" s="1127">
        <f t="shared" si="23"/>
        <v>73786.237607594827</v>
      </c>
      <c r="G35" s="1127">
        <f t="shared" si="23"/>
        <v>65364.324062538159</v>
      </c>
      <c r="H35" s="1127">
        <f t="shared" si="23"/>
        <v>0</v>
      </c>
      <c r="I35" s="1127">
        <f t="shared" si="23"/>
        <v>0</v>
      </c>
      <c r="J35" s="1127">
        <f t="shared" si="23"/>
        <v>0</v>
      </c>
      <c r="K35" s="1127">
        <f t="shared" si="23"/>
        <v>0</v>
      </c>
      <c r="L35" s="1127">
        <f t="shared" si="23"/>
        <v>0</v>
      </c>
      <c r="N35" s="1128">
        <f t="shared" ref="N35:P42" si="24">C35/C$6</f>
        <v>0.10904657027144705</v>
      </c>
      <c r="O35" s="1128">
        <f t="shared" si="24"/>
        <v>0.13898079831181967</v>
      </c>
      <c r="P35" s="1128">
        <f t="shared" si="24"/>
        <v>0.16860055060003021</v>
      </c>
      <c r="Q35" s="1128">
        <f t="shared" ref="Q35:W42" si="25">F35/F$6</f>
        <v>0.17226753815889087</v>
      </c>
      <c r="R35" s="1128">
        <f t="shared" si="25"/>
        <v>9.0647612413155554E-2</v>
      </c>
      <c r="S35" s="1128">
        <f t="shared" si="25"/>
        <v>0</v>
      </c>
      <c r="T35" s="1128">
        <f t="shared" si="25"/>
        <v>0</v>
      </c>
      <c r="U35" s="1128">
        <f t="shared" si="25"/>
        <v>0</v>
      </c>
      <c r="V35" s="1128">
        <f t="shared" si="25"/>
        <v>0</v>
      </c>
      <c r="W35" s="1128">
        <f t="shared" si="25"/>
        <v>0</v>
      </c>
    </row>
    <row r="36" spans="2:23" s="1250" customFormat="1">
      <c r="B36" s="1248" t="s">
        <v>745</v>
      </c>
      <c r="C36" s="1249">
        <f>SUM(C37:C40)</f>
        <v>1165.6418429999999</v>
      </c>
      <c r="D36" s="1249">
        <f t="shared" ref="D36:L36" si="26">SUM(D37:D40)</f>
        <v>6143</v>
      </c>
      <c r="E36" s="1249">
        <v>8019.4</v>
      </c>
      <c r="F36" s="1249">
        <f t="shared" si="26"/>
        <v>12947.4</v>
      </c>
      <c r="G36" s="1249">
        <f t="shared" si="26"/>
        <v>24552.524062538163</v>
      </c>
      <c r="H36" s="1249">
        <f t="shared" si="26"/>
        <v>0</v>
      </c>
      <c r="I36" s="1249">
        <f t="shared" si="26"/>
        <v>0</v>
      </c>
      <c r="J36" s="1249">
        <f t="shared" si="26"/>
        <v>0</v>
      </c>
      <c r="K36" s="1249">
        <f t="shared" si="26"/>
        <v>0</v>
      </c>
      <c r="L36" s="1249">
        <f t="shared" si="26"/>
        <v>0</v>
      </c>
      <c r="N36" s="1251">
        <f t="shared" si="24"/>
        <v>9.9884349027123988E-3</v>
      </c>
      <c r="O36" s="1251">
        <f t="shared" si="24"/>
        <v>1.9669615806375183E-2</v>
      </c>
      <c r="P36" s="1251">
        <f t="shared" si="24"/>
        <v>2.9588222605760675E-2</v>
      </c>
      <c r="Q36" s="1251">
        <f t="shared" si="25"/>
        <v>3.0228085831128577E-2</v>
      </c>
      <c r="R36" s="1251">
        <f t="shared" si="25"/>
        <v>3.4049578526295733E-2</v>
      </c>
      <c r="S36" s="1251">
        <f t="shared" si="25"/>
        <v>0</v>
      </c>
      <c r="T36" s="1251">
        <f t="shared" si="25"/>
        <v>0</v>
      </c>
      <c r="U36" s="1251">
        <f t="shared" si="25"/>
        <v>0</v>
      </c>
      <c r="V36" s="1251">
        <f t="shared" si="25"/>
        <v>0</v>
      </c>
      <c r="W36" s="1251">
        <f t="shared" si="25"/>
        <v>0</v>
      </c>
    </row>
    <row r="37" spans="2:23" hidden="1">
      <c r="B37" s="886" t="s">
        <v>741</v>
      </c>
      <c r="C37" s="442">
        <v>1165.6418429999999</v>
      </c>
      <c r="D37" s="442">
        <v>4055</v>
      </c>
      <c r="F37" s="442">
        <v>8097.4</v>
      </c>
      <c r="G37" s="442">
        <f>('2017 Scheme &amp; cost projection'!AN723+'2017 Scheme &amp; cost projection'!AN727+'2017 Scheme &amp; cost projection'!AN731)</f>
        <v>6988.8900792589002</v>
      </c>
      <c r="N37" s="583">
        <f t="shared" si="24"/>
        <v>9.9884349027123988E-3</v>
      </c>
      <c r="O37" s="583">
        <f t="shared" si="24"/>
        <v>1.298393164493755E-2</v>
      </c>
      <c r="P37" s="583">
        <f t="shared" si="24"/>
        <v>0</v>
      </c>
      <c r="Q37" s="583">
        <f t="shared" si="25"/>
        <v>1.8904869101825889E-2</v>
      </c>
      <c r="R37" s="583">
        <f t="shared" si="25"/>
        <v>9.6922320882057069E-3</v>
      </c>
      <c r="S37" s="583">
        <f t="shared" si="25"/>
        <v>0</v>
      </c>
      <c r="T37" s="583">
        <f t="shared" si="25"/>
        <v>0</v>
      </c>
      <c r="U37" s="583">
        <f t="shared" si="25"/>
        <v>0</v>
      </c>
      <c r="V37" s="583">
        <f t="shared" si="25"/>
        <v>0</v>
      </c>
      <c r="W37" s="583">
        <f t="shared" si="25"/>
        <v>0</v>
      </c>
    </row>
    <row r="38" spans="2:23" hidden="1">
      <c r="B38" s="886" t="s">
        <v>742</v>
      </c>
      <c r="G38" s="442">
        <f>'2017 Scheme &amp; cost projection'!AN737+'2017 Scheme &amp; cost projection'!AN739-4000</f>
        <v>9101.3217025062713</v>
      </c>
      <c r="N38" s="583">
        <f t="shared" si="24"/>
        <v>0</v>
      </c>
      <c r="O38" s="583">
        <f t="shared" si="24"/>
        <v>0</v>
      </c>
      <c r="P38" s="583">
        <f t="shared" si="24"/>
        <v>0</v>
      </c>
      <c r="Q38" s="583">
        <f t="shared" si="25"/>
        <v>0</v>
      </c>
      <c r="R38" s="583">
        <f t="shared" si="25"/>
        <v>1.2621764149918963E-2</v>
      </c>
      <c r="S38" s="583">
        <f t="shared" si="25"/>
        <v>0</v>
      </c>
      <c r="T38" s="583">
        <f t="shared" si="25"/>
        <v>0</v>
      </c>
      <c r="U38" s="583">
        <f t="shared" si="25"/>
        <v>0</v>
      </c>
      <c r="V38" s="583">
        <f t="shared" si="25"/>
        <v>0</v>
      </c>
      <c r="W38" s="583">
        <f t="shared" si="25"/>
        <v>0</v>
      </c>
    </row>
    <row r="39" spans="2:23" hidden="1">
      <c r="B39" s="886" t="s">
        <v>743</v>
      </c>
      <c r="C39" s="442">
        <v>0</v>
      </c>
      <c r="D39" s="442">
        <v>2088</v>
      </c>
      <c r="F39" s="442">
        <v>4850</v>
      </c>
      <c r="G39" s="442">
        <f>'2017 Scheme &amp; cost projection'!AC750+'2017 Scheme &amp; cost projection'!AC754</f>
        <v>6988.8900792589002</v>
      </c>
      <c r="N39" s="583">
        <f t="shared" si="24"/>
        <v>0</v>
      </c>
      <c r="O39" s="583">
        <f t="shared" si="24"/>
        <v>6.6856841614376331E-3</v>
      </c>
      <c r="P39" s="583">
        <f t="shared" si="24"/>
        <v>0</v>
      </c>
      <c r="Q39" s="583">
        <f t="shared" si="25"/>
        <v>1.1323216729302686E-2</v>
      </c>
      <c r="R39" s="583">
        <f t="shared" si="25"/>
        <v>9.6922320882057069E-3</v>
      </c>
      <c r="S39" s="583">
        <f t="shared" si="25"/>
        <v>0</v>
      </c>
      <c r="T39" s="583">
        <f t="shared" si="25"/>
        <v>0</v>
      </c>
      <c r="U39" s="583">
        <f t="shared" si="25"/>
        <v>0</v>
      </c>
      <c r="V39" s="583">
        <f t="shared" si="25"/>
        <v>0</v>
      </c>
      <c r="W39" s="583">
        <f t="shared" si="25"/>
        <v>0</v>
      </c>
    </row>
    <row r="40" spans="2:23" hidden="1">
      <c r="B40" s="886" t="s">
        <v>744</v>
      </c>
      <c r="G40" s="442">
        <f>'2017 Scheme &amp; cost projection'!AC763</f>
        <v>1473.4222015140929</v>
      </c>
      <c r="N40" s="583">
        <f t="shared" si="24"/>
        <v>0</v>
      </c>
      <c r="O40" s="583">
        <f t="shared" si="24"/>
        <v>0</v>
      </c>
      <c r="P40" s="583">
        <f t="shared" si="24"/>
        <v>0</v>
      </c>
      <c r="Q40" s="583">
        <f t="shared" si="25"/>
        <v>0</v>
      </c>
      <c r="R40" s="583">
        <f t="shared" si="25"/>
        <v>2.0433501999653591E-3</v>
      </c>
      <c r="S40" s="583">
        <f t="shared" si="25"/>
        <v>0</v>
      </c>
      <c r="T40" s="583">
        <f t="shared" si="25"/>
        <v>0</v>
      </c>
      <c r="U40" s="583">
        <f t="shared" si="25"/>
        <v>0</v>
      </c>
      <c r="V40" s="583">
        <f t="shared" si="25"/>
        <v>0</v>
      </c>
      <c r="W40" s="583">
        <f t="shared" si="25"/>
        <v>0</v>
      </c>
    </row>
    <row r="41" spans="2:23" s="658" customFormat="1">
      <c r="B41" s="889" t="s">
        <v>746</v>
      </c>
      <c r="C41" s="827">
        <v>1143</v>
      </c>
      <c r="D41" s="827">
        <v>15354</v>
      </c>
      <c r="E41" s="827">
        <v>19498</v>
      </c>
      <c r="F41" s="827">
        <v>28876.6</v>
      </c>
      <c r="G41" s="827">
        <f>'MDRT Recruitment'!N141</f>
        <v>14811.8</v>
      </c>
      <c r="H41" s="827"/>
      <c r="I41" s="827"/>
      <c r="J41" s="827"/>
      <c r="K41" s="827"/>
      <c r="L41" s="827"/>
      <c r="N41" s="660">
        <f t="shared" si="24"/>
        <v>9.7944159797978981E-3</v>
      </c>
      <c r="O41" s="660">
        <f t="shared" si="24"/>
        <v>4.916283266988191E-2</v>
      </c>
      <c r="P41" s="660">
        <f t="shared" si="24"/>
        <v>7.1939442398074885E-2</v>
      </c>
      <c r="Q41" s="660">
        <f>F41/F$6</f>
        <v>6.7417732001109676E-2</v>
      </c>
      <c r="R41" s="660">
        <f t="shared" si="25"/>
        <v>2.0541087585585305E-2</v>
      </c>
      <c r="S41" s="660">
        <f t="shared" si="25"/>
        <v>0</v>
      </c>
      <c r="T41" s="660">
        <f t="shared" si="25"/>
        <v>0</v>
      </c>
      <c r="U41" s="660">
        <f t="shared" si="25"/>
        <v>0</v>
      </c>
      <c r="V41" s="660">
        <f t="shared" si="25"/>
        <v>0</v>
      </c>
      <c r="W41" s="660">
        <f t="shared" si="25"/>
        <v>0</v>
      </c>
    </row>
    <row r="42" spans="2:23" s="658" customFormat="1">
      <c r="B42" s="889" t="s">
        <v>747</v>
      </c>
      <c r="C42" s="827">
        <v>10417</v>
      </c>
      <c r="D42" s="827">
        <v>21907.967968555524</v>
      </c>
      <c r="E42" s="827">
        <v>18179</v>
      </c>
      <c r="F42" s="827">
        <v>31962.237607594827</v>
      </c>
      <c r="G42" s="827">
        <v>26000</v>
      </c>
      <c r="H42" s="827"/>
      <c r="I42" s="827"/>
      <c r="J42" s="827"/>
      <c r="K42" s="827"/>
      <c r="L42" s="827"/>
      <c r="N42" s="660">
        <f t="shared" si="24"/>
        <v>8.9263719388936749E-2</v>
      </c>
      <c r="O42" s="660">
        <f t="shared" si="24"/>
        <v>7.0148349835562576E-2</v>
      </c>
      <c r="P42" s="660">
        <f t="shared" si="24"/>
        <v>6.7072885596194648E-2</v>
      </c>
      <c r="Q42" s="660">
        <f>F42/F$6</f>
        <v>7.4621720326652624E-2</v>
      </c>
      <c r="R42" s="660">
        <f t="shared" si="25"/>
        <v>3.6056946301274519E-2</v>
      </c>
      <c r="S42" s="660">
        <f t="shared" si="25"/>
        <v>0</v>
      </c>
      <c r="T42" s="660">
        <f t="shared" si="25"/>
        <v>0</v>
      </c>
      <c r="U42" s="660">
        <f t="shared" si="25"/>
        <v>0</v>
      </c>
      <c r="V42" s="660">
        <f t="shared" si="25"/>
        <v>0</v>
      </c>
      <c r="W42" s="660">
        <f t="shared" si="25"/>
        <v>0</v>
      </c>
    </row>
    <row r="44" spans="2:23" s="1126" customFormat="1">
      <c r="B44" s="1126" t="s">
        <v>574</v>
      </c>
      <c r="C44" s="1127">
        <f>SUM(C45:C49)</f>
        <v>27181.434774999994</v>
      </c>
      <c r="D44" s="1127">
        <f t="shared" ref="D44:L44" si="27">SUM(D45:D49)</f>
        <v>72091.685738999993</v>
      </c>
      <c r="E44" s="1127">
        <f>44445.6538916754+1875+500</f>
        <v>46820.6538916754</v>
      </c>
      <c r="F44" s="1127">
        <f t="shared" si="27"/>
        <v>87250.941436218272</v>
      </c>
      <c r="G44" s="1127">
        <f t="shared" si="27"/>
        <v>112269.79023599999</v>
      </c>
      <c r="H44" s="1127">
        <f t="shared" si="27"/>
        <v>0</v>
      </c>
      <c r="I44" s="1127">
        <f t="shared" si="27"/>
        <v>0</v>
      </c>
      <c r="J44" s="1127">
        <f t="shared" si="27"/>
        <v>0</v>
      </c>
      <c r="K44" s="1127">
        <f t="shared" si="27"/>
        <v>0</v>
      </c>
      <c r="L44" s="1127">
        <f t="shared" si="27"/>
        <v>0</v>
      </c>
      <c r="N44" s="1128">
        <f>C44/C$6</f>
        <v>0.23291887936491185</v>
      </c>
      <c r="O44" s="1128">
        <f>D44/D$6</f>
        <v>0.23083440685659556</v>
      </c>
      <c r="P44" s="1128">
        <f>E44/E$6</f>
        <v>0.17274857594011606</v>
      </c>
      <c r="Q44" s="1128">
        <f t="shared" ref="Q44:W47" si="28">F44/F$6</f>
        <v>0.20370336489030841</v>
      </c>
      <c r="R44" s="1128">
        <f t="shared" si="28"/>
        <v>0.15569637683826176</v>
      </c>
      <c r="S44" s="1128">
        <f t="shared" si="28"/>
        <v>0</v>
      </c>
      <c r="T44" s="1128">
        <f t="shared" si="28"/>
        <v>0</v>
      </c>
      <c r="U44" s="1128">
        <f t="shared" si="28"/>
        <v>0</v>
      </c>
      <c r="V44" s="1128">
        <f t="shared" si="28"/>
        <v>0</v>
      </c>
      <c r="W44" s="1128">
        <f t="shared" si="28"/>
        <v>0</v>
      </c>
    </row>
    <row r="45" spans="2:23" hidden="1">
      <c r="B45" s="887" t="s">
        <v>748</v>
      </c>
      <c r="C45" s="442">
        <v>21025.659742999997</v>
      </c>
      <c r="D45" s="442">
        <v>44009.216317999999</v>
      </c>
      <c r="F45" s="442">
        <f>66081.11419617+437</f>
        <v>66518.114196170005</v>
      </c>
      <c r="G45" s="442">
        <f>G6*12%</f>
        <v>86529.790235999986</v>
      </c>
      <c r="N45" s="583">
        <f t="shared" ref="N45:O47" si="29">C45/C$6</f>
        <v>0.1801697793286374</v>
      </c>
      <c r="O45" s="583">
        <f t="shared" si="29"/>
        <v>0.14091557494949006</v>
      </c>
      <c r="Q45" s="583">
        <f t="shared" si="28"/>
        <v>0.15529876772530696</v>
      </c>
      <c r="R45" s="583">
        <f t="shared" si="28"/>
        <v>0.12</v>
      </c>
      <c r="S45" s="583">
        <f t="shared" si="28"/>
        <v>0</v>
      </c>
      <c r="T45" s="583">
        <f t="shared" si="28"/>
        <v>0</v>
      </c>
      <c r="U45" s="583">
        <f t="shared" si="28"/>
        <v>0</v>
      </c>
      <c r="V45" s="583">
        <f t="shared" si="28"/>
        <v>0</v>
      </c>
      <c r="W45" s="583">
        <f t="shared" si="28"/>
        <v>0</v>
      </c>
    </row>
    <row r="46" spans="2:23" hidden="1">
      <c r="B46" s="887" t="s">
        <v>749</v>
      </c>
      <c r="C46" s="442">
        <v>3949.9999999999995</v>
      </c>
      <c r="D46" s="442">
        <v>14089.6</v>
      </c>
      <c r="F46" s="442">
        <v>12939.562320230092</v>
      </c>
      <c r="G46" s="442">
        <f>'Contest Plan'!H7</f>
        <v>21740</v>
      </c>
      <c r="N46" s="583">
        <f t="shared" si="29"/>
        <v>3.3847719265268326E-2</v>
      </c>
      <c r="O46" s="583">
        <f t="shared" si="29"/>
        <v>4.5114279483233564E-2</v>
      </c>
      <c r="Q46" s="583">
        <f t="shared" si="28"/>
        <v>3.0209787326656509E-2</v>
      </c>
      <c r="R46" s="583">
        <f t="shared" si="28"/>
        <v>3.0149154330373389E-2</v>
      </c>
      <c r="S46" s="583">
        <f t="shared" si="28"/>
        <v>0</v>
      </c>
      <c r="T46" s="583">
        <f t="shared" si="28"/>
        <v>0</v>
      </c>
      <c r="U46" s="583">
        <f t="shared" si="28"/>
        <v>0</v>
      </c>
      <c r="V46" s="583">
        <f t="shared" si="28"/>
        <v>0</v>
      </c>
      <c r="W46" s="583">
        <f t="shared" si="28"/>
        <v>0</v>
      </c>
    </row>
    <row r="47" spans="2:23" hidden="1">
      <c r="B47" s="885" t="s">
        <v>750</v>
      </c>
      <c r="C47" s="442">
        <v>1104.2074319999999</v>
      </c>
      <c r="D47" s="442">
        <v>13324.126554999999</v>
      </c>
      <c r="F47" s="442">
        <v>5079</v>
      </c>
      <c r="G47" s="442">
        <f>200*20</f>
        <v>4000</v>
      </c>
      <c r="N47" s="583">
        <f t="shared" si="29"/>
        <v>9.4620008022680679E-3</v>
      </c>
      <c r="O47" s="583">
        <f t="shared" si="29"/>
        <v>4.2663267180916703E-2</v>
      </c>
      <c r="Q47" s="583">
        <f t="shared" si="28"/>
        <v>1.185785933363471E-2</v>
      </c>
      <c r="R47" s="583">
        <f t="shared" si="28"/>
        <v>5.5472225078883877E-3</v>
      </c>
      <c r="S47" s="583">
        <f t="shared" si="28"/>
        <v>0</v>
      </c>
      <c r="T47" s="583">
        <f t="shared" si="28"/>
        <v>0</v>
      </c>
      <c r="U47" s="583">
        <f t="shared" si="28"/>
        <v>0</v>
      </c>
      <c r="V47" s="583">
        <f t="shared" si="28"/>
        <v>0</v>
      </c>
      <c r="W47" s="583">
        <f t="shared" si="28"/>
        <v>0</v>
      </c>
    </row>
    <row r="48" spans="2:23" hidden="1">
      <c r="B48" s="885" t="s">
        <v>1163</v>
      </c>
      <c r="C48" s="442">
        <v>1059.5676000000001</v>
      </c>
      <c r="D48" s="442">
        <v>521.74286599999994</v>
      </c>
      <c r="F48" s="442">
        <v>2103.7649198181816</v>
      </c>
      <c r="G48" s="442">
        <v>0</v>
      </c>
      <c r="H48" s="442">
        <v>0</v>
      </c>
      <c r="I48" s="442">
        <v>0</v>
      </c>
      <c r="J48" s="442">
        <v>0</v>
      </c>
      <c r="K48" s="442">
        <v>0</v>
      </c>
      <c r="L48" s="442">
        <v>0</v>
      </c>
    </row>
    <row r="49" spans="2:23" hidden="1">
      <c r="B49" s="885" t="s">
        <v>1164</v>
      </c>
      <c r="C49" s="442">
        <v>42</v>
      </c>
      <c r="D49" s="442">
        <v>147</v>
      </c>
      <c r="F49" s="442">
        <v>610.5</v>
      </c>
      <c r="G49" s="442">
        <v>0</v>
      </c>
      <c r="H49" s="442">
        <v>0</v>
      </c>
      <c r="I49" s="442">
        <v>0</v>
      </c>
      <c r="J49" s="442">
        <v>0</v>
      </c>
      <c r="K49" s="442">
        <v>0</v>
      </c>
      <c r="L49" s="442">
        <v>0</v>
      </c>
    </row>
    <row r="50" spans="2:23" hidden="1">
      <c r="B50" s="885"/>
    </row>
    <row r="52" spans="2:23" s="1126" customFormat="1">
      <c r="B52" s="1126" t="s">
        <v>570</v>
      </c>
      <c r="C52" s="1127">
        <f>C53+C57</f>
        <v>2842.0994065262435</v>
      </c>
      <c r="D52" s="1127">
        <f t="shared" ref="D52:L52" si="30">D53+D57</f>
        <v>7524.5000420000033</v>
      </c>
      <c r="E52" s="1127">
        <f t="shared" si="30"/>
        <v>4297</v>
      </c>
      <c r="F52" s="1127">
        <f>F53+F57</f>
        <v>14924.596481500001</v>
      </c>
      <c r="G52" s="1127">
        <f t="shared" si="30"/>
        <v>109993.6075759472</v>
      </c>
      <c r="H52" s="1127">
        <f t="shared" si="30"/>
        <v>200625.24393149611</v>
      </c>
      <c r="I52" s="1127">
        <f t="shared" si="30"/>
        <v>249230.44928728577</v>
      </c>
      <c r="J52" s="1127">
        <f t="shared" si="30"/>
        <v>319349.75249495305</v>
      </c>
      <c r="K52" s="1127">
        <f t="shared" si="30"/>
        <v>402409.26265926362</v>
      </c>
      <c r="L52" s="1127">
        <f t="shared" si="30"/>
        <v>528700.38332099759</v>
      </c>
      <c r="M52" s="1127"/>
      <c r="N52" s="1128">
        <f t="shared" ref="N52:P53" si="31">C52/C$6</f>
        <v>2.4354071604072408E-2</v>
      </c>
      <c r="O52" s="1128">
        <f t="shared" si="31"/>
        <v>2.4093118176980954E-2</v>
      </c>
      <c r="P52" s="1128">
        <f t="shared" si="31"/>
        <v>1.5854127807186775E-2</v>
      </c>
      <c r="Q52" s="1128">
        <f t="shared" ref="Q52:W55" si="32">F52/F$6</f>
        <v>3.4844214547920173E-2</v>
      </c>
      <c r="R52" s="1128">
        <f t="shared" si="32"/>
        <v>0.15253975391728425</v>
      </c>
      <c r="S52" s="1128">
        <f t="shared" si="32"/>
        <v>0.21149891265155635</v>
      </c>
      <c r="T52" s="1128">
        <f t="shared" si="32"/>
        <v>0.18829050392593219</v>
      </c>
      <c r="U52" s="1128">
        <f t="shared" si="32"/>
        <v>0.18585455392055725</v>
      </c>
      <c r="V52" s="1128">
        <f t="shared" si="32"/>
        <v>0.1803495302740877</v>
      </c>
      <c r="W52" s="1128">
        <f t="shared" si="32"/>
        <v>0.18238055642253662</v>
      </c>
    </row>
    <row r="53" spans="2:23" s="658" customFormat="1">
      <c r="B53" s="889" t="s">
        <v>751</v>
      </c>
      <c r="C53" s="827">
        <f>SUM(C54:C55)</f>
        <v>393.02867351856338</v>
      </c>
      <c r="D53" s="827">
        <f t="shared" ref="D53:L53" si="33">SUM(D54:D55)</f>
        <v>2024.0000000000007</v>
      </c>
      <c r="E53" s="827">
        <v>361</v>
      </c>
      <c r="F53" s="827">
        <f t="shared" si="33"/>
        <v>2761.2233000000001</v>
      </c>
      <c r="G53" s="827">
        <f t="shared" si="33"/>
        <v>29255.063114906141</v>
      </c>
      <c r="H53" s="827">
        <f t="shared" si="33"/>
        <v>46643.430429988606</v>
      </c>
      <c r="I53" s="827">
        <f t="shared" si="33"/>
        <v>33579.669417383033</v>
      </c>
      <c r="J53" s="827">
        <f t="shared" si="33"/>
        <v>21764.193978887248</v>
      </c>
      <c r="K53" s="827">
        <f t="shared" si="33"/>
        <v>9596.0193800938268</v>
      </c>
      <c r="L53" s="827">
        <f t="shared" si="33"/>
        <v>3372.1805454729888</v>
      </c>
      <c r="N53" s="660">
        <f t="shared" si="31"/>
        <v>3.3678795454321858E-3</v>
      </c>
      <c r="O53" s="660">
        <f t="shared" si="31"/>
        <v>6.4807589764127272E-3</v>
      </c>
      <c r="P53" s="660">
        <f t="shared" si="31"/>
        <v>1.3319385939945139E-3</v>
      </c>
      <c r="Q53" s="660">
        <f t="shared" si="32"/>
        <v>6.4465834770928605E-3</v>
      </c>
      <c r="R53" s="660">
        <f t="shared" si="32"/>
        <v>4.0571086145175676E-2</v>
      </c>
      <c r="S53" s="660">
        <f t="shared" si="32"/>
        <v>4.9171453327426437E-2</v>
      </c>
      <c r="T53" s="660">
        <f t="shared" si="32"/>
        <v>2.5369022502451561E-2</v>
      </c>
      <c r="U53" s="660">
        <f t="shared" si="32"/>
        <v>1.2666283696119331E-2</v>
      </c>
      <c r="V53" s="660">
        <f t="shared" si="32"/>
        <v>4.3006902382522081E-3</v>
      </c>
      <c r="W53" s="660">
        <f t="shared" si="32"/>
        <v>1.1632678614254201E-3</v>
      </c>
    </row>
    <row r="54" spans="2:23" hidden="1">
      <c r="B54" s="888" t="s">
        <v>752</v>
      </c>
      <c r="C54" s="442">
        <v>393.02867351856338</v>
      </c>
      <c r="D54" s="442">
        <v>2024.0000000000007</v>
      </c>
      <c r="F54" s="442">
        <v>0</v>
      </c>
      <c r="G54" s="442">
        <f>'GA Cost Projection'!D22</f>
        <v>10740</v>
      </c>
      <c r="H54" s="442">
        <f>'GA Cost Projection'!E22</f>
        <v>30620</v>
      </c>
      <c r="I54" s="442">
        <f>'GA Cost Projection'!F22</f>
        <v>24840</v>
      </c>
      <c r="J54" s="442">
        <f>'GA Cost Projection'!G22</f>
        <v>14575</v>
      </c>
      <c r="K54" s="442">
        <f>'GA Cost Projection'!H22</f>
        <v>5625</v>
      </c>
      <c r="L54" s="442">
        <f>'GA Cost Projection'!I22</f>
        <v>0</v>
      </c>
      <c r="N54" s="583">
        <f>C54/C$6</f>
        <v>3.3678795454321858E-3</v>
      </c>
      <c r="O54" s="583">
        <f>D54/D$6</f>
        <v>6.4807589764127272E-3</v>
      </c>
      <c r="Q54" s="583">
        <f t="shared" si="32"/>
        <v>0</v>
      </c>
      <c r="R54" s="583">
        <f t="shared" si="32"/>
        <v>1.4894292433680321E-2</v>
      </c>
      <c r="S54" s="583">
        <f t="shared" si="32"/>
        <v>3.2279570499123889E-2</v>
      </c>
      <c r="T54" s="583">
        <f t="shared" si="32"/>
        <v>1.8766310982045623E-2</v>
      </c>
      <c r="U54" s="583">
        <f t="shared" si="32"/>
        <v>8.4823304299724862E-3</v>
      </c>
      <c r="V54" s="583">
        <f t="shared" si="32"/>
        <v>2.5209810059733471E-3</v>
      </c>
      <c r="W54" s="583">
        <f t="shared" si="32"/>
        <v>0</v>
      </c>
    </row>
    <row r="55" spans="2:23" hidden="1">
      <c r="B55" s="888" t="s">
        <v>753</v>
      </c>
      <c r="F55" s="442">
        <v>2761.2233000000001</v>
      </c>
      <c r="G55" s="442">
        <f>'GA Cost Projection'!D23</f>
        <v>18515.063114906141</v>
      </c>
      <c r="H55" s="442">
        <f>'GA Cost Projection'!E23</f>
        <v>16023.430429988608</v>
      </c>
      <c r="I55" s="442">
        <f>'GA Cost Projection'!F23</f>
        <v>8739.6694173830347</v>
      </c>
      <c r="J55" s="442">
        <f>'GA Cost Projection'!G23</f>
        <v>7189.1939788872478</v>
      </c>
      <c r="K55" s="442">
        <f>'GA Cost Projection'!H23</f>
        <v>3971.0193800938264</v>
      </c>
      <c r="L55" s="442">
        <f>'GA Cost Projection'!I23</f>
        <v>3372.1805454729888</v>
      </c>
      <c r="N55" s="583">
        <f>C55/C$6</f>
        <v>0</v>
      </c>
      <c r="O55" s="583">
        <f>D55/D$6</f>
        <v>0</v>
      </c>
      <c r="Q55" s="583">
        <f t="shared" si="32"/>
        <v>6.4465834770928605E-3</v>
      </c>
      <c r="R55" s="583">
        <f t="shared" si="32"/>
        <v>2.5676793711495359E-2</v>
      </c>
      <c r="S55" s="583">
        <f t="shared" si="32"/>
        <v>1.6891882828302555E-2</v>
      </c>
      <c r="T55" s="583">
        <f t="shared" si="32"/>
        <v>6.6027115204059387E-3</v>
      </c>
      <c r="U55" s="583">
        <f t="shared" si="32"/>
        <v>4.1839532661468457E-3</v>
      </c>
      <c r="V55" s="583">
        <f t="shared" si="32"/>
        <v>1.7797092322788608E-3</v>
      </c>
      <c r="W55" s="583">
        <f t="shared" si="32"/>
        <v>1.1632678614254201E-3</v>
      </c>
    </row>
    <row r="56" spans="2:23" hidden="1"/>
    <row r="57" spans="2:23" s="658" customFormat="1">
      <c r="B57" s="889" t="s">
        <v>754</v>
      </c>
      <c r="C57" s="827">
        <f>SUM(C58:C62)</f>
        <v>2449.0707330076802</v>
      </c>
      <c r="D57" s="827">
        <f t="shared" ref="D57:L57" si="34">SUM(D58:D62)</f>
        <v>5500.5000420000024</v>
      </c>
      <c r="E57" s="827">
        <f>1306+2630</f>
        <v>3936</v>
      </c>
      <c r="F57" s="827">
        <f t="shared" si="34"/>
        <v>12163.373181500001</v>
      </c>
      <c r="G57" s="827">
        <f t="shared" si="34"/>
        <v>80738.544461041063</v>
      </c>
      <c r="H57" s="827">
        <f t="shared" si="34"/>
        <v>153981.81350150751</v>
      </c>
      <c r="I57" s="827">
        <f t="shared" si="34"/>
        <v>215650.77986990273</v>
      </c>
      <c r="J57" s="827">
        <f t="shared" si="34"/>
        <v>297585.55851606582</v>
      </c>
      <c r="K57" s="827">
        <f t="shared" si="34"/>
        <v>392813.24327916978</v>
      </c>
      <c r="L57" s="827">
        <f t="shared" si="34"/>
        <v>525328.20277552458</v>
      </c>
      <c r="N57" s="660">
        <f>C57/C$6</f>
        <v>2.0986192058640225E-2</v>
      </c>
      <c r="O57" s="660">
        <f>D57/D$6</f>
        <v>1.7612359200568226E-2</v>
      </c>
      <c r="P57" s="660">
        <f>E57/E$6</f>
        <v>1.4522189213192262E-2</v>
      </c>
      <c r="Q57" s="660">
        <f t="shared" ref="Q57:W61" si="35">F57/F$6</f>
        <v>2.8397631070827309E-2</v>
      </c>
      <c r="R57" s="660">
        <f t="shared" si="35"/>
        <v>0.11196866777210858</v>
      </c>
      <c r="S57" s="660">
        <f t="shared" si="35"/>
        <v>0.1623274593241299</v>
      </c>
      <c r="T57" s="660">
        <f t="shared" si="35"/>
        <v>0.16292148142348065</v>
      </c>
      <c r="U57" s="660">
        <f t="shared" si="35"/>
        <v>0.17318827022443795</v>
      </c>
      <c r="V57" s="660">
        <f t="shared" si="35"/>
        <v>0.17604884003583549</v>
      </c>
      <c r="W57" s="660">
        <f t="shared" si="35"/>
        <v>0.18121728856111119</v>
      </c>
    </row>
    <row r="58" spans="2:23" hidden="1">
      <c r="B58" s="886" t="s">
        <v>755</v>
      </c>
      <c r="F58" s="442">
        <v>202.73570999999998</v>
      </c>
      <c r="G58" s="442">
        <f>'GA Cost Projection'!D26</f>
        <v>1543.8899397568548</v>
      </c>
      <c r="H58" s="442">
        <f>'GA Cost Projection'!E26</f>
        <v>2418.9312074416334</v>
      </c>
      <c r="I58" s="442">
        <f>'GA Cost Projection'!F26</f>
        <v>3220.3080314923732</v>
      </c>
      <c r="J58" s="442">
        <f>'GA Cost Projection'!G26</f>
        <v>4228.1333173568764</v>
      </c>
      <c r="K58" s="442">
        <f>'GA Cost Projection'!H26</f>
        <v>5640.0918752685866</v>
      </c>
      <c r="L58" s="442">
        <f>'GA Cost Projection'!I26</f>
        <v>7147.8061899473241</v>
      </c>
      <c r="N58" s="583">
        <f t="shared" ref="N58:O61" si="36">C58/C$6</f>
        <v>0</v>
      </c>
      <c r="O58" s="583">
        <f t="shared" si="36"/>
        <v>0</v>
      </c>
      <c r="Q58" s="583">
        <f t="shared" si="35"/>
        <v>4.7332379032970261E-4</v>
      </c>
      <c r="R58" s="583">
        <f t="shared" si="35"/>
        <v>2.1410752558804181E-3</v>
      </c>
      <c r="S58" s="583">
        <f t="shared" si="35"/>
        <v>2.5500346323691402E-3</v>
      </c>
      <c r="T58" s="583">
        <f t="shared" si="35"/>
        <v>2.4329026560774977E-3</v>
      </c>
      <c r="U58" s="583">
        <f t="shared" si="35"/>
        <v>2.4606808850632417E-3</v>
      </c>
      <c r="V58" s="583">
        <f t="shared" si="35"/>
        <v>2.5277447981327476E-3</v>
      </c>
      <c r="W58" s="583">
        <f t="shared" si="35"/>
        <v>2.465708199291314E-3</v>
      </c>
    </row>
    <row r="59" spans="2:23" hidden="1">
      <c r="B59" s="886" t="s">
        <v>756</v>
      </c>
      <c r="C59" s="442">
        <v>2449.0707330076802</v>
      </c>
      <c r="D59" s="442">
        <v>5500.5000420000024</v>
      </c>
      <c r="F59" s="442">
        <f>7017.32921+2630</f>
        <v>9647.3292099999999</v>
      </c>
      <c r="G59" s="442">
        <f>'GA Cost Projection'!D27</f>
        <v>55163.554205540029</v>
      </c>
      <c r="H59" s="442">
        <f>'GA Cost Projection'!E27</f>
        <v>105572.11624339578</v>
      </c>
      <c r="I59" s="442">
        <f>'GA Cost Projection'!F27</f>
        <v>147969.83355760676</v>
      </c>
      <c r="J59" s="442">
        <f>'GA Cost Projection'!G27</f>
        <v>204340.03184138419</v>
      </c>
      <c r="K59" s="442">
        <f>'GA Cost Projection'!H27</f>
        <v>269687.98908843979</v>
      </c>
      <c r="L59" s="442">
        <f>'GA Cost Projection'!I27</f>
        <v>360941.94195410446</v>
      </c>
      <c r="N59" s="583">
        <f t="shared" si="36"/>
        <v>2.0986192058640225E-2</v>
      </c>
      <c r="O59" s="583">
        <f t="shared" si="36"/>
        <v>1.7612359200568226E-2</v>
      </c>
      <c r="Q59" s="583">
        <f t="shared" si="35"/>
        <v>2.2523463815208755E-2</v>
      </c>
      <c r="R59" s="583">
        <f t="shared" si="35"/>
        <v>7.6501127376023201E-2</v>
      </c>
      <c r="S59" s="583">
        <f t="shared" si="35"/>
        <v>0.11129400943894173</v>
      </c>
      <c r="T59" s="583">
        <f t="shared" si="35"/>
        <v>0.11178936845827613</v>
      </c>
      <c r="U59" s="583">
        <f t="shared" si="35"/>
        <v>0.11892141819209055</v>
      </c>
      <c r="V59" s="583">
        <f t="shared" si="35"/>
        <v>0.12086725298330739</v>
      </c>
      <c r="W59" s="583">
        <f t="shared" si="35"/>
        <v>0.12451058158180468</v>
      </c>
    </row>
    <row r="60" spans="2:23" hidden="1">
      <c r="B60" s="886" t="s">
        <v>757</v>
      </c>
      <c r="F60" s="442">
        <v>1260.7088800000001</v>
      </c>
      <c r="G60" s="442">
        <f>'GA Cost Projection'!D28</f>
        <v>16973.401294012318</v>
      </c>
      <c r="H60" s="442">
        <f>'GA Cost Projection'!E28</f>
        <v>32483.728074891009</v>
      </c>
      <c r="I60" s="442">
        <f>'GA Cost Projection'!F28</f>
        <v>34146.884667140017</v>
      </c>
      <c r="J60" s="442">
        <f>'GA Cost Projection'!G28</f>
        <v>47155.391963396352</v>
      </c>
      <c r="K60" s="442">
        <f>'GA Cost Projection'!H28</f>
        <v>62235.689789639953</v>
      </c>
      <c r="L60" s="442">
        <f>'GA Cost Projection'!I28</f>
        <v>83294.294297101034</v>
      </c>
      <c r="N60" s="583">
        <f t="shared" si="36"/>
        <v>0</v>
      </c>
      <c r="O60" s="583">
        <f t="shared" si="36"/>
        <v>0</v>
      </c>
      <c r="Q60" s="583">
        <f t="shared" si="35"/>
        <v>2.9433566764528771E-3</v>
      </c>
      <c r="R60" s="583">
        <f t="shared" si="35"/>
        <v>2.3538808423391754E-2</v>
      </c>
      <c r="S60" s="583">
        <f t="shared" si="35"/>
        <v>3.4244310596597459E-2</v>
      </c>
      <c r="T60" s="583">
        <f t="shared" si="35"/>
        <v>2.5797546567294487E-2</v>
      </c>
      <c r="U60" s="583">
        <f t="shared" si="35"/>
        <v>2.7443404198174742E-2</v>
      </c>
      <c r="V60" s="583">
        <f t="shared" si="35"/>
        <v>2.7892442996147859E-2</v>
      </c>
      <c r="W60" s="583">
        <f t="shared" si="35"/>
        <v>2.8733211134262623E-2</v>
      </c>
    </row>
    <row r="61" spans="2:23" hidden="1">
      <c r="B61" s="886" t="s">
        <v>696</v>
      </c>
      <c r="F61" s="442">
        <v>1052.5993814999999</v>
      </c>
      <c r="G61" s="442">
        <f>'GA Cost Projection'!D29</f>
        <v>7057.6990217318653</v>
      </c>
      <c r="H61" s="442">
        <f>'GA Cost Projection'!E29</f>
        <v>13507.037975779087</v>
      </c>
      <c r="I61" s="442">
        <f>'GA Cost Projection'!F29</f>
        <v>18931.458724616907</v>
      </c>
      <c r="J61" s="442">
        <f>'GA Cost Projection'!G29</f>
        <v>26143.537406129639</v>
      </c>
      <c r="K61" s="442">
        <f>'GA Cost Projection'!H29</f>
        <v>34504.242595941389</v>
      </c>
      <c r="L61" s="442">
        <f>'GA Cost Projection'!I29</f>
        <v>46179.395568671462</v>
      </c>
      <c r="N61" s="583">
        <f t="shared" si="36"/>
        <v>0</v>
      </c>
      <c r="O61" s="583">
        <f t="shared" si="36"/>
        <v>0</v>
      </c>
      <c r="Q61" s="583">
        <f t="shared" si="35"/>
        <v>2.457486788835971E-3</v>
      </c>
      <c r="R61" s="583">
        <f t="shared" si="35"/>
        <v>9.7876567168132152E-3</v>
      </c>
      <c r="S61" s="583">
        <f t="shared" si="35"/>
        <v>1.4239104656221574E-2</v>
      </c>
      <c r="T61" s="583">
        <f t="shared" si="35"/>
        <v>1.4302481552734368E-2</v>
      </c>
      <c r="U61" s="583">
        <f t="shared" si="35"/>
        <v>1.5214965549717831E-2</v>
      </c>
      <c r="V61" s="583">
        <f t="shared" si="35"/>
        <v>1.5463918259531509E-2</v>
      </c>
      <c r="W61" s="583">
        <f t="shared" si="35"/>
        <v>1.5930050600998363E-2</v>
      </c>
    </row>
    <row r="62" spans="2:23" hidden="1">
      <c r="B62" s="886" t="s">
        <v>758</v>
      </c>
      <c r="G62" s="442">
        <f>'GA Cost Projection'!D30</f>
        <v>0</v>
      </c>
      <c r="H62" s="442">
        <f>'GA Cost Projection'!E30</f>
        <v>0</v>
      </c>
      <c r="I62" s="442">
        <f>'GA Cost Projection'!F30</f>
        <v>11382.294889046674</v>
      </c>
      <c r="J62" s="442">
        <f>'GA Cost Projection'!G30</f>
        <v>15718.463987798785</v>
      </c>
      <c r="K62" s="442">
        <f>'GA Cost Projection'!H30</f>
        <v>20745.229929879984</v>
      </c>
      <c r="L62" s="442">
        <f>'GA Cost Projection'!I30</f>
        <v>27764.764765700344</v>
      </c>
    </row>
    <row r="63" spans="2:23">
      <c r="F63" s="464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6"/>
  <sheetViews>
    <sheetView topLeftCell="A178" workbookViewId="0">
      <selection activeCell="F183" sqref="F183"/>
    </sheetView>
  </sheetViews>
  <sheetFormatPr defaultColWidth="9" defaultRowHeight="12.75"/>
  <cols>
    <col min="1" max="1" width="9" style="67"/>
    <col min="2" max="2" width="14.42578125" style="67" customWidth="1"/>
    <col min="3" max="3" width="13.42578125" style="67" customWidth="1"/>
    <col min="4" max="4" width="10.85546875" style="67" customWidth="1"/>
    <col min="5" max="5" width="10.7109375" style="67" customWidth="1"/>
    <col min="6" max="6" width="20.42578125" style="67" customWidth="1"/>
    <col min="7" max="7" width="17" style="67" customWidth="1"/>
    <col min="8" max="8" width="9" style="67"/>
    <col min="9" max="9" width="13.28515625" style="67" customWidth="1"/>
    <col min="10" max="10" width="14.42578125" style="67" customWidth="1"/>
    <col min="11" max="16384" width="9" style="67"/>
  </cols>
  <sheetData>
    <row r="2" spans="1:7" ht="15.75">
      <c r="A2" s="137" t="s">
        <v>348</v>
      </c>
    </row>
    <row r="4" spans="1:7">
      <c r="B4" s="93" t="s">
        <v>225</v>
      </c>
    </row>
    <row r="5" spans="1:7">
      <c r="B5" s="93" t="s">
        <v>226</v>
      </c>
    </row>
    <row r="6" spans="1:7">
      <c r="C6" s="67" t="s">
        <v>227</v>
      </c>
    </row>
    <row r="8" spans="1:7">
      <c r="C8" s="54" t="s">
        <v>198</v>
      </c>
      <c r="D8" s="55" t="s">
        <v>14</v>
      </c>
    </row>
    <row r="9" spans="1:7">
      <c r="C9" s="64">
        <v>3</v>
      </c>
      <c r="D9" s="87">
        <v>0.08</v>
      </c>
    </row>
    <row r="10" spans="1:7">
      <c r="C10" s="88">
        <v>5</v>
      </c>
      <c r="D10" s="89">
        <v>0.1</v>
      </c>
    </row>
    <row r="12" spans="1:7">
      <c r="B12" s="93" t="s">
        <v>228</v>
      </c>
    </row>
    <row r="13" spans="1:7">
      <c r="C13" s="61" t="s">
        <v>20</v>
      </c>
      <c r="D13" s="1871" t="s">
        <v>13</v>
      </c>
      <c r="E13" s="1872"/>
      <c r="F13" s="98" t="s">
        <v>21</v>
      </c>
      <c r="G13" s="98" t="s">
        <v>21</v>
      </c>
    </row>
    <row r="14" spans="1:7">
      <c r="C14" s="5"/>
      <c r="D14" s="1869" t="s">
        <v>16</v>
      </c>
      <c r="E14" s="1870"/>
      <c r="F14" s="99" t="s">
        <v>347</v>
      </c>
      <c r="G14" s="99" t="s">
        <v>241</v>
      </c>
    </row>
    <row r="15" spans="1:7">
      <c r="C15" s="63">
        <v>6</v>
      </c>
      <c r="D15" s="1871">
        <v>180</v>
      </c>
      <c r="E15" s="1872"/>
      <c r="F15" s="90">
        <v>0.45</v>
      </c>
      <c r="G15" s="135">
        <v>0.55000000000000004</v>
      </c>
    </row>
    <row r="16" spans="1:7">
      <c r="C16" s="63">
        <v>5</v>
      </c>
      <c r="D16" s="1880">
        <v>130</v>
      </c>
      <c r="E16" s="1881"/>
      <c r="F16" s="90">
        <v>0.35</v>
      </c>
      <c r="G16" s="135">
        <v>0.45</v>
      </c>
    </row>
    <row r="17" spans="2:8">
      <c r="C17" s="63">
        <v>4</v>
      </c>
      <c r="D17" s="1880">
        <v>90</v>
      </c>
      <c r="E17" s="1881"/>
      <c r="F17" s="90">
        <v>0.25</v>
      </c>
      <c r="G17" s="135">
        <v>0.35</v>
      </c>
    </row>
    <row r="18" spans="2:8">
      <c r="C18" s="63">
        <v>3</v>
      </c>
      <c r="D18" s="1880">
        <v>50</v>
      </c>
      <c r="E18" s="1881"/>
      <c r="F18" s="90">
        <v>0.15</v>
      </c>
      <c r="G18" s="135">
        <v>0.25</v>
      </c>
    </row>
    <row r="19" spans="2:8">
      <c r="C19" s="66">
        <v>2</v>
      </c>
      <c r="D19" s="1882">
        <v>30</v>
      </c>
      <c r="E19" s="1883"/>
      <c r="F19" s="90">
        <v>0.1</v>
      </c>
      <c r="G19" s="135">
        <v>0.2</v>
      </c>
    </row>
    <row r="20" spans="2:8">
      <c r="C20" s="62">
        <v>1</v>
      </c>
      <c r="D20" s="1869">
        <v>15</v>
      </c>
      <c r="E20" s="1870"/>
      <c r="F20" s="91">
        <v>0.08</v>
      </c>
      <c r="G20" s="136">
        <v>0.15</v>
      </c>
    </row>
    <row r="21" spans="2:8">
      <c r="C21" s="60"/>
      <c r="D21" s="60"/>
      <c r="E21" s="60"/>
      <c r="F21" s="97"/>
    </row>
    <row r="22" spans="2:8">
      <c r="C22" s="6" t="s">
        <v>23</v>
      </c>
      <c r="D22" s="4"/>
      <c r="E22" s="4"/>
      <c r="F22" s="4"/>
    </row>
    <row r="23" spans="2:8">
      <c r="C23" s="6" t="s">
        <v>24</v>
      </c>
      <c r="D23" s="4"/>
      <c r="E23" s="4"/>
      <c r="F23" s="4"/>
    </row>
    <row r="25" spans="2:8">
      <c r="B25" s="93" t="s">
        <v>230</v>
      </c>
    </row>
    <row r="27" spans="2:8" s="119" customFormat="1" ht="25.5">
      <c r="B27" s="133" t="s">
        <v>202</v>
      </c>
      <c r="C27" s="134" t="s">
        <v>342</v>
      </c>
      <c r="D27" s="133" t="s">
        <v>229</v>
      </c>
      <c r="E27" s="134" t="s">
        <v>343</v>
      </c>
      <c r="F27" s="134" t="s">
        <v>344</v>
      </c>
    </row>
    <row r="28" spans="2:8">
      <c r="B28" s="92" t="s">
        <v>203</v>
      </c>
      <c r="C28" s="94">
        <v>300</v>
      </c>
      <c r="D28" s="94">
        <v>6</v>
      </c>
      <c r="E28" s="95">
        <v>0.2</v>
      </c>
      <c r="F28" s="95">
        <v>0.1</v>
      </c>
      <c r="G28" s="96"/>
    </row>
    <row r="29" spans="2:8">
      <c r="B29" s="92" t="s">
        <v>204</v>
      </c>
      <c r="C29" s="94">
        <v>200</v>
      </c>
      <c r="D29" s="94">
        <v>6</v>
      </c>
      <c r="E29" s="95">
        <v>0.15</v>
      </c>
      <c r="F29" s="95">
        <v>0.1</v>
      </c>
      <c r="G29" s="96"/>
      <c r="H29" s="96"/>
    </row>
    <row r="30" spans="2:8">
      <c r="B30" s="92" t="s">
        <v>205</v>
      </c>
      <c r="C30" s="94">
        <v>120</v>
      </c>
      <c r="D30" s="94">
        <v>6</v>
      </c>
      <c r="E30" s="95">
        <v>0.1</v>
      </c>
      <c r="F30" s="95">
        <v>0.1</v>
      </c>
      <c r="G30" s="96"/>
      <c r="H30" s="96"/>
    </row>
    <row r="31" spans="2:8" ht="25.5">
      <c r="E31" s="102" t="s">
        <v>345</v>
      </c>
      <c r="F31" s="102" t="s">
        <v>346</v>
      </c>
    </row>
    <row r="34" spans="2:2">
      <c r="B34" s="67" t="s">
        <v>232</v>
      </c>
    </row>
    <row r="35" spans="2:2">
      <c r="B35" s="67" t="s">
        <v>231</v>
      </c>
    </row>
    <row r="36" spans="2:2">
      <c r="B36" s="67" t="s">
        <v>23</v>
      </c>
    </row>
    <row r="37" spans="2:2">
      <c r="B37" s="67" t="s">
        <v>24</v>
      </c>
    </row>
    <row r="39" spans="2:2">
      <c r="B39" s="100" t="s">
        <v>233</v>
      </c>
    </row>
    <row r="41" spans="2:2">
      <c r="B41" s="67" t="s">
        <v>234</v>
      </c>
    </row>
    <row r="42" spans="2:2">
      <c r="B42" s="67" t="s">
        <v>235</v>
      </c>
    </row>
    <row r="44" spans="2:2">
      <c r="B44" s="67" t="s">
        <v>236</v>
      </c>
    </row>
    <row r="45" spans="2:2">
      <c r="B45" s="67" t="s">
        <v>237</v>
      </c>
    </row>
    <row r="46" spans="2:2">
      <c r="B46" s="67" t="s">
        <v>238</v>
      </c>
    </row>
    <row r="48" spans="2:2">
      <c r="B48" s="67" t="s">
        <v>239</v>
      </c>
    </row>
    <row r="49" spans="1:9">
      <c r="B49" s="67" t="s">
        <v>240</v>
      </c>
    </row>
    <row r="51" spans="1:9">
      <c r="A51" s="100" t="s">
        <v>242</v>
      </c>
    </row>
    <row r="53" spans="1:9">
      <c r="A53" s="93">
        <v>1</v>
      </c>
      <c r="B53" s="100" t="s">
        <v>243</v>
      </c>
    </row>
    <row r="55" spans="1:9">
      <c r="B55" s="67" t="s">
        <v>244</v>
      </c>
    </row>
    <row r="56" spans="1:9">
      <c r="B56" s="67" t="s">
        <v>245</v>
      </c>
    </row>
    <row r="58" spans="1:9">
      <c r="B58" s="100" t="s">
        <v>262</v>
      </c>
      <c r="D58" s="67" t="s">
        <v>263</v>
      </c>
    </row>
    <row r="59" spans="1:9">
      <c r="B59" s="112" t="s">
        <v>246</v>
      </c>
      <c r="C59" s="68"/>
      <c r="D59" s="67" t="s">
        <v>267</v>
      </c>
    </row>
    <row r="60" spans="1:9">
      <c r="B60" s="112" t="s">
        <v>247</v>
      </c>
      <c r="C60" s="68"/>
    </row>
    <row r="61" spans="1:9">
      <c r="B61" s="68"/>
      <c r="C61" s="101"/>
    </row>
    <row r="62" spans="1:9">
      <c r="B62" s="103" t="s">
        <v>256</v>
      </c>
      <c r="C62" s="104" t="s">
        <v>248</v>
      </c>
      <c r="D62" s="105" t="s">
        <v>249</v>
      </c>
      <c r="E62" s="105" t="s">
        <v>250</v>
      </c>
      <c r="F62" s="105" t="s">
        <v>251</v>
      </c>
      <c r="G62" s="105" t="s">
        <v>252</v>
      </c>
      <c r="H62" s="105" t="s">
        <v>253</v>
      </c>
      <c r="I62" s="106" t="s">
        <v>254</v>
      </c>
    </row>
    <row r="63" spans="1:9" s="119" customFormat="1" ht="27.75" customHeight="1">
      <c r="B63" s="120" t="s">
        <v>264</v>
      </c>
      <c r="C63" s="121">
        <v>1</v>
      </c>
      <c r="D63" s="121">
        <v>1</v>
      </c>
      <c r="E63" s="121">
        <v>2</v>
      </c>
      <c r="F63" s="121">
        <v>2</v>
      </c>
      <c r="G63" s="121">
        <v>3</v>
      </c>
      <c r="H63" s="121">
        <v>3</v>
      </c>
      <c r="I63" s="122"/>
    </row>
    <row r="64" spans="1:9" s="119" customFormat="1">
      <c r="B64" s="123" t="s">
        <v>255</v>
      </c>
      <c r="C64" s="124">
        <v>1</v>
      </c>
      <c r="D64" s="124">
        <v>1</v>
      </c>
      <c r="E64" s="124">
        <v>1</v>
      </c>
      <c r="F64" s="124">
        <v>1</v>
      </c>
      <c r="G64" s="124">
        <v>1</v>
      </c>
      <c r="H64" s="124">
        <v>1</v>
      </c>
      <c r="I64" s="125"/>
    </row>
    <row r="65" spans="1:9">
      <c r="B65" s="110" t="s">
        <v>21</v>
      </c>
      <c r="C65" s="111">
        <v>5</v>
      </c>
      <c r="D65" s="111">
        <v>5</v>
      </c>
      <c r="E65" s="111">
        <v>5</v>
      </c>
      <c r="F65" s="111">
        <v>5</v>
      </c>
      <c r="G65" s="111">
        <v>5</v>
      </c>
      <c r="H65" s="111">
        <v>5</v>
      </c>
      <c r="I65" s="108">
        <f>SUM(C65:H65)</f>
        <v>30</v>
      </c>
    </row>
    <row r="67" spans="1:9">
      <c r="B67" s="67" t="s">
        <v>265</v>
      </c>
    </row>
    <row r="70" spans="1:9">
      <c r="B70" s="100" t="s">
        <v>257</v>
      </c>
    </row>
    <row r="72" spans="1:9">
      <c r="B72" s="113" t="s">
        <v>260</v>
      </c>
      <c r="C72" s="114"/>
      <c r="D72" s="118" t="s">
        <v>21</v>
      </c>
    </row>
    <row r="73" spans="1:9">
      <c r="B73" s="115" t="s">
        <v>258</v>
      </c>
      <c r="C73" s="116"/>
      <c r="D73" s="98" t="s">
        <v>261</v>
      </c>
    </row>
    <row r="74" spans="1:9">
      <c r="B74" s="107" t="s">
        <v>259</v>
      </c>
      <c r="C74" s="117"/>
      <c r="D74" s="99" t="s">
        <v>266</v>
      </c>
    </row>
    <row r="76" spans="1:9">
      <c r="A76" s="93">
        <v>2</v>
      </c>
      <c r="B76" s="100" t="s">
        <v>268</v>
      </c>
    </row>
    <row r="78" spans="1:9">
      <c r="B78" s="100" t="s">
        <v>275</v>
      </c>
    </row>
    <row r="80" spans="1:9">
      <c r="B80" s="118" t="s">
        <v>270</v>
      </c>
      <c r="C80" s="118" t="s">
        <v>271</v>
      </c>
    </row>
    <row r="81" spans="1:6">
      <c r="B81" s="94" t="s">
        <v>274</v>
      </c>
      <c r="C81" s="95">
        <v>0.2</v>
      </c>
    </row>
    <row r="82" spans="1:6">
      <c r="B82" s="94" t="s">
        <v>273</v>
      </c>
      <c r="C82" s="95">
        <v>0.16</v>
      </c>
    </row>
    <row r="83" spans="1:6">
      <c r="B83" s="94" t="s">
        <v>272</v>
      </c>
      <c r="C83" s="95">
        <v>0.12</v>
      </c>
    </row>
    <row r="84" spans="1:6">
      <c r="B84" s="68"/>
      <c r="C84" s="68"/>
    </row>
    <row r="86" spans="1:6">
      <c r="B86" s="100" t="s">
        <v>269</v>
      </c>
      <c r="D86" s="68"/>
      <c r="E86" s="68"/>
      <c r="F86" s="68"/>
    </row>
    <row r="88" spans="1:6">
      <c r="B88" s="1873" t="s">
        <v>54</v>
      </c>
      <c r="C88" s="1874"/>
      <c r="D88" s="1875" t="s">
        <v>55</v>
      </c>
      <c r="E88" s="1876"/>
      <c r="F88" s="1877"/>
    </row>
    <row r="89" spans="1:6">
      <c r="B89" s="1867" t="s">
        <v>56</v>
      </c>
      <c r="C89" s="1868"/>
      <c r="D89" s="13">
        <v>6</v>
      </c>
      <c r="E89" s="14">
        <v>12</v>
      </c>
      <c r="F89" s="15">
        <v>24</v>
      </c>
    </row>
    <row r="90" spans="1:6">
      <c r="B90" s="16" t="s">
        <v>57</v>
      </c>
      <c r="C90" s="17">
        <v>550</v>
      </c>
      <c r="D90" s="18">
        <v>0.2</v>
      </c>
      <c r="E90" s="18">
        <v>0.25</v>
      </c>
      <c r="F90" s="18">
        <v>0.3</v>
      </c>
    </row>
    <row r="91" spans="1:6">
      <c r="B91" s="19" t="s">
        <v>17</v>
      </c>
      <c r="C91" s="20">
        <v>330</v>
      </c>
      <c r="D91" s="18">
        <v>0.15</v>
      </c>
      <c r="E91" s="18">
        <v>0.2</v>
      </c>
      <c r="F91" s="18">
        <v>0.25</v>
      </c>
    </row>
    <row r="92" spans="1:6">
      <c r="B92" s="19" t="s">
        <v>18</v>
      </c>
      <c r="C92" s="21">
        <v>220</v>
      </c>
      <c r="D92" s="18">
        <v>0.1</v>
      </c>
      <c r="E92" s="18">
        <v>0.15</v>
      </c>
      <c r="F92" s="18">
        <v>0.2</v>
      </c>
    </row>
    <row r="93" spans="1:6">
      <c r="B93" s="22" t="s">
        <v>19</v>
      </c>
      <c r="C93" s="23">
        <v>110</v>
      </c>
      <c r="D93" s="24">
        <v>0.05</v>
      </c>
      <c r="E93" s="24">
        <v>0.05</v>
      </c>
      <c r="F93" s="24">
        <v>0.05</v>
      </c>
    </row>
    <row r="96" spans="1:6">
      <c r="A96" s="93">
        <v>3</v>
      </c>
      <c r="B96" s="100" t="s">
        <v>276</v>
      </c>
    </row>
    <row r="98" spans="2:4">
      <c r="B98" s="100" t="s">
        <v>277</v>
      </c>
    </row>
    <row r="100" spans="2:4">
      <c r="B100" s="118" t="s">
        <v>278</v>
      </c>
      <c r="C100" s="118" t="s">
        <v>271</v>
      </c>
    </row>
    <row r="101" spans="2:4">
      <c r="B101" s="94" t="s">
        <v>279</v>
      </c>
      <c r="C101" s="95">
        <v>0.06</v>
      </c>
    </row>
    <row r="102" spans="2:4">
      <c r="B102" s="94" t="s">
        <v>280</v>
      </c>
      <c r="C102" s="95">
        <v>0.04</v>
      </c>
    </row>
    <row r="104" spans="2:4">
      <c r="B104" s="100" t="s">
        <v>269</v>
      </c>
    </row>
    <row r="106" spans="2:4">
      <c r="B106" s="1878" t="s">
        <v>69</v>
      </c>
      <c r="C106" s="1879"/>
      <c r="D106" s="25" t="s">
        <v>70</v>
      </c>
    </row>
    <row r="107" spans="2:4">
      <c r="B107" s="1867" t="s">
        <v>56</v>
      </c>
      <c r="C107" s="1868"/>
      <c r="D107" s="26" t="s">
        <v>64</v>
      </c>
    </row>
    <row r="108" spans="2:4">
      <c r="B108" s="16" t="s">
        <v>57</v>
      </c>
      <c r="C108" s="17">
        <v>2200</v>
      </c>
      <c r="D108" s="27">
        <v>0.1</v>
      </c>
    </row>
    <row r="109" spans="2:4">
      <c r="B109" s="19" t="s">
        <v>17</v>
      </c>
      <c r="C109" s="20">
        <v>1380</v>
      </c>
      <c r="D109" s="28">
        <v>0.08</v>
      </c>
    </row>
    <row r="110" spans="2:4">
      <c r="B110" s="19" t="s">
        <v>18</v>
      </c>
      <c r="C110" s="20">
        <v>880</v>
      </c>
      <c r="D110" s="28">
        <v>0.06</v>
      </c>
    </row>
    <row r="111" spans="2:4">
      <c r="B111" s="22" t="s">
        <v>19</v>
      </c>
      <c r="C111" s="29">
        <v>440</v>
      </c>
      <c r="D111" s="30">
        <v>0.04</v>
      </c>
    </row>
    <row r="113" spans="1:4">
      <c r="B113" s="67" t="s">
        <v>281</v>
      </c>
    </row>
    <row r="114" spans="1:4">
      <c r="B114" s="67" t="s">
        <v>282</v>
      </c>
    </row>
    <row r="116" spans="1:4">
      <c r="A116" s="93">
        <v>4</v>
      </c>
      <c r="B116" s="100" t="s">
        <v>283</v>
      </c>
    </row>
    <row r="118" spans="1:4">
      <c r="B118" s="93" t="s">
        <v>295</v>
      </c>
    </row>
    <row r="119" spans="1:4">
      <c r="B119" s="93" t="s">
        <v>286</v>
      </c>
    </row>
    <row r="121" spans="1:4" s="119" customFormat="1" ht="63.75">
      <c r="B121" s="128" t="s">
        <v>202</v>
      </c>
      <c r="C121" s="129" t="s">
        <v>284</v>
      </c>
      <c r="D121" s="129" t="s">
        <v>285</v>
      </c>
    </row>
    <row r="122" spans="1:4">
      <c r="B122" s="92" t="s">
        <v>203</v>
      </c>
      <c r="C122" s="127">
        <v>1200</v>
      </c>
      <c r="D122" s="94">
        <v>8</v>
      </c>
    </row>
    <row r="123" spans="1:4">
      <c r="B123" s="92" t="s">
        <v>204</v>
      </c>
      <c r="C123" s="127">
        <v>900</v>
      </c>
      <c r="D123" s="94">
        <v>6</v>
      </c>
    </row>
    <row r="124" spans="1:4">
      <c r="B124" s="92" t="s">
        <v>205</v>
      </c>
      <c r="C124" s="127">
        <v>600</v>
      </c>
      <c r="D124" s="94">
        <v>4</v>
      </c>
    </row>
    <row r="126" spans="1:4">
      <c r="B126" s="67" t="s">
        <v>311</v>
      </c>
    </row>
    <row r="127" spans="1:4">
      <c r="B127" s="67" t="s">
        <v>312</v>
      </c>
    </row>
    <row r="128" spans="1:4">
      <c r="B128" s="67" t="s">
        <v>313</v>
      </c>
    </row>
    <row r="130" spans="2:4">
      <c r="B130" s="100" t="s">
        <v>287</v>
      </c>
    </row>
    <row r="131" spans="2:4">
      <c r="B131" s="67" t="s">
        <v>288</v>
      </c>
    </row>
    <row r="133" spans="2:4" ht="38.25">
      <c r="B133" s="128" t="s">
        <v>202</v>
      </c>
      <c r="C133" s="129" t="s">
        <v>291</v>
      </c>
      <c r="D133" s="129" t="s">
        <v>289</v>
      </c>
    </row>
    <row r="134" spans="2:4">
      <c r="B134" s="92" t="s">
        <v>203</v>
      </c>
      <c r="C134" s="127" t="s">
        <v>290</v>
      </c>
      <c r="D134" s="94">
        <v>4</v>
      </c>
    </row>
    <row r="135" spans="2:4">
      <c r="B135" s="92" t="s">
        <v>204</v>
      </c>
      <c r="C135" s="127" t="s">
        <v>290</v>
      </c>
      <c r="D135" s="94">
        <v>2</v>
      </c>
    </row>
    <row r="136" spans="2:4">
      <c r="B136" s="92" t="s">
        <v>205</v>
      </c>
      <c r="C136" s="127" t="s">
        <v>290</v>
      </c>
      <c r="D136" s="94">
        <v>1</v>
      </c>
    </row>
    <row r="138" spans="2:4">
      <c r="B138" s="100" t="s">
        <v>233</v>
      </c>
    </row>
    <row r="140" spans="2:4">
      <c r="B140" s="67" t="s">
        <v>292</v>
      </c>
    </row>
    <row r="141" spans="2:4">
      <c r="B141" s="67" t="s">
        <v>293</v>
      </c>
    </row>
    <row r="143" spans="2:4">
      <c r="B143" s="67" t="s">
        <v>236</v>
      </c>
    </row>
    <row r="144" spans="2:4">
      <c r="B144" s="67" t="s">
        <v>237</v>
      </c>
    </row>
    <row r="145" spans="1:2">
      <c r="B145" s="67" t="s">
        <v>238</v>
      </c>
    </row>
    <row r="147" spans="1:2">
      <c r="B147" s="67" t="s">
        <v>294</v>
      </c>
    </row>
    <row r="148" spans="1:2">
      <c r="B148" s="67" t="s">
        <v>240</v>
      </c>
    </row>
    <row r="150" spans="1:2">
      <c r="A150" s="93">
        <v>5</v>
      </c>
      <c r="B150" s="93" t="s">
        <v>296</v>
      </c>
    </row>
    <row r="151" spans="1:2">
      <c r="B151" s="100" t="s">
        <v>297</v>
      </c>
    </row>
    <row r="153" spans="1:2">
      <c r="B153" s="67" t="s">
        <v>298</v>
      </c>
    </row>
    <row r="155" spans="1:2">
      <c r="B155" s="100" t="s">
        <v>299</v>
      </c>
    </row>
    <row r="156" spans="1:2">
      <c r="B156" s="130" t="s">
        <v>302</v>
      </c>
    </row>
    <row r="157" spans="1:2">
      <c r="B157" s="130" t="s">
        <v>303</v>
      </c>
    </row>
    <row r="158" spans="1:2">
      <c r="B158" s="130" t="s">
        <v>304</v>
      </c>
    </row>
    <row r="159" spans="1:2">
      <c r="B159" s="130" t="s">
        <v>300</v>
      </c>
    </row>
    <row r="160" spans="1:2">
      <c r="B160" s="130" t="s">
        <v>301</v>
      </c>
    </row>
    <row r="162" spans="1:9">
      <c r="B162" s="67" t="s">
        <v>307</v>
      </c>
    </row>
    <row r="163" spans="1:9">
      <c r="B163" s="67" t="s">
        <v>308</v>
      </c>
    </row>
    <row r="165" spans="1:9">
      <c r="B165" s="100" t="s">
        <v>305</v>
      </c>
    </row>
    <row r="166" spans="1:9">
      <c r="B166" s="67" t="s">
        <v>306</v>
      </c>
    </row>
    <row r="168" spans="1:9" s="139" customFormat="1" ht="15.75">
      <c r="A168" s="138" t="s">
        <v>309</v>
      </c>
      <c r="B168" s="137" t="s">
        <v>310</v>
      </c>
    </row>
    <row r="170" spans="1:9">
      <c r="B170" s="67" t="s">
        <v>314</v>
      </c>
    </row>
    <row r="171" spans="1:9">
      <c r="B171" s="67" t="s">
        <v>315</v>
      </c>
    </row>
    <row r="174" spans="1:9" s="139" customFormat="1" ht="15.75">
      <c r="A174" s="138" t="s">
        <v>316</v>
      </c>
      <c r="B174" s="137" t="s">
        <v>317</v>
      </c>
      <c r="H174" s="138" t="s">
        <v>318</v>
      </c>
      <c r="I174" s="137" t="s">
        <v>319</v>
      </c>
    </row>
    <row r="176" spans="1:9">
      <c r="B176" s="100" t="s">
        <v>320</v>
      </c>
    </row>
    <row r="177" spans="2:11">
      <c r="B177" s="67" t="s">
        <v>321</v>
      </c>
    </row>
    <row r="178" spans="2:11">
      <c r="B178" s="67" t="s">
        <v>322</v>
      </c>
    </row>
    <row r="180" spans="2:11">
      <c r="B180" s="100" t="s">
        <v>323</v>
      </c>
      <c r="I180" s="100" t="s">
        <v>334</v>
      </c>
    </row>
    <row r="182" spans="2:11">
      <c r="F182" s="131"/>
      <c r="I182" s="67" t="s">
        <v>335</v>
      </c>
    </row>
    <row r="183" spans="2:11">
      <c r="B183" s="115" t="s">
        <v>326</v>
      </c>
      <c r="C183" s="118" t="s">
        <v>260</v>
      </c>
      <c r="D183" s="109" t="s">
        <v>324</v>
      </c>
      <c r="I183" s="115" t="s">
        <v>326</v>
      </c>
      <c r="J183" s="118" t="s">
        <v>260</v>
      </c>
      <c r="K183" s="109" t="s">
        <v>324</v>
      </c>
    </row>
    <row r="184" spans="2:11">
      <c r="B184" s="107" t="s">
        <v>327</v>
      </c>
      <c r="C184" s="99" t="s">
        <v>341</v>
      </c>
      <c r="D184" s="78" t="s">
        <v>325</v>
      </c>
      <c r="I184" s="107" t="s">
        <v>327</v>
      </c>
      <c r="J184" s="99" t="s">
        <v>341</v>
      </c>
      <c r="K184" s="78" t="s">
        <v>336</v>
      </c>
    </row>
    <row r="186" spans="2:11">
      <c r="B186" s="100" t="s">
        <v>332</v>
      </c>
      <c r="I186" s="100" t="s">
        <v>337</v>
      </c>
    </row>
    <row r="188" spans="2:11" ht="51">
      <c r="B188" s="67" t="s">
        <v>329</v>
      </c>
      <c r="I188" s="126" t="s">
        <v>339</v>
      </c>
      <c r="J188" s="126" t="s">
        <v>338</v>
      </c>
    </row>
    <row r="189" spans="2:11">
      <c r="B189" s="67" t="s">
        <v>330</v>
      </c>
      <c r="I189" s="94">
        <v>2</v>
      </c>
      <c r="J189" s="95">
        <v>0.05</v>
      </c>
    </row>
    <row r="190" spans="2:11">
      <c r="B190" s="67" t="s">
        <v>333</v>
      </c>
      <c r="I190" s="94">
        <v>3</v>
      </c>
      <c r="J190" s="95">
        <v>0.08</v>
      </c>
    </row>
    <row r="191" spans="2:11">
      <c r="B191" s="67" t="s">
        <v>331</v>
      </c>
    </row>
    <row r="192" spans="2:11">
      <c r="I192" s="67" t="s">
        <v>340</v>
      </c>
    </row>
    <row r="193" spans="6:9">
      <c r="F193" s="132"/>
      <c r="G193" s="132"/>
      <c r="H193" s="132"/>
    </row>
    <row r="194" spans="6:9">
      <c r="F194" s="132"/>
      <c r="G194" s="132"/>
      <c r="H194" s="132"/>
      <c r="I194" s="100" t="s">
        <v>328</v>
      </c>
    </row>
    <row r="195" spans="6:9">
      <c r="F195" s="132"/>
      <c r="G195" s="132"/>
      <c r="H195" s="132"/>
      <c r="I195" s="130" t="s">
        <v>349</v>
      </c>
    </row>
    <row r="196" spans="6:9">
      <c r="F196" s="132"/>
      <c r="G196" s="132"/>
      <c r="H196" s="132"/>
      <c r="I196" s="130" t="s">
        <v>350</v>
      </c>
    </row>
  </sheetData>
  <mergeCells count="13">
    <mergeCell ref="B107:C107"/>
    <mergeCell ref="D20:E20"/>
    <mergeCell ref="D13:E13"/>
    <mergeCell ref="B88:C88"/>
    <mergeCell ref="D88:F88"/>
    <mergeCell ref="B89:C89"/>
    <mergeCell ref="B106:C106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H23"/>
  <sheetViews>
    <sheetView showGridLines="0" zoomScale="90" zoomScaleNormal="90" workbookViewId="0">
      <selection activeCell="D7" sqref="D7"/>
    </sheetView>
  </sheetViews>
  <sheetFormatPr defaultRowHeight="15"/>
  <cols>
    <col min="1" max="1" width="3.140625" customWidth="1"/>
    <col min="2" max="2" width="16.85546875" customWidth="1"/>
    <col min="3" max="3" width="27.7109375" customWidth="1"/>
    <col min="4" max="4" width="27.28515625" customWidth="1"/>
    <col min="5" max="5" width="29.42578125" customWidth="1"/>
    <col min="6" max="7" width="30.5703125" customWidth="1"/>
    <col min="8" max="8" width="35.7109375" customWidth="1"/>
  </cols>
  <sheetData>
    <row r="2" spans="2:8" ht="30" customHeight="1">
      <c r="B2" s="1376" t="s">
        <v>1344</v>
      </c>
      <c r="C2" s="1371" t="s">
        <v>840</v>
      </c>
      <c r="D2" s="1371" t="s">
        <v>1262</v>
      </c>
      <c r="E2" s="1371" t="s">
        <v>628</v>
      </c>
      <c r="F2" s="1371" t="s">
        <v>506</v>
      </c>
      <c r="G2" s="1373" t="s">
        <v>629</v>
      </c>
    </row>
    <row r="3" spans="2:8" ht="30" customHeight="1">
      <c r="B3" s="1377" t="s">
        <v>1345</v>
      </c>
      <c r="C3" s="1375" t="s">
        <v>1262</v>
      </c>
      <c r="D3" s="1372" t="s">
        <v>628</v>
      </c>
      <c r="E3" s="1372" t="s">
        <v>506</v>
      </c>
      <c r="F3" s="1372" t="s">
        <v>629</v>
      </c>
      <c r="G3" s="1374" t="s">
        <v>630</v>
      </c>
    </row>
    <row r="4" spans="2:8" ht="30" customHeight="1">
      <c r="B4" s="1354" t="s">
        <v>1350</v>
      </c>
      <c r="C4" s="1355" t="s">
        <v>1346</v>
      </c>
      <c r="D4" s="1355" t="s">
        <v>1346</v>
      </c>
      <c r="E4" s="1356" t="s">
        <v>1347</v>
      </c>
      <c r="F4" s="1370" t="s">
        <v>1348</v>
      </c>
      <c r="G4" s="1357" t="s">
        <v>1348</v>
      </c>
    </row>
    <row r="5" spans="2:8" ht="30" customHeight="1">
      <c r="B5" s="1354" t="s">
        <v>716</v>
      </c>
      <c r="C5" s="1355" t="s">
        <v>1351</v>
      </c>
      <c r="D5" s="1355" t="s">
        <v>1352</v>
      </c>
      <c r="E5" s="1355" t="s">
        <v>1352</v>
      </c>
      <c r="F5" s="1370" t="s">
        <v>1353</v>
      </c>
      <c r="G5" s="1357" t="s">
        <v>1353</v>
      </c>
    </row>
    <row r="6" spans="2:8" s="664" customFormat="1" ht="30" customHeight="1">
      <c r="B6" s="1358" t="s">
        <v>1354</v>
      </c>
      <c r="C6" s="1359" t="s">
        <v>1349</v>
      </c>
      <c r="D6" s="1360" t="s">
        <v>1355</v>
      </c>
      <c r="E6" s="1360" t="s">
        <v>1341</v>
      </c>
      <c r="F6" s="1360" t="s">
        <v>1342</v>
      </c>
      <c r="G6" s="1361" t="s">
        <v>1343</v>
      </c>
    </row>
    <row r="7" spans="2:8" s="664" customFormat="1" ht="30" customHeight="1">
      <c r="B7" s="1358" t="s">
        <v>357</v>
      </c>
      <c r="C7" s="1366" t="s">
        <v>1358</v>
      </c>
      <c r="D7" s="1360" t="s">
        <v>1416</v>
      </c>
      <c r="E7" s="1360" t="s">
        <v>1362</v>
      </c>
      <c r="F7" s="1379" t="s">
        <v>1382</v>
      </c>
      <c r="G7" s="1380" t="s">
        <v>1369</v>
      </c>
    </row>
    <row r="8" spans="2:8" s="664" customFormat="1" ht="30" customHeight="1">
      <c r="B8" s="1358"/>
      <c r="C8" s="1359" t="s">
        <v>462</v>
      </c>
      <c r="D8" s="1363" t="s">
        <v>1359</v>
      </c>
      <c r="E8" s="1360" t="s">
        <v>1363</v>
      </c>
      <c r="F8" s="1363" t="s">
        <v>1365</v>
      </c>
      <c r="G8" s="1362" t="s">
        <v>1368</v>
      </c>
    </row>
    <row r="9" spans="2:8" s="664" customFormat="1" ht="30" customHeight="1">
      <c r="B9" s="1358"/>
      <c r="C9" s="1359" t="s">
        <v>1356</v>
      </c>
      <c r="D9" s="1360" t="s">
        <v>1360</v>
      </c>
      <c r="E9" s="1360" t="s">
        <v>1364</v>
      </c>
      <c r="F9" s="1360" t="s">
        <v>1366</v>
      </c>
      <c r="G9" s="1362"/>
    </row>
    <row r="10" spans="2:8" s="664" customFormat="1" ht="30" customHeight="1">
      <c r="B10" s="1367"/>
      <c r="C10" s="1368" t="s">
        <v>1357</v>
      </c>
      <c r="D10" s="1369" t="s">
        <v>1361</v>
      </c>
      <c r="E10" s="1369" t="s">
        <v>1361</v>
      </c>
      <c r="F10" s="1360" t="s">
        <v>1367</v>
      </c>
      <c r="G10" s="1362"/>
    </row>
    <row r="11" spans="2:8" ht="30" customHeight="1">
      <c r="B11" s="702"/>
      <c r="C11" s="703"/>
      <c r="D11" s="1365" t="s">
        <v>1357</v>
      </c>
      <c r="E11" s="703"/>
      <c r="F11" s="703"/>
      <c r="G11" s="491"/>
    </row>
    <row r="14" spans="2:8" ht="20.100000000000001" customHeight="1">
      <c r="B14" s="1376" t="s">
        <v>1344</v>
      </c>
      <c r="C14" s="1371" t="s">
        <v>840</v>
      </c>
      <c r="D14" s="1371" t="s">
        <v>1262</v>
      </c>
      <c r="E14" s="1371" t="s">
        <v>628</v>
      </c>
      <c r="F14" s="1371" t="s">
        <v>506</v>
      </c>
      <c r="G14" s="1371" t="s">
        <v>629</v>
      </c>
      <c r="H14" s="1373" t="s">
        <v>630</v>
      </c>
    </row>
    <row r="15" spans="2:8" ht="20.100000000000001" customHeight="1">
      <c r="B15" s="1377" t="s">
        <v>1345</v>
      </c>
      <c r="C15" s="1375"/>
      <c r="D15" s="1372"/>
      <c r="E15" s="1372"/>
      <c r="F15" s="1372"/>
      <c r="G15" s="1372"/>
      <c r="H15" s="1374"/>
    </row>
    <row r="16" spans="2:8" ht="20.100000000000001" customHeight="1">
      <c r="B16" s="1378" t="s">
        <v>1350</v>
      </c>
      <c r="C16" s="1381" t="s">
        <v>1346</v>
      </c>
      <c r="D16" s="1381" t="s">
        <v>1346</v>
      </c>
      <c r="E16" s="1370" t="s">
        <v>1347</v>
      </c>
      <c r="F16" s="1370" t="s">
        <v>1348</v>
      </c>
      <c r="G16" s="1370" t="s">
        <v>1348</v>
      </c>
      <c r="H16" s="1382" t="s">
        <v>1348</v>
      </c>
    </row>
    <row r="17" spans="2:8" ht="20.100000000000001" customHeight="1">
      <c r="B17" s="1378" t="s">
        <v>716</v>
      </c>
      <c r="C17" s="1381" t="s">
        <v>1351</v>
      </c>
      <c r="D17" s="1381" t="s">
        <v>1352</v>
      </c>
      <c r="E17" s="1381" t="s">
        <v>1352</v>
      </c>
      <c r="F17" s="1370" t="s">
        <v>1352</v>
      </c>
      <c r="G17" s="1370" t="s">
        <v>1353</v>
      </c>
      <c r="H17" s="1382" t="s">
        <v>1353</v>
      </c>
    </row>
    <row r="18" spans="2:8" ht="30" customHeight="1">
      <c r="B18" s="1358" t="s">
        <v>357</v>
      </c>
      <c r="C18" s="1366" t="s">
        <v>1371</v>
      </c>
      <c r="D18" s="1360" t="s">
        <v>1376</v>
      </c>
      <c r="E18" s="1360" t="s">
        <v>1378</v>
      </c>
      <c r="F18" s="1360" t="s">
        <v>1379</v>
      </c>
      <c r="G18" s="1360" t="s">
        <v>1381</v>
      </c>
      <c r="H18" s="1360" t="s">
        <v>1379</v>
      </c>
    </row>
    <row r="19" spans="2:8" ht="44.25" customHeight="1">
      <c r="B19" s="1358"/>
      <c r="C19" s="1384" t="s">
        <v>1370</v>
      </c>
      <c r="D19" s="1363" t="s">
        <v>1377</v>
      </c>
      <c r="E19" s="1360" t="s">
        <v>1286</v>
      </c>
      <c r="F19" s="1360" t="s">
        <v>1296</v>
      </c>
      <c r="G19" s="1379" t="s">
        <v>1382</v>
      </c>
      <c r="H19" s="1362" t="s">
        <v>1368</v>
      </c>
    </row>
    <row r="20" spans="2:8" ht="30" customHeight="1">
      <c r="B20" s="1358"/>
      <c r="C20" s="1359" t="s">
        <v>1372</v>
      </c>
      <c r="D20" s="1360"/>
      <c r="E20" s="1360" t="s">
        <v>1288</v>
      </c>
      <c r="F20" s="1360" t="s">
        <v>1380</v>
      </c>
      <c r="G20" s="1360"/>
      <c r="H20" s="1362"/>
    </row>
    <row r="21" spans="2:8" ht="30" customHeight="1">
      <c r="B21" s="1367"/>
      <c r="C21" s="1385" t="s">
        <v>1373</v>
      </c>
      <c r="D21" s="1369"/>
      <c r="E21" s="1383" t="s">
        <v>1334</v>
      </c>
      <c r="F21" s="1369" t="s">
        <v>1361</v>
      </c>
      <c r="G21" s="1360"/>
      <c r="H21" s="1362"/>
    </row>
    <row r="22" spans="2:8" ht="30" customHeight="1">
      <c r="B22" s="1367"/>
      <c r="C22" s="1385" t="s">
        <v>1374</v>
      </c>
      <c r="D22" s="1369"/>
      <c r="E22" s="1383" t="s">
        <v>1333</v>
      </c>
      <c r="F22" s="1360"/>
      <c r="G22" s="1360"/>
      <c r="H22" s="1362"/>
    </row>
    <row r="23" spans="2:8" ht="30" customHeight="1">
      <c r="B23" s="702"/>
      <c r="C23" s="1386" t="s">
        <v>1375</v>
      </c>
      <c r="D23" s="1365"/>
      <c r="E23" s="1364" t="s">
        <v>1361</v>
      </c>
      <c r="F23" s="703"/>
      <c r="G23" s="703"/>
      <c r="H23" s="49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18"/>
  <sheetViews>
    <sheetView showGridLines="0" topLeftCell="D99" zoomScale="90" zoomScaleNormal="90" workbookViewId="0">
      <selection activeCell="I95" sqref="I95"/>
    </sheetView>
  </sheetViews>
  <sheetFormatPr defaultColWidth="9.140625" defaultRowHeight="15"/>
  <cols>
    <col min="1" max="1" width="4.28515625" style="141" customWidth="1"/>
    <col min="2" max="2" width="14.7109375" style="141" customWidth="1"/>
    <col min="3" max="3" width="9.140625" style="141"/>
    <col min="4" max="4" width="41.85546875" style="141" customWidth="1"/>
    <col min="5" max="5" width="4.5703125" style="141" customWidth="1"/>
    <col min="6" max="6" width="9.140625" style="141"/>
    <col min="7" max="7" width="39.85546875" style="141" customWidth="1"/>
    <col min="8" max="10" width="9.140625" style="141"/>
    <col min="11" max="11" width="9.5703125" style="141" customWidth="1"/>
    <col min="12" max="16384" width="9.140625" style="141"/>
  </cols>
  <sheetData>
    <row r="1" spans="1:19">
      <c r="A1" s="1126" t="s">
        <v>1325</v>
      </c>
    </row>
    <row r="2" spans="1:19">
      <c r="A2" s="1126"/>
    </row>
    <row r="4" spans="1:19">
      <c r="B4" s="1288"/>
      <c r="C4" s="1289" t="s">
        <v>1239</v>
      </c>
      <c r="D4" s="1288"/>
      <c r="E4" s="1288"/>
      <c r="F4" s="1288"/>
      <c r="G4" s="1288"/>
      <c r="H4" s="1290" t="s">
        <v>1242</v>
      </c>
      <c r="I4" s="1288"/>
      <c r="J4" s="1288"/>
      <c r="K4" s="1288"/>
      <c r="L4" s="1288"/>
      <c r="M4" s="1291"/>
      <c r="N4" s="1291"/>
      <c r="O4" s="1291"/>
      <c r="P4" s="1291"/>
      <c r="Q4" s="1291"/>
    </row>
    <row r="5" spans="1:19">
      <c r="A5" s="1292"/>
      <c r="B5" s="1293"/>
      <c r="C5" s="1294"/>
      <c r="D5" s="1293"/>
      <c r="E5" s="1293"/>
      <c r="F5" s="1293"/>
      <c r="G5" s="1293"/>
      <c r="H5" s="1295"/>
      <c r="I5" s="1296"/>
      <c r="J5" s="1296"/>
      <c r="K5" s="1296"/>
      <c r="L5" s="1296"/>
      <c r="M5" s="1297"/>
      <c r="N5" s="1297"/>
      <c r="O5" s="1297"/>
      <c r="P5" s="1297"/>
      <c r="Q5" s="1297"/>
      <c r="R5" s="1297"/>
      <c r="S5" s="1298"/>
    </row>
    <row r="6" spans="1:19">
      <c r="A6" s="1292"/>
      <c r="B6" s="1334" t="s">
        <v>1324</v>
      </c>
      <c r="C6" s="1300"/>
      <c r="D6" s="1293"/>
      <c r="E6" s="1293"/>
      <c r="F6" s="1293"/>
      <c r="G6" s="1293"/>
      <c r="H6" s="1301" t="s">
        <v>1243</v>
      </c>
      <c r="I6" s="1296"/>
      <c r="J6" s="1296"/>
      <c r="K6" s="1296"/>
      <c r="L6" s="1296"/>
      <c r="M6" s="1297"/>
      <c r="N6" s="1297"/>
      <c r="O6" s="1297"/>
      <c r="P6" s="1297"/>
      <c r="Q6" s="1297"/>
      <c r="R6" s="1297"/>
      <c r="S6" s="1298"/>
    </row>
    <row r="7" spans="1:19">
      <c r="A7" s="1292"/>
      <c r="B7" s="1292"/>
      <c r="C7" s="1300"/>
      <c r="D7" s="1293"/>
      <c r="E7" s="1293"/>
      <c r="F7" s="1293"/>
      <c r="G7" s="1293"/>
      <c r="H7" s="422"/>
      <c r="I7" s="1302" t="s">
        <v>1244</v>
      </c>
      <c r="J7" s="1296"/>
      <c r="K7" s="1303"/>
      <c r="L7" s="1296"/>
      <c r="M7" s="1297"/>
      <c r="N7" s="1297"/>
      <c r="O7" s="1297"/>
      <c r="P7" s="1297"/>
      <c r="Q7" s="1297"/>
      <c r="R7" s="1297"/>
      <c r="S7" s="1298"/>
    </row>
    <row r="8" spans="1:19">
      <c r="A8" s="1292"/>
      <c r="B8" s="1299"/>
      <c r="C8" s="1300"/>
      <c r="D8" s="1293"/>
      <c r="E8" s="1293"/>
      <c r="F8" s="1293"/>
      <c r="G8" s="1293"/>
      <c r="H8" s="422"/>
      <c r="I8" s="1296" t="s">
        <v>1245</v>
      </c>
      <c r="J8" s="1296"/>
      <c r="K8" s="1303"/>
      <c r="L8" s="1296"/>
      <c r="M8" s="1297"/>
      <c r="N8" s="1297"/>
      <c r="O8" s="1297"/>
      <c r="P8" s="1297"/>
      <c r="Q8" s="1297"/>
      <c r="R8" s="1297"/>
      <c r="S8" s="1298"/>
    </row>
    <row r="9" spans="1:19">
      <c r="A9" s="1292"/>
      <c r="B9" s="1299"/>
      <c r="C9" s="1300"/>
      <c r="D9" s="1293"/>
      <c r="E9" s="1293"/>
      <c r="F9" s="1293"/>
      <c r="G9" s="1293"/>
      <c r="H9" s="1304" t="s">
        <v>1246</v>
      </c>
      <c r="I9" s="1296"/>
      <c r="J9" s="1296"/>
      <c r="K9" s="1303"/>
      <c r="L9" s="1296"/>
      <c r="M9" s="1297"/>
      <c r="N9" s="1297"/>
      <c r="O9" s="1297"/>
      <c r="P9" s="1297"/>
      <c r="Q9" s="1297"/>
      <c r="R9" s="1297"/>
      <c r="S9" s="1298"/>
    </row>
    <row r="10" spans="1:19" hidden="1">
      <c r="A10" s="1292"/>
      <c r="B10" s="1299" t="s">
        <v>1247</v>
      </c>
      <c r="C10" s="1225" t="s">
        <v>1248</v>
      </c>
      <c r="D10" s="943"/>
      <c r="E10" s="943"/>
      <c r="F10" s="943"/>
      <c r="G10" s="1293"/>
      <c r="H10" s="1301" t="s">
        <v>1249</v>
      </c>
      <c r="I10" s="1297"/>
      <c r="J10" s="1297"/>
      <c r="K10" s="1297"/>
      <c r="L10" s="1297"/>
      <c r="M10" s="1297"/>
      <c r="N10" s="1297"/>
      <c r="O10" s="1297"/>
      <c r="P10" s="1297"/>
      <c r="Q10" s="1297"/>
      <c r="R10" s="1297"/>
      <c r="S10" s="1298"/>
    </row>
    <row r="11" spans="1:19" hidden="1">
      <c r="A11" s="1292"/>
      <c r="B11" s="1299"/>
      <c r="C11" s="1225" t="s">
        <v>1250</v>
      </c>
      <c r="D11" s="943"/>
      <c r="E11" s="1292"/>
      <c r="F11" s="943"/>
      <c r="G11" s="1292"/>
      <c r="H11" s="1304" t="s">
        <v>1251</v>
      </c>
      <c r="I11" s="1297"/>
      <c r="J11" s="1297"/>
      <c r="K11" s="1297"/>
      <c r="L11" s="1297"/>
      <c r="M11" s="1297"/>
      <c r="N11" s="1297"/>
      <c r="O11" s="1297"/>
      <c r="P11" s="1297"/>
      <c r="Q11" s="1297"/>
      <c r="R11" s="1297"/>
      <c r="S11" s="1298"/>
    </row>
    <row r="12" spans="1:19" hidden="1">
      <c r="A12" s="1292"/>
      <c r="B12" s="1299"/>
      <c r="C12" s="1225"/>
      <c r="D12" s="1305" t="s">
        <v>1252</v>
      </c>
      <c r="E12" s="1306"/>
      <c r="F12" s="1307"/>
      <c r="G12" s="1292"/>
      <c r="H12" s="1304" t="s">
        <v>1253</v>
      </c>
      <c r="I12" s="1297"/>
      <c r="J12" s="1297"/>
      <c r="K12" s="1297"/>
      <c r="L12" s="1297"/>
      <c r="M12" s="1297"/>
      <c r="N12" s="1297"/>
      <c r="O12" s="1297"/>
      <c r="P12" s="1297"/>
      <c r="Q12" s="1297"/>
      <c r="R12" s="1297"/>
      <c r="S12" s="1298"/>
    </row>
    <row r="13" spans="1:19" hidden="1">
      <c r="A13" s="1292"/>
      <c r="B13" s="1299"/>
      <c r="C13" s="1225"/>
      <c r="D13" s="1305" t="s">
        <v>1254</v>
      </c>
      <c r="E13" s="1306"/>
      <c r="F13" s="1307"/>
      <c r="G13" s="1292"/>
      <c r="H13" s="1304"/>
      <c r="I13" s="1297"/>
      <c r="J13" s="1297"/>
      <c r="K13" s="1297"/>
      <c r="L13" s="1297"/>
      <c r="M13" s="1297"/>
      <c r="N13" s="1297"/>
      <c r="O13" s="1297"/>
      <c r="P13" s="1297"/>
      <c r="Q13" s="1297"/>
      <c r="R13" s="1297"/>
      <c r="S13" s="1298"/>
    </row>
    <row r="14" spans="1:19" hidden="1">
      <c r="A14" s="1292"/>
      <c r="B14" s="1299"/>
      <c r="C14" s="1225"/>
      <c r="D14" s="1305" t="s">
        <v>1255</v>
      </c>
      <c r="E14" s="1307"/>
      <c r="F14" s="1307"/>
      <c r="G14" s="1292"/>
      <c r="H14" s="1304"/>
      <c r="I14" s="1297"/>
      <c r="J14" s="1297"/>
      <c r="K14" s="1297"/>
      <c r="L14" s="1297"/>
      <c r="M14" s="1297"/>
      <c r="N14" s="1297"/>
      <c r="O14" s="1297"/>
      <c r="P14" s="1297"/>
      <c r="Q14" s="1297"/>
      <c r="R14" s="1297"/>
      <c r="S14" s="1298"/>
    </row>
    <row r="15" spans="1:19" hidden="1">
      <c r="A15" s="1292"/>
      <c r="B15" s="1299"/>
      <c r="C15" s="1225"/>
      <c r="D15" s="1305"/>
      <c r="E15" s="1307"/>
      <c r="F15" s="1307"/>
      <c r="G15" s="1292"/>
      <c r="H15" s="1304"/>
      <c r="I15" s="1297"/>
      <c r="J15" s="1297"/>
      <c r="K15" s="1297"/>
      <c r="L15" s="1297"/>
      <c r="M15" s="1297"/>
      <c r="N15" s="1297"/>
      <c r="O15" s="1297"/>
      <c r="P15" s="1297"/>
      <c r="Q15" s="1297"/>
      <c r="R15" s="1297"/>
      <c r="S15" s="1298"/>
    </row>
    <row r="16" spans="1:19" hidden="1">
      <c r="A16" s="1292"/>
      <c r="B16" s="1299" t="s">
        <v>1256</v>
      </c>
      <c r="C16" s="1225" t="s">
        <v>1248</v>
      </c>
      <c r="D16" s="1307"/>
      <c r="E16" s="1307"/>
      <c r="F16" s="1307"/>
      <c r="G16" s="1293"/>
      <c r="H16" s="1301" t="s">
        <v>1257</v>
      </c>
      <c r="I16" s="1297"/>
      <c r="J16" s="1297"/>
      <c r="K16" s="1297"/>
      <c r="L16" s="1297"/>
      <c r="M16" s="1297"/>
      <c r="N16" s="1297"/>
      <c r="O16" s="1297"/>
      <c r="P16" s="1297"/>
      <c r="Q16" s="1297"/>
      <c r="R16" s="1297"/>
      <c r="S16" s="1298"/>
    </row>
    <row r="17" spans="1:19" hidden="1">
      <c r="A17" s="1292"/>
      <c r="B17" s="1308" t="s">
        <v>1258</v>
      </c>
      <c r="C17" s="1225" t="s">
        <v>1259</v>
      </c>
      <c r="D17" s="1307"/>
      <c r="E17" s="1306"/>
      <c r="F17" s="1307"/>
      <c r="G17" s="1292"/>
      <c r="H17" s="1304" t="s">
        <v>1251</v>
      </c>
      <c r="I17" s="1297"/>
      <c r="J17" s="1297"/>
      <c r="K17" s="1297"/>
      <c r="L17" s="1297"/>
      <c r="M17" s="1297"/>
      <c r="N17" s="1297"/>
      <c r="O17" s="1297"/>
      <c r="P17" s="1297"/>
      <c r="Q17" s="1297"/>
      <c r="R17" s="1297"/>
      <c r="S17" s="1298"/>
    </row>
    <row r="18" spans="1:19" hidden="1">
      <c r="A18" s="1292"/>
      <c r="B18" s="1308"/>
      <c r="C18" s="1225"/>
      <c r="D18" s="1305" t="s">
        <v>1260</v>
      </c>
      <c r="E18" s="1305"/>
      <c r="F18" s="1307"/>
      <c r="G18" s="1292"/>
      <c r="H18" s="1304" t="s">
        <v>1261</v>
      </c>
      <c r="I18" s="1297"/>
      <c r="J18" s="1297"/>
      <c r="K18" s="1297"/>
      <c r="L18" s="1297"/>
      <c r="M18" s="1297"/>
      <c r="N18" s="1297"/>
      <c r="O18" s="1297"/>
      <c r="P18" s="1297"/>
      <c r="Q18" s="1297"/>
      <c r="R18" s="1297"/>
      <c r="S18" s="1298"/>
    </row>
    <row r="19" spans="1:19" hidden="1">
      <c r="A19" s="1292"/>
      <c r="B19" s="1308"/>
      <c r="C19" s="1225"/>
      <c r="D19" s="1308" t="s">
        <v>1254</v>
      </c>
      <c r="E19" s="1292"/>
      <c r="F19" s="943"/>
      <c r="G19" s="1292"/>
      <c r="H19" s="1304"/>
      <c r="I19" s="1297"/>
      <c r="J19" s="1297"/>
      <c r="K19" s="1297"/>
      <c r="L19" s="1297"/>
      <c r="M19" s="1297"/>
      <c r="N19" s="1297"/>
      <c r="O19" s="1297"/>
      <c r="P19" s="1297"/>
      <c r="Q19" s="1297"/>
      <c r="R19" s="1297"/>
      <c r="S19" s="1298"/>
    </row>
    <row r="20" spans="1:19" hidden="1">
      <c r="A20" s="1292"/>
      <c r="B20" s="1308"/>
      <c r="C20" s="1225"/>
      <c r="D20" s="1308" t="s">
        <v>1255</v>
      </c>
      <c r="E20" s="1308"/>
      <c r="F20" s="943"/>
      <c r="G20" s="1292"/>
      <c r="H20" s="1304"/>
      <c r="I20" s="1297"/>
      <c r="J20" s="1297"/>
      <c r="K20" s="1297"/>
      <c r="L20" s="1297"/>
      <c r="M20" s="1297"/>
      <c r="N20" s="1297"/>
      <c r="O20" s="1297"/>
      <c r="P20" s="1297"/>
      <c r="Q20" s="1297"/>
      <c r="R20" s="1297"/>
      <c r="S20" s="1298"/>
    </row>
    <row r="21" spans="1:19" hidden="1">
      <c r="A21" s="1292"/>
      <c r="B21" s="1308"/>
      <c r="C21" s="1225"/>
      <c r="D21" s="943"/>
      <c r="E21" s="943"/>
      <c r="F21" s="943"/>
      <c r="G21" s="1292"/>
      <c r="H21" s="1304"/>
      <c r="I21" s="1297"/>
      <c r="J21" s="1297"/>
      <c r="K21" s="1297"/>
      <c r="L21" s="1297"/>
      <c r="M21" s="1297"/>
      <c r="N21" s="1297"/>
      <c r="O21" s="1297"/>
      <c r="P21" s="1297"/>
      <c r="Q21" s="1297"/>
      <c r="R21" s="1297"/>
      <c r="S21" s="1298"/>
    </row>
    <row r="22" spans="1:19">
      <c r="A22" s="1292"/>
      <c r="B22" s="1308"/>
      <c r="C22" s="1225"/>
      <c r="D22" s="943"/>
      <c r="E22" s="943"/>
      <c r="F22" s="943"/>
      <c r="G22" s="1292"/>
      <c r="H22" s="1304"/>
      <c r="I22" s="1297"/>
      <c r="J22" s="1297"/>
      <c r="K22" s="1297"/>
      <c r="L22" s="1297"/>
      <c r="M22" s="1297"/>
      <c r="N22" s="1297"/>
      <c r="O22" s="1297"/>
      <c r="P22" s="1297"/>
      <c r="Q22" s="1297"/>
      <c r="R22" s="1297"/>
      <c r="S22" s="1298"/>
    </row>
    <row r="23" spans="1:19" s="1338" customFormat="1">
      <c r="A23" s="1333"/>
      <c r="B23" s="1334" t="s">
        <v>1240</v>
      </c>
      <c r="C23" s="1335" t="s">
        <v>1322</v>
      </c>
      <c r="D23" s="1333"/>
      <c r="E23" s="1333"/>
      <c r="F23" s="1333"/>
      <c r="G23" s="1333"/>
      <c r="H23" s="1335" t="s">
        <v>1322</v>
      </c>
      <c r="I23" s="1336"/>
      <c r="J23" s="1336"/>
      <c r="K23" s="1336"/>
      <c r="L23" s="1336"/>
      <c r="M23" s="1336"/>
      <c r="N23" s="1336"/>
      <c r="O23" s="1336"/>
      <c r="P23" s="1336"/>
      <c r="Q23" s="1336"/>
      <c r="R23" s="1336"/>
      <c r="S23" s="1337"/>
    </row>
    <row r="24" spans="1:19">
      <c r="A24" s="1292"/>
      <c r="B24" s="1309"/>
      <c r="C24" s="1225" t="s">
        <v>1321</v>
      </c>
      <c r="D24" s="943"/>
      <c r="E24" s="943"/>
      <c r="F24" s="1342" t="s">
        <v>1327</v>
      </c>
      <c r="G24" s="1292"/>
      <c r="H24" s="1304" t="s">
        <v>1248</v>
      </c>
      <c r="I24" s="1297"/>
      <c r="J24" s="1297"/>
      <c r="K24" s="1297"/>
      <c r="L24" s="1297"/>
      <c r="M24" s="1297"/>
      <c r="N24" s="1297"/>
      <c r="O24" s="1297"/>
      <c r="P24" s="1297"/>
      <c r="Q24" s="1297"/>
      <c r="R24" s="1297"/>
      <c r="S24" s="1298"/>
    </row>
    <row r="25" spans="1:19">
      <c r="A25" s="1292"/>
      <c r="B25" s="1309"/>
      <c r="C25" s="1225" t="s">
        <v>1263</v>
      </c>
      <c r="D25" s="943"/>
      <c r="E25" s="1292"/>
      <c r="F25" s="1342" t="s">
        <v>1328</v>
      </c>
      <c r="G25" s="1292"/>
      <c r="H25" s="1332" t="s">
        <v>1323</v>
      </c>
      <c r="I25" s="1297"/>
      <c r="J25" s="1297"/>
      <c r="K25" s="1297"/>
      <c r="L25" s="1297"/>
      <c r="M25" s="1297"/>
      <c r="N25" s="1297"/>
      <c r="O25" s="1297"/>
      <c r="P25" s="1297"/>
      <c r="Q25" s="1297"/>
      <c r="R25" s="1297"/>
      <c r="S25" s="1298"/>
    </row>
    <row r="26" spans="1:19">
      <c r="A26" s="1292"/>
      <c r="B26" s="1309"/>
      <c r="C26" s="1310" t="s">
        <v>1326</v>
      </c>
      <c r="D26" s="1292"/>
      <c r="E26" s="1311"/>
      <c r="F26" s="467" t="s">
        <v>1329</v>
      </c>
      <c r="G26" s="1292"/>
      <c r="H26" s="1304" t="s">
        <v>1268</v>
      </c>
      <c r="I26" s="1297"/>
      <c r="J26" s="1297"/>
      <c r="K26" s="1297"/>
      <c r="L26" s="1297"/>
      <c r="M26" s="1297"/>
      <c r="N26" s="1297"/>
      <c r="O26" s="1297"/>
      <c r="P26" s="1297"/>
      <c r="Q26" s="1297"/>
      <c r="R26" s="1297"/>
      <c r="S26" s="1298"/>
    </row>
    <row r="27" spans="1:19">
      <c r="A27" s="1292"/>
      <c r="B27" s="1309"/>
      <c r="C27" s="1310" t="s">
        <v>1269</v>
      </c>
      <c r="D27" s="1292"/>
      <c r="E27" s="1311"/>
      <c r="F27" s="1312"/>
      <c r="G27" s="1292"/>
      <c r="H27" s="1304"/>
      <c r="I27" s="1297"/>
      <c r="J27" s="1297"/>
      <c r="K27" s="1297"/>
      <c r="L27" s="1297"/>
      <c r="M27" s="1297"/>
      <c r="N27" s="1297"/>
      <c r="O27" s="1297"/>
      <c r="P27" s="1297"/>
      <c r="Q27" s="1297"/>
      <c r="R27" s="1297"/>
      <c r="S27" s="1298"/>
    </row>
    <row r="28" spans="1:19">
      <c r="A28" s="1292"/>
      <c r="B28" s="1309"/>
      <c r="C28" s="1310" t="s">
        <v>1255</v>
      </c>
      <c r="D28" s="1292"/>
      <c r="E28" s="1292"/>
      <c r="F28" s="1312"/>
      <c r="G28" s="1292"/>
      <c r="H28" s="1313"/>
      <c r="I28" s="1292"/>
      <c r="J28" s="1292"/>
      <c r="K28" s="1292"/>
      <c r="L28" s="1292"/>
      <c r="M28" s="1292"/>
      <c r="N28" s="1292"/>
      <c r="O28" s="1292"/>
      <c r="P28" s="1292"/>
      <c r="Q28" s="1292"/>
      <c r="R28" s="1292"/>
    </row>
    <row r="29" spans="1:19">
      <c r="A29" s="1292"/>
      <c r="B29" s="1309"/>
      <c r="C29" s="1329" t="s">
        <v>1330</v>
      </c>
      <c r="D29" s="1292"/>
      <c r="E29" s="1292"/>
      <c r="F29" s="1312"/>
      <c r="G29" s="1292"/>
      <c r="H29" s="1313"/>
      <c r="I29" s="1292"/>
      <c r="J29" s="1292"/>
      <c r="K29" s="1292"/>
      <c r="L29" s="1292"/>
      <c r="M29" s="1292"/>
      <c r="N29" s="1292"/>
      <c r="O29" s="1292"/>
      <c r="P29" s="1292"/>
      <c r="Q29" s="1292"/>
      <c r="R29" s="1292"/>
    </row>
    <row r="30" spans="1:19">
      <c r="A30" s="1292"/>
      <c r="B30" s="1309"/>
      <c r="C30" s="1329" t="s">
        <v>1331</v>
      </c>
      <c r="D30" s="1292"/>
      <c r="E30" s="1292"/>
      <c r="F30" s="1330"/>
      <c r="G30" s="1292"/>
      <c r="H30" s="1313"/>
      <c r="I30" s="1292"/>
      <c r="J30" s="1292"/>
      <c r="K30" s="1292"/>
      <c r="L30" s="1292"/>
      <c r="M30" s="1292"/>
      <c r="N30" s="1292"/>
      <c r="O30" s="1292"/>
      <c r="P30" s="1292"/>
      <c r="Q30" s="1292"/>
      <c r="R30" s="1292"/>
    </row>
    <row r="31" spans="1:19">
      <c r="A31" s="1292"/>
      <c r="B31" s="1309"/>
      <c r="C31" s="1310"/>
      <c r="D31" s="1292"/>
      <c r="E31" s="1292"/>
      <c r="F31" s="1312"/>
      <c r="G31" s="1292"/>
      <c r="H31" s="1313"/>
      <c r="I31" s="1292"/>
      <c r="J31" s="1292"/>
      <c r="K31" s="1292"/>
      <c r="L31" s="1292"/>
      <c r="M31" s="1292"/>
      <c r="N31" s="1292"/>
      <c r="O31" s="1292"/>
      <c r="P31" s="1292"/>
      <c r="Q31" s="1292"/>
      <c r="R31" s="1292"/>
    </row>
    <row r="32" spans="1:19" s="1338" customFormat="1">
      <c r="A32" s="1333"/>
      <c r="B32" s="1339"/>
      <c r="C32" s="1340" t="s">
        <v>626</v>
      </c>
      <c r="D32" s="1333"/>
      <c r="E32" s="1333"/>
      <c r="F32" s="1333"/>
      <c r="G32" s="1333"/>
      <c r="H32" s="1341"/>
      <c r="I32" s="1333"/>
      <c r="J32" s="1333"/>
      <c r="K32" s="1333"/>
      <c r="L32" s="1333"/>
      <c r="M32" s="1333"/>
      <c r="N32" s="1333"/>
      <c r="O32" s="1333"/>
      <c r="P32" s="1333"/>
      <c r="Q32" s="1333"/>
      <c r="R32" s="1333"/>
    </row>
    <row r="33" spans="1:18">
      <c r="A33" s="1292"/>
      <c r="B33" s="1309"/>
      <c r="C33" s="1225" t="s">
        <v>1321</v>
      </c>
      <c r="D33" s="943"/>
      <c r="E33" s="943"/>
      <c r="F33" s="943"/>
      <c r="G33" s="1292"/>
      <c r="H33" s="1331" t="s">
        <v>626</v>
      </c>
      <c r="I33" s="1292"/>
      <c r="J33" s="1292"/>
      <c r="K33" s="1292"/>
      <c r="L33" s="1292"/>
      <c r="M33" s="1292"/>
      <c r="N33" s="1292"/>
      <c r="O33" s="1292"/>
      <c r="P33" s="1292"/>
      <c r="Q33" s="1292"/>
      <c r="R33" s="1292"/>
    </row>
    <row r="34" spans="1:18">
      <c r="A34" s="1292"/>
      <c r="B34" s="1309"/>
      <c r="C34" s="1225" t="s">
        <v>1263</v>
      </c>
      <c r="D34" s="943"/>
      <c r="E34" s="1292"/>
      <c r="F34" s="943"/>
      <c r="G34" s="1292"/>
      <c r="H34" s="1304" t="s">
        <v>1248</v>
      </c>
      <c r="I34" s="1292"/>
      <c r="J34" s="1292"/>
      <c r="K34" s="1292"/>
      <c r="L34" s="1292"/>
      <c r="M34" s="1292"/>
      <c r="N34" s="1292"/>
      <c r="O34" s="1292"/>
      <c r="P34" s="1292"/>
      <c r="Q34" s="1292"/>
      <c r="R34" s="1292"/>
    </row>
    <row r="35" spans="1:18">
      <c r="A35" s="1292"/>
      <c r="B35" s="1309"/>
      <c r="C35" s="1310" t="s">
        <v>1265</v>
      </c>
      <c r="D35" s="1292"/>
      <c r="E35" s="1311" t="s">
        <v>1266</v>
      </c>
      <c r="F35" s="1312" t="s">
        <v>1267</v>
      </c>
      <c r="G35" s="1292"/>
      <c r="H35" s="1304" t="s">
        <v>1264</v>
      </c>
      <c r="I35" s="1292"/>
      <c r="J35" s="1292"/>
      <c r="K35" s="1292"/>
      <c r="L35" s="1292"/>
      <c r="M35" s="1292"/>
      <c r="N35" s="1292"/>
      <c r="O35" s="1292"/>
      <c r="P35" s="1292"/>
      <c r="Q35" s="1292"/>
      <c r="R35" s="1292"/>
    </row>
    <row r="36" spans="1:18">
      <c r="A36" s="1292"/>
      <c r="B36" s="1309"/>
      <c r="C36" s="1310" t="s">
        <v>1269</v>
      </c>
      <c r="D36" s="1292"/>
      <c r="E36" s="1311"/>
      <c r="F36" s="1312" t="s">
        <v>1269</v>
      </c>
      <c r="G36" s="1292"/>
      <c r="H36" s="1304" t="s">
        <v>1268</v>
      </c>
      <c r="I36" s="1292"/>
      <c r="J36" s="1292"/>
      <c r="K36" s="1292"/>
      <c r="L36" s="1292"/>
      <c r="M36" s="1292"/>
      <c r="N36" s="1292"/>
      <c r="O36" s="1292"/>
      <c r="P36" s="1292"/>
      <c r="Q36" s="1292"/>
      <c r="R36" s="1292"/>
    </row>
    <row r="37" spans="1:18">
      <c r="A37" s="1292"/>
      <c r="B37" s="1309"/>
      <c r="C37" s="1310" t="s">
        <v>1255</v>
      </c>
      <c r="D37" s="1292"/>
      <c r="E37" s="1292"/>
      <c r="F37" s="1312" t="s">
        <v>1255</v>
      </c>
      <c r="G37" s="1292"/>
      <c r="H37" s="1313"/>
      <c r="I37" s="1292"/>
      <c r="J37" s="1292"/>
      <c r="K37" s="1292"/>
      <c r="L37" s="1292"/>
      <c r="M37" s="1292"/>
      <c r="N37" s="1292"/>
      <c r="O37" s="1292"/>
      <c r="P37" s="1292"/>
      <c r="Q37" s="1292"/>
      <c r="R37" s="1292"/>
    </row>
    <row r="38" spans="1:18">
      <c r="A38" s="1292"/>
      <c r="B38" s="1309"/>
      <c r="C38" s="1310" t="s">
        <v>1270</v>
      </c>
      <c r="D38" s="1292"/>
      <c r="E38" s="1292"/>
      <c r="F38" s="1312" t="s">
        <v>1270</v>
      </c>
      <c r="G38" s="1292"/>
      <c r="H38" s="1313"/>
      <c r="I38" s="1292"/>
      <c r="J38" s="1292"/>
      <c r="K38" s="1292"/>
      <c r="L38" s="1292"/>
      <c r="M38" s="1292"/>
      <c r="N38" s="1292"/>
      <c r="O38" s="1292"/>
      <c r="P38" s="1292"/>
      <c r="Q38" s="1292"/>
      <c r="R38" s="1292"/>
    </row>
    <row r="39" spans="1:18">
      <c r="A39" s="1292"/>
      <c r="B39" s="1309"/>
      <c r="C39" s="1329" t="s">
        <v>1271</v>
      </c>
      <c r="D39" s="1292"/>
      <c r="E39" s="1292"/>
      <c r="F39" s="1330" t="s">
        <v>1271</v>
      </c>
      <c r="G39" s="1292"/>
      <c r="H39" s="1313"/>
      <c r="I39" s="1292"/>
      <c r="J39" s="1292"/>
      <c r="K39" s="1292"/>
      <c r="L39" s="1292"/>
      <c r="M39" s="1292"/>
      <c r="N39" s="1292"/>
      <c r="O39" s="1292"/>
      <c r="P39" s="1292"/>
      <c r="Q39" s="1292"/>
      <c r="R39" s="1292"/>
    </row>
    <row r="40" spans="1:18">
      <c r="A40" s="1292"/>
      <c r="B40" s="1309"/>
      <c r="C40" s="1310"/>
      <c r="D40" s="1292"/>
      <c r="E40" s="1292"/>
      <c r="F40" s="1312"/>
      <c r="G40" s="1292"/>
      <c r="H40" s="1313"/>
      <c r="I40" s="1292"/>
      <c r="J40" s="1292"/>
      <c r="K40" s="1292"/>
      <c r="L40" s="1292"/>
      <c r="M40" s="1292"/>
      <c r="N40" s="1292"/>
      <c r="O40" s="1292"/>
      <c r="P40" s="1292"/>
      <c r="Q40" s="1292"/>
      <c r="R40" s="1292"/>
    </row>
    <row r="41" spans="1:18" s="424" customFormat="1">
      <c r="A41" s="944"/>
      <c r="B41" s="1343"/>
      <c r="C41" s="1344"/>
      <c r="D41" s="944"/>
      <c r="E41" s="944"/>
      <c r="F41" s="1345"/>
      <c r="G41" s="944"/>
      <c r="H41" s="1346"/>
      <c r="I41" s="944"/>
      <c r="J41" s="944"/>
      <c r="K41" s="944"/>
      <c r="L41" s="944"/>
      <c r="M41" s="944"/>
      <c r="N41" s="944"/>
      <c r="O41" s="944"/>
      <c r="P41" s="944"/>
      <c r="Q41" s="944"/>
      <c r="R41" s="944"/>
    </row>
    <row r="42" spans="1:18">
      <c r="A42" s="1292"/>
      <c r="B42" s="1309"/>
      <c r="C42" s="1225"/>
      <c r="D42" s="943"/>
      <c r="E42" s="943"/>
      <c r="F42" s="943"/>
      <c r="G42" s="1292"/>
      <c r="H42" s="1313"/>
      <c r="I42" s="1292"/>
      <c r="J42" s="1292"/>
      <c r="K42" s="1292"/>
      <c r="L42" s="1292"/>
      <c r="M42" s="1292"/>
      <c r="N42" s="1292"/>
      <c r="O42" s="1292"/>
      <c r="P42" s="1292"/>
      <c r="Q42" s="1292"/>
      <c r="R42" s="1292"/>
    </row>
    <row r="43" spans="1:18">
      <c r="A43" s="1292"/>
      <c r="B43" s="1309"/>
      <c r="C43" s="1314" t="s">
        <v>1272</v>
      </c>
      <c r="D43" s="943"/>
      <c r="E43" s="943"/>
      <c r="F43" s="943"/>
      <c r="G43" s="1292"/>
      <c r="H43" s="1313"/>
      <c r="I43" s="1292"/>
      <c r="J43" s="1292"/>
      <c r="K43" s="1292"/>
      <c r="L43" s="1292"/>
      <c r="M43" s="1292"/>
      <c r="N43" s="1292"/>
      <c r="O43" s="1292"/>
      <c r="P43" s="1292"/>
      <c r="Q43" s="1292"/>
      <c r="R43" s="1292"/>
    </row>
    <row r="44" spans="1:18">
      <c r="A44" s="1292"/>
      <c r="B44" s="1309"/>
      <c r="C44" s="1225"/>
      <c r="D44" s="943"/>
      <c r="E44" s="943"/>
      <c r="F44" s="943"/>
      <c r="G44" s="1292"/>
      <c r="H44" s="1313"/>
      <c r="I44" s="1292"/>
      <c r="J44" s="1292"/>
      <c r="K44" s="1292"/>
      <c r="L44" s="1292"/>
      <c r="M44" s="1292"/>
      <c r="N44" s="1292"/>
      <c r="O44" s="1292"/>
      <c r="P44" s="1292"/>
      <c r="Q44" s="1292"/>
      <c r="R44" s="1292"/>
    </row>
    <row r="45" spans="1:18">
      <c r="A45" s="1292"/>
      <c r="B45" s="1309"/>
      <c r="C45" s="1315" t="s">
        <v>1273</v>
      </c>
      <c r="D45" s="943"/>
      <c r="E45" s="943"/>
      <c r="F45" s="943"/>
      <c r="G45" s="1292"/>
      <c r="H45" s="1313"/>
      <c r="I45" s="1292"/>
      <c r="J45" s="1292"/>
      <c r="K45" s="1292"/>
      <c r="L45" s="1292"/>
      <c r="M45" s="1292"/>
      <c r="N45" s="1292"/>
      <c r="O45" s="1292"/>
      <c r="P45" s="1292"/>
      <c r="Q45" s="1292"/>
      <c r="R45" s="1292"/>
    </row>
    <row r="46" spans="1:18">
      <c r="A46" s="1292"/>
      <c r="B46" s="1309"/>
      <c r="C46" s="1315" t="s">
        <v>1274</v>
      </c>
      <c r="D46" s="943"/>
      <c r="E46" s="943"/>
      <c r="F46" s="943"/>
      <c r="G46" s="1292"/>
      <c r="H46" s="1313"/>
      <c r="I46" s="1292"/>
      <c r="J46" s="1292"/>
      <c r="K46" s="1292"/>
      <c r="L46" s="1292"/>
      <c r="M46" s="1292"/>
      <c r="N46" s="1292"/>
      <c r="O46" s="1292"/>
      <c r="P46" s="1292"/>
      <c r="Q46" s="1292"/>
      <c r="R46" s="1292"/>
    </row>
    <row r="47" spans="1:18">
      <c r="A47" s="1292"/>
      <c r="B47" s="1309"/>
      <c r="C47" s="1315" t="s">
        <v>1275</v>
      </c>
      <c r="D47" s="943"/>
      <c r="E47" s="943"/>
      <c r="F47" s="943"/>
      <c r="G47" s="1292"/>
      <c r="H47" s="1313"/>
      <c r="I47" s="1292"/>
      <c r="J47" s="1292"/>
      <c r="K47" s="1292"/>
      <c r="L47" s="1292"/>
      <c r="M47" s="1292"/>
      <c r="N47" s="1292"/>
      <c r="O47" s="1292"/>
      <c r="P47" s="1292"/>
      <c r="Q47" s="1292"/>
      <c r="R47" s="1292"/>
    </row>
    <row r="48" spans="1:18">
      <c r="A48" s="1292"/>
      <c r="B48" s="1309"/>
      <c r="C48" s="1316"/>
      <c r="D48" s="943"/>
      <c r="E48" s="943"/>
      <c r="F48" s="943"/>
      <c r="G48" s="1292"/>
      <c r="H48" s="1313"/>
      <c r="I48" s="1292"/>
      <c r="J48" s="1292"/>
      <c r="K48" s="1292"/>
      <c r="L48" s="1292"/>
      <c r="M48" s="1292"/>
      <c r="N48" s="1292"/>
      <c r="O48" s="1292"/>
      <c r="P48" s="1292"/>
      <c r="Q48" s="1292"/>
      <c r="R48" s="1292"/>
    </row>
    <row r="49" spans="1:18">
      <c r="A49" s="1292"/>
      <c r="B49" s="1309"/>
      <c r="C49" s="1317" t="s">
        <v>1276</v>
      </c>
      <c r="D49" s="943"/>
      <c r="E49" s="943"/>
      <c r="F49" s="943"/>
      <c r="G49" s="1292"/>
      <c r="H49" s="1313"/>
      <c r="I49" s="1292"/>
      <c r="J49" s="1292"/>
      <c r="K49" s="1292"/>
      <c r="L49" s="1292"/>
      <c r="M49" s="1292"/>
      <c r="N49" s="1292"/>
      <c r="O49" s="1292"/>
      <c r="P49" s="1292"/>
      <c r="Q49" s="1292"/>
      <c r="R49" s="1292"/>
    </row>
    <row r="50" spans="1:18">
      <c r="A50" s="1292"/>
      <c r="B50" s="1309"/>
      <c r="C50" s="1315" t="s">
        <v>1277</v>
      </c>
      <c r="D50" s="943"/>
      <c r="E50" s="943"/>
      <c r="F50" s="943"/>
      <c r="G50" s="1292"/>
      <c r="H50" s="1313"/>
      <c r="I50" s="1292"/>
      <c r="J50" s="1292"/>
      <c r="K50" s="1292"/>
      <c r="L50" s="1292"/>
      <c r="M50" s="1292"/>
      <c r="N50" s="1292"/>
      <c r="O50" s="1292"/>
      <c r="P50" s="1292"/>
      <c r="Q50" s="1292"/>
      <c r="R50" s="1292"/>
    </row>
    <row r="51" spans="1:18">
      <c r="A51" s="1292"/>
      <c r="B51" s="1309"/>
      <c r="C51" s="1315" t="s">
        <v>1278</v>
      </c>
      <c r="D51" s="943"/>
      <c r="E51" s="943"/>
      <c r="F51" s="943"/>
      <c r="G51" s="1292"/>
      <c r="H51" s="1313"/>
      <c r="I51" s="1292"/>
      <c r="J51" s="1292"/>
      <c r="K51" s="1292"/>
      <c r="L51" s="1292"/>
      <c r="M51" s="1292"/>
      <c r="N51" s="1292"/>
      <c r="O51" s="1292"/>
      <c r="P51" s="1292"/>
      <c r="Q51" s="1292"/>
      <c r="R51" s="1292"/>
    </row>
    <row r="52" spans="1:18">
      <c r="A52" s="1292"/>
      <c r="B52" s="1309"/>
      <c r="C52" s="1315"/>
      <c r="D52" s="943"/>
      <c r="E52" s="943"/>
      <c r="F52" s="943"/>
      <c r="G52" s="1292"/>
      <c r="H52" s="1313"/>
      <c r="I52" s="1292"/>
      <c r="J52" s="1292"/>
      <c r="K52" s="1292"/>
      <c r="L52" s="1292"/>
      <c r="M52" s="1292"/>
      <c r="N52" s="1292"/>
      <c r="O52" s="1292"/>
      <c r="P52" s="1292"/>
      <c r="Q52" s="1292"/>
      <c r="R52" s="1292"/>
    </row>
    <row r="53" spans="1:18">
      <c r="A53" s="1292"/>
      <c r="B53" s="1309"/>
      <c r="C53" s="1315"/>
      <c r="D53" s="1318" t="s">
        <v>1279</v>
      </c>
      <c r="E53" s="943"/>
      <c r="F53" s="943"/>
      <c r="G53" s="1319" t="s">
        <v>1280</v>
      </c>
      <c r="H53" s="1313"/>
      <c r="I53" s="1292"/>
      <c r="J53" s="1292"/>
      <c r="K53" s="1292"/>
      <c r="L53" s="1292"/>
      <c r="M53" s="1292"/>
      <c r="N53" s="1292"/>
      <c r="O53" s="1292"/>
      <c r="P53" s="1292"/>
      <c r="Q53" s="1292"/>
      <c r="R53" s="1292"/>
    </row>
    <row r="54" spans="1:18">
      <c r="A54" s="1292"/>
      <c r="B54" s="1309"/>
      <c r="C54" s="1315"/>
      <c r="D54" s="943"/>
      <c r="E54" s="943"/>
      <c r="F54" s="943"/>
      <c r="G54" s="1292"/>
      <c r="H54" s="1313"/>
      <c r="I54" s="1292"/>
      <c r="J54" s="1292"/>
      <c r="K54" s="1292"/>
      <c r="L54" s="1292"/>
      <c r="M54" s="1292"/>
      <c r="N54" s="1292"/>
      <c r="O54" s="1292"/>
      <c r="P54" s="1292"/>
      <c r="Q54" s="1292"/>
      <c r="R54" s="1292"/>
    </row>
    <row r="55" spans="1:18">
      <c r="A55" s="1292"/>
      <c r="B55" s="1309"/>
      <c r="C55" s="1315"/>
      <c r="D55" s="943"/>
      <c r="E55" s="943"/>
      <c r="F55" s="943"/>
      <c r="G55" s="1292"/>
      <c r="H55" s="1313"/>
      <c r="I55" s="1292"/>
      <c r="J55" s="1292"/>
      <c r="K55" s="1292"/>
      <c r="L55" s="1292"/>
      <c r="M55" s="1292"/>
      <c r="N55" s="1292"/>
      <c r="O55" s="1292"/>
      <c r="P55" s="1292"/>
      <c r="Q55" s="1292"/>
      <c r="R55" s="1292"/>
    </row>
    <row r="56" spans="1:18">
      <c r="A56" s="1292"/>
      <c r="B56" s="1309"/>
      <c r="C56" s="1315"/>
      <c r="D56" s="943"/>
      <c r="E56" s="943"/>
      <c r="F56" s="943"/>
      <c r="G56" s="1292"/>
      <c r="H56" s="1313"/>
      <c r="I56" s="1292"/>
      <c r="J56" s="1292"/>
      <c r="K56" s="1292"/>
      <c r="L56" s="1292"/>
      <c r="M56" s="1292"/>
      <c r="N56" s="1292"/>
      <c r="O56" s="1292"/>
      <c r="P56" s="1292"/>
      <c r="Q56" s="1292"/>
      <c r="R56" s="1292"/>
    </row>
    <row r="57" spans="1:18">
      <c r="A57" s="1292"/>
      <c r="B57" s="1309"/>
      <c r="C57" s="1315"/>
      <c r="D57" s="943"/>
      <c r="E57" s="943"/>
      <c r="F57" s="943"/>
      <c r="G57" s="1292"/>
      <c r="H57" s="1313"/>
      <c r="I57" s="1292"/>
      <c r="J57" s="1292"/>
      <c r="K57" s="1292"/>
      <c r="L57" s="1292"/>
      <c r="M57" s="1292"/>
      <c r="N57" s="1292"/>
      <c r="O57" s="1292"/>
      <c r="P57" s="1292"/>
      <c r="Q57" s="1292"/>
      <c r="R57" s="1292"/>
    </row>
    <row r="58" spans="1:18">
      <c r="A58" s="1292"/>
      <c r="B58" s="1309"/>
      <c r="C58" s="1315"/>
      <c r="D58" s="943"/>
      <c r="E58" s="943"/>
      <c r="F58" s="943"/>
      <c r="G58" s="1292"/>
      <c r="H58" s="1313"/>
      <c r="I58" s="1292"/>
      <c r="J58" s="1292"/>
      <c r="K58" s="1292"/>
      <c r="L58" s="1292"/>
      <c r="M58" s="1292"/>
      <c r="N58" s="1292"/>
      <c r="O58" s="1292"/>
      <c r="P58" s="1292"/>
      <c r="Q58" s="1292"/>
      <c r="R58" s="1292"/>
    </row>
    <row r="59" spans="1:18">
      <c r="A59" s="1292"/>
      <c r="B59" s="1309"/>
      <c r="C59" s="1315"/>
      <c r="D59" s="943"/>
      <c r="E59" s="943"/>
      <c r="F59" s="943"/>
      <c r="G59" s="1292"/>
      <c r="H59" s="1313"/>
      <c r="I59" s="1292"/>
      <c r="J59" s="1292"/>
      <c r="K59" s="1292"/>
      <c r="L59" s="1292"/>
      <c r="M59" s="1292"/>
      <c r="N59" s="1292"/>
      <c r="O59" s="1292"/>
      <c r="P59" s="1292"/>
      <c r="Q59" s="1292"/>
      <c r="R59" s="1292"/>
    </row>
    <row r="60" spans="1:18">
      <c r="A60" s="1292"/>
      <c r="B60" s="1309"/>
      <c r="C60" s="1315"/>
      <c r="D60" s="943"/>
      <c r="E60" s="943"/>
      <c r="F60" s="943"/>
      <c r="G60" s="1292"/>
      <c r="H60" s="1313"/>
      <c r="I60" s="1292"/>
      <c r="J60" s="1292"/>
      <c r="K60" s="1292"/>
      <c r="L60" s="1292"/>
      <c r="M60" s="1292"/>
      <c r="N60" s="1292"/>
      <c r="O60" s="1292"/>
      <c r="P60" s="1292"/>
      <c r="Q60" s="1292"/>
      <c r="R60" s="1292"/>
    </row>
    <row r="61" spans="1:18">
      <c r="A61" s="1292"/>
      <c r="B61" s="1309"/>
      <c r="C61" s="1315"/>
      <c r="D61" s="943"/>
      <c r="E61" s="943"/>
      <c r="F61" s="943"/>
      <c r="G61" s="1292"/>
      <c r="H61" s="1313"/>
      <c r="I61" s="1292"/>
      <c r="J61" s="1292"/>
      <c r="K61" s="1292"/>
      <c r="L61" s="1292"/>
      <c r="M61" s="1292"/>
      <c r="N61" s="1292"/>
      <c r="O61" s="1292"/>
      <c r="P61" s="1292"/>
      <c r="Q61" s="1292"/>
      <c r="R61" s="1292"/>
    </row>
    <row r="62" spans="1:18" s="424" customFormat="1">
      <c r="A62" s="944"/>
      <c r="B62" s="1343"/>
      <c r="C62" s="1347"/>
      <c r="D62" s="1348"/>
      <c r="E62" s="1348"/>
      <c r="F62" s="1348"/>
      <c r="G62" s="944"/>
      <c r="H62" s="1346"/>
      <c r="I62" s="944"/>
      <c r="J62" s="944"/>
      <c r="K62" s="944"/>
      <c r="L62" s="944"/>
      <c r="M62" s="944"/>
      <c r="N62" s="944"/>
      <c r="O62" s="944"/>
      <c r="P62" s="944"/>
      <c r="Q62" s="944"/>
      <c r="R62" s="944"/>
    </row>
    <row r="63" spans="1:18" s="143" customFormat="1">
      <c r="A63" s="1293"/>
      <c r="B63" s="1349"/>
      <c r="C63" s="1315"/>
      <c r="D63" s="1325"/>
      <c r="E63" s="1325"/>
      <c r="F63" s="1325"/>
      <c r="G63" s="1293"/>
      <c r="H63" s="1313"/>
      <c r="I63" s="1293"/>
      <c r="J63" s="1293"/>
      <c r="K63" s="1293"/>
      <c r="L63" s="1293"/>
      <c r="M63" s="1293"/>
      <c r="N63" s="1293"/>
      <c r="O63" s="1293"/>
      <c r="P63" s="1293"/>
      <c r="Q63" s="1293"/>
      <c r="R63" s="1293"/>
    </row>
    <row r="64" spans="1:18">
      <c r="A64" s="1292"/>
      <c r="B64" s="1339" t="s">
        <v>1241</v>
      </c>
      <c r="C64" s="1335" t="s">
        <v>1322</v>
      </c>
      <c r="D64" s="943"/>
      <c r="E64" s="943"/>
      <c r="F64" s="943"/>
      <c r="G64" s="1292"/>
      <c r="H64" s="1335" t="s">
        <v>1322</v>
      </c>
      <c r="I64" s="1292"/>
      <c r="J64" s="1292"/>
      <c r="K64" s="1292"/>
      <c r="L64" s="1292"/>
      <c r="M64" s="1292"/>
      <c r="N64" s="1292"/>
      <c r="O64" s="1292"/>
      <c r="P64" s="1292"/>
      <c r="Q64" s="1292"/>
      <c r="R64" s="1292"/>
    </row>
    <row r="65" spans="1:18">
      <c r="A65" s="1292"/>
      <c r="C65" s="1225" t="s">
        <v>1281</v>
      </c>
      <c r="D65" s="943"/>
      <c r="E65" s="943"/>
      <c r="F65" s="943"/>
      <c r="G65" s="1292"/>
      <c r="H65" s="1320" t="s">
        <v>1332</v>
      </c>
      <c r="I65" s="1292"/>
      <c r="J65" s="1292"/>
      <c r="K65" s="1306"/>
      <c r="L65" s="1306"/>
      <c r="M65" s="1306"/>
      <c r="N65" s="1306"/>
      <c r="O65" s="1306"/>
      <c r="P65" s="1292"/>
      <c r="Q65" s="1292"/>
      <c r="R65" s="1292"/>
    </row>
    <row r="66" spans="1:18">
      <c r="A66" s="1292"/>
      <c r="B66" s="1309"/>
      <c r="C66" s="1225" t="s">
        <v>1335</v>
      </c>
      <c r="D66" s="943"/>
      <c r="E66" s="1292"/>
      <c r="F66" s="943"/>
      <c r="G66" s="1292"/>
      <c r="H66" s="1321" t="s">
        <v>1284</v>
      </c>
      <c r="I66" s="1307"/>
      <c r="J66" s="1306"/>
      <c r="K66" s="1292"/>
      <c r="L66" s="1292"/>
      <c r="M66" s="1292"/>
      <c r="N66" s="1292"/>
      <c r="O66" s="1292"/>
      <c r="P66" s="1292"/>
      <c r="Q66" s="1292"/>
      <c r="R66" s="1292"/>
    </row>
    <row r="67" spans="1:18">
      <c r="A67" s="1292"/>
      <c r="B67" s="1309"/>
      <c r="C67" s="1225"/>
      <c r="D67" s="1307" t="s">
        <v>1337</v>
      </c>
      <c r="E67" s="1292"/>
      <c r="F67" s="943"/>
      <c r="G67" s="1292"/>
      <c r="H67" s="1320"/>
      <c r="I67" s="1312" t="s">
        <v>1286</v>
      </c>
      <c r="J67" s="1292"/>
      <c r="K67" s="1292"/>
      <c r="L67" s="1292"/>
      <c r="M67" s="1292"/>
      <c r="N67" s="1292"/>
      <c r="O67" s="1292"/>
      <c r="P67" s="1292"/>
      <c r="Q67" s="1292"/>
      <c r="R67" s="1292"/>
    </row>
    <row r="68" spans="1:18">
      <c r="A68" s="1292"/>
      <c r="B68" s="1309"/>
      <c r="C68" s="1225"/>
      <c r="D68" s="1307" t="s">
        <v>1336</v>
      </c>
      <c r="E68" s="1292"/>
      <c r="F68" s="943"/>
      <c r="G68" s="1292"/>
      <c r="H68" s="1320"/>
      <c r="I68" s="1312" t="s">
        <v>1288</v>
      </c>
      <c r="J68" s="1322"/>
      <c r="K68" s="1322"/>
      <c r="L68" s="1292"/>
      <c r="M68" s="1292"/>
      <c r="N68" s="1292"/>
      <c r="O68" s="1292"/>
      <c r="P68" s="1292"/>
      <c r="Q68" s="1292"/>
      <c r="R68" s="1292"/>
    </row>
    <row r="69" spans="1:18">
      <c r="A69" s="1292"/>
      <c r="B69" s="1309"/>
      <c r="C69" s="1225"/>
      <c r="D69" s="943" t="s">
        <v>1289</v>
      </c>
      <c r="E69" s="1292"/>
      <c r="F69" s="943"/>
      <c r="G69" s="1292"/>
      <c r="H69" s="1320"/>
      <c r="I69" s="1330" t="s">
        <v>1334</v>
      </c>
      <c r="J69" s="1306"/>
      <c r="K69" s="1306"/>
      <c r="L69" s="1292"/>
      <c r="M69" s="1292"/>
      <c r="N69" s="1292"/>
      <c r="O69" s="1292"/>
      <c r="P69" s="1292"/>
      <c r="Q69" s="1292"/>
      <c r="R69" s="1292"/>
    </row>
    <row r="70" spans="1:18">
      <c r="A70" s="1292"/>
      <c r="B70" s="1309"/>
      <c r="C70" s="1225"/>
      <c r="D70" s="943" t="s">
        <v>1291</v>
      </c>
      <c r="E70" s="1292"/>
      <c r="F70" s="943"/>
      <c r="G70" s="1292"/>
      <c r="H70" s="1320"/>
      <c r="I70" s="1312" t="s">
        <v>1333</v>
      </c>
      <c r="J70" s="1292"/>
      <c r="K70" s="1292"/>
      <c r="L70" s="1292"/>
      <c r="M70" s="1292"/>
      <c r="N70" s="1292"/>
      <c r="O70" s="1292"/>
      <c r="P70" s="1292"/>
      <c r="Q70" s="1292"/>
      <c r="R70" s="1292"/>
    </row>
    <row r="71" spans="1:18">
      <c r="A71" s="1292"/>
      <c r="B71" s="1309"/>
      <c r="C71" s="1225"/>
      <c r="D71" s="1330" t="s">
        <v>1293</v>
      </c>
      <c r="E71" s="1292"/>
      <c r="F71" s="943"/>
      <c r="G71" s="1292"/>
      <c r="H71" s="1320" t="s">
        <v>1292</v>
      </c>
      <c r="I71" s="943"/>
      <c r="J71" s="1292"/>
      <c r="K71" s="1292"/>
      <c r="L71" s="1292"/>
      <c r="M71" s="1292"/>
      <c r="N71" s="1292"/>
      <c r="O71" s="1292"/>
      <c r="P71" s="1292"/>
      <c r="Q71" s="1292"/>
      <c r="R71" s="1292"/>
    </row>
    <row r="72" spans="1:18">
      <c r="A72" s="1292"/>
      <c r="B72" s="1309"/>
      <c r="C72" s="1225"/>
      <c r="D72" s="943"/>
      <c r="E72" s="1292"/>
      <c r="F72" s="943"/>
      <c r="G72" s="1292"/>
      <c r="H72" s="1320"/>
      <c r="I72" s="943"/>
      <c r="J72" s="1292"/>
      <c r="K72" s="1292"/>
      <c r="L72" s="1292"/>
      <c r="M72" s="1292"/>
      <c r="N72" s="1292"/>
      <c r="O72" s="1292"/>
      <c r="P72" s="1292"/>
      <c r="Q72" s="1292"/>
      <c r="R72" s="1292"/>
    </row>
    <row r="73" spans="1:18">
      <c r="A73" s="1292"/>
      <c r="B73" s="1309"/>
      <c r="C73" s="1225"/>
      <c r="D73" s="943"/>
      <c r="E73" s="1292"/>
      <c r="F73" s="943"/>
      <c r="G73" s="1292"/>
      <c r="H73" s="1320"/>
      <c r="I73" s="943"/>
      <c r="J73" s="1292"/>
      <c r="K73" s="1292"/>
      <c r="L73" s="1292"/>
      <c r="M73" s="1292"/>
      <c r="N73" s="1292"/>
      <c r="O73" s="1292"/>
      <c r="P73" s="1292"/>
      <c r="Q73" s="1292"/>
      <c r="R73" s="1292"/>
    </row>
    <row r="74" spans="1:18">
      <c r="A74" s="1292"/>
      <c r="B74" s="1309"/>
      <c r="C74" s="1335" t="s">
        <v>626</v>
      </c>
      <c r="D74" s="943"/>
      <c r="E74" s="1292"/>
      <c r="F74" s="943"/>
      <c r="G74" s="1292"/>
      <c r="H74" s="1335" t="s">
        <v>626</v>
      </c>
      <c r="I74" s="943"/>
      <c r="J74" s="1292"/>
      <c r="K74" s="1292"/>
      <c r="L74" s="1292"/>
      <c r="M74" s="1292"/>
      <c r="N74" s="1292"/>
      <c r="O74" s="1292"/>
      <c r="P74" s="1292"/>
      <c r="Q74" s="1292"/>
      <c r="R74" s="1292"/>
    </row>
    <row r="75" spans="1:18">
      <c r="A75" s="1292"/>
      <c r="B75" s="1309"/>
      <c r="C75" s="1225" t="s">
        <v>1281</v>
      </c>
      <c r="D75" s="943"/>
      <c r="E75" s="1292"/>
      <c r="F75" s="943"/>
      <c r="G75" s="1292"/>
      <c r="H75" s="1320" t="s">
        <v>1282</v>
      </c>
      <c r="I75" s="1292"/>
      <c r="J75" s="1292"/>
      <c r="K75" s="1292"/>
      <c r="L75" s="1292"/>
      <c r="M75" s="1292"/>
      <c r="N75" s="1292"/>
      <c r="O75" s="1292"/>
      <c r="P75" s="1292"/>
      <c r="Q75" s="1292"/>
      <c r="R75" s="1292"/>
    </row>
    <row r="76" spans="1:18">
      <c r="A76" s="1292"/>
      <c r="B76" s="1309"/>
      <c r="C76" s="1225" t="s">
        <v>1283</v>
      </c>
      <c r="D76" s="943"/>
      <c r="E76" s="1292"/>
      <c r="F76" s="943"/>
      <c r="G76" s="1292"/>
      <c r="H76" s="1321" t="s">
        <v>1284</v>
      </c>
      <c r="I76" s="1307"/>
      <c r="J76" s="1292"/>
      <c r="K76" s="1292"/>
      <c r="L76" s="1292"/>
      <c r="M76" s="1292"/>
      <c r="N76" s="1292"/>
      <c r="O76" s="1292"/>
      <c r="P76" s="1292"/>
      <c r="Q76" s="1292"/>
      <c r="R76" s="1292"/>
    </row>
    <row r="77" spans="1:18">
      <c r="A77" s="1292"/>
      <c r="B77" s="1309"/>
      <c r="C77" s="1225"/>
      <c r="D77" s="1307" t="s">
        <v>1285</v>
      </c>
      <c r="E77" s="1292"/>
      <c r="F77" s="943"/>
      <c r="G77" s="1292"/>
      <c r="H77" s="1320"/>
      <c r="I77" s="1312" t="s">
        <v>1286</v>
      </c>
      <c r="J77" s="1292"/>
      <c r="K77" s="1292"/>
      <c r="L77" s="1292"/>
      <c r="M77" s="1292"/>
      <c r="N77" s="1292"/>
      <c r="O77" s="1292"/>
      <c r="P77" s="1292"/>
      <c r="Q77" s="1292"/>
      <c r="R77" s="1292"/>
    </row>
    <row r="78" spans="1:18">
      <c r="A78" s="1292"/>
      <c r="B78" s="1309"/>
      <c r="C78" s="1225"/>
      <c r="D78" s="1307" t="s">
        <v>1287</v>
      </c>
      <c r="E78" s="1292"/>
      <c r="F78" s="943"/>
      <c r="G78" s="1292"/>
      <c r="H78" s="1320"/>
      <c r="I78" s="1312" t="s">
        <v>1288</v>
      </c>
      <c r="J78" s="1292"/>
      <c r="K78" s="1292"/>
      <c r="L78" s="1292"/>
      <c r="M78" s="1292"/>
      <c r="N78" s="1292"/>
      <c r="O78" s="1292"/>
      <c r="P78" s="1292"/>
      <c r="Q78" s="1292"/>
      <c r="R78" s="1292"/>
    </row>
    <row r="79" spans="1:18">
      <c r="A79" s="1292"/>
      <c r="B79" s="1309"/>
      <c r="C79" s="1225"/>
      <c r="D79" s="943" t="s">
        <v>1289</v>
      </c>
      <c r="E79" s="1292"/>
      <c r="F79" s="943"/>
      <c r="G79" s="1292"/>
      <c r="H79" s="1320"/>
      <c r="I79" s="1312" t="s">
        <v>1290</v>
      </c>
      <c r="J79" s="1292"/>
      <c r="K79" s="1292"/>
      <c r="L79" s="1292"/>
      <c r="M79" s="1292"/>
      <c r="N79" s="1292"/>
      <c r="O79" s="1292"/>
      <c r="P79" s="1292"/>
      <c r="Q79" s="1292"/>
      <c r="R79" s="1292"/>
    </row>
    <row r="80" spans="1:18">
      <c r="A80" s="1292"/>
      <c r="B80" s="1309"/>
      <c r="C80" s="1225"/>
      <c r="D80" s="943" t="s">
        <v>1291</v>
      </c>
      <c r="E80" s="1292"/>
      <c r="F80" s="943"/>
      <c r="G80" s="1292"/>
      <c r="H80" s="1320" t="s">
        <v>1292</v>
      </c>
      <c r="I80" s="943"/>
      <c r="J80" s="1292"/>
      <c r="K80" s="1292"/>
      <c r="L80" s="1292"/>
      <c r="M80" s="1292"/>
      <c r="N80" s="1292"/>
      <c r="O80" s="1292"/>
      <c r="P80" s="1292"/>
      <c r="Q80" s="1292"/>
      <c r="R80" s="1292"/>
    </row>
    <row r="81" spans="1:18">
      <c r="A81" s="1292"/>
      <c r="B81" s="1309"/>
      <c r="C81" s="1225"/>
      <c r="D81" s="943" t="s">
        <v>1293</v>
      </c>
      <c r="E81" s="1292"/>
      <c r="F81" s="943"/>
      <c r="G81" s="1292"/>
      <c r="H81" s="1320"/>
      <c r="I81" s="943"/>
      <c r="J81" s="1292"/>
      <c r="K81" s="1292"/>
      <c r="L81" s="1292"/>
      <c r="M81" s="1292"/>
      <c r="N81" s="1292"/>
      <c r="O81" s="1292"/>
      <c r="P81" s="1292"/>
      <c r="Q81" s="1292"/>
      <c r="R81" s="1292"/>
    </row>
    <row r="82" spans="1:18">
      <c r="A82" s="1292"/>
      <c r="B82" s="1309"/>
      <c r="C82" s="1225"/>
      <c r="D82" s="943"/>
      <c r="E82" s="1292"/>
      <c r="F82" s="943"/>
      <c r="G82" s="1292"/>
      <c r="H82" s="1320"/>
      <c r="I82" s="943"/>
      <c r="J82" s="1292"/>
      <c r="K82" s="1292"/>
      <c r="L82" s="1292"/>
      <c r="M82" s="1292"/>
      <c r="N82" s="1292"/>
      <c r="O82" s="1292"/>
      <c r="P82" s="1292"/>
      <c r="Q82" s="1292"/>
      <c r="R82" s="1292"/>
    </row>
    <row r="83" spans="1:18" s="424" customFormat="1">
      <c r="A83" s="944"/>
      <c r="B83" s="1343"/>
      <c r="C83" s="1351"/>
      <c r="D83" s="944"/>
      <c r="E83" s="944"/>
      <c r="F83" s="944"/>
      <c r="G83" s="944"/>
      <c r="H83" s="1352"/>
      <c r="I83" s="944"/>
      <c r="J83" s="944"/>
      <c r="K83" s="944"/>
      <c r="L83" s="944"/>
      <c r="M83" s="944"/>
      <c r="N83" s="944"/>
      <c r="O83" s="944"/>
      <c r="P83" s="944"/>
      <c r="Q83" s="944"/>
      <c r="R83" s="944"/>
    </row>
    <row r="84" spans="1:18">
      <c r="A84" s="1292"/>
      <c r="B84" s="1309"/>
      <c r="C84" s="1323"/>
      <c r="D84" s="1292"/>
      <c r="E84" s="1292"/>
      <c r="F84" s="1292"/>
      <c r="G84" s="1293"/>
      <c r="H84" s="1300"/>
      <c r="I84" s="1292"/>
      <c r="J84" s="1292"/>
      <c r="K84" s="1292"/>
      <c r="L84" s="1292"/>
      <c r="M84" s="1292"/>
      <c r="N84" s="1292"/>
      <c r="O84" s="1292"/>
      <c r="P84" s="1292"/>
      <c r="Q84" s="1292"/>
      <c r="R84" s="1292"/>
    </row>
    <row r="85" spans="1:18">
      <c r="A85" s="1292"/>
      <c r="B85" s="1324" t="s">
        <v>1338</v>
      </c>
      <c r="C85" s="1335" t="s">
        <v>1322</v>
      </c>
      <c r="D85" s="943"/>
      <c r="E85" s="943"/>
      <c r="F85" s="943"/>
      <c r="G85" s="1292"/>
      <c r="H85" s="1335" t="s">
        <v>1322</v>
      </c>
      <c r="I85" s="1292"/>
      <c r="J85" s="1292"/>
      <c r="K85" s="1292"/>
      <c r="L85" s="1292"/>
      <c r="M85" s="1292"/>
      <c r="N85" s="1292"/>
      <c r="O85" s="1292"/>
      <c r="P85" s="1292"/>
      <c r="Q85" s="1292"/>
      <c r="R85" s="1292"/>
    </row>
    <row r="86" spans="1:18">
      <c r="C86" s="1225" t="s">
        <v>1339</v>
      </c>
      <c r="G86" s="1353"/>
    </row>
    <row r="87" spans="1:18">
      <c r="C87" s="422" t="s">
        <v>1340</v>
      </c>
      <c r="G87" s="1353"/>
    </row>
    <row r="88" spans="1:18">
      <c r="C88" s="422"/>
      <c r="G88" s="1353"/>
    </row>
    <row r="89" spans="1:18">
      <c r="C89" s="422"/>
      <c r="G89" s="1353"/>
    </row>
    <row r="90" spans="1:18">
      <c r="A90" s="1292"/>
      <c r="B90" s="1292"/>
      <c r="C90" s="1225"/>
      <c r="D90" s="1312"/>
      <c r="E90" s="1292"/>
      <c r="F90" s="943"/>
      <c r="G90" s="1293"/>
      <c r="H90" s="1320"/>
      <c r="I90" s="1312"/>
      <c r="J90" s="1292"/>
      <c r="K90" s="1292"/>
      <c r="L90" s="1292"/>
      <c r="M90" s="1292"/>
      <c r="N90" s="1292"/>
      <c r="O90" s="1292"/>
      <c r="P90" s="1292"/>
      <c r="Q90" s="1292"/>
      <c r="R90" s="1292"/>
    </row>
    <row r="91" spans="1:18">
      <c r="A91" s="1292"/>
      <c r="B91" s="1292"/>
      <c r="C91" s="1225"/>
      <c r="D91" s="1312"/>
      <c r="E91" s="1292"/>
      <c r="F91" s="943"/>
      <c r="G91" s="1293"/>
      <c r="H91" s="1320"/>
      <c r="I91" s="1312"/>
      <c r="J91" s="1292"/>
      <c r="K91" s="1292"/>
      <c r="L91" s="1292"/>
      <c r="M91" s="1292"/>
      <c r="N91" s="1292"/>
      <c r="O91" s="1292"/>
      <c r="P91" s="1292"/>
      <c r="Q91" s="1292"/>
      <c r="R91" s="1292"/>
    </row>
    <row r="92" spans="1:18">
      <c r="A92" s="1292"/>
      <c r="B92" s="1292"/>
      <c r="C92" s="1225"/>
      <c r="D92" s="1312"/>
      <c r="E92" s="1292"/>
      <c r="F92" s="943"/>
      <c r="G92" s="1293"/>
      <c r="H92" s="1320"/>
      <c r="I92" s="1312"/>
      <c r="J92" s="1292"/>
      <c r="K92" s="1292"/>
      <c r="L92" s="1292"/>
      <c r="M92" s="1292"/>
      <c r="N92" s="1292"/>
      <c r="O92" s="1292"/>
      <c r="P92" s="1292"/>
      <c r="Q92" s="1292"/>
      <c r="R92" s="1292"/>
    </row>
    <row r="93" spans="1:18">
      <c r="A93" s="1292"/>
      <c r="B93" s="1292"/>
      <c r="C93" s="1335" t="s">
        <v>1322</v>
      </c>
      <c r="D93" s="943"/>
      <c r="E93" s="943"/>
      <c r="F93" s="943"/>
      <c r="G93" s="1292"/>
      <c r="H93" s="1335" t="s">
        <v>1322</v>
      </c>
      <c r="I93" s="1312"/>
      <c r="J93" s="1292"/>
      <c r="K93" s="1292"/>
      <c r="L93" s="1292"/>
      <c r="M93" s="1292"/>
      <c r="N93" s="1292"/>
      <c r="O93" s="1292"/>
      <c r="P93" s="1292"/>
      <c r="Q93" s="1292"/>
      <c r="R93" s="1292"/>
    </row>
    <row r="94" spans="1:18">
      <c r="A94" s="1292"/>
      <c r="C94" s="1225" t="s">
        <v>1294</v>
      </c>
      <c r="D94" s="943"/>
      <c r="E94" s="943"/>
      <c r="F94" s="943"/>
      <c r="G94" s="1293"/>
      <c r="H94" s="1320" t="s">
        <v>1295</v>
      </c>
      <c r="I94" s="1292"/>
      <c r="J94" s="1292"/>
      <c r="K94" s="1292"/>
      <c r="L94" s="1292"/>
      <c r="M94" s="1292"/>
      <c r="N94" s="1292"/>
      <c r="O94" s="1292"/>
      <c r="P94" s="1292"/>
      <c r="Q94" s="1292"/>
      <c r="R94" s="1292"/>
    </row>
    <row r="95" spans="1:18">
      <c r="A95" s="1292"/>
      <c r="B95" s="1292"/>
      <c r="C95" s="1225"/>
      <c r="D95" s="943"/>
      <c r="E95" s="1292"/>
      <c r="F95" s="943"/>
      <c r="G95" s="1293"/>
      <c r="H95" s="1321"/>
      <c r="I95" s="1325" t="s">
        <v>1296</v>
      </c>
      <c r="J95" s="1307"/>
      <c r="K95" s="1307"/>
      <c r="L95" s="1307"/>
      <c r="M95" s="1292"/>
      <c r="N95" s="1292"/>
      <c r="O95" s="1292"/>
      <c r="P95" s="1292"/>
      <c r="Q95" s="1292"/>
      <c r="R95" s="1292"/>
    </row>
    <row r="96" spans="1:18">
      <c r="A96" s="1292"/>
      <c r="B96" s="1292"/>
      <c r="C96" s="1225"/>
      <c r="D96" s="1312"/>
      <c r="E96" s="1292"/>
      <c r="F96" s="943"/>
      <c r="G96" s="1293"/>
      <c r="H96" s="1320"/>
      <c r="I96" s="1312"/>
      <c r="J96" s="1292"/>
      <c r="K96" s="1292"/>
      <c r="L96" s="1292"/>
      <c r="M96" s="1292"/>
      <c r="N96" s="1292"/>
      <c r="O96" s="1292"/>
      <c r="P96" s="1292"/>
      <c r="Q96" s="1292"/>
      <c r="R96" s="1292"/>
    </row>
    <row r="97" spans="1:18">
      <c r="A97" s="1292"/>
      <c r="B97" s="1292"/>
      <c r="C97" s="1225"/>
      <c r="D97" s="1312"/>
      <c r="E97" s="1292"/>
      <c r="F97" s="943"/>
      <c r="G97" s="1293"/>
      <c r="H97" s="1320" t="s">
        <v>1297</v>
      </c>
      <c r="I97" s="1312"/>
      <c r="J97" s="1292"/>
      <c r="K97" s="1292"/>
      <c r="L97" s="1292"/>
      <c r="M97" s="1292"/>
      <c r="N97" s="1292"/>
      <c r="O97" s="1292"/>
      <c r="P97" s="1292"/>
      <c r="Q97" s="1292"/>
      <c r="R97" s="1292"/>
    </row>
    <row r="98" spans="1:18">
      <c r="A98" s="1292"/>
      <c r="B98" s="1292"/>
      <c r="C98" s="1225"/>
      <c r="D98" s="1312"/>
      <c r="E98" s="1292"/>
      <c r="F98" s="943"/>
      <c r="G98" s="1293"/>
      <c r="H98" s="1320"/>
      <c r="I98" s="1312"/>
      <c r="J98" s="1306"/>
      <c r="K98" s="1326"/>
      <c r="L98" s="1292"/>
      <c r="M98" s="1292"/>
      <c r="N98" s="1292"/>
      <c r="O98" s="1292"/>
      <c r="P98" s="1292"/>
      <c r="Q98" s="1292"/>
      <c r="R98" s="1292"/>
    </row>
    <row r="99" spans="1:18" s="424" customFormat="1">
      <c r="A99" s="944"/>
      <c r="B99" s="1343"/>
      <c r="C99" s="1351"/>
      <c r="D99" s="944"/>
      <c r="E99" s="944"/>
      <c r="F99" s="944"/>
      <c r="G99" s="944"/>
      <c r="H99" s="1352"/>
      <c r="I99" s="944"/>
      <c r="J99" s="944"/>
      <c r="K99" s="944"/>
      <c r="L99" s="944"/>
      <c r="M99" s="944"/>
      <c r="N99" s="944"/>
      <c r="O99" s="944"/>
      <c r="P99" s="944"/>
      <c r="Q99" s="944"/>
      <c r="R99" s="944"/>
    </row>
    <row r="100" spans="1:18">
      <c r="A100" s="1292"/>
      <c r="B100" s="1309"/>
      <c r="C100" s="1323"/>
      <c r="D100" s="1292"/>
      <c r="E100" s="1292"/>
      <c r="F100" s="1292"/>
      <c r="G100" s="1292"/>
      <c r="H100" s="1300"/>
      <c r="I100" s="1292"/>
      <c r="J100" s="1292"/>
      <c r="K100" s="1292"/>
      <c r="L100" s="1292"/>
      <c r="M100" s="1292"/>
      <c r="N100" s="1292"/>
      <c r="O100" s="1292"/>
      <c r="P100" s="1292"/>
      <c r="Q100" s="1292"/>
      <c r="R100" s="1292"/>
    </row>
    <row r="101" spans="1:18">
      <c r="A101" s="1292"/>
      <c r="B101" s="1309" t="s">
        <v>629</v>
      </c>
      <c r="C101" s="1225" t="s">
        <v>1298</v>
      </c>
      <c r="D101" s="943"/>
      <c r="E101" s="1292"/>
      <c r="F101" s="1292"/>
      <c r="G101" s="1292"/>
      <c r="H101" s="1320" t="s">
        <v>1299</v>
      </c>
      <c r="I101" s="1292"/>
      <c r="J101" s="1292"/>
      <c r="K101" s="1292"/>
      <c r="L101" s="1292"/>
      <c r="M101" s="1292"/>
      <c r="N101" s="1292"/>
      <c r="O101" s="1292"/>
      <c r="P101" s="1292"/>
      <c r="Q101" s="1292"/>
      <c r="R101" s="1292"/>
    </row>
    <row r="102" spans="1:18">
      <c r="A102" s="1292"/>
      <c r="B102" s="1312"/>
      <c r="C102" s="1225" t="s">
        <v>1300</v>
      </c>
      <c r="D102" s="1312"/>
      <c r="E102" s="1292"/>
      <c r="F102" s="1292"/>
      <c r="G102" s="1292"/>
      <c r="H102" s="1320" t="s">
        <v>1301</v>
      </c>
      <c r="I102" s="943"/>
      <c r="J102" s="1292"/>
      <c r="K102" s="1306"/>
      <c r="L102" s="1306"/>
      <c r="M102" s="1292"/>
      <c r="N102" s="1292"/>
      <c r="O102" s="1292"/>
      <c r="P102" s="1292"/>
      <c r="Q102" s="1292"/>
      <c r="R102" s="1292"/>
    </row>
    <row r="103" spans="1:18">
      <c r="A103" s="1292"/>
      <c r="B103" s="1312"/>
      <c r="C103" s="1225" t="s">
        <v>1302</v>
      </c>
      <c r="D103" s="943"/>
      <c r="E103" s="1292"/>
      <c r="F103" s="1292"/>
      <c r="G103" s="1292"/>
      <c r="H103" s="1320"/>
      <c r="I103" s="1312" t="s">
        <v>1303</v>
      </c>
      <c r="J103" s="1292"/>
      <c r="K103" s="1292"/>
      <c r="L103" s="1292"/>
      <c r="M103" s="1292"/>
      <c r="N103" s="1292"/>
      <c r="O103" s="1292"/>
      <c r="P103" s="1292"/>
      <c r="Q103" s="1292"/>
      <c r="R103" s="1292"/>
    </row>
    <row r="104" spans="1:18">
      <c r="A104" s="1292"/>
      <c r="B104" s="1312"/>
      <c r="C104" s="1225"/>
      <c r="D104" s="1312" t="s">
        <v>1304</v>
      </c>
      <c r="E104" s="1292"/>
      <c r="F104" s="1292"/>
      <c r="G104" s="1292"/>
      <c r="H104" s="1320" t="s">
        <v>1305</v>
      </c>
      <c r="I104" s="1312"/>
      <c r="J104" s="1292"/>
      <c r="K104" s="1306"/>
      <c r="L104" s="1306"/>
      <c r="M104" s="1292"/>
      <c r="N104" s="1292"/>
      <c r="O104" s="1292"/>
      <c r="P104" s="1292"/>
      <c r="Q104" s="1292"/>
      <c r="R104" s="1292"/>
    </row>
    <row r="105" spans="1:18">
      <c r="A105" s="1292"/>
      <c r="B105" s="1312"/>
      <c r="C105" s="1327"/>
      <c r="D105" s="1312" t="s">
        <v>1306</v>
      </c>
      <c r="E105" s="1306"/>
      <c r="F105" s="1306"/>
      <c r="G105" s="1292"/>
      <c r="H105" s="1320"/>
      <c r="I105" s="1312" t="s">
        <v>1307</v>
      </c>
      <c r="J105" s="1306"/>
      <c r="K105" s="1306"/>
      <c r="L105" s="1306"/>
      <c r="M105" s="1306"/>
      <c r="N105" s="1322"/>
      <c r="O105" s="1322"/>
      <c r="P105" s="1322"/>
      <c r="Q105" s="1292"/>
      <c r="R105" s="1292"/>
    </row>
    <row r="106" spans="1:18">
      <c r="A106" s="1292"/>
      <c r="B106" s="1312"/>
      <c r="C106" s="1225"/>
      <c r="D106" s="1312" t="s">
        <v>1308</v>
      </c>
      <c r="E106" s="1292"/>
      <c r="F106" s="1292"/>
      <c r="G106" s="1292"/>
      <c r="H106" s="1321" t="s">
        <v>1309</v>
      </c>
      <c r="I106" s="1307"/>
      <c r="J106" s="1307"/>
      <c r="K106" s="1292"/>
      <c r="L106" s="1292"/>
      <c r="M106" s="1292"/>
      <c r="N106" s="1292"/>
      <c r="O106" s="1292"/>
      <c r="P106" s="1292"/>
      <c r="Q106" s="1292"/>
      <c r="R106" s="1292"/>
    </row>
    <row r="107" spans="1:18">
      <c r="A107" s="1292"/>
      <c r="B107" s="1309"/>
      <c r="C107" s="1225"/>
      <c r="D107" s="1312" t="s">
        <v>1310</v>
      </c>
      <c r="E107" s="1292"/>
      <c r="F107" s="943"/>
      <c r="G107" s="1292"/>
      <c r="H107" s="1321" t="s">
        <v>1311</v>
      </c>
      <c r="I107" s="1307"/>
      <c r="J107" s="1307"/>
      <c r="K107" s="1292"/>
      <c r="L107" s="1292"/>
      <c r="M107" s="1292"/>
      <c r="N107" s="1292"/>
      <c r="O107" s="1292"/>
      <c r="P107" s="1292"/>
      <c r="Q107" s="1292"/>
      <c r="R107" s="1292"/>
    </row>
    <row r="108" spans="1:18">
      <c r="A108" s="1292"/>
      <c r="B108" s="1312"/>
      <c r="C108" s="1323" t="s">
        <v>1312</v>
      </c>
      <c r="D108" s="1328"/>
      <c r="E108" s="1293"/>
      <c r="F108" s="1293"/>
      <c r="G108" s="1293"/>
      <c r="H108" s="1300"/>
      <c r="I108" s="1292"/>
      <c r="J108" s="1292"/>
      <c r="K108" s="1292"/>
      <c r="L108" s="1292"/>
      <c r="M108" s="1292"/>
      <c r="N108" s="1292"/>
      <c r="O108" s="1292"/>
      <c r="P108" s="1292"/>
      <c r="Q108" s="1292"/>
      <c r="R108" s="1292"/>
    </row>
    <row r="109" spans="1:18">
      <c r="A109" s="1292"/>
      <c r="B109" s="1292"/>
      <c r="C109" s="1323" t="s">
        <v>1313</v>
      </c>
      <c r="D109" s="1293"/>
      <c r="E109" s="1293"/>
      <c r="F109" s="1293"/>
      <c r="G109" s="1293"/>
      <c r="H109" s="1300"/>
      <c r="I109" s="1292"/>
      <c r="J109" s="1292"/>
      <c r="K109" s="1292"/>
      <c r="L109" s="1292"/>
      <c r="M109" s="1292"/>
      <c r="N109" s="1292"/>
      <c r="O109" s="1292"/>
      <c r="P109" s="1292"/>
      <c r="Q109" s="1292"/>
      <c r="R109" s="1292"/>
    </row>
    <row r="110" spans="1:18">
      <c r="A110" s="1292"/>
      <c r="B110" s="1292"/>
      <c r="C110" s="1300"/>
      <c r="D110" s="1292"/>
      <c r="E110" s="943"/>
      <c r="F110" s="943"/>
      <c r="G110" s="1293"/>
      <c r="H110" s="1300"/>
      <c r="I110" s="1292"/>
      <c r="J110" s="1292"/>
      <c r="K110" s="1292"/>
      <c r="L110" s="1292"/>
      <c r="M110" s="1292"/>
      <c r="N110" s="1292"/>
      <c r="O110" s="1292"/>
      <c r="P110" s="1292"/>
      <c r="Q110" s="1292"/>
      <c r="R110" s="1292"/>
    </row>
    <row r="111" spans="1:18">
      <c r="A111" s="1292"/>
      <c r="B111" s="1292"/>
      <c r="C111" s="1225"/>
      <c r="D111" s="943"/>
      <c r="E111" s="1292"/>
      <c r="F111" s="943"/>
      <c r="G111" s="1293"/>
      <c r="H111" s="1300"/>
      <c r="I111" s="1292"/>
      <c r="J111" s="1292"/>
      <c r="K111" s="1292"/>
      <c r="L111" s="1292"/>
      <c r="M111" s="1292"/>
      <c r="N111" s="1292"/>
      <c r="O111" s="1292"/>
      <c r="P111" s="1292"/>
      <c r="Q111" s="1292"/>
      <c r="R111" s="1292"/>
    </row>
    <row r="112" spans="1:18">
      <c r="A112" s="1292"/>
      <c r="B112" s="1292"/>
      <c r="C112" s="1225"/>
      <c r="D112" s="1312"/>
      <c r="E112" s="1292"/>
      <c r="F112" s="943"/>
      <c r="G112" s="1293"/>
      <c r="H112" s="1300"/>
      <c r="I112" s="1292"/>
      <c r="J112" s="1292"/>
      <c r="K112" s="1292"/>
      <c r="L112" s="1292"/>
      <c r="M112" s="1292"/>
      <c r="N112" s="1292"/>
      <c r="O112" s="1292"/>
      <c r="P112" s="1292"/>
      <c r="Q112" s="1292"/>
      <c r="R112" s="1292"/>
    </row>
    <row r="113" spans="1:18">
      <c r="A113" s="1292"/>
      <c r="B113" s="1324" t="s">
        <v>630</v>
      </c>
      <c r="C113" s="1225" t="s">
        <v>1314</v>
      </c>
      <c r="D113" s="943"/>
      <c r="E113" s="1292"/>
      <c r="F113" s="943"/>
      <c r="G113" s="1293"/>
      <c r="H113" s="1320" t="s">
        <v>1315</v>
      </c>
      <c r="I113" s="1292"/>
      <c r="J113" s="1292"/>
      <c r="K113" s="1292"/>
      <c r="L113" s="1292"/>
      <c r="M113" s="1292"/>
      <c r="N113" s="1292"/>
      <c r="O113" s="1292"/>
      <c r="P113" s="1292"/>
      <c r="Q113" s="1292"/>
      <c r="R113" s="1292"/>
    </row>
    <row r="114" spans="1:18">
      <c r="A114" s="1292"/>
      <c r="B114" s="1292"/>
      <c r="C114" s="1225"/>
      <c r="D114" s="1312"/>
      <c r="E114" s="1292"/>
      <c r="F114" s="943"/>
      <c r="G114" s="1293"/>
      <c r="H114" s="1320" t="s">
        <v>1316</v>
      </c>
      <c r="I114" s="943"/>
      <c r="J114" s="1292"/>
      <c r="K114" s="1292"/>
      <c r="L114" s="1292"/>
      <c r="M114" s="1292"/>
      <c r="N114" s="1292"/>
      <c r="O114" s="1292"/>
      <c r="P114" s="1292"/>
      <c r="Q114" s="1292"/>
      <c r="R114" s="1292"/>
    </row>
    <row r="115" spans="1:18">
      <c r="A115" s="1292"/>
      <c r="B115" s="1292"/>
      <c r="C115" s="1225"/>
      <c r="D115" s="1312"/>
      <c r="E115" s="1292"/>
      <c r="F115" s="943"/>
      <c r="G115" s="1293"/>
      <c r="H115" s="1320"/>
      <c r="I115" s="1312" t="s">
        <v>1317</v>
      </c>
      <c r="J115" s="1292"/>
      <c r="K115" s="1292"/>
      <c r="L115" s="1292"/>
      <c r="M115" s="1292"/>
      <c r="N115" s="1292"/>
      <c r="O115" s="1292"/>
      <c r="P115" s="1292"/>
      <c r="Q115" s="1292"/>
      <c r="R115" s="1292"/>
    </row>
    <row r="116" spans="1:18">
      <c r="A116" s="1292"/>
      <c r="B116" s="1292"/>
      <c r="C116" s="1300"/>
      <c r="D116" s="1293"/>
      <c r="E116" s="1293"/>
      <c r="F116" s="1293"/>
      <c r="G116" s="1293"/>
      <c r="H116" s="1320"/>
      <c r="I116" s="1312" t="s">
        <v>1318</v>
      </c>
      <c r="J116" s="1292"/>
      <c r="K116" s="1292"/>
      <c r="L116" s="1292"/>
      <c r="M116" s="1292"/>
      <c r="N116" s="1292"/>
      <c r="O116" s="1292"/>
      <c r="P116" s="1292"/>
      <c r="Q116" s="1292"/>
      <c r="R116" s="1292"/>
    </row>
    <row r="117" spans="1:18">
      <c r="A117" s="1292"/>
      <c r="B117" s="1292"/>
      <c r="C117" s="1300"/>
      <c r="D117" s="1292"/>
      <c r="E117" s="1292"/>
      <c r="F117" s="1292"/>
      <c r="G117" s="1292"/>
      <c r="H117" s="1320"/>
      <c r="I117" s="1312" t="s">
        <v>1319</v>
      </c>
      <c r="J117" s="1306"/>
      <c r="K117" s="1306"/>
      <c r="L117" s="1292"/>
      <c r="M117" s="1292"/>
      <c r="N117" s="1292"/>
      <c r="O117" s="1292"/>
      <c r="P117" s="1292"/>
      <c r="Q117" s="1292"/>
      <c r="R117" s="1292"/>
    </row>
    <row r="118" spans="1:18">
      <c r="A118" s="1292"/>
      <c r="B118" s="1292"/>
      <c r="C118" s="1300"/>
      <c r="D118" s="1292"/>
      <c r="E118" s="1292"/>
      <c r="F118" s="1292"/>
      <c r="G118" s="1292"/>
      <c r="H118" s="1320" t="s">
        <v>1320</v>
      </c>
      <c r="I118" s="943"/>
      <c r="J118" s="1292"/>
      <c r="K118" s="1292"/>
      <c r="L118" s="1292"/>
      <c r="M118" s="1292"/>
      <c r="N118" s="1292"/>
      <c r="O118" s="1292"/>
      <c r="P118" s="1292"/>
      <c r="Q118" s="1292"/>
      <c r="R118" s="129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2:AX851"/>
  <sheetViews>
    <sheetView showGridLines="0" topLeftCell="N700" zoomScale="80" zoomScaleNormal="80" workbookViewId="0">
      <selection activeCell="AB726" sqref="AB726:AG726"/>
    </sheetView>
  </sheetViews>
  <sheetFormatPr defaultRowHeight="15"/>
  <cols>
    <col min="1" max="1" width="2.140625" customWidth="1"/>
    <col min="4" max="4" width="9.7109375" customWidth="1"/>
    <col min="5" max="5" width="10.140625" customWidth="1"/>
    <col min="14" max="14" width="11.42578125" customWidth="1"/>
    <col min="15" max="16" width="11.28515625" bestFit="1" customWidth="1"/>
    <col min="17" max="17" width="12.5703125" bestFit="1" customWidth="1"/>
    <col min="18" max="20" width="10.85546875" bestFit="1" customWidth="1"/>
    <col min="21" max="21" width="9.28515625" customWidth="1"/>
    <col min="22" max="22" width="10.85546875" bestFit="1" customWidth="1"/>
    <col min="24" max="24" width="10.140625" customWidth="1"/>
    <col min="25" max="25" width="10.7109375" customWidth="1"/>
    <col min="26" max="27" width="10" bestFit="1" customWidth="1"/>
    <col min="28" max="31" width="10" customWidth="1"/>
    <col min="32" max="32" width="10.42578125" bestFit="1" customWidth="1"/>
    <col min="33" max="35" width="11.42578125" bestFit="1" customWidth="1"/>
    <col min="36" max="39" width="10" bestFit="1" customWidth="1"/>
    <col min="40" max="40" width="10.42578125" bestFit="1" customWidth="1"/>
    <col min="44" max="44" width="10.140625" customWidth="1"/>
    <col min="45" max="45" width="12.28515625" bestFit="1" customWidth="1"/>
  </cols>
  <sheetData>
    <row r="2" spans="2:17" ht="19.5">
      <c r="B2" s="33" t="s">
        <v>0</v>
      </c>
    </row>
    <row r="4" spans="2:17" s="48" customFormat="1" ht="22.5" customHeight="1">
      <c r="B4" s="50" t="s">
        <v>189</v>
      </c>
      <c r="Q4" s="49" t="s">
        <v>200</v>
      </c>
    </row>
    <row r="6" spans="2:17" s="35" customFormat="1" ht="17.25" customHeight="1">
      <c r="B6" s="34" t="s">
        <v>181</v>
      </c>
    </row>
    <row r="7" spans="2:17">
      <c r="B7" s="1"/>
    </row>
    <row r="8" spans="2:17">
      <c r="B8" s="36" t="s">
        <v>25</v>
      </c>
      <c r="C8" s="37"/>
      <c r="D8" s="37"/>
      <c r="E8" s="37"/>
      <c r="F8" s="37"/>
      <c r="G8" s="37"/>
      <c r="H8" s="37"/>
      <c r="I8" s="37"/>
      <c r="J8" s="37"/>
      <c r="K8" s="2"/>
      <c r="L8" s="2"/>
      <c r="M8" s="2"/>
      <c r="N8" s="2"/>
      <c r="O8" s="2"/>
    </row>
    <row r="9" spans="2:17">
      <c r="B9" s="38"/>
      <c r="C9" s="39" t="s">
        <v>26</v>
      </c>
      <c r="D9" s="39"/>
      <c r="E9" s="39"/>
      <c r="F9" s="39"/>
      <c r="G9" s="37"/>
      <c r="H9" s="37"/>
      <c r="I9" s="37"/>
      <c r="J9" s="37"/>
      <c r="K9" s="2"/>
      <c r="L9" s="2"/>
      <c r="M9" s="2"/>
      <c r="N9" s="2"/>
      <c r="O9" s="2"/>
    </row>
    <row r="10" spans="2:17">
      <c r="B10" s="38"/>
      <c r="C10" s="39" t="s">
        <v>27</v>
      </c>
      <c r="D10" s="39"/>
      <c r="E10" s="39"/>
      <c r="F10" s="37"/>
      <c r="G10" s="37"/>
      <c r="H10" s="37"/>
      <c r="I10" s="37"/>
      <c r="J10" s="37"/>
      <c r="K10" s="2"/>
      <c r="L10" s="2"/>
      <c r="M10" s="2"/>
      <c r="N10" s="2"/>
      <c r="O10" s="2"/>
    </row>
    <row r="11" spans="2:17">
      <c r="B11" s="38"/>
      <c r="C11" s="39"/>
      <c r="D11" s="39" t="s">
        <v>28</v>
      </c>
      <c r="E11" s="39"/>
      <c r="F11" s="37"/>
      <c r="G11" s="37"/>
      <c r="H11" s="37"/>
      <c r="I11" s="37"/>
      <c r="J11" s="37"/>
      <c r="K11" s="2"/>
      <c r="L11" s="2"/>
      <c r="M11" s="2"/>
      <c r="N11" s="2"/>
      <c r="O11" s="2"/>
    </row>
    <row r="12" spans="2:17">
      <c r="B12" s="38"/>
      <c r="C12" s="39"/>
      <c r="D12" s="39" t="s">
        <v>29</v>
      </c>
      <c r="E12" s="39"/>
      <c r="F12" s="37"/>
      <c r="G12" s="37"/>
      <c r="H12" s="37"/>
      <c r="I12" s="37"/>
      <c r="J12" s="37"/>
      <c r="K12" s="2"/>
      <c r="L12" s="2"/>
      <c r="M12" s="2"/>
      <c r="N12" s="2"/>
      <c r="O12" s="2"/>
    </row>
    <row r="13" spans="2:17">
      <c r="B13" s="38"/>
      <c r="C13" s="39" t="s">
        <v>526</v>
      </c>
      <c r="D13" s="39"/>
      <c r="E13" s="39"/>
      <c r="F13" s="39"/>
      <c r="G13" s="37"/>
      <c r="H13" s="37"/>
      <c r="I13" s="37"/>
      <c r="J13" s="37"/>
      <c r="K13" s="2"/>
      <c r="L13" s="2"/>
      <c r="M13" s="2"/>
      <c r="N13" s="2"/>
      <c r="O13" s="2"/>
    </row>
    <row r="14" spans="2:17">
      <c r="B14" s="38"/>
      <c r="C14" s="39"/>
      <c r="D14" s="39" t="s">
        <v>527</v>
      </c>
      <c r="E14" s="39"/>
      <c r="F14" s="39"/>
      <c r="G14" s="37"/>
      <c r="H14" s="37"/>
      <c r="I14" s="37"/>
      <c r="J14" s="37"/>
      <c r="K14" s="2"/>
      <c r="L14" s="2"/>
      <c r="M14" s="2"/>
      <c r="N14" s="2"/>
      <c r="O14" s="2"/>
    </row>
    <row r="15" spans="2:17">
      <c r="B15" s="38"/>
      <c r="C15" s="39"/>
      <c r="D15" s="39" t="s">
        <v>528</v>
      </c>
      <c r="E15" s="39"/>
      <c r="F15" s="39"/>
      <c r="G15" s="37"/>
      <c r="H15" s="37"/>
      <c r="I15" s="37"/>
      <c r="J15" s="37"/>
      <c r="K15" s="2"/>
      <c r="L15" s="2"/>
      <c r="M15" s="2"/>
      <c r="N15" s="2"/>
      <c r="O15" s="2"/>
    </row>
    <row r="16" spans="2:17">
      <c r="B16" s="38"/>
      <c r="C16" s="39"/>
      <c r="D16" s="39" t="s">
        <v>529</v>
      </c>
      <c r="E16" s="39"/>
      <c r="F16" s="39"/>
      <c r="G16" s="37"/>
      <c r="H16" s="37"/>
      <c r="I16" s="37"/>
      <c r="J16" s="37"/>
      <c r="K16" s="2"/>
      <c r="L16" s="2"/>
      <c r="M16" s="2"/>
      <c r="N16" s="2"/>
      <c r="O16" s="2"/>
    </row>
    <row r="17" spans="2:23">
      <c r="B17" s="38"/>
      <c r="C17" s="39"/>
      <c r="D17" s="39" t="s">
        <v>530</v>
      </c>
      <c r="E17" s="39"/>
      <c r="F17" s="39"/>
      <c r="G17" s="37"/>
      <c r="H17" s="37"/>
      <c r="I17" s="37"/>
      <c r="J17" s="37"/>
      <c r="K17" s="2"/>
      <c r="L17" s="2"/>
      <c r="M17" s="2"/>
      <c r="N17" s="2"/>
      <c r="O17" s="2"/>
    </row>
    <row r="18" spans="2:23">
      <c r="B18" s="38"/>
      <c r="C18" s="39" t="s">
        <v>183</v>
      </c>
      <c r="D18" s="37"/>
      <c r="E18" s="37"/>
      <c r="F18" s="37"/>
      <c r="G18" s="37"/>
      <c r="H18" s="37"/>
      <c r="I18" s="37"/>
      <c r="J18" s="37"/>
      <c r="K18" s="2"/>
      <c r="L18" s="2"/>
      <c r="M18" s="2"/>
      <c r="N18" s="2"/>
      <c r="O18" s="2"/>
    </row>
    <row r="19" spans="2:23" ht="18">
      <c r="B19" s="37"/>
      <c r="C19" s="37"/>
      <c r="D19" s="39" t="s">
        <v>182</v>
      </c>
      <c r="E19" s="37"/>
      <c r="F19" s="37"/>
      <c r="G19" s="37"/>
      <c r="H19" s="37"/>
      <c r="I19" s="37"/>
      <c r="J19" s="37"/>
      <c r="K19" s="2"/>
      <c r="L19" s="2"/>
      <c r="M19" s="2"/>
      <c r="N19" s="2"/>
      <c r="O19" s="2"/>
      <c r="S19" s="3"/>
      <c r="T19" s="3"/>
      <c r="U19" s="3"/>
    </row>
    <row r="20" spans="2:23" ht="18">
      <c r="B20" s="37"/>
      <c r="C20" s="37"/>
      <c r="D20" s="39" t="s">
        <v>184</v>
      </c>
      <c r="E20" s="37"/>
      <c r="F20" s="37"/>
      <c r="G20" s="37"/>
      <c r="H20" s="37"/>
      <c r="I20" s="37"/>
      <c r="J20" s="37"/>
      <c r="K20" s="2"/>
      <c r="L20" s="2"/>
      <c r="M20" s="2"/>
      <c r="N20" s="2"/>
      <c r="O20" s="2"/>
      <c r="S20" s="3"/>
      <c r="T20" s="3"/>
      <c r="U20" s="3"/>
    </row>
    <row r="21" spans="2:23" ht="18">
      <c r="D21" s="7"/>
      <c r="S21" s="3"/>
      <c r="T21" s="3"/>
      <c r="U21" s="3"/>
    </row>
    <row r="22" spans="2:23" s="42" customFormat="1" ht="18">
      <c r="B22" s="51" t="s">
        <v>2</v>
      </c>
      <c r="C22" s="43"/>
      <c r="D22" s="43"/>
      <c r="E22" s="43"/>
      <c r="F22" s="43"/>
      <c r="G22" s="43"/>
      <c r="H22" s="43"/>
      <c r="I22" s="43"/>
      <c r="J22" s="43"/>
      <c r="K22" s="43"/>
      <c r="O22" s="485" t="s">
        <v>460</v>
      </c>
      <c r="P22" s="585"/>
      <c r="Q22" s="586">
        <f>SUM(X57:AA57)*R22</f>
        <v>234351.51522249999</v>
      </c>
      <c r="R22" s="587">
        <v>0.32500000000000001</v>
      </c>
      <c r="S22" s="1596"/>
      <c r="T22" s="52"/>
      <c r="U22" s="52"/>
    </row>
    <row r="23" spans="2:23" ht="18">
      <c r="B23" s="10" t="s">
        <v>3</v>
      </c>
      <c r="C23" s="4"/>
      <c r="D23" s="4"/>
      <c r="E23" s="4"/>
      <c r="F23" s="4"/>
      <c r="G23" s="4"/>
      <c r="H23" s="4"/>
      <c r="I23" s="4"/>
      <c r="J23" s="4"/>
      <c r="K23" s="4"/>
      <c r="S23" s="3"/>
      <c r="T23" s="3"/>
      <c r="U23" s="3"/>
    </row>
    <row r="24" spans="2:23">
      <c r="B24" s="11" t="s">
        <v>30</v>
      </c>
      <c r="C24" s="4"/>
      <c r="D24" s="4"/>
      <c r="E24" s="4"/>
      <c r="F24" s="4"/>
      <c r="G24" s="4"/>
      <c r="H24" s="4"/>
      <c r="J24" s="4"/>
      <c r="K24" s="4"/>
      <c r="L24" s="67" t="s">
        <v>431</v>
      </c>
      <c r="M24" s="100" t="s">
        <v>459</v>
      </c>
      <c r="N24" s="67"/>
      <c r="O24" s="67"/>
      <c r="P24" s="67"/>
      <c r="Q24" s="67"/>
      <c r="R24" s="67"/>
      <c r="S24" s="484" t="s">
        <v>446</v>
      </c>
      <c r="T24" s="4"/>
      <c r="U24" s="4"/>
      <c r="V24" s="67"/>
      <c r="W24" s="67"/>
    </row>
    <row r="25" spans="2:23">
      <c r="B25" s="11"/>
      <c r="C25" s="4"/>
      <c r="D25" s="4"/>
      <c r="E25" s="4"/>
      <c r="F25" s="4"/>
      <c r="G25" s="4"/>
      <c r="H25" s="4"/>
      <c r="J25" s="4"/>
      <c r="K25" s="4"/>
      <c r="L25" s="67"/>
      <c r="M25" s="67" t="s">
        <v>432</v>
      </c>
      <c r="N25" s="67"/>
      <c r="O25" s="67" t="s">
        <v>442</v>
      </c>
      <c r="P25" s="67"/>
      <c r="R25" s="67"/>
      <c r="S25" s="4" t="s">
        <v>432</v>
      </c>
      <c r="T25" s="4"/>
      <c r="U25" s="4" t="s">
        <v>442</v>
      </c>
      <c r="V25" s="67"/>
      <c r="W25" s="67"/>
    </row>
    <row r="26" spans="2:23">
      <c r="B26" s="11"/>
      <c r="C26" s="56"/>
      <c r="D26" s="4"/>
      <c r="E26" s="4"/>
      <c r="F26" s="4"/>
      <c r="G26" s="4"/>
      <c r="H26" s="4"/>
      <c r="I26" s="4"/>
      <c r="J26" s="4"/>
      <c r="K26" s="4"/>
      <c r="L26" s="67"/>
      <c r="M26" s="67" t="s">
        <v>433</v>
      </c>
      <c r="N26" s="474">
        <v>3.3529020866146179E-3</v>
      </c>
      <c r="O26" s="67" t="s">
        <v>443</v>
      </c>
      <c r="P26" s="475">
        <v>0.20056565094060391</v>
      </c>
      <c r="R26" s="67"/>
      <c r="S26" s="4" t="s">
        <v>447</v>
      </c>
      <c r="T26" s="476">
        <v>2.3874316094656791E-3</v>
      </c>
      <c r="U26" s="4" t="s">
        <v>454</v>
      </c>
      <c r="V26" s="475">
        <v>5.3553354408791019E-2</v>
      </c>
      <c r="W26" s="67"/>
    </row>
    <row r="27" spans="2:23">
      <c r="B27" s="11"/>
      <c r="C27" s="56"/>
      <c r="D27" s="4"/>
      <c r="E27" s="4"/>
      <c r="F27" s="4"/>
      <c r="G27" s="4"/>
      <c r="H27" s="4"/>
      <c r="I27" s="4"/>
      <c r="J27" s="4"/>
      <c r="K27" s="4"/>
      <c r="L27" s="67"/>
      <c r="M27" s="67" t="s">
        <v>434</v>
      </c>
      <c r="N27" s="474">
        <v>0</v>
      </c>
      <c r="O27" s="67" t="s">
        <v>444</v>
      </c>
      <c r="P27" s="475">
        <v>0.40283761523720879</v>
      </c>
      <c r="R27" s="67"/>
      <c r="S27" s="4" t="s">
        <v>448</v>
      </c>
      <c r="T27" s="476">
        <v>1.570700316749184E-2</v>
      </c>
      <c r="U27" s="4" t="s">
        <v>455</v>
      </c>
      <c r="V27" s="475">
        <v>8.4446345315674527E-3</v>
      </c>
      <c r="W27" s="67"/>
    </row>
    <row r="28" spans="2:23">
      <c r="B28" s="11"/>
      <c r="C28" s="4"/>
      <c r="D28" s="4"/>
      <c r="E28" s="4"/>
      <c r="F28" s="4"/>
      <c r="G28" s="4"/>
      <c r="H28" s="4"/>
      <c r="I28" s="4"/>
      <c r="J28" s="4"/>
      <c r="K28" s="4"/>
      <c r="L28" s="67"/>
      <c r="M28" s="67" t="s">
        <v>435</v>
      </c>
      <c r="N28" s="474">
        <v>1.0269146186638676E-3</v>
      </c>
      <c r="O28" s="117" t="s">
        <v>445</v>
      </c>
      <c r="P28" s="479">
        <v>2.6312463775790902E-3</v>
      </c>
      <c r="R28" s="67"/>
      <c r="S28" s="4" t="s">
        <v>449</v>
      </c>
      <c r="T28" s="476">
        <v>1.9383216031212157E-3</v>
      </c>
      <c r="U28" s="4" t="s">
        <v>456</v>
      </c>
      <c r="V28" s="475">
        <v>4.3594868919559077E-3</v>
      </c>
      <c r="W28" s="67"/>
    </row>
    <row r="29" spans="2:23">
      <c r="B29" s="11"/>
      <c r="C29" s="4"/>
      <c r="D29" s="4"/>
      <c r="E29" s="4"/>
      <c r="F29" s="4"/>
      <c r="G29" s="4"/>
      <c r="H29" s="4"/>
      <c r="I29" s="4"/>
      <c r="J29" s="4"/>
      <c r="K29" s="4"/>
      <c r="L29" s="67"/>
      <c r="M29" s="67" t="s">
        <v>436</v>
      </c>
      <c r="N29" s="474">
        <v>5.3152171914779826E-2</v>
      </c>
      <c r="O29" s="93" t="s">
        <v>441</v>
      </c>
      <c r="P29" s="477">
        <f>SUM(P26:P28)</f>
        <v>0.60603451255539176</v>
      </c>
      <c r="R29" s="67"/>
      <c r="S29" s="4" t="s">
        <v>450</v>
      </c>
      <c r="T29" s="476">
        <v>2.9712242366420152E-3</v>
      </c>
      <c r="U29" s="4" t="s">
        <v>457</v>
      </c>
      <c r="V29" s="475">
        <v>4.5637536303212529E-3</v>
      </c>
      <c r="W29" s="67"/>
    </row>
    <row r="30" spans="2:23">
      <c r="B30" s="11"/>
      <c r="C30" s="4"/>
      <c r="D30" s="4"/>
      <c r="E30" s="4"/>
      <c r="F30" s="4"/>
      <c r="G30" s="4"/>
      <c r="H30" s="4"/>
      <c r="I30" s="4"/>
      <c r="J30" s="4"/>
      <c r="K30" s="4"/>
      <c r="L30" s="67"/>
      <c r="M30" s="67" t="s">
        <v>437</v>
      </c>
      <c r="N30" s="474">
        <v>7.6026667401160417E-2</v>
      </c>
      <c r="R30" s="67"/>
      <c r="S30" s="4" t="s">
        <v>451</v>
      </c>
      <c r="T30" s="476">
        <v>1.8793394490875649E-3</v>
      </c>
      <c r="U30" s="480" t="s">
        <v>458</v>
      </c>
      <c r="V30" s="479">
        <v>1.0174440609996174E-3</v>
      </c>
      <c r="W30" s="67"/>
    </row>
    <row r="31" spans="2:23">
      <c r="B31" s="11"/>
      <c r="C31" s="4"/>
      <c r="D31" s="4"/>
      <c r="E31" s="4"/>
      <c r="F31" s="4"/>
      <c r="G31" s="4"/>
      <c r="H31" s="4"/>
      <c r="I31" s="4"/>
      <c r="J31" s="4"/>
      <c r="K31" s="4"/>
      <c r="L31" s="67"/>
      <c r="M31" s="67" t="s">
        <v>438</v>
      </c>
      <c r="N31" s="474">
        <v>8.3833197588878139E-2</v>
      </c>
      <c r="O31" s="67"/>
      <c r="P31" s="67"/>
      <c r="Q31" s="475"/>
      <c r="R31" s="67"/>
      <c r="S31" s="4" t="s">
        <v>452</v>
      </c>
      <c r="T31" s="476">
        <v>3.5034015593993512E-3</v>
      </c>
      <c r="U31" s="482" t="s">
        <v>441</v>
      </c>
      <c r="V31" s="477">
        <f>SUM(V26:V30)</f>
        <v>7.1938673523635255E-2</v>
      </c>
      <c r="W31" s="67"/>
    </row>
    <row r="32" spans="2:23">
      <c r="B32" s="11"/>
      <c r="C32" s="4"/>
      <c r="D32" s="4"/>
      <c r="E32" s="4"/>
      <c r="F32" s="4"/>
      <c r="G32" s="4"/>
      <c r="H32" s="4"/>
      <c r="I32" s="4"/>
      <c r="J32" s="4"/>
      <c r="K32" s="4"/>
      <c r="L32" s="67"/>
      <c r="M32" s="67" t="s">
        <v>439</v>
      </c>
      <c r="N32" s="474">
        <v>5.8515357567585136E-2</v>
      </c>
      <c r="O32" s="67"/>
      <c r="P32" s="67"/>
      <c r="Q32" s="475"/>
      <c r="R32" s="67"/>
      <c r="S32" s="480" t="s">
        <v>453</v>
      </c>
      <c r="T32" s="481">
        <v>2.0804202542017134E-3</v>
      </c>
      <c r="U32" s="4"/>
      <c r="V32" s="475"/>
      <c r="W32" s="67"/>
    </row>
    <row r="33" spans="2:37">
      <c r="B33" s="11"/>
      <c r="C33" s="4"/>
      <c r="D33" s="4"/>
      <c r="E33" s="4"/>
      <c r="F33" s="4"/>
      <c r="G33" s="4"/>
      <c r="H33" s="4"/>
      <c r="I33" s="4"/>
      <c r="J33" s="4"/>
      <c r="K33" s="4"/>
      <c r="L33" s="67"/>
      <c r="M33" s="117" t="s">
        <v>440</v>
      </c>
      <c r="N33" s="478">
        <v>1.5652460863881581E-2</v>
      </c>
      <c r="O33" s="67"/>
      <c r="P33" s="67"/>
      <c r="Q33" s="475"/>
      <c r="R33" s="67"/>
      <c r="S33" s="483" t="s">
        <v>441</v>
      </c>
      <c r="T33" s="477">
        <f>SUM(T26:T32)</f>
        <v>3.0467141879409382E-2</v>
      </c>
      <c r="W33" s="67"/>
    </row>
    <row r="34" spans="2:37">
      <c r="B34" s="11"/>
      <c r="C34" s="4"/>
      <c r="D34" s="4"/>
      <c r="E34" s="4"/>
      <c r="F34" s="4"/>
      <c r="G34" s="4"/>
      <c r="H34" s="4"/>
      <c r="I34" s="4"/>
      <c r="J34" s="4"/>
      <c r="K34" s="4"/>
      <c r="L34" s="67"/>
      <c r="M34" s="93" t="s">
        <v>441</v>
      </c>
      <c r="N34" s="477">
        <f>SUM(N26:N33)</f>
        <v>0.29155967204156358</v>
      </c>
      <c r="O34" s="67"/>
      <c r="P34" s="67"/>
      <c r="Q34" s="475"/>
      <c r="R34" s="67"/>
      <c r="S34" s="4"/>
      <c r="T34" s="4"/>
      <c r="U34" s="4"/>
      <c r="V34" s="67"/>
      <c r="W34" s="67"/>
    </row>
    <row r="35" spans="2:37">
      <c r="B35" s="11"/>
      <c r="C35" s="4"/>
      <c r="D35" s="4"/>
      <c r="E35" s="4"/>
      <c r="F35" s="4"/>
      <c r="G35" s="4"/>
      <c r="H35" s="4"/>
      <c r="I35" s="4"/>
      <c r="J35" s="4"/>
      <c r="K35" s="4"/>
      <c r="L35" s="67"/>
      <c r="M35" s="93"/>
      <c r="N35" s="477"/>
      <c r="O35" s="67"/>
      <c r="P35" s="67"/>
      <c r="Q35" s="475"/>
      <c r="R35" s="67"/>
      <c r="S35" s="4"/>
      <c r="T35" s="4"/>
      <c r="U35" s="4"/>
      <c r="V35" s="67"/>
      <c r="W35" s="67"/>
    </row>
    <row r="36" spans="2:37" ht="18">
      <c r="B36" s="11"/>
      <c r="C36" s="4"/>
      <c r="D36" s="4"/>
      <c r="E36" s="4"/>
      <c r="F36" s="4"/>
      <c r="G36" s="4"/>
      <c r="H36" s="4"/>
      <c r="I36" s="4"/>
      <c r="J36" s="4"/>
      <c r="K36" s="4"/>
      <c r="S36" s="3"/>
      <c r="T36" s="3"/>
      <c r="U36" s="3"/>
    </row>
    <row r="37" spans="2:37" s="42" customFormat="1" ht="18">
      <c r="B37" s="51" t="s">
        <v>4</v>
      </c>
      <c r="C37" s="43"/>
      <c r="D37" s="43"/>
      <c r="E37" s="43"/>
      <c r="F37" s="43"/>
      <c r="G37" s="43"/>
      <c r="H37" s="43"/>
      <c r="I37" s="43"/>
      <c r="J37" s="43"/>
      <c r="K37" s="43"/>
      <c r="O37" s="485" t="s">
        <v>460</v>
      </c>
      <c r="P37" s="485"/>
      <c r="Q37" s="584">
        <f>SUM(X41:AA41)</f>
        <v>67383.6179906334</v>
      </c>
      <c r="R37" s="587">
        <f>Q37/SUM($X$57:$AA$57)</f>
        <v>9.3447980595148625E-2</v>
      </c>
      <c r="S37" s="52"/>
      <c r="T37" s="52"/>
      <c r="U37" s="52"/>
      <c r="W37" s="485" t="s">
        <v>1530</v>
      </c>
      <c r="X37" s="485"/>
      <c r="Y37" s="584">
        <f>SUM(Z41:AA41)</f>
        <v>40902.680161633398</v>
      </c>
    </row>
    <row r="38" spans="2:37" s="2" customFormat="1" ht="18">
      <c r="B38" s="83"/>
      <c r="C38" s="84"/>
      <c r="D38" s="84"/>
      <c r="E38" s="84"/>
      <c r="F38" s="84"/>
      <c r="G38" s="84"/>
      <c r="H38" s="84"/>
      <c r="I38" s="84"/>
      <c r="J38" s="84"/>
      <c r="K38" s="84"/>
      <c r="S38" s="85"/>
      <c r="T38" s="85"/>
      <c r="U38" s="85"/>
    </row>
    <row r="39" spans="2:37" s="2" customFormat="1" ht="18">
      <c r="B39" s="86" t="s">
        <v>224</v>
      </c>
      <c r="C39" s="84"/>
      <c r="D39" s="84"/>
      <c r="E39" s="84"/>
      <c r="F39" s="84"/>
      <c r="G39" s="84"/>
      <c r="H39" s="84"/>
      <c r="I39" s="84"/>
      <c r="J39" s="84"/>
      <c r="K39" s="84"/>
      <c r="L39" s="542" t="s">
        <v>470</v>
      </c>
      <c r="S39" s="85"/>
      <c r="T39" s="85"/>
      <c r="U39" s="85"/>
      <c r="W39" s="543" t="s">
        <v>471</v>
      </c>
    </row>
    <row r="40" spans="2:37" s="2" customFormat="1" ht="18">
      <c r="B40" s="83"/>
      <c r="C40" s="84"/>
      <c r="D40" s="84"/>
      <c r="E40" s="84"/>
      <c r="F40" s="84"/>
      <c r="G40" s="84"/>
      <c r="H40" s="84"/>
      <c r="I40" s="84"/>
      <c r="J40" s="84"/>
      <c r="K40" s="84"/>
      <c r="S40" s="85"/>
      <c r="T40" s="85"/>
      <c r="U40" s="85"/>
      <c r="X40" s="72" t="s">
        <v>215</v>
      </c>
      <c r="Y40" s="72" t="s">
        <v>216</v>
      </c>
      <c r="Z40" s="72" t="s">
        <v>217</v>
      </c>
      <c r="AA40" s="82" t="s">
        <v>218</v>
      </c>
      <c r="AB40" s="861" t="s">
        <v>87</v>
      </c>
    </row>
    <row r="41" spans="2:37" s="2" customFormat="1" ht="18">
      <c r="B41" s="83"/>
      <c r="C41" s="84"/>
      <c r="D41" s="84"/>
      <c r="E41" s="84"/>
      <c r="F41" s="84"/>
      <c r="G41" s="84"/>
      <c r="H41" s="84"/>
      <c r="I41" s="84"/>
      <c r="J41" s="84"/>
      <c r="K41" s="84"/>
      <c r="S41" s="865"/>
      <c r="T41" s="85"/>
      <c r="U41" s="85"/>
      <c r="W41" s="538" t="s">
        <v>466</v>
      </c>
      <c r="X41" s="582">
        <f>Z111</f>
        <v>11470.757057000003</v>
      </c>
      <c r="Y41" s="582">
        <f>AC111</f>
        <v>15010.180772</v>
      </c>
      <c r="Z41" s="582">
        <f>AF111</f>
        <v>18245.113818529742</v>
      </c>
      <c r="AA41" s="582">
        <f>AI111</f>
        <v>22657.566343103656</v>
      </c>
      <c r="AB41" s="862">
        <f>SUM(X41:AA41)</f>
        <v>67383.6179906334</v>
      </c>
    </row>
    <row r="42" spans="2:37" s="2" customFormat="1">
      <c r="B42" s="83"/>
      <c r="C42" s="84"/>
      <c r="D42" s="84"/>
      <c r="E42" s="84"/>
      <c r="F42" s="84"/>
      <c r="G42" s="84"/>
      <c r="H42" s="84"/>
      <c r="I42" s="84"/>
      <c r="J42" s="84"/>
      <c r="K42" s="84"/>
      <c r="N42" s="505"/>
      <c r="O42" s="502" t="s">
        <v>208</v>
      </c>
      <c r="P42" s="502" t="s">
        <v>209</v>
      </c>
      <c r="Q42" s="502" t="s">
        <v>212</v>
      </c>
      <c r="R42" s="503" t="s">
        <v>211</v>
      </c>
      <c r="S42" s="82" t="s">
        <v>213</v>
      </c>
      <c r="T42" s="82" t="s">
        <v>214</v>
      </c>
      <c r="U42" s="82" t="s">
        <v>210</v>
      </c>
      <c r="V42" s="538"/>
      <c r="W42" s="74" t="s">
        <v>464</v>
      </c>
      <c r="X42" s="474">
        <f>X41/X57</f>
        <v>9.2048013291093411E-2</v>
      </c>
      <c r="Y42" s="474">
        <f t="shared" ref="Y42:Z42" si="0">Y41/Y57</f>
        <v>9.2801341768826304E-2</v>
      </c>
      <c r="Z42" s="474">
        <f t="shared" si="0"/>
        <v>9.2165658812536591E-2</v>
      </c>
      <c r="AA42" s="474">
        <f>AA41/AA57</f>
        <v>9.5698787025295731E-2</v>
      </c>
      <c r="AB42" s="863">
        <f>AB41/SUM(X57:AA57)</f>
        <v>9.3447980595148625E-2</v>
      </c>
    </row>
    <row r="43" spans="2:37">
      <c r="B43" s="10" t="s">
        <v>5</v>
      </c>
      <c r="C43" s="4"/>
      <c r="D43" s="4"/>
      <c r="E43" s="4"/>
      <c r="F43" s="4"/>
      <c r="G43" s="4"/>
      <c r="H43" s="4"/>
      <c r="I43" s="4"/>
      <c r="J43" s="4"/>
      <c r="K43" s="4"/>
      <c r="N43" s="506" t="s">
        <v>465</v>
      </c>
      <c r="O43" s="499">
        <v>2807</v>
      </c>
      <c r="P43" s="499">
        <v>3106</v>
      </c>
      <c r="Q43" s="499">
        <v>3466</v>
      </c>
      <c r="R43" s="504">
        <v>4120</v>
      </c>
      <c r="S43" s="500">
        <v>4327</v>
      </c>
      <c r="T43" s="500">
        <v>5821</v>
      </c>
      <c r="U43" s="500">
        <v>7702</v>
      </c>
      <c r="V43" s="539"/>
    </row>
    <row r="44" spans="2:37">
      <c r="B44" s="11" t="s">
        <v>22</v>
      </c>
      <c r="C44" s="4"/>
      <c r="D44" s="4"/>
      <c r="E44" s="4"/>
      <c r="F44" s="4"/>
      <c r="G44" s="4"/>
      <c r="H44" s="4"/>
      <c r="I44" s="4"/>
      <c r="J44" s="4"/>
      <c r="K44" s="4"/>
      <c r="N44" s="506" t="s">
        <v>206</v>
      </c>
      <c r="O44" s="499">
        <v>37796.877999999997</v>
      </c>
      <c r="P44" s="499">
        <v>67166.509000000005</v>
      </c>
      <c r="Q44" s="499">
        <v>82679.967999999993</v>
      </c>
      <c r="R44" s="504">
        <v>124665.7445</v>
      </c>
      <c r="S44" s="500">
        <v>60676.530400000003</v>
      </c>
      <c r="T44" s="500">
        <v>99565.522100000002</v>
      </c>
      <c r="U44" s="500">
        <v>109301.67099999994</v>
      </c>
      <c r="V44" s="539"/>
      <c r="W44" s="69" t="s">
        <v>476</v>
      </c>
      <c r="X44" s="539"/>
      <c r="Y44" s="539"/>
      <c r="Z44" s="539"/>
    </row>
    <row r="45" spans="2:37" s="664" customFormat="1" ht="18.75" customHeight="1">
      <c r="B45" s="1426"/>
      <c r="C45" s="1427" t="s">
        <v>20</v>
      </c>
      <c r="D45" s="1897" t="s">
        <v>13</v>
      </c>
      <c r="E45" s="1898"/>
      <c r="F45" s="1891" t="s">
        <v>354</v>
      </c>
      <c r="G45" s="1892"/>
      <c r="H45" s="1893"/>
      <c r="I45" s="1426"/>
      <c r="J45" s="1426"/>
      <c r="K45" s="1426"/>
      <c r="M45" s="1428"/>
      <c r="V45" s="1429"/>
      <c r="W45" s="1430"/>
      <c r="X45" s="1894" t="s">
        <v>213</v>
      </c>
      <c r="Y45" s="1895"/>
      <c r="Z45" s="1896"/>
      <c r="AA45" s="1894" t="s">
        <v>214</v>
      </c>
      <c r="AB45" s="1895"/>
      <c r="AC45" s="1896"/>
      <c r="AD45" s="1895" t="s">
        <v>210</v>
      </c>
      <c r="AE45" s="1895"/>
      <c r="AF45" s="1895"/>
    </row>
    <row r="46" spans="2:37" ht="29.25">
      <c r="B46" s="4"/>
      <c r="C46" s="5"/>
      <c r="D46" s="1869" t="s">
        <v>16</v>
      </c>
      <c r="E46" s="1870"/>
      <c r="F46" s="168" t="s">
        <v>461</v>
      </c>
      <c r="G46" s="488" t="s">
        <v>462</v>
      </c>
      <c r="H46" s="488" t="s">
        <v>463</v>
      </c>
      <c r="I46" s="4"/>
      <c r="J46" s="4"/>
      <c r="K46" s="4"/>
      <c r="L46" s="69" t="s">
        <v>219</v>
      </c>
      <c r="M46" s="70" t="s">
        <v>20</v>
      </c>
      <c r="N46" s="78" t="s">
        <v>220</v>
      </c>
      <c r="O46" s="71" t="s">
        <v>208</v>
      </c>
      <c r="P46" s="72" t="s">
        <v>209</v>
      </c>
      <c r="Q46" s="72" t="s">
        <v>212</v>
      </c>
      <c r="R46" s="73" t="s">
        <v>211</v>
      </c>
      <c r="S46" s="71" t="s">
        <v>213</v>
      </c>
      <c r="T46" s="72" t="s">
        <v>214</v>
      </c>
      <c r="U46" s="72" t="s">
        <v>210</v>
      </c>
      <c r="V46" s="76"/>
      <c r="W46" s="547" t="s">
        <v>475</v>
      </c>
      <c r="X46" s="548" t="s">
        <v>472</v>
      </c>
      <c r="Y46" s="70" t="s">
        <v>473</v>
      </c>
      <c r="Z46" s="78" t="s">
        <v>474</v>
      </c>
      <c r="AA46" s="548" t="s">
        <v>472</v>
      </c>
      <c r="AB46" s="70" t="s">
        <v>473</v>
      </c>
      <c r="AC46" s="78" t="s">
        <v>474</v>
      </c>
      <c r="AD46" s="70" t="s">
        <v>472</v>
      </c>
      <c r="AE46" s="70" t="s">
        <v>473</v>
      </c>
      <c r="AF46" s="70" t="s">
        <v>474</v>
      </c>
      <c r="AG46" s="81"/>
      <c r="AH46" s="76"/>
      <c r="AI46" s="76"/>
      <c r="AJ46" s="76"/>
      <c r="AK46" s="501"/>
    </row>
    <row r="47" spans="2:37">
      <c r="B47" s="4"/>
      <c r="C47" s="59">
        <v>6</v>
      </c>
      <c r="D47" s="1871">
        <v>180</v>
      </c>
      <c r="E47" s="1872"/>
      <c r="F47" s="171">
        <v>0.45</v>
      </c>
      <c r="G47" s="172">
        <v>0.5</v>
      </c>
      <c r="H47" s="172">
        <v>0.55000000000000004</v>
      </c>
      <c r="I47" s="4"/>
      <c r="J47" s="4"/>
      <c r="K47" s="4"/>
      <c r="M47" s="68">
        <v>6</v>
      </c>
      <c r="N47" s="79">
        <v>180</v>
      </c>
      <c r="O47" s="74">
        <v>20</v>
      </c>
      <c r="P47" s="74">
        <v>54</v>
      </c>
      <c r="Q47" s="74">
        <v>67</v>
      </c>
      <c r="R47" s="75">
        <v>110</v>
      </c>
      <c r="S47" s="76">
        <v>39</v>
      </c>
      <c r="T47" s="76">
        <v>76</v>
      </c>
      <c r="U47" s="76">
        <v>72</v>
      </c>
      <c r="V47" s="515"/>
      <c r="W47" s="506">
        <v>180</v>
      </c>
      <c r="X47" s="550">
        <v>0.20512820512820512</v>
      </c>
      <c r="Y47" s="511">
        <v>0.28205128205128205</v>
      </c>
      <c r="Z47" s="509">
        <v>0.48717948717948717</v>
      </c>
      <c r="AA47" s="551">
        <v>5.2631578947368418E-2</v>
      </c>
      <c r="AB47" s="552">
        <v>0.25</v>
      </c>
      <c r="AC47" s="553">
        <v>0.69736842105263153</v>
      </c>
      <c r="AD47" s="552">
        <v>5.2631578947368418E-2</v>
      </c>
      <c r="AE47" s="554">
        <v>0.25</v>
      </c>
      <c r="AF47" s="554">
        <v>0.69736842105263153</v>
      </c>
      <c r="AG47" s="81"/>
      <c r="AH47" s="511">
        <f>S47/S$53</f>
        <v>3.9117352056168508E-2</v>
      </c>
      <c r="AI47" s="511">
        <f>T47/T$53</f>
        <v>5.1948051948051951E-2</v>
      </c>
      <c r="AJ47" s="81"/>
      <c r="AK47" s="12"/>
    </row>
    <row r="48" spans="2:37">
      <c r="B48" s="4"/>
      <c r="C48" s="59">
        <v>5</v>
      </c>
      <c r="D48" s="1880">
        <v>130</v>
      </c>
      <c r="E48" s="1881"/>
      <c r="F48" s="171">
        <v>0.35</v>
      </c>
      <c r="G48" s="172">
        <v>0.4</v>
      </c>
      <c r="H48" s="172">
        <v>0.45</v>
      </c>
      <c r="I48" s="4"/>
      <c r="J48" s="4"/>
      <c r="K48" s="4"/>
      <c r="M48" s="68">
        <v>5</v>
      </c>
      <c r="N48" s="79">
        <v>130</v>
      </c>
      <c r="O48" s="74">
        <v>22</v>
      </c>
      <c r="P48" s="74">
        <v>29</v>
      </c>
      <c r="Q48" s="74">
        <v>36</v>
      </c>
      <c r="R48" s="75">
        <v>69</v>
      </c>
      <c r="S48" s="76">
        <v>23</v>
      </c>
      <c r="T48" s="76">
        <v>43</v>
      </c>
      <c r="U48" s="76">
        <v>47</v>
      </c>
      <c r="V48" s="515"/>
      <c r="W48" s="506">
        <v>130</v>
      </c>
      <c r="X48" s="550">
        <v>8.6956521739130432E-2</v>
      </c>
      <c r="Y48" s="511">
        <v>0.43478260869565216</v>
      </c>
      <c r="Z48" s="509">
        <v>0.47826086956521741</v>
      </c>
      <c r="AA48" s="551">
        <v>0.32558139534883723</v>
      </c>
      <c r="AB48" s="552">
        <v>0.23255813953488372</v>
      </c>
      <c r="AC48" s="553">
        <v>0.44186046511627908</v>
      </c>
      <c r="AD48" s="552">
        <v>0.32558139534883723</v>
      </c>
      <c r="AE48" s="554">
        <v>0.23255813953488372</v>
      </c>
      <c r="AF48" s="554">
        <v>0.44186046511627908</v>
      </c>
      <c r="AG48" s="81"/>
      <c r="AH48" s="511">
        <f t="shared" ref="AH48:AI52" si="1">S48/S$53</f>
        <v>2.3069207622868605E-2</v>
      </c>
      <c r="AI48" s="511">
        <f t="shared" si="1"/>
        <v>2.939166097060834E-2</v>
      </c>
      <c r="AJ48" s="81"/>
      <c r="AK48" s="12"/>
    </row>
    <row r="49" spans="2:47">
      <c r="B49" s="4"/>
      <c r="C49" s="59">
        <v>4</v>
      </c>
      <c r="D49" s="1880">
        <v>90</v>
      </c>
      <c r="E49" s="1881"/>
      <c r="F49" s="171">
        <v>0.25</v>
      </c>
      <c r="G49" s="172">
        <v>0.3</v>
      </c>
      <c r="H49" s="172">
        <v>0.35</v>
      </c>
      <c r="I49" s="4"/>
      <c r="J49" s="4"/>
      <c r="K49" s="4"/>
      <c r="M49" s="68">
        <v>4</v>
      </c>
      <c r="N49" s="79">
        <v>90</v>
      </c>
      <c r="O49" s="74">
        <v>29</v>
      </c>
      <c r="P49" s="74">
        <v>69</v>
      </c>
      <c r="Q49" s="74">
        <v>59</v>
      </c>
      <c r="R49" s="75">
        <v>146</v>
      </c>
      <c r="S49" s="76">
        <v>61</v>
      </c>
      <c r="T49" s="76">
        <v>106</v>
      </c>
      <c r="U49" s="76">
        <v>113</v>
      </c>
      <c r="V49" s="515"/>
      <c r="W49" s="75">
        <v>90</v>
      </c>
      <c r="X49" s="550">
        <v>0.22950819672131148</v>
      </c>
      <c r="Y49" s="511">
        <v>0.34426229508196721</v>
      </c>
      <c r="Z49" s="509">
        <v>0.42622950819672129</v>
      </c>
      <c r="AA49" s="551">
        <v>0.24528301886792453</v>
      </c>
      <c r="AB49" s="552">
        <v>0.31132075471698112</v>
      </c>
      <c r="AC49" s="553">
        <v>0.44339622641509435</v>
      </c>
      <c r="AD49" s="552">
        <v>0.24528301886792453</v>
      </c>
      <c r="AE49" s="554">
        <v>0.31132075471698112</v>
      </c>
      <c r="AF49" s="554">
        <v>0.44339622641509435</v>
      </c>
      <c r="AG49" s="81"/>
      <c r="AH49" s="511">
        <f t="shared" si="1"/>
        <v>6.1183550651955868E-2</v>
      </c>
      <c r="AI49" s="511">
        <f t="shared" si="1"/>
        <v>7.2453861927546132E-2</v>
      </c>
      <c r="AJ49" s="81"/>
      <c r="AK49" s="12"/>
    </row>
    <row r="50" spans="2:47">
      <c r="B50" s="4"/>
      <c r="C50" s="59">
        <v>3</v>
      </c>
      <c r="D50" s="1880">
        <v>50</v>
      </c>
      <c r="E50" s="1881"/>
      <c r="F50" s="171">
        <v>0.15</v>
      </c>
      <c r="G50" s="172">
        <v>0.2</v>
      </c>
      <c r="H50" s="172">
        <v>0.25</v>
      </c>
      <c r="I50" s="4"/>
      <c r="J50" s="4"/>
      <c r="K50" s="4"/>
      <c r="M50" s="68">
        <v>3</v>
      </c>
      <c r="N50" s="79">
        <v>50</v>
      </c>
      <c r="O50" s="74">
        <v>89</v>
      </c>
      <c r="P50" s="74">
        <v>146</v>
      </c>
      <c r="Q50" s="74">
        <v>204</v>
      </c>
      <c r="R50" s="75">
        <v>328</v>
      </c>
      <c r="S50" s="76">
        <v>157</v>
      </c>
      <c r="T50" s="76">
        <v>246</v>
      </c>
      <c r="U50" s="76">
        <v>311</v>
      </c>
      <c r="V50" s="515"/>
      <c r="W50" s="75">
        <v>50</v>
      </c>
      <c r="X50" s="550">
        <v>0.37579617834394907</v>
      </c>
      <c r="Y50" s="511">
        <v>0.35668789808917195</v>
      </c>
      <c r="Z50" s="509">
        <v>0.26751592356687898</v>
      </c>
      <c r="AA50" s="551">
        <v>0.32113821138211385</v>
      </c>
      <c r="AB50" s="552">
        <v>0.47967479674796748</v>
      </c>
      <c r="AC50" s="553">
        <v>0.1951219512195122</v>
      </c>
      <c r="AD50" s="552">
        <v>0.32113821138211385</v>
      </c>
      <c r="AE50" s="554">
        <v>0.47967479674796748</v>
      </c>
      <c r="AF50" s="554">
        <v>0.1951219512195122</v>
      </c>
      <c r="AG50" s="81"/>
      <c r="AH50" s="511">
        <f t="shared" si="1"/>
        <v>0.15747241725175526</v>
      </c>
      <c r="AI50" s="511">
        <f t="shared" si="1"/>
        <v>0.16814764183185235</v>
      </c>
      <c r="AJ50" s="81"/>
      <c r="AK50" s="12"/>
    </row>
    <row r="51" spans="2:47">
      <c r="B51" s="12"/>
      <c r="C51" s="65">
        <v>2</v>
      </c>
      <c r="D51" s="1882">
        <v>30</v>
      </c>
      <c r="E51" s="1883"/>
      <c r="F51" s="171">
        <v>0.1</v>
      </c>
      <c r="G51" s="174">
        <v>0.15</v>
      </c>
      <c r="H51" s="174">
        <v>0.2</v>
      </c>
      <c r="I51" s="12"/>
      <c r="J51" s="12"/>
      <c r="K51" s="12"/>
      <c r="M51" s="490">
        <v>2</v>
      </c>
      <c r="N51" s="473">
        <v>30</v>
      </c>
      <c r="O51" s="81">
        <v>174</v>
      </c>
      <c r="P51" s="81">
        <v>202</v>
      </c>
      <c r="Q51" s="81">
        <v>292</v>
      </c>
      <c r="R51" s="75">
        <v>328</v>
      </c>
      <c r="S51" s="76">
        <v>313</v>
      </c>
      <c r="T51" s="76">
        <v>291</v>
      </c>
      <c r="U51" s="76">
        <v>369</v>
      </c>
      <c r="V51" s="515"/>
      <c r="W51" s="75">
        <v>30</v>
      </c>
      <c r="X51" s="550">
        <v>0.62619808306709268</v>
      </c>
      <c r="Y51" s="511">
        <v>0.27156549520766771</v>
      </c>
      <c r="Z51" s="509">
        <v>8.9456869009584661E-2</v>
      </c>
      <c r="AA51" s="551">
        <v>0.42955326460481097</v>
      </c>
      <c r="AB51" s="552">
        <v>0.43986254295532645</v>
      </c>
      <c r="AC51" s="553">
        <v>0.12027491408934708</v>
      </c>
      <c r="AD51" s="552">
        <v>0.42955326460481097</v>
      </c>
      <c r="AE51" s="554">
        <v>0.43986254295532645</v>
      </c>
      <c r="AF51" s="554">
        <v>0.12027491408934708</v>
      </c>
      <c r="AG51" s="81"/>
      <c r="AH51" s="511">
        <f t="shared" si="1"/>
        <v>0.31394182547642929</v>
      </c>
      <c r="AI51" s="511">
        <f t="shared" si="1"/>
        <v>0.19890635680109364</v>
      </c>
      <c r="AJ51" s="81"/>
      <c r="AK51" s="12"/>
    </row>
    <row r="52" spans="2:47">
      <c r="B52" s="4"/>
      <c r="C52" s="58">
        <v>1</v>
      </c>
      <c r="D52" s="1869">
        <v>15</v>
      </c>
      <c r="E52" s="1870"/>
      <c r="F52" s="176">
        <v>0.08</v>
      </c>
      <c r="G52" s="177">
        <v>0.1</v>
      </c>
      <c r="H52" s="177">
        <v>0.12</v>
      </c>
      <c r="I52" s="4"/>
      <c r="J52" s="4"/>
      <c r="K52" s="4"/>
      <c r="M52" s="70">
        <v>1</v>
      </c>
      <c r="N52" s="78">
        <v>15</v>
      </c>
      <c r="O52" s="71">
        <v>376</v>
      </c>
      <c r="P52" s="71">
        <v>526</v>
      </c>
      <c r="Q52" s="71">
        <v>551</v>
      </c>
      <c r="R52" s="77">
        <v>595</v>
      </c>
      <c r="S52" s="72">
        <v>404</v>
      </c>
      <c r="T52" s="72">
        <v>701</v>
      </c>
      <c r="U52" s="72">
        <v>866</v>
      </c>
      <c r="V52" s="515"/>
      <c r="W52" s="75">
        <v>15</v>
      </c>
      <c r="X52" s="550">
        <v>0.60396039603960394</v>
      </c>
      <c r="Y52" s="511">
        <v>0.36633663366336633</v>
      </c>
      <c r="Z52" s="509">
        <v>7.4257425742574254E-3</v>
      </c>
      <c r="AA52" s="551">
        <v>0.6504992867332382</v>
      </c>
      <c r="AB52" s="552">
        <v>0.32952924393723254</v>
      </c>
      <c r="AC52" s="553">
        <v>7.1326676176890159E-3</v>
      </c>
      <c r="AD52" s="552">
        <v>0.6504992867332382</v>
      </c>
      <c r="AE52" s="554">
        <v>0.32952924393723254</v>
      </c>
      <c r="AF52" s="554">
        <v>7.1326676176890159E-3</v>
      </c>
      <c r="AG52" s="81"/>
      <c r="AH52" s="511">
        <f t="shared" si="1"/>
        <v>0.40521564694082246</v>
      </c>
      <c r="AI52" s="511">
        <f t="shared" si="1"/>
        <v>0.47915242652084755</v>
      </c>
      <c r="AJ52" s="81"/>
      <c r="AK52" s="12"/>
    </row>
    <row r="53" spans="2:47">
      <c r="B53" s="4"/>
      <c r="C53" s="6" t="s">
        <v>23</v>
      </c>
      <c r="D53" s="4"/>
      <c r="E53" s="4"/>
      <c r="F53" s="4"/>
      <c r="G53" s="4"/>
      <c r="H53" s="4"/>
      <c r="I53" s="4"/>
      <c r="J53" s="4"/>
      <c r="K53" s="4"/>
      <c r="L53" s="12"/>
      <c r="M53" s="519" t="s">
        <v>221</v>
      </c>
      <c r="N53" s="520"/>
      <c r="O53" s="527">
        <f>SUM(O47:O52)</f>
        <v>710</v>
      </c>
      <c r="P53" s="528">
        <f t="shared" ref="P53:U53" si="2">SUM(P47:P52)</f>
        <v>1026</v>
      </c>
      <c r="Q53" s="528">
        <f t="shared" si="2"/>
        <v>1209</v>
      </c>
      <c r="R53" s="529">
        <f t="shared" si="2"/>
        <v>1576</v>
      </c>
      <c r="S53" s="528">
        <f t="shared" si="2"/>
        <v>997</v>
      </c>
      <c r="T53" s="528">
        <f t="shared" si="2"/>
        <v>1463</v>
      </c>
      <c r="U53" s="528">
        <f t="shared" si="2"/>
        <v>1778</v>
      </c>
      <c r="V53" s="540"/>
      <c r="W53" s="540"/>
      <c r="X53" s="540"/>
      <c r="Y53" s="540"/>
      <c r="Z53" s="540"/>
      <c r="AD53" s="12"/>
      <c r="AE53" s="490"/>
      <c r="AF53" s="490"/>
      <c r="AG53" s="81"/>
      <c r="AH53" s="76"/>
      <c r="AI53" s="76"/>
      <c r="AJ53" s="76"/>
      <c r="AK53" s="12"/>
    </row>
    <row r="54" spans="2:47">
      <c r="B54" s="4"/>
      <c r="C54" s="6" t="s">
        <v>24</v>
      </c>
      <c r="D54" s="4"/>
      <c r="E54" s="4"/>
      <c r="F54" s="4"/>
      <c r="G54" s="4"/>
      <c r="H54" s="4"/>
      <c r="I54" s="4"/>
      <c r="J54" s="4"/>
      <c r="K54" s="4"/>
      <c r="V54" s="12"/>
      <c r="W54" s="555" t="s">
        <v>477</v>
      </c>
      <c r="X54" s="12"/>
      <c r="Y54" s="12"/>
      <c r="Z54" s="12"/>
      <c r="AC54" s="583">
        <f>AD63/X$58</f>
        <v>1.2995764343473238E-2</v>
      </c>
      <c r="AD54" s="583">
        <f t="shared" ref="AD54:AF59" si="3">AE63/Y$58</f>
        <v>1.3681592039800995E-2</v>
      </c>
      <c r="AE54" s="583">
        <f t="shared" si="3"/>
        <v>1.47E-2</v>
      </c>
      <c r="AF54" s="583">
        <f t="shared" si="3"/>
        <v>1.5400000000000004E-2</v>
      </c>
      <c r="AG54" s="544"/>
      <c r="AH54" s="544"/>
      <c r="AI54" s="544"/>
      <c r="AJ54" s="544"/>
      <c r="AK54" s="544"/>
    </row>
    <row r="55" spans="2:47">
      <c r="B55" s="4"/>
      <c r="C55" s="6"/>
      <c r="D55" s="4"/>
      <c r="E55" s="4"/>
      <c r="F55" s="4"/>
      <c r="G55" s="4"/>
      <c r="H55" s="4"/>
      <c r="I55" s="4"/>
      <c r="J55" s="4"/>
      <c r="K55" s="4"/>
      <c r="V55" s="12"/>
      <c r="X55" s="1615">
        <v>7777</v>
      </c>
      <c r="Y55" s="1615">
        <v>8015</v>
      </c>
      <c r="Z55" s="1223">
        <f>Z58-5000</f>
        <v>10143.713948000001</v>
      </c>
      <c r="AA55" s="1223">
        <f>AA58-5000</f>
        <v>12569.783820071436</v>
      </c>
      <c r="AC55" s="583">
        <f t="shared" ref="AC55:AC58" si="4">AD64/X$58</f>
        <v>4.0431266846361188E-3</v>
      </c>
      <c r="AD55" s="583">
        <f t="shared" si="3"/>
        <v>3.88681592039801E-3</v>
      </c>
      <c r="AE55" s="583">
        <f t="shared" si="3"/>
        <v>4.1999999999999997E-3</v>
      </c>
      <c r="AF55" s="583">
        <f t="shared" si="3"/>
        <v>4.4000000000000003E-3</v>
      </c>
    </row>
    <row r="56" spans="2:47">
      <c r="B56" s="4"/>
      <c r="C56" s="6"/>
      <c r="D56" s="4"/>
      <c r="E56" s="4"/>
      <c r="F56" s="4"/>
      <c r="G56" s="4"/>
      <c r="H56" s="4"/>
      <c r="I56" s="4"/>
      <c r="J56" s="4"/>
      <c r="K56" s="4"/>
      <c r="L56" s="80" t="s">
        <v>222</v>
      </c>
      <c r="M56" s="70" t="s">
        <v>20</v>
      </c>
      <c r="N56" s="78" t="s">
        <v>220</v>
      </c>
      <c r="O56" s="71" t="s">
        <v>208</v>
      </c>
      <c r="P56" s="72" t="s">
        <v>209</v>
      </c>
      <c r="Q56" s="72" t="s">
        <v>212</v>
      </c>
      <c r="R56" s="73" t="s">
        <v>211</v>
      </c>
      <c r="S56" s="71" t="s">
        <v>213</v>
      </c>
      <c r="T56" s="72" t="s">
        <v>214</v>
      </c>
      <c r="U56" s="72" t="s">
        <v>210</v>
      </c>
      <c r="V56" s="76"/>
      <c r="W56" s="491"/>
      <c r="X56" s="72" t="s">
        <v>215</v>
      </c>
      <c r="Y56" s="72" t="s">
        <v>216</v>
      </c>
      <c r="Z56" s="72" t="s">
        <v>217</v>
      </c>
      <c r="AA56" s="82" t="s">
        <v>218</v>
      </c>
      <c r="AC56" s="583">
        <f t="shared" si="4"/>
        <v>7.7011936850211781E-3</v>
      </c>
      <c r="AD56" s="583">
        <f t="shared" si="3"/>
        <v>7.8513681592039808E-3</v>
      </c>
      <c r="AE56" s="583">
        <f t="shared" si="3"/>
        <v>8.3999999999999995E-3</v>
      </c>
      <c r="AF56" s="583">
        <f t="shared" si="3"/>
        <v>1.1000000000000001E-2</v>
      </c>
    </row>
    <row r="57" spans="2:47">
      <c r="B57" s="4"/>
      <c r="C57" s="6"/>
      <c r="D57" s="4"/>
      <c r="E57" s="4"/>
      <c r="F57" s="4"/>
      <c r="G57" s="4"/>
      <c r="H57" s="4"/>
      <c r="I57" s="4"/>
      <c r="J57" s="4"/>
      <c r="K57" s="4"/>
      <c r="M57" s="68">
        <v>6</v>
      </c>
      <c r="N57" s="79">
        <v>180</v>
      </c>
      <c r="O57" s="512">
        <f>O47/O$43</f>
        <v>7.1250445315283219E-3</v>
      </c>
      <c r="P57" s="512">
        <f t="shared" ref="P57:T57" si="5">P47/P$43</f>
        <v>1.7385705086928525E-2</v>
      </c>
      <c r="Q57" s="512">
        <f t="shared" si="5"/>
        <v>1.9330640507789959E-2</v>
      </c>
      <c r="R57" s="513">
        <f t="shared" si="5"/>
        <v>2.6699029126213591E-2</v>
      </c>
      <c r="S57" s="514">
        <f t="shared" si="5"/>
        <v>9.0131730991449034E-3</v>
      </c>
      <c r="T57" s="514">
        <f t="shared" si="5"/>
        <v>1.3056175914791274E-2</v>
      </c>
      <c r="U57" s="514">
        <f t="shared" ref="U57" si="6">U47/U$43</f>
        <v>9.3482212412360419E-3</v>
      </c>
      <c r="V57" s="1539"/>
      <c r="W57" s="567" t="s">
        <v>206</v>
      </c>
      <c r="X57" s="1614">
        <f>'Sale Plan &amp; KPIs'!O15</f>
        <v>124617.10630000001</v>
      </c>
      <c r="Y57" s="1614">
        <f>'Sale Plan &amp; KPIs'!P15</f>
        <v>161745.299</v>
      </c>
      <c r="Z57" s="499">
        <f>'Sale Plan &amp; KPIs'!Q15</f>
        <v>197960</v>
      </c>
      <c r="AA57" s="499">
        <f>'Sale Plan &amp; KPIs'!R15</f>
        <v>236759.18</v>
      </c>
      <c r="AB57" s="711"/>
      <c r="AC57" s="583">
        <f t="shared" si="4"/>
        <v>2.8783211397766652E-2</v>
      </c>
      <c r="AD57" s="583">
        <f t="shared" si="3"/>
        <v>2.8917910447761194E-2</v>
      </c>
      <c r="AE57" s="583">
        <f t="shared" si="3"/>
        <v>3.5700000000000003E-2</v>
      </c>
      <c r="AF57" s="583">
        <f t="shared" si="3"/>
        <v>3.9600000000000003E-2</v>
      </c>
    </row>
    <row r="58" spans="2:47">
      <c r="B58" s="4"/>
      <c r="C58" s="6"/>
      <c r="D58" s="4"/>
      <c r="E58" s="4"/>
      <c r="F58" s="4"/>
      <c r="G58" s="4"/>
      <c r="H58" s="4"/>
      <c r="I58" s="4"/>
      <c r="J58" s="4"/>
      <c r="K58" s="4"/>
      <c r="M58" s="68">
        <v>5</v>
      </c>
      <c r="N58" s="79">
        <v>130</v>
      </c>
      <c r="O58" s="512">
        <f t="shared" ref="O58:T62" si="7">O48/O$43</f>
        <v>7.8375489846811541E-3</v>
      </c>
      <c r="P58" s="512">
        <f t="shared" si="7"/>
        <v>9.3367675466838381E-3</v>
      </c>
      <c r="Q58" s="512">
        <f t="shared" si="7"/>
        <v>1.03866128101558E-2</v>
      </c>
      <c r="R58" s="513">
        <f t="shared" si="7"/>
        <v>1.6747572815533979E-2</v>
      </c>
      <c r="S58" s="514">
        <f t="shared" si="7"/>
        <v>5.3154610584700713E-3</v>
      </c>
      <c r="T58" s="514">
        <f t="shared" si="7"/>
        <v>7.3870468991582205E-3</v>
      </c>
      <c r="U58" s="514">
        <f t="shared" ref="U58" si="8">U48/U$43</f>
        <v>6.1023110880290832E-3</v>
      </c>
      <c r="V58" s="1539"/>
      <c r="W58" s="75" t="s">
        <v>117</v>
      </c>
      <c r="X58" s="1614">
        <f>'Sale Plan &amp; KPIs'!D3</f>
        <v>10388</v>
      </c>
      <c r="Y58" s="1614">
        <f>'Sale Plan &amp; KPIs'!G3</f>
        <v>12864</v>
      </c>
      <c r="Z58" s="499">
        <f>'Sale Plan &amp; KPIs'!J3</f>
        <v>15143.713948000001</v>
      </c>
      <c r="AA58" s="499">
        <f>'Sale Plan &amp; KPIs'!M3</f>
        <v>17569.783820071436</v>
      </c>
      <c r="AC58" s="583">
        <f t="shared" si="4"/>
        <v>3.9757412398921832E-2</v>
      </c>
      <c r="AD58" s="583">
        <f t="shared" si="3"/>
        <v>3.412624378109453E-2</v>
      </c>
      <c r="AE58" s="583">
        <f t="shared" si="3"/>
        <v>4.4099999999999993E-2</v>
      </c>
      <c r="AF58" s="583">
        <f t="shared" si="3"/>
        <v>4.8400000000000006E-2</v>
      </c>
    </row>
    <row r="59" spans="2:47">
      <c r="B59" s="4"/>
      <c r="C59" s="6"/>
      <c r="D59" s="4"/>
      <c r="E59" s="4"/>
      <c r="F59" s="4"/>
      <c r="G59" s="4"/>
      <c r="H59" s="4"/>
      <c r="I59" s="4"/>
      <c r="J59" s="4"/>
      <c r="K59" s="4"/>
      <c r="M59" s="68">
        <v>4</v>
      </c>
      <c r="N59" s="79">
        <v>90</v>
      </c>
      <c r="O59" s="512">
        <f t="shared" si="7"/>
        <v>1.0331314570716068E-2</v>
      </c>
      <c r="P59" s="512">
        <f t="shared" si="7"/>
        <v>2.2215067611075338E-2</v>
      </c>
      <c r="Q59" s="512">
        <f t="shared" si="7"/>
        <v>1.7022504327755338E-2</v>
      </c>
      <c r="R59" s="513">
        <f t="shared" si="7"/>
        <v>3.5436893203883497E-2</v>
      </c>
      <c r="S59" s="514">
        <f t="shared" si="7"/>
        <v>1.4097527155072799E-2</v>
      </c>
      <c r="T59" s="514">
        <f t="shared" si="7"/>
        <v>1.8209929565366774E-2</v>
      </c>
      <c r="U59" s="514">
        <f t="shared" ref="U59" si="9">U49/U$43</f>
        <v>1.4671513892495455E-2</v>
      </c>
      <c r="V59" s="1539"/>
      <c r="W59" s="75" t="s">
        <v>222</v>
      </c>
      <c r="X59" s="1620">
        <f>X60/X58</f>
        <v>0.18030419715055834</v>
      </c>
      <c r="Y59" s="1620">
        <v>0.22</v>
      </c>
      <c r="Z59" s="1648">
        <v>0.21</v>
      </c>
      <c r="AA59" s="1643">
        <v>0.22</v>
      </c>
      <c r="AB59" s="464"/>
      <c r="AC59" s="583">
        <f>AD68/X$58</f>
        <v>8.7023488640739319E-2</v>
      </c>
      <c r="AD59" s="583">
        <f t="shared" si="3"/>
        <v>7.5948383084577117E-2</v>
      </c>
      <c r="AE59" s="583">
        <f t="shared" si="3"/>
        <v>0.10289999999999999</v>
      </c>
      <c r="AF59" s="583">
        <f t="shared" si="3"/>
        <v>0.1012</v>
      </c>
    </row>
    <row r="60" spans="2:47">
      <c r="B60" s="4"/>
      <c r="C60" s="6"/>
      <c r="D60" s="4"/>
      <c r="E60" s="4"/>
      <c r="F60" s="4"/>
      <c r="G60" s="4"/>
      <c r="H60" s="4"/>
      <c r="I60" s="4"/>
      <c r="J60" s="4"/>
      <c r="K60" s="4"/>
      <c r="M60" s="68">
        <v>3</v>
      </c>
      <c r="N60" s="79">
        <v>50</v>
      </c>
      <c r="O60" s="512">
        <f t="shared" si="7"/>
        <v>3.1706448165301035E-2</v>
      </c>
      <c r="P60" s="512">
        <f t="shared" si="7"/>
        <v>4.7005795235028978E-2</v>
      </c>
      <c r="Q60" s="512">
        <f t="shared" si="7"/>
        <v>5.8857472590882864E-2</v>
      </c>
      <c r="R60" s="513">
        <f t="shared" si="7"/>
        <v>7.9611650485436891E-2</v>
      </c>
      <c r="S60" s="514">
        <f t="shared" si="7"/>
        <v>3.6283799399121797E-2</v>
      </c>
      <c r="T60" s="514">
        <f t="shared" si="7"/>
        <v>4.226077993471912E-2</v>
      </c>
      <c r="U60" s="514">
        <f t="shared" ref="U60" si="10">U50/U$43</f>
        <v>4.037912230589457E-2</v>
      </c>
      <c r="V60" s="1539"/>
      <c r="W60" s="75" t="s">
        <v>219</v>
      </c>
      <c r="X60" s="578">
        <v>1873</v>
      </c>
      <c r="Y60" s="578">
        <v>2115</v>
      </c>
      <c r="Z60" s="497">
        <f t="shared" ref="Z60:AA60" si="11">Z59*Z58</f>
        <v>3180.17992908</v>
      </c>
      <c r="AA60" s="499">
        <f t="shared" si="11"/>
        <v>3865.352440415716</v>
      </c>
    </row>
    <row r="61" spans="2:47">
      <c r="B61" s="4"/>
      <c r="C61" s="6"/>
      <c r="D61" s="4"/>
      <c r="E61" s="4"/>
      <c r="F61" s="4"/>
      <c r="G61" s="4"/>
      <c r="H61" s="4"/>
      <c r="I61" s="4"/>
      <c r="J61" s="4"/>
      <c r="K61" s="4"/>
      <c r="M61" s="68">
        <v>2</v>
      </c>
      <c r="N61" s="79">
        <v>30</v>
      </c>
      <c r="O61" s="512">
        <f t="shared" si="7"/>
        <v>6.1987887424296402E-2</v>
      </c>
      <c r="P61" s="512">
        <f t="shared" si="7"/>
        <v>6.5035415325177079E-2</v>
      </c>
      <c r="Q61" s="512">
        <f t="shared" si="7"/>
        <v>8.4246970571263707E-2</v>
      </c>
      <c r="R61" s="513">
        <f t="shared" si="7"/>
        <v>7.9611650485436891E-2</v>
      </c>
      <c r="S61" s="514">
        <f t="shared" si="7"/>
        <v>7.233649179570141E-2</v>
      </c>
      <c r="T61" s="514">
        <f t="shared" si="7"/>
        <v>4.9991410410582374E-2</v>
      </c>
      <c r="U61" s="514">
        <f t="shared" ref="U61" si="12">U51/U$43</f>
        <v>4.7909633861334719E-2</v>
      </c>
      <c r="V61" s="1539"/>
      <c r="X61" s="1621">
        <f>X60/X55</f>
        <v>0.24083836955124083</v>
      </c>
      <c r="Y61" s="1621">
        <f t="shared" ref="Y61:AA61" si="13">Y60/Y55</f>
        <v>0.26388022457891452</v>
      </c>
      <c r="Z61" s="464">
        <f t="shared" si="13"/>
        <v>0.31351238268179127</v>
      </c>
      <c r="AA61" s="464">
        <f t="shared" si="13"/>
        <v>0.30751144934119867</v>
      </c>
    </row>
    <row r="62" spans="2:47">
      <c r="B62" s="4"/>
      <c r="C62" s="6"/>
      <c r="D62" s="4"/>
      <c r="E62" s="4"/>
      <c r="F62" s="4"/>
      <c r="G62" s="4"/>
      <c r="H62" s="4"/>
      <c r="I62" s="4"/>
      <c r="J62" s="4"/>
      <c r="K62" s="4"/>
      <c r="M62" s="70">
        <v>1</v>
      </c>
      <c r="N62" s="78">
        <v>15</v>
      </c>
      <c r="O62" s="516">
        <f>O52/O$43</f>
        <v>0.13395083719273246</v>
      </c>
      <c r="P62" s="516">
        <f>P52/P$43</f>
        <v>0.16934964584674822</v>
      </c>
      <c r="Q62" s="516">
        <f>Q52/Q$43</f>
        <v>0.15897287939988458</v>
      </c>
      <c r="R62" s="517">
        <f t="shared" si="7"/>
        <v>0.14441747572815533</v>
      </c>
      <c r="S62" s="518">
        <f t="shared" si="7"/>
        <v>9.3367229027039519E-2</v>
      </c>
      <c r="T62" s="518">
        <f t="shared" si="7"/>
        <v>0.12042604363511424</v>
      </c>
      <c r="U62" s="518">
        <f t="shared" ref="U62" si="14">U52/U$43</f>
        <v>0.11243832770708907</v>
      </c>
      <c r="V62" s="1539"/>
      <c r="W62" s="77" t="s">
        <v>222</v>
      </c>
      <c r="X62" s="72" t="s">
        <v>215</v>
      </c>
      <c r="Y62" s="72" t="s">
        <v>216</v>
      </c>
      <c r="Z62" s="72" t="s">
        <v>217</v>
      </c>
      <c r="AA62" s="82" t="s">
        <v>218</v>
      </c>
      <c r="AC62" s="77" t="s">
        <v>219</v>
      </c>
      <c r="AD62" s="72" t="s">
        <v>215</v>
      </c>
      <c r="AE62" s="72" t="s">
        <v>216</v>
      </c>
      <c r="AF62" s="72" t="s">
        <v>217</v>
      </c>
      <c r="AG62" s="82" t="s">
        <v>218</v>
      </c>
      <c r="AI62" s="77" t="s">
        <v>478</v>
      </c>
      <c r="AJ62" s="72" t="s">
        <v>215</v>
      </c>
      <c r="AK62" s="72" t="s">
        <v>216</v>
      </c>
      <c r="AL62" s="72" t="s">
        <v>217</v>
      </c>
      <c r="AM62" s="82" t="s">
        <v>218</v>
      </c>
      <c r="AO62" s="71" t="s">
        <v>208</v>
      </c>
      <c r="AP62" s="72" t="s">
        <v>209</v>
      </c>
      <c r="AQ62" s="72" t="s">
        <v>212</v>
      </c>
      <c r="AR62" s="72" t="s">
        <v>211</v>
      </c>
      <c r="AS62" s="71" t="s">
        <v>213</v>
      </c>
      <c r="AT62" s="72" t="s">
        <v>214</v>
      </c>
      <c r="AU62" s="72" t="s">
        <v>210</v>
      </c>
    </row>
    <row r="63" spans="2:47">
      <c r="B63" s="4"/>
      <c r="C63" s="6"/>
      <c r="D63" s="4"/>
      <c r="E63" s="4"/>
      <c r="F63" s="4"/>
      <c r="G63" s="4"/>
      <c r="H63" s="4"/>
      <c r="I63" s="4"/>
      <c r="J63" s="4"/>
      <c r="K63" s="4"/>
      <c r="L63" s="12"/>
      <c r="M63" s="519" t="s">
        <v>221</v>
      </c>
      <c r="N63" s="520"/>
      <c r="O63" s="521">
        <f>SUM(O57:O62)</f>
        <v>0.25293908086925543</v>
      </c>
      <c r="P63" s="522">
        <f t="shared" ref="P63:U63" si="15">SUM(P57:P62)</f>
        <v>0.33032839665164199</v>
      </c>
      <c r="Q63" s="522">
        <f t="shared" si="15"/>
        <v>0.34881708020773228</v>
      </c>
      <c r="R63" s="523">
        <f t="shared" si="15"/>
        <v>0.3825242718446602</v>
      </c>
      <c r="S63" s="522">
        <f>SUM(S57:S62)</f>
        <v>0.2304136815345505</v>
      </c>
      <c r="T63" s="522">
        <f t="shared" si="15"/>
        <v>0.25133138635973201</v>
      </c>
      <c r="U63" s="522">
        <f t="shared" si="15"/>
        <v>0.23084913009607894</v>
      </c>
      <c r="V63" s="540"/>
      <c r="W63" s="75">
        <v>180</v>
      </c>
      <c r="X63" s="1622">
        <f>AD63/$X$60</f>
        <v>7.2076882007474641E-2</v>
      </c>
      <c r="Y63" s="1622">
        <f>AE63/$Y$60</f>
        <v>8.3215130023640657E-2</v>
      </c>
      <c r="Z63" s="1644">
        <v>7.0000000000000007E-2</v>
      </c>
      <c r="AA63" s="1646">
        <v>7.0000000000000007E-2</v>
      </c>
      <c r="AC63" s="75">
        <v>180</v>
      </c>
      <c r="AD63" s="1616">
        <v>135</v>
      </c>
      <c r="AE63" s="1616">
        <v>176</v>
      </c>
      <c r="AF63" s="569">
        <f>Z63*Z$60</f>
        <v>222.61259503560001</v>
      </c>
      <c r="AG63" s="570">
        <f>AA63*AA$60</f>
        <v>270.57467082910017</v>
      </c>
      <c r="AI63" s="75">
        <v>180</v>
      </c>
      <c r="AJ63" s="1647">
        <f>SUM(X94:Z94)/AD63</f>
        <v>286.43017407407405</v>
      </c>
      <c r="AK63" s="1647">
        <f>SUM(AA94:AC94)/AE63</f>
        <v>317.45430681818186</v>
      </c>
      <c r="AL63" s="497">
        <v>300</v>
      </c>
      <c r="AM63" s="497">
        <v>300</v>
      </c>
      <c r="AN63" s="442"/>
      <c r="AO63" s="573">
        <f>(O77/O47)</f>
        <v>406.7491</v>
      </c>
      <c r="AP63" s="573">
        <f t="shared" ref="AP63:AU63" si="16">(P77/P47)</f>
        <v>388.26041666666669</v>
      </c>
      <c r="AQ63" s="573">
        <f t="shared" si="16"/>
        <v>388.07354477611949</v>
      </c>
      <c r="AR63" s="573">
        <f t="shared" si="16"/>
        <v>400.54147727272721</v>
      </c>
      <c r="AS63" s="573">
        <f t="shared" si="16"/>
        <v>327.22246153846129</v>
      </c>
      <c r="AT63" s="573">
        <f t="shared" si="16"/>
        <v>357.65821710526319</v>
      </c>
      <c r="AU63" s="573">
        <f t="shared" si="16"/>
        <v>292.72288194444434</v>
      </c>
    </row>
    <row r="64" spans="2:47">
      <c r="B64" s="4"/>
      <c r="C64" s="6"/>
      <c r="D64" s="4"/>
      <c r="E64" s="4"/>
      <c r="F64" s="4"/>
      <c r="G64" s="4"/>
      <c r="H64" s="4"/>
      <c r="I64" s="4"/>
      <c r="J64" s="4"/>
      <c r="K64" s="4"/>
      <c r="V64" s="12"/>
      <c r="W64" s="75">
        <v>130</v>
      </c>
      <c r="X64" s="1622">
        <f t="shared" ref="X64:X68" si="17">AD64/$X$60</f>
        <v>2.2423918846769888E-2</v>
      </c>
      <c r="Y64" s="1622">
        <f t="shared" ref="Y64:Y68" si="18">AE64/$Y$60</f>
        <v>2.3640661938534278E-2</v>
      </c>
      <c r="Z64" s="1644">
        <v>0.02</v>
      </c>
      <c r="AA64" s="1646">
        <v>0.02</v>
      </c>
      <c r="AC64" s="75">
        <v>130</v>
      </c>
      <c r="AD64" s="1616">
        <v>42</v>
      </c>
      <c r="AE64" s="1616">
        <v>50</v>
      </c>
      <c r="AF64" s="569">
        <f t="shared" ref="AF64:AF68" si="19">Z64*Z$60</f>
        <v>63.603598581600004</v>
      </c>
      <c r="AG64" s="570">
        <f t="shared" ref="AG64:AG68" si="20">AA64*AA$60</f>
        <v>77.30704880831432</v>
      </c>
      <c r="AI64" s="75">
        <v>130</v>
      </c>
      <c r="AJ64" s="1647">
        <f t="shared" ref="AJ64:AJ68" si="21">SUM(X95:Z95)/AD64</f>
        <v>144.85367857142856</v>
      </c>
      <c r="AK64" s="1647">
        <f t="shared" ref="AK64:AK68" si="22">SUM(AA95:AC95)/AE64</f>
        <v>146.80203</v>
      </c>
      <c r="AL64" s="497">
        <v>140</v>
      </c>
      <c r="AM64" s="497">
        <f t="shared" ref="AM64" si="23">AL64</f>
        <v>140</v>
      </c>
      <c r="AN64" s="442"/>
      <c r="AO64" s="573">
        <f t="shared" ref="AO64:AO68" si="24">(O78/O48)</f>
        <v>154.11086363636366</v>
      </c>
      <c r="AP64" s="573">
        <f t="shared" ref="AP64:AP68" si="25">(P78/P48)</f>
        <v>151.81672413793109</v>
      </c>
      <c r="AQ64" s="573">
        <f t="shared" ref="AQ64:AQ68" si="26">(Q78/Q48)</f>
        <v>156.29469444444445</v>
      </c>
      <c r="AR64" s="573">
        <f t="shared" ref="AR64:AR68" si="27">(R78/R48)</f>
        <v>152.30340579710142</v>
      </c>
      <c r="AS64" s="573">
        <f t="shared" ref="AS64:AS68" si="28">(S78/S48)</f>
        <v>156.1158043478261</v>
      </c>
      <c r="AT64" s="573">
        <f t="shared" ref="AT64:AU68" si="29">(T78/T48)</f>
        <v>151.8218139534884</v>
      </c>
      <c r="AU64" s="573">
        <f t="shared" si="29"/>
        <v>156.3676808510638</v>
      </c>
    </row>
    <row r="65" spans="2:47">
      <c r="B65" s="4"/>
      <c r="C65" s="6"/>
      <c r="D65" s="4"/>
      <c r="E65" s="4"/>
      <c r="F65" s="4"/>
      <c r="G65" s="4"/>
      <c r="H65" s="4"/>
      <c r="I65" s="4"/>
      <c r="J65" s="4"/>
      <c r="K65" s="4"/>
      <c r="V65" s="12"/>
      <c r="W65" s="75">
        <v>90</v>
      </c>
      <c r="X65" s="1622">
        <f t="shared" si="17"/>
        <v>4.2712226374799787E-2</v>
      </c>
      <c r="Y65" s="1622">
        <f t="shared" si="18"/>
        <v>4.7754137115839243E-2</v>
      </c>
      <c r="Z65" s="1644">
        <v>0.04</v>
      </c>
      <c r="AA65" s="1646">
        <v>0.05</v>
      </c>
      <c r="AC65" s="75">
        <v>90</v>
      </c>
      <c r="AD65" s="1616">
        <v>80</v>
      </c>
      <c r="AE65" s="1616">
        <v>101</v>
      </c>
      <c r="AF65" s="569">
        <f t="shared" si="19"/>
        <v>127.20719716320001</v>
      </c>
      <c r="AG65" s="570">
        <f t="shared" si="20"/>
        <v>193.26762202078581</v>
      </c>
      <c r="AI65" s="75">
        <v>90</v>
      </c>
      <c r="AJ65" s="1647">
        <f t="shared" si="21"/>
        <v>104.42209124999999</v>
      </c>
      <c r="AK65" s="1647">
        <f t="shared" si="22"/>
        <v>103.12547524752476</v>
      </c>
      <c r="AL65" s="497">
        <v>100</v>
      </c>
      <c r="AM65" s="497">
        <f t="shared" ref="AM65" si="30">AL65</f>
        <v>100</v>
      </c>
      <c r="AN65" s="442"/>
      <c r="AO65" s="573">
        <f t="shared" si="24"/>
        <v>106.83568965517243</v>
      </c>
      <c r="AP65" s="573">
        <f t="shared" si="25"/>
        <v>105.74250724637682</v>
      </c>
      <c r="AQ65" s="573">
        <f t="shared" si="26"/>
        <v>106.03965254237295</v>
      </c>
      <c r="AR65" s="573">
        <f t="shared" si="27"/>
        <v>105.20651027397258</v>
      </c>
      <c r="AS65" s="573">
        <f t="shared" si="28"/>
        <v>105.45067213114753</v>
      </c>
      <c r="AT65" s="573">
        <f t="shared" si="29"/>
        <v>102.88639622641509</v>
      </c>
      <c r="AU65" s="573">
        <f t="shared" si="29"/>
        <v>107.13932300884954</v>
      </c>
    </row>
    <row r="66" spans="2:47">
      <c r="B66" s="4"/>
      <c r="C66" s="6"/>
      <c r="D66" s="4"/>
      <c r="E66" s="4"/>
      <c r="F66" s="4"/>
      <c r="G66" s="4"/>
      <c r="H66" s="4"/>
      <c r="I66" s="4"/>
      <c r="J66" s="4"/>
      <c r="K66" s="4"/>
      <c r="L66" s="80" t="s">
        <v>223</v>
      </c>
      <c r="M66" s="70" t="s">
        <v>20</v>
      </c>
      <c r="N66" s="78" t="s">
        <v>220</v>
      </c>
      <c r="O66" s="71" t="s">
        <v>208</v>
      </c>
      <c r="P66" s="72" t="s">
        <v>209</v>
      </c>
      <c r="Q66" s="72" t="s">
        <v>212</v>
      </c>
      <c r="R66" s="73" t="s">
        <v>211</v>
      </c>
      <c r="S66" s="71" t="s">
        <v>213</v>
      </c>
      <c r="T66" s="72" t="s">
        <v>214</v>
      </c>
      <c r="U66" s="72" t="s">
        <v>210</v>
      </c>
      <c r="V66" s="76"/>
      <c r="W66" s="75">
        <v>50</v>
      </c>
      <c r="X66" s="1622">
        <f t="shared" si="17"/>
        <v>0.15963694607581419</v>
      </c>
      <c r="Y66" s="1622">
        <f t="shared" si="18"/>
        <v>0.17588652482269504</v>
      </c>
      <c r="Z66" s="1644">
        <v>0.17</v>
      </c>
      <c r="AA66" s="1646">
        <v>0.18</v>
      </c>
      <c r="AC66" s="75">
        <v>50</v>
      </c>
      <c r="AD66" s="1616">
        <v>299</v>
      </c>
      <c r="AE66" s="1616">
        <v>372</v>
      </c>
      <c r="AF66" s="569">
        <f t="shared" si="19"/>
        <v>540.63058794360006</v>
      </c>
      <c r="AG66" s="570">
        <f t="shared" si="20"/>
        <v>695.7634392748289</v>
      </c>
      <c r="AI66" s="75">
        <v>50</v>
      </c>
      <c r="AJ66" s="1647">
        <f t="shared" si="21"/>
        <v>64.494498327759189</v>
      </c>
      <c r="AK66" s="1647">
        <f t="shared" si="22"/>
        <v>64.21412365591398</v>
      </c>
      <c r="AL66" s="497">
        <v>60</v>
      </c>
      <c r="AM66" s="497">
        <f t="shared" ref="AM66" si="31">AL66</f>
        <v>60</v>
      </c>
      <c r="AN66" s="442"/>
      <c r="AO66" s="573">
        <f t="shared" si="24"/>
        <v>65.18466292134832</v>
      </c>
      <c r="AP66" s="573">
        <f t="shared" si="25"/>
        <v>67.104565068493187</v>
      </c>
      <c r="AQ66" s="573">
        <f t="shared" si="26"/>
        <v>64.009732843137272</v>
      </c>
      <c r="AR66" s="573">
        <f t="shared" si="27"/>
        <v>66.947464939024428</v>
      </c>
      <c r="AS66" s="573">
        <f t="shared" si="28"/>
        <v>64.661076433121039</v>
      </c>
      <c r="AT66" s="573">
        <f t="shared" si="29"/>
        <v>69.278754065040644</v>
      </c>
      <c r="AU66" s="573">
        <f t="shared" si="29"/>
        <v>68.63354823151117</v>
      </c>
    </row>
    <row r="67" spans="2:47">
      <c r="B67" s="4"/>
      <c r="C67" s="6"/>
      <c r="D67" s="4"/>
      <c r="E67" s="4"/>
      <c r="F67" s="4"/>
      <c r="G67" s="4"/>
      <c r="H67" s="4"/>
      <c r="I67" s="4"/>
      <c r="J67" s="4"/>
      <c r="K67" s="4"/>
      <c r="M67" s="68">
        <v>6</v>
      </c>
      <c r="N67" s="79">
        <v>180</v>
      </c>
      <c r="O67" s="512">
        <f>O77/O$44</f>
        <v>0.21522894033734746</v>
      </c>
      <c r="P67" s="512">
        <f t="shared" ref="P67:T67" si="32">P77/P$44</f>
        <v>0.31215054663627073</v>
      </c>
      <c r="Q67" s="512">
        <f t="shared" si="32"/>
        <v>0.3144767484670532</v>
      </c>
      <c r="R67" s="513">
        <f t="shared" si="32"/>
        <v>0.35342156481486375</v>
      </c>
      <c r="S67" s="514">
        <f t="shared" si="32"/>
        <v>0.21032310047840161</v>
      </c>
      <c r="T67" s="514">
        <f t="shared" si="32"/>
        <v>0.273006397462561</v>
      </c>
      <c r="U67" s="514">
        <f t="shared" ref="U67" si="33">U77/U$44</f>
        <v>0.19282456807087611</v>
      </c>
      <c r="V67" s="515"/>
      <c r="W67" s="556">
        <v>30</v>
      </c>
      <c r="X67" s="1623">
        <f t="shared" si="17"/>
        <v>0.2205018686599039</v>
      </c>
      <c r="Y67" s="1623">
        <f t="shared" si="18"/>
        <v>0.20756501182033096</v>
      </c>
      <c r="Z67" s="1645">
        <v>0.21</v>
      </c>
      <c r="AA67" s="1646">
        <v>0.22</v>
      </c>
      <c r="AC67" s="556">
        <v>30</v>
      </c>
      <c r="AD67" s="1617">
        <v>413</v>
      </c>
      <c r="AE67" s="1617">
        <v>439</v>
      </c>
      <c r="AF67" s="571">
        <f t="shared" si="19"/>
        <v>667.83778510679997</v>
      </c>
      <c r="AG67" s="570">
        <f t="shared" si="20"/>
        <v>850.37753689145757</v>
      </c>
      <c r="AI67" s="556">
        <v>30</v>
      </c>
      <c r="AJ67" s="1647">
        <f t="shared" si="21"/>
        <v>36.747474576271188</v>
      </c>
      <c r="AK67" s="1647">
        <f t="shared" si="22"/>
        <v>38.696203872437358</v>
      </c>
      <c r="AL67" s="497">
        <v>35</v>
      </c>
      <c r="AM67" s="497">
        <f t="shared" ref="AM67" si="34">AL67</f>
        <v>35</v>
      </c>
      <c r="AN67" s="442"/>
      <c r="AO67" s="573">
        <f t="shared" si="24"/>
        <v>37.554672413793121</v>
      </c>
      <c r="AP67" s="573">
        <f t="shared" si="25"/>
        <v>37.575408415841579</v>
      </c>
      <c r="AQ67" s="573">
        <f t="shared" si="26"/>
        <v>38.418220890410957</v>
      </c>
      <c r="AR67" s="573">
        <f t="shared" si="27"/>
        <v>38.248423780487826</v>
      </c>
      <c r="AS67" s="573">
        <f t="shared" si="28"/>
        <v>36.33290894568691</v>
      </c>
      <c r="AT67" s="573">
        <f t="shared" si="29"/>
        <v>37.365958762886578</v>
      </c>
      <c r="AU67" s="573">
        <f t="shared" si="29"/>
        <v>38.458649051490525</v>
      </c>
    </row>
    <row r="68" spans="2:47">
      <c r="B68" s="4"/>
      <c r="C68" s="6"/>
      <c r="D68" s="4"/>
      <c r="E68" s="4"/>
      <c r="F68" s="4"/>
      <c r="G68" s="4"/>
      <c r="H68" s="4"/>
      <c r="I68" s="4"/>
      <c r="J68" s="4"/>
      <c r="K68" s="4"/>
      <c r="M68" s="68">
        <v>5</v>
      </c>
      <c r="N68" s="79">
        <v>130</v>
      </c>
      <c r="O68" s="512">
        <f t="shared" ref="O68:T72" si="35">O78/O$44</f>
        <v>8.9701562123728859E-2</v>
      </c>
      <c r="P68" s="512">
        <f t="shared" si="35"/>
        <v>6.5548813918555757E-2</v>
      </c>
      <c r="Q68" s="512">
        <f t="shared" si="35"/>
        <v>6.8052868622300394E-2</v>
      </c>
      <c r="R68" s="513">
        <f t="shared" si="35"/>
        <v>8.429689360255653E-2</v>
      </c>
      <c r="S68" s="514">
        <f t="shared" si="35"/>
        <v>5.9177139436436856E-2</v>
      </c>
      <c r="T68" s="514">
        <f t="shared" si="35"/>
        <v>6.5568259597365189E-2</v>
      </c>
      <c r="U68" s="514">
        <f t="shared" ref="U68" si="36">U78/U$44</f>
        <v>6.7238505438768664E-2</v>
      </c>
      <c r="V68" s="515"/>
      <c r="W68" s="506">
        <v>15</v>
      </c>
      <c r="X68" s="1623">
        <f t="shared" si="17"/>
        <v>0.48264815803523758</v>
      </c>
      <c r="Y68" s="1623">
        <f t="shared" si="18"/>
        <v>0.46193853427895981</v>
      </c>
      <c r="Z68" s="1645">
        <f>1-SUM(Z63:Z67)</f>
        <v>0.49</v>
      </c>
      <c r="AA68" s="1645">
        <f>1-SUM(AA63:AA67)</f>
        <v>0.45999999999999996</v>
      </c>
      <c r="AC68" s="506">
        <v>15</v>
      </c>
      <c r="AD68" s="1617">
        <v>904</v>
      </c>
      <c r="AE68" s="1617">
        <v>977</v>
      </c>
      <c r="AF68" s="571">
        <f t="shared" si="19"/>
        <v>1558.2881652491999</v>
      </c>
      <c r="AG68" s="570">
        <f t="shared" si="20"/>
        <v>1778.0621225912294</v>
      </c>
      <c r="AI68" s="506">
        <v>15</v>
      </c>
      <c r="AJ68" s="1647">
        <f t="shared" si="21"/>
        <v>20.592887168141591</v>
      </c>
      <c r="AK68" s="1647">
        <f t="shared" si="22"/>
        <v>20.2857758444217</v>
      </c>
      <c r="AL68" s="497">
        <f t="shared" ref="AL68:AM68" si="37">AK68</f>
        <v>20.2857758444217</v>
      </c>
      <c r="AM68" s="497">
        <f t="shared" si="37"/>
        <v>20.2857758444217</v>
      </c>
      <c r="AN68" s="442"/>
      <c r="AO68" s="573">
        <f t="shared" si="24"/>
        <v>20.509696808510643</v>
      </c>
      <c r="AP68" s="573">
        <f t="shared" si="25"/>
        <v>20.29426235741445</v>
      </c>
      <c r="AQ68" s="573">
        <f t="shared" si="26"/>
        <v>21.170824863883837</v>
      </c>
      <c r="AR68" s="573">
        <f t="shared" si="27"/>
        <v>20.757464705882391</v>
      </c>
      <c r="AS68" s="573">
        <f t="shared" si="28"/>
        <v>20.39166064356435</v>
      </c>
      <c r="AT68" s="573">
        <f t="shared" si="29"/>
        <v>20.352455777460779</v>
      </c>
      <c r="AU68" s="573">
        <f t="shared" si="29"/>
        <v>20.900628175519621</v>
      </c>
    </row>
    <row r="69" spans="2:47">
      <c r="B69" s="4"/>
      <c r="C69" s="6"/>
      <c r="D69" s="4"/>
      <c r="E69" s="4"/>
      <c r="F69" s="4"/>
      <c r="G69" s="4"/>
      <c r="H69" s="4"/>
      <c r="I69" s="4"/>
      <c r="J69" s="4"/>
      <c r="K69" s="4"/>
      <c r="M69" s="68">
        <v>4</v>
      </c>
      <c r="N69" s="79">
        <v>90</v>
      </c>
      <c r="O69" s="512">
        <f t="shared" si="35"/>
        <v>8.1970659058137052E-2</v>
      </c>
      <c r="P69" s="512">
        <f t="shared" si="35"/>
        <v>0.10862903415152929</v>
      </c>
      <c r="Q69" s="512">
        <f t="shared" si="35"/>
        <v>7.5669350767044369E-2</v>
      </c>
      <c r="R69" s="513">
        <f t="shared" si="35"/>
        <v>0.12321067476559287</v>
      </c>
      <c r="S69" s="514">
        <f t="shared" si="35"/>
        <v>0.1060128349065918</v>
      </c>
      <c r="T69" s="514">
        <f t="shared" si="35"/>
        <v>0.10953548748578298</v>
      </c>
      <c r="U69" s="514">
        <f t="shared" ref="U69" si="38">U79/U$44</f>
        <v>0.11076448684851309</v>
      </c>
      <c r="V69" s="515"/>
      <c r="W69" s="515"/>
      <c r="X69" s="515"/>
      <c r="Y69" s="515"/>
      <c r="Z69" s="515"/>
      <c r="AD69" s="583"/>
      <c r="AE69" s="583"/>
      <c r="AF69" s="583"/>
      <c r="AG69" s="583"/>
      <c r="AI69" s="74" t="s">
        <v>206</v>
      </c>
      <c r="AJ69" s="575">
        <f>SUMPRODUCT(AD63:AD68,AJ63:AJ68)</f>
        <v>106182.2273</v>
      </c>
      <c r="AK69" s="575">
        <f>SUMPRODUCT(AE63:AE68,AK63:AK68)</f>
        <v>134322.223</v>
      </c>
      <c r="AL69" s="575">
        <f t="shared" ref="AL69:AM69" si="39">SUMPRODUCT(AF63:AF68,AL63:AL68)</f>
        <v>175832.24420503844</v>
      </c>
      <c r="AM69" s="575">
        <f t="shared" si="39"/>
        <v>218900.54008800571</v>
      </c>
      <c r="AS69" s="573"/>
    </row>
    <row r="70" spans="2:47">
      <c r="B70" s="4"/>
      <c r="C70" s="6"/>
      <c r="D70" s="4"/>
      <c r="E70" s="4"/>
      <c r="F70" s="4"/>
      <c r="G70" s="4"/>
      <c r="H70" s="4"/>
      <c r="I70" s="4"/>
      <c r="J70" s="4"/>
      <c r="K70" s="4"/>
      <c r="M70" s="68">
        <v>3</v>
      </c>
      <c r="N70" s="79">
        <v>50</v>
      </c>
      <c r="O70" s="512">
        <f t="shared" si="35"/>
        <v>0.1534897935220999</v>
      </c>
      <c r="P70" s="512">
        <f t="shared" si="35"/>
        <v>0.14586535232909015</v>
      </c>
      <c r="Q70" s="512">
        <f t="shared" si="35"/>
        <v>0.15793408991159752</v>
      </c>
      <c r="R70" s="513">
        <f t="shared" si="35"/>
        <v>0.17614115720457604</v>
      </c>
      <c r="S70" s="514">
        <f t="shared" si="35"/>
        <v>0.16730997855473953</v>
      </c>
      <c r="T70" s="514">
        <f t="shared" si="35"/>
        <v>0.17116942833768356</v>
      </c>
      <c r="U70" s="514">
        <f t="shared" ref="U70" si="40">U80/U$44</f>
        <v>0.19528551855350854</v>
      </c>
      <c r="V70" s="515"/>
      <c r="W70" s="69" t="s">
        <v>476</v>
      </c>
      <c r="X70" s="539"/>
      <c r="Y70" s="539"/>
      <c r="Z70" s="539"/>
      <c r="AD70" s="12"/>
      <c r="AE70" s="12"/>
      <c r="AF70" s="546"/>
      <c r="AH70" s="7"/>
      <c r="AI70" s="1417" t="s">
        <v>223</v>
      </c>
      <c r="AJ70" s="1418">
        <f>AJ69/X57</f>
        <v>0.85206782963150851</v>
      </c>
      <c r="AK70" s="1418">
        <f t="shared" ref="AK70:AM70" si="41">AK69/Y57</f>
        <v>0.83045518992177947</v>
      </c>
      <c r="AL70" s="1418">
        <f t="shared" si="41"/>
        <v>0.88822107600039624</v>
      </c>
      <c r="AM70" s="1418">
        <f t="shared" si="41"/>
        <v>0.92457044363815466</v>
      </c>
    </row>
    <row r="71" spans="2:47">
      <c r="B71" s="4"/>
      <c r="C71" s="6"/>
      <c r="D71" s="4"/>
      <c r="E71" s="4"/>
      <c r="F71" s="4"/>
      <c r="G71" s="4"/>
      <c r="H71" s="4"/>
      <c r="I71" s="4"/>
      <c r="J71" s="4"/>
      <c r="K71" s="4"/>
      <c r="M71" s="68">
        <v>2</v>
      </c>
      <c r="N71" s="79">
        <v>30</v>
      </c>
      <c r="O71" s="512">
        <f t="shared" si="35"/>
        <v>0.17288499330553184</v>
      </c>
      <c r="P71" s="512">
        <f t="shared" si="35"/>
        <v>0.1130062081981959</v>
      </c>
      <c r="Q71" s="512">
        <f t="shared" si="35"/>
        <v>0.13568123901547713</v>
      </c>
      <c r="R71" s="513">
        <f t="shared" si="35"/>
        <v>0.10063296096547202</v>
      </c>
      <c r="S71" s="514">
        <f t="shared" si="35"/>
        <v>0.18742338141338422</v>
      </c>
      <c r="T71" s="514">
        <f t="shared" si="35"/>
        <v>0.10920943084172302</v>
      </c>
      <c r="U71" s="514">
        <f t="shared" ref="U71" si="42">U81/U$44</f>
        <v>0.12983554020871291</v>
      </c>
      <c r="V71" s="515"/>
      <c r="W71" s="545"/>
      <c r="X71" s="564" t="s">
        <v>215</v>
      </c>
      <c r="Y71" s="565"/>
      <c r="Z71" s="566"/>
      <c r="AA71" s="1884" t="s">
        <v>216</v>
      </c>
      <c r="AB71" s="1885"/>
      <c r="AC71" s="1886"/>
      <c r="AD71" s="1884" t="s">
        <v>217</v>
      </c>
      <c r="AE71" s="1885"/>
      <c r="AF71" s="1886"/>
      <c r="AG71" s="1884" t="s">
        <v>218</v>
      </c>
      <c r="AH71" s="1885"/>
      <c r="AI71" s="1885"/>
      <c r="AJ71" s="718"/>
      <c r="AK71" s="718"/>
      <c r="AL71" s="718"/>
      <c r="AM71" s="718"/>
    </row>
    <row r="72" spans="2:47">
      <c r="B72" s="4"/>
      <c r="C72" s="6"/>
      <c r="D72" s="4"/>
      <c r="E72" s="4"/>
      <c r="F72" s="4"/>
      <c r="G72" s="4"/>
      <c r="H72" s="4"/>
      <c r="I72" s="4"/>
      <c r="J72" s="4"/>
      <c r="K72" s="4"/>
      <c r="M72" s="70">
        <v>1</v>
      </c>
      <c r="N72" s="78">
        <v>15</v>
      </c>
      <c r="O72" s="516">
        <f t="shared" si="35"/>
        <v>0.20402865019698194</v>
      </c>
      <c r="P72" s="516">
        <f t="shared" si="35"/>
        <v>0.15893012989554064</v>
      </c>
      <c r="Q72" s="516">
        <f t="shared" si="35"/>
        <v>0.14108767555401081</v>
      </c>
      <c r="R72" s="517">
        <f t="shared" si="35"/>
        <v>9.9070450744390512E-2</v>
      </c>
      <c r="S72" s="518">
        <f t="shared" si="35"/>
        <v>0.13577293964718848</v>
      </c>
      <c r="T72" s="518">
        <f t="shared" si="35"/>
        <v>0.14329329268891572</v>
      </c>
      <c r="U72" s="518">
        <f t="shared" ref="U72" si="43">U82/U$44</f>
        <v>0.16559622405040816</v>
      </c>
      <c r="V72" s="515"/>
      <c r="W72" s="547" t="s">
        <v>475</v>
      </c>
      <c r="X72" s="589" t="s">
        <v>472</v>
      </c>
      <c r="Y72" s="71" t="s">
        <v>473</v>
      </c>
      <c r="Z72" s="77" t="s">
        <v>474</v>
      </c>
      <c r="AA72" s="589" t="s">
        <v>472</v>
      </c>
      <c r="AB72" s="71" t="s">
        <v>473</v>
      </c>
      <c r="AC72" s="77" t="s">
        <v>474</v>
      </c>
      <c r="AD72" s="71" t="s">
        <v>472</v>
      </c>
      <c r="AE72" s="71" t="s">
        <v>473</v>
      </c>
      <c r="AF72" s="77" t="s">
        <v>474</v>
      </c>
      <c r="AG72" s="71" t="s">
        <v>472</v>
      </c>
      <c r="AH72" s="71" t="s">
        <v>473</v>
      </c>
      <c r="AI72" s="71" t="s">
        <v>474</v>
      </c>
    </row>
    <row r="73" spans="2:47">
      <c r="B73" s="4"/>
      <c r="C73" s="6"/>
      <c r="D73" s="4"/>
      <c r="E73" s="4"/>
      <c r="F73" s="4"/>
      <c r="G73" s="4"/>
      <c r="H73" s="4"/>
      <c r="I73" s="4"/>
      <c r="J73" s="4"/>
      <c r="K73" s="4"/>
      <c r="L73" s="12"/>
      <c r="M73" s="519" t="s">
        <v>221</v>
      </c>
      <c r="N73" s="520"/>
      <c r="O73" s="588">
        <f>SUM(O67:O72)</f>
        <v>0.91730459854382707</v>
      </c>
      <c r="P73" s="522">
        <f t="shared" ref="P73:U73" si="44">SUM(P67:P72)</f>
        <v>0.90413008512918258</v>
      </c>
      <c r="Q73" s="522">
        <f t="shared" si="44"/>
        <v>0.89290197233748347</v>
      </c>
      <c r="R73" s="523">
        <f t="shared" si="44"/>
        <v>0.9367737020974517</v>
      </c>
      <c r="S73" s="522">
        <f t="shared" si="44"/>
        <v>0.86601937443674248</v>
      </c>
      <c r="T73" s="522">
        <f t="shared" si="44"/>
        <v>0.87178229641403138</v>
      </c>
      <c r="U73" s="522">
        <f t="shared" si="44"/>
        <v>0.8615448431707875</v>
      </c>
      <c r="V73" s="515"/>
      <c r="W73" s="506">
        <v>180</v>
      </c>
      <c r="X73" s="1624">
        <f>X83/$AD63</f>
        <v>7.407407407407407E-2</v>
      </c>
      <c r="Y73" s="1625">
        <f t="shared" ref="Y73:Z73" si="45">Y83/$AD63</f>
        <v>0.14814814814814814</v>
      </c>
      <c r="Z73" s="1626">
        <f t="shared" si="45"/>
        <v>0.77777777777777779</v>
      </c>
      <c r="AA73" s="1627">
        <f>AA83/$AE63</f>
        <v>4.5454545454545456E-2</v>
      </c>
      <c r="AB73" s="1628">
        <f t="shared" ref="AB73:AC73" si="46">AB83/$AE63</f>
        <v>7.3863636363636367E-2</v>
      </c>
      <c r="AC73" s="1629">
        <f t="shared" si="46"/>
        <v>0.88068181818181823</v>
      </c>
      <c r="AD73" s="1645">
        <v>0.05</v>
      </c>
      <c r="AE73" s="1649">
        <v>7.0000000000000007E-2</v>
      </c>
      <c r="AF73" s="1650">
        <f>1-SUM(AD73:AE73)</f>
        <v>0.88</v>
      </c>
      <c r="AG73" s="1645">
        <v>7.0000000000000007E-2</v>
      </c>
      <c r="AH73" s="1649">
        <v>0.11</v>
      </c>
      <c r="AI73" s="1649">
        <f>1-SUM(AG73:AH73)</f>
        <v>0.82000000000000006</v>
      </c>
    </row>
    <row r="74" spans="2:47">
      <c r="B74" s="4"/>
      <c r="C74" s="6"/>
      <c r="D74" s="4"/>
      <c r="E74" s="4"/>
      <c r="F74" s="4"/>
      <c r="G74" s="4"/>
      <c r="H74" s="4"/>
      <c r="I74" s="4"/>
      <c r="J74" s="4"/>
      <c r="K74" s="4"/>
      <c r="V74" s="12"/>
      <c r="W74" s="506">
        <v>130</v>
      </c>
      <c r="X74" s="1624">
        <f t="shared" ref="X74:Z74" si="47">X84/$AD64</f>
        <v>4.7619047619047616E-2</v>
      </c>
      <c r="Y74" s="1625">
        <f t="shared" si="47"/>
        <v>0.35714285714285715</v>
      </c>
      <c r="Z74" s="1626">
        <f t="shared" si="47"/>
        <v>0.59523809523809523</v>
      </c>
      <c r="AA74" s="1627">
        <f t="shared" ref="AA74:AC74" si="48">AA84/$AE64</f>
        <v>0.08</v>
      </c>
      <c r="AB74" s="1628">
        <f t="shared" si="48"/>
        <v>0.36</v>
      </c>
      <c r="AC74" s="1629">
        <f t="shared" si="48"/>
        <v>0.56000000000000005</v>
      </c>
      <c r="AD74" s="1645">
        <v>0.08</v>
      </c>
      <c r="AE74" s="1649">
        <v>0.36</v>
      </c>
      <c r="AF74" s="1650">
        <f t="shared" ref="AF74:AF78" si="49">1-SUM(AD74:AE74)</f>
        <v>0.56000000000000005</v>
      </c>
      <c r="AG74" s="1645">
        <v>0.05</v>
      </c>
      <c r="AH74" s="1649">
        <v>0.35</v>
      </c>
      <c r="AI74" s="1649">
        <f t="shared" ref="AI74:AI78" si="50">1-SUM(AG74:AH74)</f>
        <v>0.60000000000000009</v>
      </c>
    </row>
    <row r="75" spans="2:47">
      <c r="B75" s="4"/>
      <c r="C75" s="6"/>
      <c r="D75" s="4"/>
      <c r="E75" s="4"/>
      <c r="F75" s="4"/>
      <c r="G75" s="4"/>
      <c r="H75" s="4"/>
      <c r="I75" s="4"/>
      <c r="J75" s="4"/>
      <c r="K75" s="4"/>
      <c r="V75" s="12"/>
      <c r="W75" s="75">
        <v>90</v>
      </c>
      <c r="X75" s="1624">
        <f t="shared" ref="X75:Z75" si="51">X85/$AD65</f>
        <v>0.25</v>
      </c>
      <c r="Y75" s="1625">
        <f t="shared" si="51"/>
        <v>0.3</v>
      </c>
      <c r="Z75" s="1626">
        <f t="shared" si="51"/>
        <v>0.45</v>
      </c>
      <c r="AA75" s="1627">
        <f t="shared" ref="AA75:AC75" si="52">AA85/$AE65</f>
        <v>0.12871287128712872</v>
      </c>
      <c r="AB75" s="1628">
        <f t="shared" si="52"/>
        <v>0.38613861386138615</v>
      </c>
      <c r="AC75" s="1629">
        <f t="shared" si="52"/>
        <v>0.48514851485148514</v>
      </c>
      <c r="AD75" s="1645">
        <v>0.13</v>
      </c>
      <c r="AE75" s="1649">
        <v>0.39</v>
      </c>
      <c r="AF75" s="1650">
        <f t="shared" si="49"/>
        <v>0.48</v>
      </c>
      <c r="AG75" s="1645">
        <v>0.24</v>
      </c>
      <c r="AH75" s="1649">
        <v>0.3</v>
      </c>
      <c r="AI75" s="1649">
        <f t="shared" si="50"/>
        <v>0.45999999999999996</v>
      </c>
    </row>
    <row r="76" spans="2:47">
      <c r="B76" s="4"/>
      <c r="C76" s="6"/>
      <c r="D76" s="4"/>
      <c r="E76" s="4"/>
      <c r="F76" s="4"/>
      <c r="G76" s="4"/>
      <c r="H76" s="4"/>
      <c r="I76" s="4"/>
      <c r="J76" s="4"/>
      <c r="K76" s="4"/>
      <c r="L76" s="80" t="s">
        <v>206</v>
      </c>
      <c r="M76" s="70" t="s">
        <v>20</v>
      </c>
      <c r="N76" s="78" t="s">
        <v>220</v>
      </c>
      <c r="O76" s="71" t="s">
        <v>208</v>
      </c>
      <c r="P76" s="72" t="s">
        <v>209</v>
      </c>
      <c r="Q76" s="72" t="s">
        <v>212</v>
      </c>
      <c r="R76" s="73" t="s">
        <v>211</v>
      </c>
      <c r="S76" s="71" t="s">
        <v>213</v>
      </c>
      <c r="T76" s="72" t="s">
        <v>214</v>
      </c>
      <c r="U76" s="72" t="s">
        <v>210</v>
      </c>
      <c r="V76" s="76"/>
      <c r="W76" s="75">
        <v>50</v>
      </c>
      <c r="X76" s="1624">
        <f t="shared" ref="X76:Z76" si="53">X86/$AD66</f>
        <v>0.27424749163879597</v>
      </c>
      <c r="Y76" s="1625">
        <f t="shared" si="53"/>
        <v>0.45819397993311034</v>
      </c>
      <c r="Z76" s="1626">
        <f t="shared" si="53"/>
        <v>0.26755852842809363</v>
      </c>
      <c r="AA76" s="1627">
        <f t="shared" ref="AA76:AC76" si="54">AA86/$AE66</f>
        <v>0.25268817204301075</v>
      </c>
      <c r="AB76" s="1628">
        <f t="shared" si="54"/>
        <v>0.50268817204301075</v>
      </c>
      <c r="AC76" s="1629">
        <f t="shared" si="54"/>
        <v>0.2446236559139785</v>
      </c>
      <c r="AD76" s="1645">
        <v>0.25</v>
      </c>
      <c r="AE76" s="1649">
        <v>0.5</v>
      </c>
      <c r="AF76" s="1650">
        <f t="shared" si="49"/>
        <v>0.25</v>
      </c>
      <c r="AG76" s="1645">
        <v>0.27</v>
      </c>
      <c r="AH76" s="1649">
        <v>0.46</v>
      </c>
      <c r="AI76" s="1649">
        <f t="shared" si="50"/>
        <v>0.27</v>
      </c>
    </row>
    <row r="77" spans="2:47">
      <c r="B77" s="4"/>
      <c r="C77" s="6"/>
      <c r="D77" s="4"/>
      <c r="E77" s="4"/>
      <c r="F77" s="4"/>
      <c r="G77" s="4"/>
      <c r="H77" s="4"/>
      <c r="I77" s="4"/>
      <c r="J77" s="4"/>
      <c r="K77" s="4"/>
      <c r="M77" s="68">
        <v>6</v>
      </c>
      <c r="N77" s="79">
        <v>180</v>
      </c>
      <c r="O77" s="494">
        <v>8134.982</v>
      </c>
      <c r="P77" s="494">
        <v>20966.0625</v>
      </c>
      <c r="Q77" s="494">
        <v>26000.927500000005</v>
      </c>
      <c r="R77" s="495">
        <v>44059.562499999993</v>
      </c>
      <c r="S77" s="496">
        <v>12761.67599999999</v>
      </c>
      <c r="T77" s="496">
        <v>27182.024500000003</v>
      </c>
      <c r="U77" s="496">
        <v>21076.047499999993</v>
      </c>
      <c r="V77" s="864"/>
      <c r="W77" s="75">
        <v>30</v>
      </c>
      <c r="X77" s="1624">
        <f t="shared" ref="X77:Z77" si="55">X87/$AD67</f>
        <v>0.43825665859564167</v>
      </c>
      <c r="Y77" s="1625">
        <f t="shared" si="55"/>
        <v>0.45278450363196127</v>
      </c>
      <c r="Z77" s="1626">
        <f t="shared" si="55"/>
        <v>0.10895883777239709</v>
      </c>
      <c r="AA77" s="1627">
        <f t="shared" ref="AA77:AC77" si="56">AA87/$AE67</f>
        <v>0.54214123006833714</v>
      </c>
      <c r="AB77" s="1628">
        <f t="shared" si="56"/>
        <v>0.36902050113895218</v>
      </c>
      <c r="AC77" s="1629">
        <f t="shared" si="56"/>
        <v>8.8838268792710701E-2</v>
      </c>
      <c r="AD77" s="1645">
        <v>0.54</v>
      </c>
      <c r="AE77" s="1649">
        <v>0.37</v>
      </c>
      <c r="AF77" s="1650">
        <f t="shared" si="49"/>
        <v>8.9999999999999969E-2</v>
      </c>
      <c r="AG77" s="1645">
        <v>0.42</v>
      </c>
      <c r="AH77" s="1649">
        <v>0.45</v>
      </c>
      <c r="AI77" s="1649">
        <f t="shared" si="50"/>
        <v>0.13</v>
      </c>
    </row>
    <row r="78" spans="2:47">
      <c r="B78" s="4"/>
      <c r="C78" s="6"/>
      <c r="D78" s="4"/>
      <c r="E78" s="4"/>
      <c r="F78" s="4"/>
      <c r="G78" s="4"/>
      <c r="H78" s="4"/>
      <c r="I78" s="4"/>
      <c r="J78" s="4"/>
      <c r="K78" s="4"/>
      <c r="M78" s="68">
        <v>5</v>
      </c>
      <c r="N78" s="79">
        <v>130</v>
      </c>
      <c r="O78" s="494">
        <v>3390.4390000000003</v>
      </c>
      <c r="P78" s="494">
        <v>4402.6850000000013</v>
      </c>
      <c r="Q78" s="494">
        <v>5626.6090000000004</v>
      </c>
      <c r="R78" s="495">
        <v>10508.934999999998</v>
      </c>
      <c r="S78" s="496">
        <v>3590.6635000000001</v>
      </c>
      <c r="T78" s="496">
        <v>6528.3380000000016</v>
      </c>
      <c r="U78" s="496">
        <v>7349.280999999999</v>
      </c>
      <c r="V78" s="864"/>
      <c r="W78" s="75">
        <v>15</v>
      </c>
      <c r="X78" s="1624">
        <f t="shared" ref="X78:Z78" si="57">X88/$AD68</f>
        <v>0.7665929203539823</v>
      </c>
      <c r="Y78" s="1625">
        <f t="shared" si="57"/>
        <v>0.22787610619469026</v>
      </c>
      <c r="Z78" s="1626">
        <f t="shared" si="57"/>
        <v>5.5309734513274336E-3</v>
      </c>
      <c r="AA78" s="1627">
        <f t="shared" ref="AA78:AC78" si="58">AA88/$AE68</f>
        <v>0.76049129989764586</v>
      </c>
      <c r="AB78" s="1628">
        <f t="shared" si="58"/>
        <v>0.23541453428863868</v>
      </c>
      <c r="AC78" s="1629">
        <f t="shared" si="58"/>
        <v>4.0941658137154556E-3</v>
      </c>
      <c r="AD78" s="1645">
        <v>0.75</v>
      </c>
      <c r="AE78" s="1649">
        <v>0.24</v>
      </c>
      <c r="AF78" s="1650">
        <f t="shared" si="49"/>
        <v>1.0000000000000009E-2</v>
      </c>
      <c r="AG78" s="1645">
        <v>0.76</v>
      </c>
      <c r="AH78" s="1649">
        <v>0.23</v>
      </c>
      <c r="AI78" s="1649">
        <f t="shared" si="50"/>
        <v>1.0000000000000009E-2</v>
      </c>
    </row>
    <row r="79" spans="2:47">
      <c r="B79" s="4"/>
      <c r="C79" s="6"/>
      <c r="D79" s="4"/>
      <c r="E79" s="4"/>
      <c r="F79" s="4"/>
      <c r="G79" s="4"/>
      <c r="H79" s="4"/>
      <c r="I79" s="4"/>
      <c r="J79" s="4"/>
      <c r="K79" s="4"/>
      <c r="M79" s="68">
        <v>4</v>
      </c>
      <c r="N79" s="79">
        <v>90</v>
      </c>
      <c r="O79" s="494">
        <v>3098.2350000000006</v>
      </c>
      <c r="P79" s="494">
        <v>7296.2330000000002</v>
      </c>
      <c r="Q79" s="494">
        <v>6256.3395000000037</v>
      </c>
      <c r="R79" s="495">
        <v>15360.150499999998</v>
      </c>
      <c r="S79" s="496">
        <v>6432.4909999999991</v>
      </c>
      <c r="T79" s="496">
        <v>10905.957999999999</v>
      </c>
      <c r="U79" s="496">
        <v>12106.743499999999</v>
      </c>
      <c r="V79" s="864"/>
      <c r="W79" s="497"/>
      <c r="X79" s="497"/>
      <c r="Y79" s="497"/>
      <c r="Z79" s="497"/>
    </row>
    <row r="80" spans="2:47">
      <c r="B80" s="4"/>
      <c r="C80" s="6"/>
      <c r="D80" s="4"/>
      <c r="E80" s="4"/>
      <c r="F80" s="4"/>
      <c r="G80" s="4"/>
      <c r="H80" s="4"/>
      <c r="I80" s="4"/>
      <c r="J80" s="4"/>
      <c r="K80" s="4"/>
      <c r="M80" s="68">
        <v>3</v>
      </c>
      <c r="N80" s="79">
        <v>50</v>
      </c>
      <c r="O80" s="494">
        <v>5801.4350000000004</v>
      </c>
      <c r="P80" s="494">
        <v>9797.2665000000052</v>
      </c>
      <c r="Q80" s="494">
        <v>13057.985500000004</v>
      </c>
      <c r="R80" s="495">
        <v>21958.768500000013</v>
      </c>
      <c r="S80" s="496">
        <v>10151.789000000002</v>
      </c>
      <c r="T80" s="496">
        <v>17042.573499999999</v>
      </c>
      <c r="U80" s="496">
        <v>21345.033499999976</v>
      </c>
      <c r="V80" s="864"/>
      <c r="W80" s="69" t="s">
        <v>219</v>
      </c>
      <c r="X80" s="539"/>
      <c r="Y80" s="539"/>
      <c r="Z80" s="539"/>
      <c r="AD80" s="12"/>
      <c r="AE80" s="12"/>
      <c r="AF80" s="546"/>
    </row>
    <row r="81" spans="2:35">
      <c r="B81" s="4"/>
      <c r="C81" s="6"/>
      <c r="D81" s="4"/>
      <c r="E81" s="4"/>
      <c r="F81" s="4"/>
      <c r="G81" s="4"/>
      <c r="H81" s="4"/>
      <c r="I81" s="4"/>
      <c r="J81" s="4"/>
      <c r="K81" s="4"/>
      <c r="M81" s="68">
        <v>2</v>
      </c>
      <c r="N81" s="79">
        <v>30</v>
      </c>
      <c r="O81" s="494">
        <v>6534.5130000000026</v>
      </c>
      <c r="P81" s="494">
        <v>7590.2324999999992</v>
      </c>
      <c r="Q81" s="494">
        <v>11218.120499999999</v>
      </c>
      <c r="R81" s="495">
        <v>12545.483000000007</v>
      </c>
      <c r="S81" s="496">
        <v>11372.200500000003</v>
      </c>
      <c r="T81" s="496">
        <v>10873.493999999995</v>
      </c>
      <c r="U81" s="496">
        <v>14191.241500000004</v>
      </c>
      <c r="V81" s="864"/>
      <c r="W81" s="545"/>
      <c r="X81" s="1884" t="s">
        <v>215</v>
      </c>
      <c r="Y81" s="1885"/>
      <c r="Z81" s="1886"/>
      <c r="AA81" s="1884" t="s">
        <v>216</v>
      </c>
      <c r="AB81" s="1885"/>
      <c r="AC81" s="1886"/>
      <c r="AD81" s="1884" t="s">
        <v>217</v>
      </c>
      <c r="AE81" s="1885"/>
      <c r="AF81" s="1886"/>
      <c r="AG81" s="1884" t="s">
        <v>218</v>
      </c>
      <c r="AH81" s="1885"/>
      <c r="AI81" s="1885"/>
    </row>
    <row r="82" spans="2:35">
      <c r="B82" s="4"/>
      <c r="C82" s="6"/>
      <c r="D82" s="4"/>
      <c r="E82" s="4"/>
      <c r="F82" s="4"/>
      <c r="G82" s="4"/>
      <c r="H82" s="4"/>
      <c r="I82" s="4"/>
      <c r="J82" s="4"/>
      <c r="K82" s="4"/>
      <c r="M82" s="70">
        <v>1</v>
      </c>
      <c r="N82" s="78">
        <v>15</v>
      </c>
      <c r="O82" s="524">
        <v>7711.6460000000015</v>
      </c>
      <c r="P82" s="524">
        <v>10674.782000000001</v>
      </c>
      <c r="Q82" s="524">
        <v>11665.124499999994</v>
      </c>
      <c r="R82" s="525">
        <v>12350.691500000023</v>
      </c>
      <c r="S82" s="526">
        <v>8238.2308999999968</v>
      </c>
      <c r="T82" s="526">
        <v>14267.071500000007</v>
      </c>
      <c r="U82" s="526">
        <v>18099.943999999992</v>
      </c>
      <c r="V82" s="864"/>
      <c r="W82" s="547" t="s">
        <v>475</v>
      </c>
      <c r="X82" s="548" t="s">
        <v>472</v>
      </c>
      <c r="Y82" s="70" t="s">
        <v>473</v>
      </c>
      <c r="Z82" s="78" t="s">
        <v>474</v>
      </c>
      <c r="AA82" s="548" t="s">
        <v>472</v>
      </c>
      <c r="AB82" s="70" t="s">
        <v>473</v>
      </c>
      <c r="AC82" s="78" t="s">
        <v>474</v>
      </c>
      <c r="AD82" s="70" t="s">
        <v>472</v>
      </c>
      <c r="AE82" s="70" t="s">
        <v>473</v>
      </c>
      <c r="AF82" s="78" t="s">
        <v>474</v>
      </c>
      <c r="AG82" s="70" t="s">
        <v>472</v>
      </c>
      <c r="AH82" s="70" t="s">
        <v>473</v>
      </c>
      <c r="AI82" s="70" t="s">
        <v>474</v>
      </c>
    </row>
    <row r="83" spans="2:35">
      <c r="B83" s="4"/>
      <c r="C83" s="6"/>
      <c r="D83" s="4"/>
      <c r="E83" s="4"/>
      <c r="F83" s="4"/>
      <c r="G83" s="4"/>
      <c r="H83" s="4"/>
      <c r="I83" s="4"/>
      <c r="J83" s="4"/>
      <c r="K83" s="4"/>
      <c r="L83" s="12"/>
      <c r="M83" s="519" t="s">
        <v>221</v>
      </c>
      <c r="N83" s="520"/>
      <c r="O83" s="527">
        <f>SUM(O77:O82)</f>
        <v>34671.250000000007</v>
      </c>
      <c r="P83" s="528">
        <f t="shared" ref="P83:U83" si="59">SUM(P77:P82)</f>
        <v>60727.261500000001</v>
      </c>
      <c r="Q83" s="528">
        <f t="shared" si="59"/>
        <v>73825.106500000009</v>
      </c>
      <c r="R83" s="529">
        <f t="shared" si="59"/>
        <v>116783.59100000001</v>
      </c>
      <c r="S83" s="528">
        <f t="shared" si="59"/>
        <v>52547.050899999987</v>
      </c>
      <c r="T83" s="528">
        <f t="shared" si="59"/>
        <v>86799.459499999997</v>
      </c>
      <c r="U83" s="528">
        <f t="shared" si="59"/>
        <v>94168.290999999968</v>
      </c>
      <c r="V83" s="541"/>
      <c r="W83" s="506">
        <v>180</v>
      </c>
      <c r="X83" s="1618">
        <v>10</v>
      </c>
      <c r="Y83" s="578">
        <v>20</v>
      </c>
      <c r="Z83" s="1619">
        <v>105</v>
      </c>
      <c r="AA83" s="1631">
        <v>8</v>
      </c>
      <c r="AB83" s="579">
        <v>13</v>
      </c>
      <c r="AC83" s="1630">
        <v>155</v>
      </c>
      <c r="AD83" s="557">
        <f>AD73*$AF63</f>
        <v>11.130629751780001</v>
      </c>
      <c r="AE83" s="558">
        <f t="shared" ref="AE83:AF83" si="60">AE73*$AF63</f>
        <v>15.582881652492002</v>
      </c>
      <c r="AF83" s="559">
        <f t="shared" si="60"/>
        <v>195.89908363132801</v>
      </c>
      <c r="AG83" s="557">
        <f>AG73*$AG63</f>
        <v>18.940226958037012</v>
      </c>
      <c r="AH83" s="558">
        <f t="shared" ref="AH83:AI83" si="61">AH73*$AG63</f>
        <v>29.763213791201018</v>
      </c>
      <c r="AI83" s="558">
        <f t="shared" si="61"/>
        <v>221.87123007986216</v>
      </c>
    </row>
    <row r="84" spans="2:35">
      <c r="B84" s="4"/>
      <c r="C84" s="6"/>
      <c r="D84" s="4"/>
      <c r="E84" s="4"/>
      <c r="F84" s="4"/>
      <c r="G84" s="4"/>
      <c r="H84" s="4"/>
      <c r="I84" s="4"/>
      <c r="J84" s="4"/>
      <c r="K84" s="4"/>
      <c r="V84" s="12"/>
      <c r="W84" s="506">
        <v>130</v>
      </c>
      <c r="X84" s="1618">
        <v>2</v>
      </c>
      <c r="Y84" s="578">
        <v>15</v>
      </c>
      <c r="Z84" s="1619">
        <v>25</v>
      </c>
      <c r="AA84" s="1631">
        <v>4</v>
      </c>
      <c r="AB84" s="579">
        <v>18</v>
      </c>
      <c r="AC84" s="1630">
        <v>28</v>
      </c>
      <c r="AD84" s="557">
        <f t="shared" ref="AD84:AF84" si="62">AD74*$AF64</f>
        <v>5.0882878865280006</v>
      </c>
      <c r="AE84" s="558">
        <f t="shared" si="62"/>
        <v>22.897295489375999</v>
      </c>
      <c r="AF84" s="559">
        <f t="shared" si="62"/>
        <v>35.618015205696004</v>
      </c>
      <c r="AG84" s="557">
        <f t="shared" ref="AG84:AH84" si="63">AG74*$AG64</f>
        <v>3.865352440415716</v>
      </c>
      <c r="AH84" s="558">
        <f t="shared" si="63"/>
        <v>27.057467082910012</v>
      </c>
      <c r="AI84" s="576">
        <f>AI74*$AG64</f>
        <v>46.384229284988599</v>
      </c>
    </row>
    <row r="85" spans="2:35">
      <c r="B85" s="4"/>
      <c r="C85" s="6"/>
      <c r="D85" s="4"/>
      <c r="E85" s="4"/>
      <c r="F85" s="4"/>
      <c r="G85" s="4"/>
      <c r="H85" s="4"/>
      <c r="I85" s="4"/>
      <c r="J85" s="4"/>
      <c r="K85" s="4"/>
      <c r="M85" s="67"/>
      <c r="N85" s="67"/>
      <c r="O85" s="67"/>
      <c r="P85" s="4"/>
      <c r="Q85" s="4"/>
      <c r="R85" s="4"/>
      <c r="S85" s="4"/>
      <c r="T85" s="4"/>
      <c r="U85" s="4"/>
      <c r="V85" s="539"/>
      <c r="W85" s="75">
        <v>90</v>
      </c>
      <c r="X85" s="1618">
        <v>20</v>
      </c>
      <c r="Y85" s="578">
        <v>24</v>
      </c>
      <c r="Z85" s="1619">
        <v>36</v>
      </c>
      <c r="AA85" s="1631">
        <v>13</v>
      </c>
      <c r="AB85" s="579">
        <v>39</v>
      </c>
      <c r="AC85" s="1630">
        <v>49</v>
      </c>
      <c r="AD85" s="557">
        <f t="shared" ref="AD85:AF85" si="64">AD75*$AF65</f>
        <v>16.536935631216</v>
      </c>
      <c r="AE85" s="558">
        <f t="shared" si="64"/>
        <v>49.610806893648004</v>
      </c>
      <c r="AF85" s="559">
        <f t="shared" si="64"/>
        <v>61.059454638336</v>
      </c>
      <c r="AG85" s="557">
        <f t="shared" ref="AG85:AI85" si="65">AG75*$AG65</f>
        <v>46.384229284988592</v>
      </c>
      <c r="AH85" s="558">
        <f t="shared" si="65"/>
        <v>57.980286606235737</v>
      </c>
      <c r="AI85" s="558">
        <f t="shared" si="65"/>
        <v>88.903106129561465</v>
      </c>
    </row>
    <row r="86" spans="2:35">
      <c r="B86" s="4"/>
      <c r="C86" s="6"/>
      <c r="D86" s="4"/>
      <c r="E86" s="4"/>
      <c r="F86" s="4"/>
      <c r="G86" s="4"/>
      <c r="H86" s="4"/>
      <c r="I86" s="4"/>
      <c r="J86" s="4"/>
      <c r="K86" s="4"/>
      <c r="L86" s="80" t="s">
        <v>466</v>
      </c>
      <c r="M86" s="70" t="s">
        <v>20</v>
      </c>
      <c r="N86" s="78" t="s">
        <v>220</v>
      </c>
      <c r="O86" s="71" t="s">
        <v>208</v>
      </c>
      <c r="P86" s="72" t="s">
        <v>209</v>
      </c>
      <c r="Q86" s="72" t="s">
        <v>212</v>
      </c>
      <c r="R86" s="73" t="s">
        <v>211</v>
      </c>
      <c r="S86" s="71" t="s">
        <v>213</v>
      </c>
      <c r="T86" s="72" t="s">
        <v>214</v>
      </c>
      <c r="U86" s="72" t="s">
        <v>210</v>
      </c>
      <c r="V86" s="76"/>
      <c r="W86" s="75">
        <v>50</v>
      </c>
      <c r="X86" s="1618">
        <v>82</v>
      </c>
      <c r="Y86" s="578">
        <v>137</v>
      </c>
      <c r="Z86" s="1619">
        <v>80</v>
      </c>
      <c r="AA86" s="1631">
        <v>94</v>
      </c>
      <c r="AB86" s="579">
        <v>187</v>
      </c>
      <c r="AC86" s="1630">
        <v>91</v>
      </c>
      <c r="AD86" s="557">
        <f t="shared" ref="AD86:AF86" si="66">AD76*$AF66</f>
        <v>135.15764698590002</v>
      </c>
      <c r="AE86" s="558">
        <f t="shared" si="66"/>
        <v>270.31529397180003</v>
      </c>
      <c r="AF86" s="559">
        <f t="shared" si="66"/>
        <v>135.15764698590002</v>
      </c>
      <c r="AG86" s="557">
        <f t="shared" ref="AG86:AI86" si="67">AG76*$AG66</f>
        <v>187.8561286042038</v>
      </c>
      <c r="AH86" s="558">
        <f t="shared" si="67"/>
        <v>320.05118206642129</v>
      </c>
      <c r="AI86" s="558">
        <f t="shared" si="67"/>
        <v>187.8561286042038</v>
      </c>
    </row>
    <row r="87" spans="2:35">
      <c r="B87" s="4"/>
      <c r="C87" s="6"/>
      <c r="D87" s="4"/>
      <c r="E87" s="4"/>
      <c r="F87" s="4"/>
      <c r="G87" s="4"/>
      <c r="H87" s="4"/>
      <c r="I87" s="4"/>
      <c r="J87" s="4"/>
      <c r="K87" s="4"/>
      <c r="M87" s="68">
        <v>6</v>
      </c>
      <c r="N87" s="473">
        <v>180</v>
      </c>
      <c r="O87" s="494">
        <v>1435.1397784999999</v>
      </c>
      <c r="P87" s="494">
        <v>3502.4266657500002</v>
      </c>
      <c r="Q87" s="494">
        <v>4709.5297240000009</v>
      </c>
      <c r="R87" s="495">
        <v>7437.5777847499976</v>
      </c>
      <c r="S87" s="496">
        <v>1891.1460989999998</v>
      </c>
      <c r="T87" s="496">
        <v>4319.1136937500005</v>
      </c>
      <c r="U87" s="496">
        <v>3723.3418022499995</v>
      </c>
      <c r="V87" s="497"/>
      <c r="W87" s="75">
        <v>30</v>
      </c>
      <c r="X87" s="1618">
        <v>181</v>
      </c>
      <c r="Y87" s="578">
        <v>187</v>
      </c>
      <c r="Z87" s="1619">
        <v>45</v>
      </c>
      <c r="AA87" s="1631">
        <v>238</v>
      </c>
      <c r="AB87" s="579">
        <v>162</v>
      </c>
      <c r="AC87" s="1630">
        <v>39</v>
      </c>
      <c r="AD87" s="557">
        <f t="shared" ref="AD87:AF87" si="68">AD77*$AF67</f>
        <v>360.63240395767201</v>
      </c>
      <c r="AE87" s="558">
        <f t="shared" si="68"/>
        <v>247.09998048951599</v>
      </c>
      <c r="AF87" s="559">
        <f t="shared" si="68"/>
        <v>60.105400659611973</v>
      </c>
      <c r="AG87" s="557">
        <f t="shared" ref="AG87:AI87" si="69">AG77*$AG67</f>
        <v>357.15856549441219</v>
      </c>
      <c r="AH87" s="558">
        <f>AH77*$AG67</f>
        <v>382.66989160115594</v>
      </c>
      <c r="AI87" s="558">
        <f t="shared" si="69"/>
        <v>110.54907979588948</v>
      </c>
    </row>
    <row r="88" spans="2:35">
      <c r="B88" s="4"/>
      <c r="C88" s="6"/>
      <c r="D88" s="4"/>
      <c r="E88" s="4"/>
      <c r="F88" s="4"/>
      <c r="G88" s="4"/>
      <c r="H88" s="4"/>
      <c r="I88" s="4"/>
      <c r="J88" s="4"/>
      <c r="K88" s="4"/>
      <c r="M88" s="68">
        <v>5</v>
      </c>
      <c r="N88" s="473">
        <v>130</v>
      </c>
      <c r="O88" s="494">
        <v>469.06116550000002</v>
      </c>
      <c r="P88" s="494">
        <v>619.80413150000004</v>
      </c>
      <c r="Q88" s="494">
        <v>746.32786350000015</v>
      </c>
      <c r="R88" s="495">
        <v>1337.99921025</v>
      </c>
      <c r="S88" s="496">
        <v>451.43083474999992</v>
      </c>
      <c r="T88" s="496">
        <v>796.01147049999975</v>
      </c>
      <c r="U88" s="496">
        <v>1008.3208649999999</v>
      </c>
      <c r="V88" s="497"/>
      <c r="W88" s="75">
        <v>15</v>
      </c>
      <c r="X88" s="1618">
        <v>693</v>
      </c>
      <c r="Y88" s="578">
        <v>206</v>
      </c>
      <c r="Z88" s="1619">
        <v>5</v>
      </c>
      <c r="AA88" s="1631">
        <v>743</v>
      </c>
      <c r="AB88" s="579">
        <v>230</v>
      </c>
      <c r="AC88" s="1630">
        <v>4</v>
      </c>
      <c r="AD88" s="557">
        <f t="shared" ref="AD88:AF88" si="70">AD78*$AF68</f>
        <v>1168.7161239369</v>
      </c>
      <c r="AE88" s="558">
        <f t="shared" si="70"/>
        <v>373.98915965980797</v>
      </c>
      <c r="AF88" s="559">
        <f t="shared" si="70"/>
        <v>15.582881652492013</v>
      </c>
      <c r="AG88" s="557">
        <f t="shared" ref="AG88:AI88" si="71">AG78*$AG68</f>
        <v>1351.3272131693343</v>
      </c>
      <c r="AH88" s="558">
        <f t="shared" si="71"/>
        <v>408.95428819598277</v>
      </c>
      <c r="AI88" s="558">
        <f t="shared" si="71"/>
        <v>17.780621225912309</v>
      </c>
    </row>
    <row r="89" spans="2:35">
      <c r="B89" s="4"/>
      <c r="C89" s="6"/>
      <c r="D89" s="4"/>
      <c r="E89" s="4"/>
      <c r="F89" s="4"/>
      <c r="G89" s="4"/>
      <c r="H89" s="4"/>
      <c r="I89" s="4"/>
      <c r="J89" s="4"/>
      <c r="K89" s="4"/>
      <c r="M89" s="68">
        <v>4</v>
      </c>
      <c r="N89" s="473">
        <v>90</v>
      </c>
      <c r="O89" s="494">
        <v>282.71735949999999</v>
      </c>
      <c r="P89" s="494">
        <v>733.98965649999991</v>
      </c>
      <c r="Q89" s="494">
        <v>620.25670724999986</v>
      </c>
      <c r="R89" s="495">
        <v>1516.3231317500004</v>
      </c>
      <c r="S89" s="496">
        <v>585.98960674999978</v>
      </c>
      <c r="T89" s="496">
        <v>1056.7026572500001</v>
      </c>
      <c r="U89" s="496">
        <v>1166.8051729999995</v>
      </c>
      <c r="V89" s="497"/>
      <c r="W89" s="497"/>
      <c r="X89" s="497"/>
      <c r="Y89" s="497"/>
      <c r="Z89" s="497"/>
    </row>
    <row r="90" spans="2:35">
      <c r="B90" s="4"/>
      <c r="C90" s="6"/>
      <c r="D90" s="4"/>
      <c r="E90" s="4"/>
      <c r="F90" s="4"/>
      <c r="G90" s="4"/>
      <c r="H90" s="4"/>
      <c r="I90" s="4"/>
      <c r="J90" s="4"/>
      <c r="K90" s="4"/>
      <c r="M90" s="68">
        <v>3</v>
      </c>
      <c r="N90" s="473">
        <v>50</v>
      </c>
      <c r="O90" s="494">
        <v>387.21809300000001</v>
      </c>
      <c r="P90" s="494">
        <v>607.08614799999998</v>
      </c>
      <c r="Q90" s="494">
        <v>835.6835462500004</v>
      </c>
      <c r="R90" s="495">
        <v>1351.7052757499982</v>
      </c>
      <c r="S90" s="496">
        <v>591.73746199999994</v>
      </c>
      <c r="T90" s="496">
        <v>984.19049775000087</v>
      </c>
      <c r="U90" s="496">
        <v>1306.5338177500007</v>
      </c>
      <c r="V90" s="497"/>
      <c r="W90" s="497"/>
      <c r="X90" s="497"/>
      <c r="Y90" s="497"/>
      <c r="Z90" s="497"/>
    </row>
    <row r="91" spans="2:35">
      <c r="B91" s="4"/>
      <c r="C91" s="6"/>
      <c r="D91" s="4"/>
      <c r="E91" s="4"/>
      <c r="F91" s="4"/>
      <c r="G91" s="4"/>
      <c r="H91" s="4"/>
      <c r="I91" s="4"/>
      <c r="J91" s="4"/>
      <c r="K91" s="4"/>
      <c r="M91" s="68">
        <v>2</v>
      </c>
      <c r="N91" s="473">
        <v>30</v>
      </c>
      <c r="O91" s="494">
        <v>293.03679550000015</v>
      </c>
      <c r="P91" s="494">
        <v>357.31360550000005</v>
      </c>
      <c r="Q91" s="494">
        <v>541.52152075000004</v>
      </c>
      <c r="R91" s="495">
        <v>554.17165424999939</v>
      </c>
      <c r="S91" s="496">
        <v>422.21962074999976</v>
      </c>
      <c r="T91" s="496">
        <v>450.28582050000006</v>
      </c>
      <c r="U91" s="496">
        <v>608.76381125000012</v>
      </c>
      <c r="V91" s="497"/>
      <c r="W91" s="69" t="s">
        <v>206</v>
      </c>
      <c r="X91" s="539"/>
      <c r="Y91" s="539"/>
      <c r="Z91" s="539"/>
      <c r="AD91" s="12"/>
      <c r="AE91" s="12"/>
      <c r="AF91" s="546"/>
    </row>
    <row r="92" spans="2:35">
      <c r="B92" s="4"/>
      <c r="C92" s="6"/>
      <c r="D92" s="4"/>
      <c r="E92" s="4"/>
      <c r="F92" s="4"/>
      <c r="G92" s="4"/>
      <c r="H92" s="4"/>
      <c r="I92" s="4"/>
      <c r="J92" s="4"/>
      <c r="K92" s="4"/>
      <c r="M92" s="70">
        <v>1</v>
      </c>
      <c r="N92" s="78">
        <v>15</v>
      </c>
      <c r="O92" s="524">
        <v>205.62805410000004</v>
      </c>
      <c r="P92" s="524">
        <v>299.0346638000002</v>
      </c>
      <c r="Q92" s="524">
        <v>333.53612229999982</v>
      </c>
      <c r="R92" s="525">
        <v>339.25307309999965</v>
      </c>
      <c r="S92" s="526">
        <v>212.96053360000005</v>
      </c>
      <c r="T92" s="526">
        <v>376.55978379999937</v>
      </c>
      <c r="U92" s="526">
        <v>495.83968760000005</v>
      </c>
      <c r="V92" s="497"/>
      <c r="W92" s="545"/>
      <c r="X92" s="1884" t="s">
        <v>215</v>
      </c>
      <c r="Y92" s="1885"/>
      <c r="Z92" s="1886"/>
      <c r="AA92" s="1884" t="s">
        <v>216</v>
      </c>
      <c r="AB92" s="1885"/>
      <c r="AC92" s="1886"/>
      <c r="AD92" s="1884" t="s">
        <v>217</v>
      </c>
      <c r="AE92" s="1885"/>
      <c r="AF92" s="1886"/>
      <c r="AG92" s="1884" t="s">
        <v>218</v>
      </c>
      <c r="AH92" s="1885"/>
      <c r="AI92" s="1885"/>
    </row>
    <row r="93" spans="2:35">
      <c r="B93" s="4"/>
      <c r="C93" s="6"/>
      <c r="D93" s="4"/>
      <c r="E93" s="4"/>
      <c r="F93" s="4"/>
      <c r="G93" s="4"/>
      <c r="H93" s="4"/>
      <c r="I93" s="4"/>
      <c r="J93" s="4"/>
      <c r="K93" s="4"/>
      <c r="L93" s="12"/>
      <c r="M93" s="519" t="s">
        <v>221</v>
      </c>
      <c r="N93" s="520"/>
      <c r="O93" s="527">
        <f>SUM(O87:O92)</f>
        <v>3072.8012461000003</v>
      </c>
      <c r="P93" s="528">
        <f t="shared" ref="P93" si="72">SUM(P87:P92)</f>
        <v>6119.654871050001</v>
      </c>
      <c r="Q93" s="528">
        <f t="shared" ref="Q93" si="73">SUM(Q87:Q92)</f>
        <v>7786.8554840500001</v>
      </c>
      <c r="R93" s="529">
        <f t="shared" ref="R93" si="74">SUM(R87:R92)</f>
        <v>12537.030129849996</v>
      </c>
      <c r="S93" s="528">
        <f t="shared" ref="S93" si="75">SUM(S87:S92)</f>
        <v>4155.4841568499996</v>
      </c>
      <c r="T93" s="528">
        <f t="shared" ref="T93" si="76">SUM(T87:T92)</f>
        <v>7982.8639235500004</v>
      </c>
      <c r="U93" s="528">
        <f t="shared" ref="U93" si="77">SUM(U87:U92)</f>
        <v>8309.6051568500006</v>
      </c>
      <c r="V93" s="541"/>
      <c r="W93" s="547" t="s">
        <v>475</v>
      </c>
      <c r="X93" s="548" t="s">
        <v>472</v>
      </c>
      <c r="Y93" s="70" t="s">
        <v>473</v>
      </c>
      <c r="Z93" s="78" t="s">
        <v>474</v>
      </c>
      <c r="AA93" s="548" t="s">
        <v>472</v>
      </c>
      <c r="AB93" s="70" t="s">
        <v>473</v>
      </c>
      <c r="AC93" s="78" t="s">
        <v>474</v>
      </c>
      <c r="AD93" s="70" t="s">
        <v>472</v>
      </c>
      <c r="AE93" s="70" t="s">
        <v>473</v>
      </c>
      <c r="AF93" s="78" t="s">
        <v>474</v>
      </c>
      <c r="AG93" s="70" t="s">
        <v>472</v>
      </c>
      <c r="AH93" s="70" t="s">
        <v>473</v>
      </c>
      <c r="AI93" s="70" t="s">
        <v>474</v>
      </c>
    </row>
    <row r="94" spans="2:35">
      <c r="B94" s="4"/>
      <c r="C94" s="6"/>
      <c r="D94" s="4"/>
      <c r="E94" s="4"/>
      <c r="F94" s="4"/>
      <c r="G94" s="4"/>
      <c r="H94" s="4"/>
      <c r="I94" s="4"/>
      <c r="J94" s="4"/>
      <c r="K94" s="4"/>
      <c r="L94" s="533" t="s">
        <v>464</v>
      </c>
      <c r="M94" s="67"/>
      <c r="N94" s="67"/>
      <c r="O94" s="537">
        <f>O93/O44</f>
        <v>8.1297752848793509E-2</v>
      </c>
      <c r="P94" s="537">
        <f t="shared" ref="P94:T94" si="78">P93/P44</f>
        <v>9.1111700789004837E-2</v>
      </c>
      <c r="Q94" s="537">
        <f t="shared" si="78"/>
        <v>9.4180678493368558E-2</v>
      </c>
      <c r="R94" s="537">
        <f t="shared" si="78"/>
        <v>0.10056515669266304</v>
      </c>
      <c r="S94" s="537">
        <f>S93/S44</f>
        <v>6.8485856548745561E-2</v>
      </c>
      <c r="T94" s="537">
        <f t="shared" si="78"/>
        <v>8.0176990540282628E-2</v>
      </c>
      <c r="U94" s="537">
        <f>U93/U44</f>
        <v>7.602450246940877E-2</v>
      </c>
      <c r="V94" s="539"/>
      <c r="W94" s="506">
        <v>180</v>
      </c>
      <c r="X94" s="1618">
        <v>2603.3000000000002</v>
      </c>
      <c r="Y94" s="578">
        <v>5712.2160000000003</v>
      </c>
      <c r="Z94" s="1619">
        <v>30352.557499999999</v>
      </c>
      <c r="AA94" s="1631">
        <v>1741.9349999999999</v>
      </c>
      <c r="AB94" s="579">
        <v>3365.2739999999999</v>
      </c>
      <c r="AC94" s="1630">
        <v>50764.749000000003</v>
      </c>
      <c r="AD94" s="557">
        <f>AD83*$AL63</f>
        <v>3339.1889255340002</v>
      </c>
      <c r="AE94" s="558">
        <f t="shared" ref="AE94:AF94" si="79">AE83*$AL63</f>
        <v>4674.8644957476008</v>
      </c>
      <c r="AF94" s="559">
        <f t="shared" si="79"/>
        <v>58769.725089398402</v>
      </c>
      <c r="AG94" s="557">
        <f>AG83*$AM63</f>
        <v>5682.068087411104</v>
      </c>
      <c r="AH94" s="558">
        <f t="shared" ref="AH94:AI94" si="80">AH83*$AM63</f>
        <v>8928.9641373603063</v>
      </c>
      <c r="AI94" s="558">
        <f t="shared" si="80"/>
        <v>66561.369023958643</v>
      </c>
    </row>
    <row r="95" spans="2:35">
      <c r="B95" s="4"/>
      <c r="C95" s="6"/>
      <c r="D95" s="4"/>
      <c r="E95" s="4"/>
      <c r="F95" s="4"/>
      <c r="G95" s="4"/>
      <c r="H95" s="4"/>
      <c r="I95" s="4"/>
      <c r="J95" s="4"/>
      <c r="K95" s="4"/>
      <c r="L95" s="533" t="s">
        <v>467</v>
      </c>
      <c r="N95" s="67"/>
      <c r="O95" s="534">
        <v>3352.3947250000001</v>
      </c>
      <c r="P95" s="535">
        <v>6543.9197290000002</v>
      </c>
      <c r="Q95" s="535">
        <v>7659.1551870000003</v>
      </c>
      <c r="R95" s="535">
        <v>13710.858346999999</v>
      </c>
      <c r="S95" s="535">
        <v>4641.0371050000003</v>
      </c>
      <c r="T95" s="535">
        <v>9057.6905690000003</v>
      </c>
      <c r="U95" s="535">
        <v>9057.6905690000003</v>
      </c>
      <c r="V95" s="539"/>
      <c r="W95" s="506">
        <v>130</v>
      </c>
      <c r="X95" s="1618">
        <v>324.02</v>
      </c>
      <c r="Y95" s="578">
        <v>2142.8404999999998</v>
      </c>
      <c r="Z95" s="1619">
        <v>3616.9940000000001</v>
      </c>
      <c r="AA95" s="1631">
        <v>598.40800000000002</v>
      </c>
      <c r="AB95" s="579">
        <v>2700.0990000000002</v>
      </c>
      <c r="AC95" s="1630">
        <v>4041.5945000000002</v>
      </c>
      <c r="AD95" s="557">
        <f t="shared" ref="AD95:AF95" si="81">AD84*$AL64</f>
        <v>712.36030411392005</v>
      </c>
      <c r="AE95" s="558">
        <f t="shared" si="81"/>
        <v>3205.6213685126399</v>
      </c>
      <c r="AF95" s="559">
        <f t="shared" si="81"/>
        <v>4986.5221287974409</v>
      </c>
      <c r="AG95" s="557">
        <f t="shared" ref="AG95:AI95" si="82">AG84*$AM64</f>
        <v>541.14934165820023</v>
      </c>
      <c r="AH95" s="558">
        <f t="shared" si="82"/>
        <v>3788.0453916074016</v>
      </c>
      <c r="AI95" s="558">
        <f t="shared" si="82"/>
        <v>6493.7920998984036</v>
      </c>
    </row>
    <row r="96" spans="2:35">
      <c r="B96" s="4"/>
      <c r="C96" s="6"/>
      <c r="D96" s="4"/>
      <c r="E96" s="4"/>
      <c r="F96" s="4"/>
      <c r="G96" s="4"/>
      <c r="H96" s="4"/>
      <c r="I96" s="4"/>
      <c r="J96" s="4"/>
      <c r="K96" s="4"/>
      <c r="L96" s="533" t="s">
        <v>468</v>
      </c>
      <c r="M96" s="67"/>
      <c r="N96" s="67"/>
      <c r="O96" s="536">
        <f>O93-O95</f>
        <v>-279.59347889999981</v>
      </c>
      <c r="P96" s="536">
        <f t="shared" ref="P96:U96" si="83">P93-P95</f>
        <v>-424.26485794999917</v>
      </c>
      <c r="Q96" s="536">
        <f t="shared" si="83"/>
        <v>127.70029704999979</v>
      </c>
      <c r="R96" s="536">
        <f t="shared" si="83"/>
        <v>-1173.8282171500032</v>
      </c>
      <c r="S96" s="536">
        <f t="shared" si="83"/>
        <v>-485.5529481500007</v>
      </c>
      <c r="T96" s="536">
        <f t="shared" si="83"/>
        <v>-1074.8266454499999</v>
      </c>
      <c r="U96" s="536">
        <f t="shared" si="83"/>
        <v>-748.08541214999968</v>
      </c>
      <c r="V96" s="539"/>
      <c r="W96" s="75">
        <v>90</v>
      </c>
      <c r="X96" s="1618">
        <v>2139.4589999999998</v>
      </c>
      <c r="Y96" s="578">
        <v>2487.3440000000001</v>
      </c>
      <c r="Z96" s="1619">
        <v>3726.9643000000001</v>
      </c>
      <c r="AA96" s="1631">
        <v>1314.5340000000001</v>
      </c>
      <c r="AB96" s="579">
        <v>4034.1930000000002</v>
      </c>
      <c r="AC96" s="1630">
        <v>5066.9459999999999</v>
      </c>
      <c r="AD96" s="557">
        <f t="shared" ref="AD96:AF96" si="84">AD85*$AL65</f>
        <v>1653.6935631215999</v>
      </c>
      <c r="AE96" s="558">
        <f t="shared" si="84"/>
        <v>4961.0806893648005</v>
      </c>
      <c r="AF96" s="559">
        <f t="shared" si="84"/>
        <v>6105.9454638336001</v>
      </c>
      <c r="AG96" s="557">
        <f t="shared" ref="AG96:AI96" si="85">AG85*$AM65</f>
        <v>4638.4229284988596</v>
      </c>
      <c r="AH96" s="558">
        <f t="shared" si="85"/>
        <v>5798.0286606235741</v>
      </c>
      <c r="AI96" s="558">
        <f t="shared" si="85"/>
        <v>8890.3106129561456</v>
      </c>
    </row>
    <row r="97" spans="2:35">
      <c r="B97" s="4"/>
      <c r="C97" s="6"/>
      <c r="D97" s="4"/>
      <c r="E97" s="4"/>
      <c r="F97" s="4"/>
      <c r="G97" s="4"/>
      <c r="H97" s="4"/>
      <c r="I97" s="4"/>
      <c r="J97" s="4"/>
      <c r="K97" s="4"/>
      <c r="L97" s="533" t="s">
        <v>469</v>
      </c>
      <c r="M97" s="67"/>
      <c r="N97" s="67"/>
      <c r="O97" s="537">
        <f>O96/O44</f>
        <v>-7.3972638401510263E-3</v>
      </c>
      <c r="P97" s="537">
        <f t="shared" ref="P97:U97" si="86">P96/P44</f>
        <v>-6.3166132089729297E-3</v>
      </c>
      <c r="Q97" s="537">
        <f t="shared" si="86"/>
        <v>1.5445131407162591E-3</v>
      </c>
      <c r="R97" s="537">
        <f t="shared" si="86"/>
        <v>-9.4158040114219448E-3</v>
      </c>
      <c r="S97" s="537">
        <f t="shared" si="86"/>
        <v>-8.0023189353292459E-3</v>
      </c>
      <c r="T97" s="537">
        <f t="shared" si="86"/>
        <v>-1.0795169078413339E-2</v>
      </c>
      <c r="U97" s="537">
        <f t="shared" si="86"/>
        <v>-6.8442266738081257E-3</v>
      </c>
      <c r="V97" s="539"/>
      <c r="W97" s="75">
        <v>50</v>
      </c>
      <c r="X97" s="1618">
        <v>5302.518</v>
      </c>
      <c r="Y97" s="578">
        <v>8665.8770000000004</v>
      </c>
      <c r="Z97" s="1619">
        <v>5315.46</v>
      </c>
      <c r="AA97" s="1631">
        <v>5726.8895000000002</v>
      </c>
      <c r="AB97" s="579">
        <v>11823.155000000001</v>
      </c>
      <c r="AC97" s="1630">
        <v>6337.6094999999996</v>
      </c>
      <c r="AD97" s="557">
        <f t="shared" ref="AD97:AF97" si="87">AD86*$AL66</f>
        <v>8109.4588191540006</v>
      </c>
      <c r="AE97" s="558">
        <f t="shared" si="87"/>
        <v>16218.917638308001</v>
      </c>
      <c r="AF97" s="559">
        <f t="shared" si="87"/>
        <v>8109.4588191540006</v>
      </c>
      <c r="AG97" s="557">
        <f t="shared" ref="AG97:AI97" si="88">AG86*$AM66</f>
        <v>11271.367716252229</v>
      </c>
      <c r="AH97" s="558">
        <f t="shared" si="88"/>
        <v>19203.070923985277</v>
      </c>
      <c r="AI97" s="558">
        <f t="shared" si="88"/>
        <v>11271.367716252229</v>
      </c>
    </row>
    <row r="98" spans="2:35">
      <c r="B98" s="4"/>
      <c r="C98" s="6"/>
      <c r="D98" s="4"/>
      <c r="E98" s="4"/>
      <c r="F98" s="4"/>
      <c r="G98" s="4"/>
      <c r="H98" s="4"/>
      <c r="I98" s="4"/>
      <c r="J98" s="4"/>
      <c r="K98" s="4"/>
      <c r="M98" s="67"/>
      <c r="N98" s="67"/>
      <c r="O98" s="67"/>
      <c r="P98" s="4"/>
      <c r="Q98" s="4"/>
      <c r="R98" s="4"/>
      <c r="S98" s="4"/>
      <c r="T98" s="4"/>
      <c r="U98" s="4"/>
      <c r="V98" s="67"/>
      <c r="W98" s="75">
        <v>30</v>
      </c>
      <c r="X98" s="1618">
        <v>6400.7004999999999</v>
      </c>
      <c r="Y98" s="578">
        <v>7055.7995000000001</v>
      </c>
      <c r="Z98" s="1619">
        <v>1720.2070000000001</v>
      </c>
      <c r="AA98" s="1631">
        <v>9162.5954999999994</v>
      </c>
      <c r="AB98" s="579">
        <v>6305.9</v>
      </c>
      <c r="AC98" s="1630">
        <v>1519.1379999999999</v>
      </c>
      <c r="AD98" s="557">
        <f t="shared" ref="AD98:AF98" si="89">AD87*$AL67</f>
        <v>12622.134138518521</v>
      </c>
      <c r="AE98" s="558">
        <f t="shared" si="89"/>
        <v>8648.4993171330589</v>
      </c>
      <c r="AF98" s="559">
        <f t="shared" si="89"/>
        <v>2103.6890230864192</v>
      </c>
      <c r="AG98" s="557">
        <f t="shared" ref="AG98:AI98" si="90">AG87*$AM67</f>
        <v>12500.549792304426</v>
      </c>
      <c r="AH98" s="558">
        <f t="shared" si="90"/>
        <v>13393.446206040458</v>
      </c>
      <c r="AI98" s="558">
        <f t="shared" si="90"/>
        <v>3869.2177928561318</v>
      </c>
    </row>
    <row r="99" spans="2:35">
      <c r="B99" s="4"/>
      <c r="C99" s="6"/>
      <c r="D99" s="4"/>
      <c r="E99" s="4"/>
      <c r="F99" s="4"/>
      <c r="G99" s="4"/>
      <c r="H99" s="4"/>
      <c r="I99" s="4"/>
      <c r="J99" s="4"/>
      <c r="K99" s="4"/>
      <c r="M99" s="67"/>
      <c r="N99" s="67"/>
      <c r="O99" s="67"/>
      <c r="P99" s="4"/>
      <c r="Q99" s="4"/>
      <c r="R99" s="4"/>
      <c r="S99" s="1425">
        <f>SUM(S93:U93)/SUM(S44:U44)</f>
        <v>7.5861359232317654E-2</v>
      </c>
      <c r="T99" s="4"/>
      <c r="U99" s="4"/>
      <c r="V99" s="67"/>
      <c r="W99" s="77">
        <v>15</v>
      </c>
      <c r="X99" s="1632">
        <v>13514.094999999999</v>
      </c>
      <c r="Y99" s="1633">
        <v>4959.4889999999996</v>
      </c>
      <c r="Z99" s="1634">
        <v>142.386</v>
      </c>
      <c r="AA99" s="1635">
        <v>14188.025</v>
      </c>
      <c r="AB99" s="1636">
        <v>5526.674</v>
      </c>
      <c r="AC99" s="1637">
        <v>104.504</v>
      </c>
      <c r="AD99" s="611">
        <f t="shared" ref="AD99:AF99" si="91">AD88*$AL68</f>
        <v>23708.313315945325</v>
      </c>
      <c r="AE99" s="809">
        <f t="shared" si="91"/>
        <v>7586.6602611025028</v>
      </c>
      <c r="AF99" s="810">
        <f t="shared" si="91"/>
        <v>316.11084421260455</v>
      </c>
      <c r="AG99" s="611">
        <f t="shared" ref="AG99:AI99" si="92">AG88*$AM68</f>
        <v>27412.720938820174</v>
      </c>
      <c r="AH99" s="809">
        <f t="shared" si="92"/>
        <v>8295.9550209587378</v>
      </c>
      <c r="AI99" s="809">
        <f t="shared" si="92"/>
        <v>360.69369656342366</v>
      </c>
    </row>
    <row r="100" spans="2:35">
      <c r="B100" s="4"/>
      <c r="C100" s="6"/>
      <c r="D100" s="4"/>
      <c r="E100" s="4"/>
      <c r="F100" s="4"/>
      <c r="G100" s="4"/>
      <c r="H100" s="4"/>
      <c r="I100" s="4"/>
      <c r="J100" s="4"/>
      <c r="K100" s="4"/>
      <c r="M100" s="67"/>
      <c r="N100" s="67"/>
      <c r="O100" s="67"/>
      <c r="P100" s="4"/>
      <c r="Q100" s="4"/>
      <c r="R100" s="4"/>
      <c r="S100" s="4"/>
      <c r="T100" s="4"/>
      <c r="U100" s="4"/>
      <c r="V100" s="67"/>
      <c r="W100" s="1551"/>
      <c r="X100" s="725">
        <f>SUM(X94:X99)</f>
        <v>30284.092499999999</v>
      </c>
      <c r="Y100" s="725">
        <f t="shared" ref="Y100:AI100" si="93">SUM(Y94:Y99)</f>
        <v>31023.565999999999</v>
      </c>
      <c r="Z100" s="1552">
        <f t="shared" si="93"/>
        <v>44874.568800000001</v>
      </c>
      <c r="AA100" s="725">
        <f t="shared" si="93"/>
        <v>32732.387000000002</v>
      </c>
      <c r="AB100" s="725">
        <f t="shared" si="93"/>
        <v>33755.294999999998</v>
      </c>
      <c r="AC100" s="1552">
        <f t="shared" si="93"/>
        <v>67834.541000000012</v>
      </c>
      <c r="AD100" s="725">
        <f t="shared" si="93"/>
        <v>50145.14906638737</v>
      </c>
      <c r="AE100" s="725">
        <f t="shared" si="93"/>
        <v>45295.643770168601</v>
      </c>
      <c r="AF100" s="1552">
        <f t="shared" si="93"/>
        <v>80391.451368482463</v>
      </c>
      <c r="AG100" s="725">
        <f t="shared" si="93"/>
        <v>62046.278804944988</v>
      </c>
      <c r="AH100" s="725">
        <f t="shared" si="93"/>
        <v>59407.510340575762</v>
      </c>
      <c r="AI100" s="725">
        <f t="shared" si="93"/>
        <v>97446.75094248497</v>
      </c>
    </row>
    <row r="101" spans="2:35">
      <c r="B101" s="4"/>
      <c r="C101" s="6"/>
      <c r="D101" s="4"/>
      <c r="E101" s="4"/>
      <c r="F101" s="4"/>
      <c r="G101" s="4"/>
      <c r="H101" s="4"/>
      <c r="I101" s="4"/>
      <c r="J101" s="4"/>
      <c r="K101" s="4"/>
      <c r="M101" s="67"/>
      <c r="N101" s="67"/>
      <c r="O101" s="67"/>
      <c r="P101" s="4"/>
      <c r="Q101" s="4"/>
      <c r="R101" s="4"/>
      <c r="S101" s="4"/>
      <c r="T101" s="4"/>
      <c r="U101" s="4"/>
      <c r="V101" s="67"/>
      <c r="W101" s="67"/>
      <c r="X101" s="1553">
        <f>X100/SUM($X$100:$Z$100)</f>
        <v>0.2852086763487961</v>
      </c>
      <c r="Y101" s="1553">
        <f t="shared" ref="Y101:Z101" si="94">Y100/SUM($X$100:$Z$100)</f>
        <v>0.29217286912194956</v>
      </c>
      <c r="Z101" s="1553">
        <f t="shared" si="94"/>
        <v>0.42261845452925434</v>
      </c>
      <c r="AA101" s="469">
        <f>AA100/SUM($AA$100:$AC$100)</f>
        <v>0.24368556646058487</v>
      </c>
      <c r="AB101" s="469">
        <f t="shared" ref="AB101:AC101" si="95">AB100/SUM($AA$100:$AC$100)</f>
        <v>0.2513008960550035</v>
      </c>
      <c r="AC101" s="469">
        <f t="shared" si="95"/>
        <v>0.50501353748441169</v>
      </c>
      <c r="AD101" s="469">
        <f>AD100/SUM($AD$100:$AF$100)</f>
        <v>0.28518744837217103</v>
      </c>
      <c r="AE101" s="469">
        <f t="shared" ref="AE101:AF101" si="96">AE100/SUM($AD$100:$AF$100)</f>
        <v>0.25760715262980566</v>
      </c>
      <c r="AF101" s="469">
        <f t="shared" si="96"/>
        <v>0.45720539899802326</v>
      </c>
      <c r="AG101" s="469">
        <f>AG100/SUM($AG$100:$AI$100)</f>
        <v>0.28344506952792442</v>
      </c>
      <c r="AH101" s="469">
        <f t="shared" ref="AH101:AI101" si="97">AH100/SUM($AG$100:$AI$100)</f>
        <v>0.2713904237819233</v>
      </c>
      <c r="AI101" s="469">
        <f t="shared" si="97"/>
        <v>0.44516450669015228</v>
      </c>
    </row>
    <row r="102" spans="2:35">
      <c r="B102" s="4"/>
      <c r="C102" s="6"/>
      <c r="D102" s="4"/>
      <c r="E102" s="4"/>
      <c r="F102" s="4"/>
      <c r="G102" s="4"/>
      <c r="H102" s="4"/>
      <c r="I102" s="4"/>
      <c r="J102" s="4"/>
      <c r="K102" s="4"/>
      <c r="M102" s="67"/>
      <c r="N102" s="67"/>
      <c r="O102" s="67"/>
      <c r="P102" s="4"/>
      <c r="Q102" s="4"/>
      <c r="R102" s="4"/>
      <c r="S102" s="4"/>
      <c r="T102" s="4"/>
      <c r="U102" s="4"/>
      <c r="V102" s="67"/>
      <c r="W102" s="69" t="s">
        <v>466</v>
      </c>
      <c r="X102" s="539"/>
      <c r="Y102" s="539"/>
      <c r="Z102" s="539"/>
      <c r="AD102" s="12"/>
      <c r="AE102" s="12"/>
      <c r="AF102" s="546"/>
    </row>
    <row r="103" spans="2:35">
      <c r="B103" s="4"/>
      <c r="C103" s="6"/>
      <c r="D103" s="4"/>
      <c r="E103" s="4"/>
      <c r="F103" s="4"/>
      <c r="G103" s="4"/>
      <c r="H103" s="4"/>
      <c r="I103" s="4"/>
      <c r="J103" s="4"/>
      <c r="K103" s="4"/>
      <c r="M103" s="67"/>
      <c r="N103" s="67"/>
      <c r="O103" s="67"/>
      <c r="P103" s="4"/>
      <c r="Q103" s="4"/>
      <c r="R103" s="4"/>
      <c r="S103" s="4"/>
      <c r="T103" s="4"/>
      <c r="U103" s="4"/>
      <c r="V103" s="67"/>
      <c r="W103" s="545"/>
      <c r="X103" s="1884" t="s">
        <v>215</v>
      </c>
      <c r="Y103" s="1885"/>
      <c r="Z103" s="1886"/>
      <c r="AA103" s="1884" t="s">
        <v>216</v>
      </c>
      <c r="AB103" s="1885"/>
      <c r="AC103" s="1886"/>
      <c r="AD103" s="1884" t="s">
        <v>217</v>
      </c>
      <c r="AE103" s="1885"/>
      <c r="AF103" s="1886"/>
      <c r="AG103" s="1884" t="s">
        <v>218</v>
      </c>
      <c r="AH103" s="1885"/>
      <c r="AI103" s="1885"/>
    </row>
    <row r="104" spans="2:35">
      <c r="B104" s="4"/>
      <c r="C104" s="6"/>
      <c r="D104" s="4"/>
      <c r="E104" s="4"/>
      <c r="F104" s="4"/>
      <c r="G104" s="4"/>
      <c r="H104" s="4"/>
      <c r="I104" s="4"/>
      <c r="J104" s="4"/>
      <c r="K104" s="4"/>
      <c r="M104" s="67"/>
      <c r="N104" s="67"/>
      <c r="O104" s="67"/>
      <c r="P104" s="4"/>
      <c r="Q104" s="4"/>
      <c r="R104" s="4"/>
      <c r="S104" s="4"/>
      <c r="T104" s="4"/>
      <c r="U104" s="4"/>
      <c r="V104" s="67"/>
      <c r="W104" s="547" t="s">
        <v>475</v>
      </c>
      <c r="X104" s="548" t="s">
        <v>472</v>
      </c>
      <c r="Y104" s="70" t="s">
        <v>473</v>
      </c>
      <c r="Z104" s="78" t="s">
        <v>474</v>
      </c>
      <c r="AA104" s="548" t="s">
        <v>472</v>
      </c>
      <c r="AB104" s="70" t="s">
        <v>473</v>
      </c>
      <c r="AC104" s="78" t="s">
        <v>474</v>
      </c>
      <c r="AD104" s="70" t="s">
        <v>472</v>
      </c>
      <c r="AE104" s="70" t="s">
        <v>473</v>
      </c>
      <c r="AF104" s="78" t="s">
        <v>474</v>
      </c>
      <c r="AG104" s="70" t="s">
        <v>472</v>
      </c>
      <c r="AH104" s="70" t="s">
        <v>473</v>
      </c>
      <c r="AI104" s="70" t="s">
        <v>474</v>
      </c>
    </row>
    <row r="105" spans="2:35">
      <c r="B105" s="4"/>
      <c r="C105" s="6"/>
      <c r="D105" s="4"/>
      <c r="E105" s="4"/>
      <c r="F105" s="4"/>
      <c r="G105" s="4"/>
      <c r="H105" s="4"/>
      <c r="I105" s="4"/>
      <c r="J105" s="4"/>
      <c r="K105" s="4"/>
      <c r="M105" s="67"/>
      <c r="N105" s="67"/>
      <c r="O105" s="67"/>
      <c r="P105" s="4"/>
      <c r="Q105" s="4"/>
      <c r="R105" s="4"/>
      <c r="S105" s="4"/>
      <c r="T105" s="4"/>
      <c r="U105" s="4"/>
      <c r="V105" s="67"/>
      <c r="W105" s="506">
        <v>180</v>
      </c>
      <c r="X105" s="1618">
        <v>430.48581100000001</v>
      </c>
      <c r="Y105" s="578">
        <v>967.719335</v>
      </c>
      <c r="Z105" s="1619">
        <v>5933.2158200000003</v>
      </c>
      <c r="AA105" s="1631">
        <v>287.39776000000001</v>
      </c>
      <c r="AB105" s="579">
        <v>528.58106999999995</v>
      </c>
      <c r="AC105" s="1630">
        <v>9354.5634609999997</v>
      </c>
      <c r="AD105" s="557">
        <f t="shared" ref="AD105:AF110" si="98">AD94*F47*$R$22</f>
        <v>488.35638035934755</v>
      </c>
      <c r="AE105" s="558">
        <f t="shared" si="98"/>
        <v>759.66548055898511</v>
      </c>
      <c r="AF105" s="559">
        <f t="shared" si="98"/>
        <v>10505.088359729965</v>
      </c>
      <c r="AG105" s="557">
        <f>AG94*F47*$R$22</f>
        <v>831.00245778387409</v>
      </c>
      <c r="AH105" s="558">
        <f t="shared" ref="AH105:AI110" si="99">AH94*G47*$R$22</f>
        <v>1450.9566723210498</v>
      </c>
      <c r="AI105" s="558">
        <f t="shared" si="99"/>
        <v>11897.844713032609</v>
      </c>
    </row>
    <row r="106" spans="2:35">
      <c r="B106" s="4"/>
      <c r="C106" s="6"/>
      <c r="D106" s="4"/>
      <c r="E106" s="4"/>
      <c r="F106" s="4"/>
      <c r="G106" s="4"/>
      <c r="H106" s="4"/>
      <c r="I106" s="4"/>
      <c r="J106" s="4"/>
      <c r="K106" s="4"/>
      <c r="M106" s="67"/>
      <c r="N106" s="67"/>
      <c r="O106" s="67"/>
      <c r="P106" s="4"/>
      <c r="Q106" s="4"/>
      <c r="R106" s="4"/>
      <c r="S106" s="4"/>
      <c r="T106" s="4"/>
      <c r="U106" s="4"/>
      <c r="V106" s="67"/>
      <c r="W106" s="506">
        <v>130</v>
      </c>
      <c r="X106" s="1618">
        <v>30.584078000000002</v>
      </c>
      <c r="Y106" s="578">
        <v>274.04355800000002</v>
      </c>
      <c r="Z106" s="1619">
        <v>524.55557999999996</v>
      </c>
      <c r="AA106" s="1631">
        <v>72.042581999999996</v>
      </c>
      <c r="AB106" s="579">
        <v>335.85467599999998</v>
      </c>
      <c r="AC106" s="1630">
        <v>569.18973300000005</v>
      </c>
      <c r="AD106" s="557">
        <f t="shared" si="98"/>
        <v>81.030984592958404</v>
      </c>
      <c r="AE106" s="558">
        <f t="shared" si="98"/>
        <v>416.73077790664325</v>
      </c>
      <c r="AF106" s="559">
        <f t="shared" si="98"/>
        <v>729.27886133662571</v>
      </c>
      <c r="AG106" s="557">
        <f t="shared" ref="AG106:AG110" si="100">AG95*F48*$R$22</f>
        <v>61.555737613620273</v>
      </c>
      <c r="AH106" s="558">
        <f t="shared" si="99"/>
        <v>492.4459009089623</v>
      </c>
      <c r="AI106" s="558">
        <f t="shared" si="99"/>
        <v>949.71709461014166</v>
      </c>
    </row>
    <row r="107" spans="2:35">
      <c r="B107" s="4"/>
      <c r="C107" s="6"/>
      <c r="D107" s="4"/>
      <c r="E107" s="4"/>
      <c r="F107" s="4"/>
      <c r="G107" s="4"/>
      <c r="H107" s="4"/>
      <c r="I107" s="4"/>
      <c r="J107" s="4"/>
      <c r="K107" s="4"/>
      <c r="M107" s="67"/>
      <c r="N107" s="67"/>
      <c r="O107" s="67"/>
      <c r="P107" s="4"/>
      <c r="Q107" s="4"/>
      <c r="R107" s="4"/>
      <c r="S107" s="4"/>
      <c r="T107" s="4"/>
      <c r="U107" s="4"/>
      <c r="V107" s="67"/>
      <c r="W107" s="75">
        <v>90</v>
      </c>
      <c r="X107" s="1618">
        <v>193.87620200000001</v>
      </c>
      <c r="Y107" s="578">
        <v>236.086083</v>
      </c>
      <c r="Z107" s="1619">
        <v>404.62873500000001</v>
      </c>
      <c r="AA107" s="1631">
        <v>116.065549</v>
      </c>
      <c r="AB107" s="579">
        <v>375.18937799999998</v>
      </c>
      <c r="AC107" s="1630">
        <v>548.07740899999999</v>
      </c>
      <c r="AD107" s="557">
        <f t="shared" si="98"/>
        <v>134.36260200363</v>
      </c>
      <c r="AE107" s="558">
        <f t="shared" si="98"/>
        <v>483.70536721306803</v>
      </c>
      <c r="AF107" s="559">
        <f t="shared" si="98"/>
        <v>694.551296511072</v>
      </c>
      <c r="AG107" s="557">
        <f t="shared" si="100"/>
        <v>376.87186294053237</v>
      </c>
      <c r="AH107" s="558">
        <f t="shared" si="99"/>
        <v>565.30779441079846</v>
      </c>
      <c r="AI107" s="558">
        <f t="shared" si="99"/>
        <v>1011.2728322237616</v>
      </c>
    </row>
    <row r="108" spans="2:35">
      <c r="B108" s="4"/>
      <c r="C108" s="6"/>
      <c r="D108" s="4"/>
      <c r="E108" s="4"/>
      <c r="F108" s="4"/>
      <c r="G108" s="4"/>
      <c r="H108" s="4"/>
      <c r="I108" s="4"/>
      <c r="J108" s="4"/>
      <c r="K108" s="4"/>
      <c r="M108" s="67"/>
      <c r="N108" s="67"/>
      <c r="O108" s="67"/>
      <c r="P108" s="4"/>
      <c r="Q108" s="4"/>
      <c r="R108" s="4"/>
      <c r="S108" s="4"/>
      <c r="T108" s="4"/>
      <c r="U108" s="4"/>
      <c r="V108" s="67"/>
      <c r="W108" s="75">
        <v>50</v>
      </c>
      <c r="X108" s="1618">
        <v>296.52619499999997</v>
      </c>
      <c r="Y108" s="578">
        <v>545.56023600000003</v>
      </c>
      <c r="Z108" s="1619">
        <v>416.09596099999999</v>
      </c>
      <c r="AA108" s="1631">
        <v>310.771996</v>
      </c>
      <c r="AB108" s="579">
        <v>730.05537900000002</v>
      </c>
      <c r="AC108" s="1630">
        <v>481.76999000000001</v>
      </c>
      <c r="AD108" s="557">
        <f t="shared" si="98"/>
        <v>395.33611743375752</v>
      </c>
      <c r="AE108" s="558">
        <f t="shared" si="98"/>
        <v>1054.2296464900203</v>
      </c>
      <c r="AF108" s="559">
        <f t="shared" si="98"/>
        <v>658.89352905626254</v>
      </c>
      <c r="AG108" s="557">
        <f t="shared" si="100"/>
        <v>549.47917616729615</v>
      </c>
      <c r="AH108" s="558">
        <f t="shared" si="99"/>
        <v>1248.1996100590432</v>
      </c>
      <c r="AI108" s="558">
        <f t="shared" si="99"/>
        <v>915.79862694549365</v>
      </c>
    </row>
    <row r="109" spans="2:35">
      <c r="B109" s="4"/>
      <c r="C109" s="6"/>
      <c r="D109" s="4"/>
      <c r="E109" s="4"/>
      <c r="F109" s="4"/>
      <c r="G109" s="4"/>
      <c r="H109" s="4"/>
      <c r="I109" s="4"/>
      <c r="J109" s="4"/>
      <c r="K109" s="4"/>
      <c r="M109" s="67"/>
      <c r="N109" s="67"/>
      <c r="O109" s="67"/>
      <c r="P109" s="4"/>
      <c r="Q109" s="4"/>
      <c r="R109" s="4"/>
      <c r="S109" s="4"/>
      <c r="T109" s="4"/>
      <c r="U109" s="4"/>
      <c r="V109" s="67"/>
      <c r="W109" s="75">
        <v>30</v>
      </c>
      <c r="X109" s="1618">
        <v>239.95337000000001</v>
      </c>
      <c r="Y109" s="578">
        <v>331.88646</v>
      </c>
      <c r="Z109" s="1619">
        <v>107.00784</v>
      </c>
      <c r="AA109" s="1631">
        <v>354.96361400000001</v>
      </c>
      <c r="AB109" s="579">
        <v>291.52313500000002</v>
      </c>
      <c r="AC109" s="1630">
        <v>95.122246000000004</v>
      </c>
      <c r="AD109" s="557">
        <f t="shared" si="98"/>
        <v>410.21935950185201</v>
      </c>
      <c r="AE109" s="558">
        <f t="shared" si="98"/>
        <v>421.6143417102366</v>
      </c>
      <c r="AF109" s="559">
        <f t="shared" si="98"/>
        <v>136.73978650061727</v>
      </c>
      <c r="AG109" s="557">
        <f t="shared" si="100"/>
        <v>406.26786824989392</v>
      </c>
      <c r="AH109" s="558">
        <f t="shared" si="99"/>
        <v>652.93050254447235</v>
      </c>
      <c r="AI109" s="558">
        <f t="shared" si="99"/>
        <v>251.49915653564858</v>
      </c>
    </row>
    <row r="110" spans="2:35">
      <c r="B110" s="4"/>
      <c r="C110" s="6"/>
      <c r="D110" s="4"/>
      <c r="E110" s="4"/>
      <c r="F110" s="4"/>
      <c r="G110" s="4"/>
      <c r="H110" s="4"/>
      <c r="I110" s="4"/>
      <c r="J110" s="4"/>
      <c r="K110" s="4"/>
      <c r="M110" s="67"/>
      <c r="N110" s="67"/>
      <c r="O110" s="67"/>
      <c r="P110" s="4"/>
      <c r="Q110" s="4"/>
      <c r="R110" s="4"/>
      <c r="S110" s="4"/>
      <c r="T110" s="4"/>
      <c r="U110" s="4"/>
      <c r="V110" s="67"/>
      <c r="W110" s="75">
        <v>15</v>
      </c>
      <c r="X110" s="1618">
        <v>377.60735699999998</v>
      </c>
      <c r="Y110" s="578">
        <v>155.52705499999999</v>
      </c>
      <c r="Z110" s="1619">
        <v>5.3973810000000002</v>
      </c>
      <c r="AA110" s="1631">
        <v>385.17528700000003</v>
      </c>
      <c r="AB110" s="579">
        <v>170.26995600000001</v>
      </c>
      <c r="AC110" s="1630">
        <v>3.5675509999999999</v>
      </c>
      <c r="AD110" s="557">
        <f t="shared" si="98"/>
        <v>616.41614621457848</v>
      </c>
      <c r="AE110" s="558">
        <f t="shared" si="98"/>
        <v>246.56645848583136</v>
      </c>
      <c r="AF110" s="559">
        <f t="shared" si="98"/>
        <v>12.328322924291577</v>
      </c>
      <c r="AG110" s="557">
        <f t="shared" si="100"/>
        <v>712.73074440932453</v>
      </c>
      <c r="AH110" s="558">
        <f t="shared" si="99"/>
        <v>269.61853818115901</v>
      </c>
      <c r="AI110" s="558">
        <f t="shared" si="99"/>
        <v>14.067054165973524</v>
      </c>
    </row>
    <row r="111" spans="2:35">
      <c r="B111" s="4"/>
      <c r="C111" s="6"/>
      <c r="D111" s="4"/>
      <c r="E111" s="4"/>
      <c r="F111" s="4"/>
      <c r="G111" s="4"/>
      <c r="H111" s="4"/>
      <c r="I111" s="4"/>
      <c r="J111" s="4"/>
      <c r="K111" s="4"/>
      <c r="M111" s="67"/>
      <c r="N111" s="67"/>
      <c r="O111" s="67"/>
      <c r="P111" s="4"/>
      <c r="Q111" s="4"/>
      <c r="R111" s="4"/>
      <c r="S111" s="4"/>
      <c r="T111" s="4"/>
      <c r="U111" s="4"/>
      <c r="V111" s="67"/>
      <c r="W111" s="577" t="s">
        <v>506</v>
      </c>
      <c r="X111" s="578"/>
      <c r="Y111" s="578"/>
      <c r="Z111" s="581">
        <f>SUM(X105:Z110)</f>
        <v>11470.757057000003</v>
      </c>
      <c r="AA111" s="579"/>
      <c r="AB111" s="579"/>
      <c r="AC111" s="581">
        <f>SUM(AA105:AC110)</f>
        <v>15010.180772</v>
      </c>
      <c r="AD111" s="579"/>
      <c r="AE111" s="580"/>
      <c r="AF111" s="581">
        <f>SUM(AD105:AF110)</f>
        <v>18245.113818529742</v>
      </c>
      <c r="AG111" s="579"/>
      <c r="AH111" s="580"/>
      <c r="AI111" s="581">
        <f>SUM(AG105:AI110)</f>
        <v>22657.566343103656</v>
      </c>
    </row>
    <row r="113" spans="2:46" s="42" customFormat="1">
      <c r="B113" s="53" t="s">
        <v>31</v>
      </c>
      <c r="O113" s="485" t="s">
        <v>460</v>
      </c>
      <c r="P113" s="485"/>
      <c r="Q113" s="584">
        <f>AL124+AT124</f>
        <v>2267.5860944000005</v>
      </c>
      <c r="R113" s="587">
        <f>Q113/SUM($X$57:$AA$57)</f>
        <v>3.1447011553576015E-3</v>
      </c>
      <c r="W113" s="485" t="s">
        <v>1530</v>
      </c>
      <c r="X113" s="485"/>
      <c r="Y113" s="584">
        <f>AT124</f>
        <v>1338.9350744000003</v>
      </c>
    </row>
    <row r="115" spans="2:46">
      <c r="B115" s="86" t="s">
        <v>224</v>
      </c>
      <c r="M115" s="539"/>
      <c r="N115" s="590"/>
      <c r="O115" s="539"/>
      <c r="P115" s="539"/>
      <c r="Q115" s="539"/>
      <c r="AF115" s="1709" t="s">
        <v>1499</v>
      </c>
      <c r="AN115" s="1709" t="s">
        <v>1500</v>
      </c>
    </row>
    <row r="116" spans="2:46">
      <c r="M116" s="539" t="s">
        <v>509</v>
      </c>
      <c r="O116" s="557">
        <f>'Sale Plan &amp; KPIs'!N15</f>
        <v>721081.58529999992</v>
      </c>
      <c r="P116" s="539"/>
      <c r="U116" s="595"/>
      <c r="V116" s="596" t="s">
        <v>198</v>
      </c>
      <c r="W116" s="595"/>
      <c r="X116" s="595"/>
      <c r="Y116" s="595"/>
      <c r="Z116" s="595"/>
      <c r="AA116" s="595"/>
      <c r="AB116" s="595"/>
      <c r="AC116" s="595"/>
      <c r="AF116" s="539" t="s">
        <v>509</v>
      </c>
      <c r="AH116" s="579">
        <f>'Sale Plan &amp; KPIs'!O15+'Sale Plan &amp; KPIs'!P15</f>
        <v>286362.40529999998</v>
      </c>
      <c r="AI116" s="539"/>
      <c r="AN116" s="539" t="s">
        <v>509</v>
      </c>
      <c r="AP116" s="1710">
        <f>'Sale Plan &amp; KPIs'!Q15+'Sale Plan &amp; KPIs'!R15</f>
        <v>434719.18</v>
      </c>
      <c r="AQ116" s="1715"/>
      <c r="AR116" s="1261"/>
      <c r="AS116" s="1261"/>
      <c r="AT116" s="1261"/>
    </row>
    <row r="117" spans="2:46">
      <c r="M117" s="67" t="s">
        <v>507</v>
      </c>
      <c r="O117" s="1708">
        <v>0.20391855302721854</v>
      </c>
      <c r="P117" s="539"/>
      <c r="U117" s="597" t="s">
        <v>511</v>
      </c>
      <c r="V117" s="597">
        <v>0</v>
      </c>
      <c r="W117" s="597">
        <v>1</v>
      </c>
      <c r="X117" s="597">
        <v>2</v>
      </c>
      <c r="Y117" s="597">
        <v>3</v>
      </c>
      <c r="Z117" s="597">
        <v>4</v>
      </c>
      <c r="AA117" s="597">
        <v>5</v>
      </c>
      <c r="AB117" s="597" t="s">
        <v>512</v>
      </c>
      <c r="AC117" s="598" t="s">
        <v>254</v>
      </c>
      <c r="AF117" s="67" t="s">
        <v>507</v>
      </c>
      <c r="AH117" s="1712">
        <v>0.1195197880955919</v>
      </c>
      <c r="AI117" s="539"/>
      <c r="AN117" s="67" t="s">
        <v>507</v>
      </c>
      <c r="AP117" s="1711">
        <v>0.14000000000000001</v>
      </c>
      <c r="AQ117" s="1715"/>
      <c r="AR117" s="1261"/>
      <c r="AS117" s="1261"/>
      <c r="AT117" s="1261"/>
    </row>
    <row r="118" spans="2:46">
      <c r="M118" s="539" t="s">
        <v>508</v>
      </c>
      <c r="O118" s="557">
        <f>O116*O117</f>
        <v>147041.91348894883</v>
      </c>
      <c r="P118" s="539"/>
      <c r="U118" s="595">
        <v>0</v>
      </c>
      <c r="V118" s="599">
        <v>6.8060021436227219E-2</v>
      </c>
      <c r="W118" s="599">
        <v>5.8949624866023578E-2</v>
      </c>
      <c r="X118" s="599">
        <v>0.12593783494105038</v>
      </c>
      <c r="Y118" s="599">
        <v>5.5198285101822078E-2</v>
      </c>
      <c r="Z118" s="599">
        <v>2.0364415862808145E-2</v>
      </c>
      <c r="AA118" s="599">
        <v>7.502679528403001E-3</v>
      </c>
      <c r="AB118" s="599">
        <v>6.4308681672025723E-3</v>
      </c>
      <c r="AC118" s="600">
        <v>0.34244372990353694</v>
      </c>
      <c r="AF118" s="539" t="s">
        <v>508</v>
      </c>
      <c r="AH118" s="579">
        <v>34225.974000000002</v>
      </c>
      <c r="AI118" s="539"/>
      <c r="AN118" s="539" t="s">
        <v>508</v>
      </c>
      <c r="AP118" s="1710">
        <f>AP116*AP117</f>
        <v>60860.685200000007</v>
      </c>
      <c r="AQ118" s="1715"/>
      <c r="AR118" s="1261"/>
      <c r="AS118" s="1261"/>
      <c r="AT118" s="1261"/>
    </row>
    <row r="119" spans="2:46">
      <c r="M119" s="539" t="s">
        <v>510</v>
      </c>
      <c r="O119" s="539">
        <v>35</v>
      </c>
      <c r="P119" s="539"/>
      <c r="U119" s="595">
        <v>12</v>
      </c>
      <c r="V119" s="599">
        <v>2.7331189710610933E-2</v>
      </c>
      <c r="W119" s="599">
        <v>1.8220793140407289E-2</v>
      </c>
      <c r="X119" s="608">
        <v>6.3772775991425515E-2</v>
      </c>
      <c r="Y119" s="608">
        <v>2.2508038585209004E-2</v>
      </c>
      <c r="Z119" s="608">
        <v>1.0718113612004287E-2</v>
      </c>
      <c r="AA119" s="608">
        <v>2.6795284030010718E-3</v>
      </c>
      <c r="AB119" s="608">
        <v>2.1436227224008574E-3</v>
      </c>
      <c r="AC119" s="609">
        <v>0.14737406216505894</v>
      </c>
      <c r="AF119" s="539" t="s">
        <v>510</v>
      </c>
      <c r="AH119" s="1713">
        <v>17.229775937652214</v>
      </c>
      <c r="AI119" s="539"/>
      <c r="AN119" s="539" t="s">
        <v>510</v>
      </c>
      <c r="AP119" s="1723">
        <v>20</v>
      </c>
      <c r="AQ119" s="1715"/>
      <c r="AR119" s="1261"/>
      <c r="AS119" s="1261"/>
      <c r="AT119" s="1261"/>
    </row>
    <row r="120" spans="2:46">
      <c r="B120" s="10" t="s">
        <v>199</v>
      </c>
      <c r="D120" s="4"/>
      <c r="E120" s="4"/>
      <c r="F120" s="4"/>
      <c r="G120" s="56"/>
      <c r="H120" s="4"/>
      <c r="I120" s="4"/>
      <c r="J120" s="4"/>
      <c r="K120" s="4"/>
      <c r="M120" s="574" t="s">
        <v>207</v>
      </c>
      <c r="N120" s="539"/>
      <c r="O120" s="557">
        <f>O118/O119</f>
        <v>4201.1975282556814</v>
      </c>
      <c r="P120" s="592"/>
      <c r="U120" s="595">
        <v>15</v>
      </c>
      <c r="V120" s="599">
        <v>2.4115755627009645E-2</v>
      </c>
      <c r="W120" s="599">
        <v>1.0718113612004287E-2</v>
      </c>
      <c r="X120" s="601">
        <v>5.9485530546623797E-2</v>
      </c>
      <c r="Y120" s="601">
        <v>1.8756698821007504E-2</v>
      </c>
      <c r="Z120" s="601">
        <v>8.0385852090032149E-3</v>
      </c>
      <c r="AA120" s="601">
        <v>1.6077170418006431E-3</v>
      </c>
      <c r="AB120" s="601">
        <v>0</v>
      </c>
      <c r="AC120" s="602">
        <v>0.12272240085744908</v>
      </c>
      <c r="AF120" s="574" t="s">
        <v>207</v>
      </c>
      <c r="AG120" s="539"/>
      <c r="AH120" s="579">
        <v>2053</v>
      </c>
      <c r="AI120" s="592"/>
      <c r="AN120" s="574" t="s">
        <v>207</v>
      </c>
      <c r="AO120" s="539"/>
      <c r="AP120" s="557">
        <f>AP118/AP119</f>
        <v>3043.0342600000004</v>
      </c>
      <c r="AQ120" s="1716"/>
      <c r="AR120" s="1261"/>
      <c r="AS120" s="1261"/>
      <c r="AT120" s="1261"/>
    </row>
    <row r="121" spans="2:46">
      <c r="B121" s="10"/>
      <c r="D121" s="4"/>
      <c r="E121" s="4"/>
      <c r="F121" s="4"/>
      <c r="G121" s="56"/>
      <c r="H121" s="4"/>
      <c r="I121" s="4"/>
      <c r="J121" s="4"/>
      <c r="K121" s="4"/>
      <c r="M121" s="117"/>
      <c r="N121" s="117"/>
      <c r="O121" s="516" t="s">
        <v>515</v>
      </c>
      <c r="P121" s="71" t="s">
        <v>207</v>
      </c>
      <c r="Q121" s="71" t="s">
        <v>516</v>
      </c>
      <c r="R121" s="71" t="s">
        <v>517</v>
      </c>
      <c r="S121" s="71" t="s">
        <v>466</v>
      </c>
      <c r="U121" s="595">
        <v>18</v>
      </c>
      <c r="V121" s="599">
        <v>3.7513397642015005E-3</v>
      </c>
      <c r="W121" s="599">
        <v>6.4308681672025723E-3</v>
      </c>
      <c r="X121" s="601">
        <v>2.1436227224008574E-2</v>
      </c>
      <c r="Y121" s="601">
        <v>9.1103965702036445E-3</v>
      </c>
      <c r="Z121" s="601">
        <v>1.6077170418006431E-3</v>
      </c>
      <c r="AA121" s="601">
        <v>0</v>
      </c>
      <c r="AB121" s="601">
        <v>0</v>
      </c>
      <c r="AC121" s="602">
        <v>4.2336548767416937E-2</v>
      </c>
      <c r="AF121" s="117"/>
      <c r="AG121" s="117"/>
      <c r="AH121" s="516" t="s">
        <v>515</v>
      </c>
      <c r="AI121" s="71" t="s">
        <v>207</v>
      </c>
      <c r="AJ121" s="71" t="s">
        <v>516</v>
      </c>
      <c r="AK121" s="71" t="s">
        <v>517</v>
      </c>
      <c r="AL121" s="71" t="s">
        <v>466</v>
      </c>
      <c r="AN121" s="117"/>
      <c r="AO121" s="117"/>
      <c r="AP121" s="1717" t="s">
        <v>515</v>
      </c>
      <c r="AQ121" s="1718" t="s">
        <v>207</v>
      </c>
      <c r="AR121" s="1718" t="s">
        <v>516</v>
      </c>
      <c r="AS121" s="1718" t="s">
        <v>517</v>
      </c>
      <c r="AT121" s="1718" t="s">
        <v>466</v>
      </c>
    </row>
    <row r="122" spans="2:46" ht="18" customHeight="1">
      <c r="B122" s="4"/>
      <c r="C122" s="54" t="s">
        <v>198</v>
      </c>
      <c r="D122" s="55" t="s">
        <v>14</v>
      </c>
      <c r="E122" s="4"/>
      <c r="F122" s="4"/>
      <c r="G122" s="56"/>
      <c r="H122" s="4"/>
      <c r="I122" s="4"/>
      <c r="J122" s="4"/>
      <c r="K122" s="4"/>
      <c r="M122" s="539" t="s">
        <v>514</v>
      </c>
      <c r="N122" s="539"/>
      <c r="O122" s="591">
        <v>0.4</v>
      </c>
      <c r="P122" s="557">
        <f>O122*$O$120</f>
        <v>1680.4790113022727</v>
      </c>
      <c r="Q122" s="499">
        <f>P122*$O$119</f>
        <v>58816.765395579547</v>
      </c>
      <c r="R122" s="499">
        <f>Q122*90%</f>
        <v>52935.08885602159</v>
      </c>
      <c r="S122" s="499">
        <f>R122*D123</f>
        <v>4234.8071084817275</v>
      </c>
      <c r="U122" s="595">
        <v>20</v>
      </c>
      <c r="V122" s="599">
        <v>1.607717041800643E-2</v>
      </c>
      <c r="W122" s="599">
        <v>8.5744908896034297E-3</v>
      </c>
      <c r="X122" s="601">
        <v>4.2336548767416937E-2</v>
      </c>
      <c r="Y122" s="601">
        <v>1.232583065380493E-2</v>
      </c>
      <c r="Z122" s="601">
        <v>1.0718113612004287E-3</v>
      </c>
      <c r="AA122" s="601">
        <v>5.3590568060021436E-4</v>
      </c>
      <c r="AB122" s="601">
        <v>5.3590568060021436E-4</v>
      </c>
      <c r="AC122" s="602">
        <v>8.1457663451232579E-2</v>
      </c>
      <c r="AF122" s="539" t="s">
        <v>514</v>
      </c>
      <c r="AG122" s="539"/>
      <c r="AH122" s="1714">
        <v>0.22454943984413053</v>
      </c>
      <c r="AI122" s="579">
        <v>461</v>
      </c>
      <c r="AJ122" s="1614">
        <v>10894.095000000001</v>
      </c>
      <c r="AK122" s="1614">
        <v>9623.0439999999999</v>
      </c>
      <c r="AL122" s="1614">
        <f>AK122*D123</f>
        <v>769.84352000000001</v>
      </c>
      <c r="AM122" s="1724">
        <f>AK122/AJ122</f>
        <v>0.8833266095072605</v>
      </c>
      <c r="AN122" s="539" t="s">
        <v>514</v>
      </c>
      <c r="AO122" s="539"/>
      <c r="AP122" s="1719">
        <v>0.25</v>
      </c>
      <c r="AQ122" s="1710">
        <f>AP122*AP120</f>
        <v>760.75856500000009</v>
      </c>
      <c r="AR122" s="1720">
        <f>AQ122*AP119</f>
        <v>15215.171300000002</v>
      </c>
      <c r="AS122" s="1720">
        <f>AR122*90%</f>
        <v>13693.654170000002</v>
      </c>
      <c r="AT122" s="1725">
        <f>AS122*D123</f>
        <v>1095.4923336000002</v>
      </c>
    </row>
    <row r="123" spans="2:46" ht="18" customHeight="1">
      <c r="B123" s="4"/>
      <c r="C123" s="64">
        <v>3</v>
      </c>
      <c r="D123" s="87">
        <v>0.08</v>
      </c>
      <c r="E123" s="4"/>
      <c r="F123" s="4"/>
      <c r="G123" s="4"/>
      <c r="H123" s="4"/>
      <c r="I123" s="4"/>
      <c r="J123" s="4"/>
      <c r="K123" s="4"/>
      <c r="M123" s="117" t="s">
        <v>513</v>
      </c>
      <c r="N123" s="117"/>
      <c r="O123" s="478">
        <v>0.08</v>
      </c>
      <c r="P123" s="611">
        <f>O123*$O$120</f>
        <v>336.09580226045449</v>
      </c>
      <c r="Q123" s="611">
        <f>P123*$O$119</f>
        <v>11763.353079115906</v>
      </c>
      <c r="R123" s="611">
        <f>Q123*90%</f>
        <v>10587.017771204317</v>
      </c>
      <c r="S123" s="611">
        <f>R123*D124</f>
        <v>1058.7017771204316</v>
      </c>
      <c r="U123" s="595">
        <v>25</v>
      </c>
      <c r="V123" s="599">
        <v>5.8949624866023584E-3</v>
      </c>
      <c r="W123" s="599">
        <v>6.9667738478027871E-3</v>
      </c>
      <c r="X123" s="601">
        <v>3.0010718113612004E-2</v>
      </c>
      <c r="Y123" s="601">
        <v>5.3590568060021436E-3</v>
      </c>
      <c r="Z123" s="601">
        <v>1.0718113612004287E-3</v>
      </c>
      <c r="AA123" s="601">
        <v>0</v>
      </c>
      <c r="AB123" s="601">
        <v>5.3590568060021436E-4</v>
      </c>
      <c r="AC123" s="602">
        <v>4.983922829581993E-2</v>
      </c>
      <c r="AF123" s="117" t="s">
        <v>513</v>
      </c>
      <c r="AG123" s="117"/>
      <c r="AH123" s="1655">
        <v>3.896736483195324E-2</v>
      </c>
      <c r="AI123" s="1636">
        <v>80</v>
      </c>
      <c r="AJ123" s="1636">
        <v>2060.2449999999999</v>
      </c>
      <c r="AK123" s="1636">
        <v>1588.075</v>
      </c>
      <c r="AL123" s="1636">
        <f>AK123*D124</f>
        <v>158.8075</v>
      </c>
      <c r="AM123" s="1724">
        <f>AK123/AJ123</f>
        <v>0.7708185191567023</v>
      </c>
      <c r="AN123" s="117" t="s">
        <v>513</v>
      </c>
      <c r="AO123" s="117"/>
      <c r="AP123" s="1721">
        <v>0.05</v>
      </c>
      <c r="AQ123" s="1722">
        <f>AP123*AP120</f>
        <v>152.15171300000003</v>
      </c>
      <c r="AR123" s="1722">
        <f>AQ123*AP119</f>
        <v>3043.0342600000004</v>
      </c>
      <c r="AS123" s="1722">
        <f>AR123*80%</f>
        <v>2434.4274080000005</v>
      </c>
      <c r="AT123" s="1726">
        <f>AS123*D124</f>
        <v>243.44274080000005</v>
      </c>
    </row>
    <row r="124" spans="2:46" ht="18" customHeight="1">
      <c r="C124" s="88">
        <v>5</v>
      </c>
      <c r="D124" s="89">
        <v>0.1</v>
      </c>
      <c r="M124" s="539"/>
      <c r="N124" s="539"/>
      <c r="O124" s="591"/>
      <c r="P124" s="539"/>
      <c r="S124" s="610">
        <f>SUM(S122:S123)</f>
        <v>5293.5088856021594</v>
      </c>
      <c r="U124" s="595">
        <v>30</v>
      </c>
      <c r="V124" s="599">
        <v>8.0385852090032149E-3</v>
      </c>
      <c r="W124" s="599">
        <v>6.4308681672025723E-3</v>
      </c>
      <c r="X124" s="601">
        <v>3.3762057877813507E-2</v>
      </c>
      <c r="Y124" s="601">
        <v>6.9667738478027871E-3</v>
      </c>
      <c r="Z124" s="601">
        <v>1.6077170418006431E-3</v>
      </c>
      <c r="AA124" s="601">
        <v>0</v>
      </c>
      <c r="AB124" s="601">
        <v>0</v>
      </c>
      <c r="AC124" s="602">
        <v>5.6806002143622726E-2</v>
      </c>
      <c r="AF124" s="539"/>
      <c r="AG124" s="539"/>
      <c r="AH124" s="591"/>
      <c r="AI124" s="539"/>
      <c r="AL124" s="610">
        <f>SUM(AL122:AL123)</f>
        <v>928.65102000000002</v>
      </c>
      <c r="AN124" s="539"/>
      <c r="AO124" s="539"/>
      <c r="AP124" s="591"/>
      <c r="AQ124" s="539"/>
      <c r="AT124" s="610">
        <f>SUM(AT122:AT123)</f>
        <v>1338.9350744000003</v>
      </c>
    </row>
    <row r="125" spans="2:46">
      <c r="M125" s="539"/>
      <c r="N125" s="592"/>
      <c r="O125" s="593"/>
      <c r="P125" s="539"/>
      <c r="U125" s="595">
        <v>40</v>
      </c>
      <c r="V125" s="599">
        <v>4.2872454448017148E-3</v>
      </c>
      <c r="W125" s="599">
        <v>2.6795284030010718E-3</v>
      </c>
      <c r="X125" s="601">
        <v>3.1082529474812434E-2</v>
      </c>
      <c r="Y125" s="601">
        <v>4.2872454448017148E-3</v>
      </c>
      <c r="Z125" s="601">
        <v>5.3590568060021436E-4</v>
      </c>
      <c r="AA125" s="601">
        <v>0</v>
      </c>
      <c r="AB125" s="601">
        <v>0</v>
      </c>
      <c r="AC125" s="602">
        <v>4.2872454448017148E-2</v>
      </c>
    </row>
    <row r="126" spans="2:46">
      <c r="M126" s="67"/>
      <c r="N126" s="93"/>
      <c r="O126" s="477"/>
      <c r="P126" s="67"/>
      <c r="U126" s="603">
        <v>50</v>
      </c>
      <c r="V126" s="604">
        <v>1.982851018220793E-2</v>
      </c>
      <c r="W126" s="604">
        <v>6.4308681672025723E-3</v>
      </c>
      <c r="X126" s="605">
        <v>6.9131832797427656E-2</v>
      </c>
      <c r="Y126" s="605">
        <v>1.607717041800643E-2</v>
      </c>
      <c r="Z126" s="605">
        <v>2.6795284030010718E-3</v>
      </c>
      <c r="AA126" s="605">
        <v>0</v>
      </c>
      <c r="AB126" s="605">
        <v>0</v>
      </c>
      <c r="AC126" s="606">
        <v>0.11414790996784567</v>
      </c>
    </row>
    <row r="127" spans="2:46">
      <c r="M127" s="67"/>
      <c r="N127" s="93"/>
      <c r="O127" s="477"/>
      <c r="P127" s="67"/>
      <c r="U127" s="607" t="s">
        <v>254</v>
      </c>
      <c r="V127" s="600">
        <v>0.17738478027867094</v>
      </c>
      <c r="W127" s="600">
        <v>0.12540192926045016</v>
      </c>
      <c r="X127" s="600">
        <v>0.47695605573419075</v>
      </c>
      <c r="Y127" s="600">
        <v>0.15058949624866025</v>
      </c>
      <c r="Z127" s="600">
        <v>4.7695605573419064E-2</v>
      </c>
      <c r="AA127" s="600">
        <v>1.232583065380493E-2</v>
      </c>
      <c r="AB127" s="600">
        <v>9.6463022508038593E-3</v>
      </c>
      <c r="AC127" s="600">
        <v>1</v>
      </c>
    </row>
    <row r="128" spans="2:46">
      <c r="M128" s="67"/>
      <c r="N128" s="93"/>
      <c r="O128" s="477"/>
      <c r="P128" s="67"/>
      <c r="Q128" s="67"/>
    </row>
    <row r="130" spans="2:36" s="42" customFormat="1">
      <c r="B130" s="53" t="s">
        <v>6</v>
      </c>
      <c r="O130" s="485" t="s">
        <v>460</v>
      </c>
      <c r="P130" s="485"/>
      <c r="Q130" s="584">
        <f>Q161+Q159+AD159</f>
        <v>27145.211293039996</v>
      </c>
      <c r="R130" s="587">
        <f>Q130/SUM($X$57:$AA$57)</f>
        <v>3.7645131766534376E-2</v>
      </c>
      <c r="W130" s="485" t="s">
        <v>1530</v>
      </c>
      <c r="X130" s="485"/>
      <c r="Y130" s="584">
        <f>AD159</f>
        <v>18357.321533039998</v>
      </c>
    </row>
    <row r="132" spans="2:36">
      <c r="B132" s="10" t="s">
        <v>1503</v>
      </c>
      <c r="M132" s="1709" t="s">
        <v>1499</v>
      </c>
      <c r="O132" s="1738" t="s">
        <v>1519</v>
      </c>
      <c r="P132" s="1738" t="s">
        <v>1520</v>
      </c>
      <c r="Z132" s="1709" t="s">
        <v>1500</v>
      </c>
      <c r="AB132" s="1738" t="s">
        <v>1519</v>
      </c>
      <c r="AC132" s="1738" t="s">
        <v>1520</v>
      </c>
    </row>
    <row r="133" spans="2:36">
      <c r="B133" s="10" t="s">
        <v>1509</v>
      </c>
      <c r="D133" s="4"/>
      <c r="M133" s="539" t="s">
        <v>509</v>
      </c>
      <c r="O133" s="579">
        <f>'Sale Plan &amp; KPIs'!D15+'Sale Plan &amp; KPIs'!E15+'Sale Plan &amp; KPIs'!F15+'Sale Plan &amp; KPIs'!G15</f>
        <v>218507.37299999999</v>
      </c>
      <c r="Z133" s="539" t="s">
        <v>509</v>
      </c>
      <c r="AB133" s="1710">
        <f>'Sale Plan &amp; KPIs'!Q15+'Sale Plan &amp; KPIs'!R15</f>
        <v>434719.18</v>
      </c>
      <c r="AC133" s="1710"/>
    </row>
    <row r="134" spans="2:36">
      <c r="B134" s="10"/>
      <c r="D134" s="1887" t="s">
        <v>14</v>
      </c>
      <c r="E134" s="1887"/>
      <c r="M134" s="67" t="s">
        <v>1507</v>
      </c>
      <c r="O134" s="1712">
        <f>O135/O133</f>
        <v>0.51164518370737078</v>
      </c>
      <c r="P134" s="1712">
        <f>P135/O133</f>
        <v>0.45070332249154815</v>
      </c>
      <c r="Z134" s="67" t="s">
        <v>1507</v>
      </c>
      <c r="AB134" s="1711">
        <v>0.7</v>
      </c>
      <c r="AC134" s="1711">
        <v>0.6</v>
      </c>
    </row>
    <row r="135" spans="2:36">
      <c r="B135" s="4"/>
      <c r="C135" s="54" t="s">
        <v>1504</v>
      </c>
      <c r="D135" s="55" t="s">
        <v>1505</v>
      </c>
      <c r="E135" s="55" t="s">
        <v>1506</v>
      </c>
      <c r="M135" s="539" t="s">
        <v>1518</v>
      </c>
      <c r="O135" s="579">
        <v>111798.245</v>
      </c>
      <c r="P135" s="579">
        <v>98481.998999999996</v>
      </c>
      <c r="Z135" s="539" t="s">
        <v>1508</v>
      </c>
      <c r="AB135" s="1710">
        <f>AB133*AB134</f>
        <v>304303.42599999998</v>
      </c>
      <c r="AC135" s="1710">
        <f>AB133*AC134</f>
        <v>260831.50799999997</v>
      </c>
    </row>
    <row r="136" spans="2:36">
      <c r="B136" s="4"/>
      <c r="C136" s="64">
        <v>12</v>
      </c>
      <c r="D136" s="87">
        <v>0.04</v>
      </c>
      <c r="E136" s="87">
        <v>0.06</v>
      </c>
      <c r="M136" s="539" t="s">
        <v>1510</v>
      </c>
      <c r="O136" s="579">
        <v>98089.415999999997</v>
      </c>
      <c r="P136" s="579">
        <v>87413.731</v>
      </c>
      <c r="Q136" s="1727">
        <f>P136/P135</f>
        <v>0.8876112577690467</v>
      </c>
      <c r="Z136" s="539" t="s">
        <v>1510</v>
      </c>
      <c r="AB136" s="1710">
        <f>AB135*90%</f>
        <v>273873.0834</v>
      </c>
      <c r="AC136" s="1710">
        <f>AC135*90%</f>
        <v>234748.35719999997</v>
      </c>
    </row>
    <row r="137" spans="2:36">
      <c r="B137" s="4"/>
      <c r="C137" s="64">
        <v>15</v>
      </c>
      <c r="D137" s="87">
        <v>0.06</v>
      </c>
      <c r="E137" s="87">
        <v>0.08</v>
      </c>
      <c r="M137" s="574" t="s">
        <v>207</v>
      </c>
      <c r="N137" s="539"/>
      <c r="O137" s="579">
        <v>6212</v>
      </c>
      <c r="P137" s="579">
        <v>5536</v>
      </c>
      <c r="Z137" s="574" t="s">
        <v>207</v>
      </c>
      <c r="AA137" s="539"/>
      <c r="AB137" s="1710">
        <f>AB135/AB138</f>
        <v>15215.171299999998</v>
      </c>
      <c r="AC137" s="1710">
        <f>AC135/AC138</f>
        <v>13041.575399999998</v>
      </c>
    </row>
    <row r="138" spans="2:36">
      <c r="C138" s="88">
        <v>20</v>
      </c>
      <c r="D138" s="89">
        <v>0.08</v>
      </c>
      <c r="E138" s="89">
        <v>0.1</v>
      </c>
      <c r="M138" s="539" t="s">
        <v>510</v>
      </c>
      <c r="O138" s="1713">
        <f>O135/O137</f>
        <v>17.99714182227946</v>
      </c>
      <c r="P138" s="1713">
        <f>P135/P137</f>
        <v>17.789378432080923</v>
      </c>
      <c r="Z138" s="539" t="s">
        <v>510</v>
      </c>
      <c r="AB138" s="1735">
        <v>20</v>
      </c>
      <c r="AC138" s="1735">
        <v>20</v>
      </c>
    </row>
    <row r="140" spans="2:36">
      <c r="M140" s="69" t="s">
        <v>1511</v>
      </c>
      <c r="S140" s="69" t="s">
        <v>1513</v>
      </c>
      <c r="Z140" s="69" t="s">
        <v>1511</v>
      </c>
      <c r="AF140" s="69" t="s">
        <v>1513</v>
      </c>
    </row>
    <row r="141" spans="2:36">
      <c r="M141" s="703" t="s">
        <v>1504</v>
      </c>
      <c r="N141" s="702" t="s">
        <v>1512</v>
      </c>
      <c r="O141" s="703" t="s">
        <v>1505</v>
      </c>
      <c r="P141" s="703" t="s">
        <v>1506</v>
      </c>
      <c r="Q141" s="702" t="s">
        <v>254</v>
      </c>
      <c r="S141" s="703" t="s">
        <v>1504</v>
      </c>
      <c r="T141" s="702" t="s">
        <v>1512</v>
      </c>
      <c r="U141" s="703" t="s">
        <v>1505</v>
      </c>
      <c r="V141" s="703" t="s">
        <v>1506</v>
      </c>
      <c r="W141" s="702" t="s">
        <v>254</v>
      </c>
      <c r="Z141" s="703" t="s">
        <v>1504</v>
      </c>
      <c r="AA141" s="702" t="s">
        <v>1512</v>
      </c>
      <c r="AB141" s="703" t="s">
        <v>1505</v>
      </c>
      <c r="AC141" s="703" t="s">
        <v>1506</v>
      </c>
      <c r="AD141" s="702" t="s">
        <v>254</v>
      </c>
      <c r="AF141" s="703" t="s">
        <v>1504</v>
      </c>
      <c r="AG141" s="702" t="s">
        <v>1512</v>
      </c>
      <c r="AH141" s="703" t="s">
        <v>1505</v>
      </c>
      <c r="AI141" s="703" t="s">
        <v>1506</v>
      </c>
      <c r="AJ141" s="702" t="s">
        <v>254</v>
      </c>
    </row>
    <row r="142" spans="2:36">
      <c r="M142">
        <v>12</v>
      </c>
      <c r="N142" s="850"/>
      <c r="O142">
        <v>423</v>
      </c>
      <c r="P142">
        <v>357</v>
      </c>
      <c r="Q142" s="850">
        <f>SUM(N142:P142)</f>
        <v>780</v>
      </c>
      <c r="S142">
        <v>12</v>
      </c>
      <c r="T142" s="1728"/>
      <c r="U142" s="583">
        <v>7.927286356821589E-2</v>
      </c>
      <c r="V142" s="583">
        <v>6.6904047976011988E-2</v>
      </c>
      <c r="W142" s="1728">
        <f>SUM(T142:V142)</f>
        <v>0.14617691154422788</v>
      </c>
      <c r="Z142">
        <v>12</v>
      </c>
      <c r="AA142" s="1736"/>
      <c r="AB142" s="897">
        <f>AH142*$AC$137</f>
        <v>912.91027799999995</v>
      </c>
      <c r="AC142" s="897">
        <f>AI142*$AC$137</f>
        <v>912.91027799999995</v>
      </c>
      <c r="AD142" s="1736">
        <f>SUM(AA142:AC142)</f>
        <v>1825.8205559999999</v>
      </c>
      <c r="AF142">
        <v>12</v>
      </c>
      <c r="AG142" s="1728"/>
      <c r="AH142" s="583">
        <v>7.0000000000000007E-2</v>
      </c>
      <c r="AI142" s="583">
        <v>7.0000000000000007E-2</v>
      </c>
      <c r="AJ142" s="1728">
        <f>SUM(AG142:AI142)</f>
        <v>0.14000000000000001</v>
      </c>
    </row>
    <row r="143" spans="2:36">
      <c r="M143">
        <v>15</v>
      </c>
      <c r="N143" s="850"/>
      <c r="O143">
        <v>1550</v>
      </c>
      <c r="P143">
        <v>1186</v>
      </c>
      <c r="Q143" s="850">
        <f t="shared" ref="Q143:Q144" si="101">SUM(N143:P143)</f>
        <v>2736</v>
      </c>
      <c r="S143">
        <v>15</v>
      </c>
      <c r="T143" s="1728"/>
      <c r="U143" s="583">
        <v>0.29047976011994003</v>
      </c>
      <c r="V143" s="583">
        <v>0.22226386806596701</v>
      </c>
      <c r="W143" s="1728">
        <f t="shared" ref="W143:W144" si="102">SUM(T143:V143)</f>
        <v>0.51274362818590702</v>
      </c>
      <c r="Z143">
        <v>15</v>
      </c>
      <c r="AA143" s="1736"/>
      <c r="AB143" s="897">
        <f t="shared" ref="AB143:AB144" si="103">AH143*$AC$137</f>
        <v>3521.2253579999997</v>
      </c>
      <c r="AC143" s="897">
        <f t="shared" ref="AC143:AC144" si="104">AI143*$AC$137</f>
        <v>3129.9780959999994</v>
      </c>
      <c r="AD143" s="1736">
        <f t="shared" ref="AD143:AD144" si="105">SUM(AA143:AC143)</f>
        <v>6651.2034539999986</v>
      </c>
      <c r="AF143">
        <v>15</v>
      </c>
      <c r="AG143" s="1728"/>
      <c r="AH143" s="583">
        <v>0.27</v>
      </c>
      <c r="AI143" s="583">
        <v>0.24</v>
      </c>
      <c r="AJ143" s="1728">
        <f t="shared" ref="AJ143:AJ144" si="106">SUM(AG143:AI143)</f>
        <v>0.51</v>
      </c>
    </row>
    <row r="144" spans="2:36">
      <c r="M144" s="703">
        <v>20</v>
      </c>
      <c r="N144" s="702"/>
      <c r="O144" s="703">
        <v>437</v>
      </c>
      <c r="P144" s="703">
        <v>1383</v>
      </c>
      <c r="Q144" s="702">
        <f t="shared" si="101"/>
        <v>1820</v>
      </c>
      <c r="S144" s="703">
        <v>20</v>
      </c>
      <c r="T144" s="1729"/>
      <c r="U144" s="1730">
        <v>8.1896551724137928E-2</v>
      </c>
      <c r="V144" s="1730">
        <v>0.25918290854572712</v>
      </c>
      <c r="W144" s="1729">
        <f t="shared" si="102"/>
        <v>0.34107946026986502</v>
      </c>
      <c r="Z144" s="703">
        <v>20</v>
      </c>
      <c r="AA144" s="1737"/>
      <c r="AB144" s="1109">
        <f t="shared" si="103"/>
        <v>912.91027799999995</v>
      </c>
      <c r="AC144" s="1109">
        <f t="shared" si="104"/>
        <v>3651.6411119999998</v>
      </c>
      <c r="AD144" s="1737">
        <f t="shared" si="105"/>
        <v>4564.5513899999996</v>
      </c>
      <c r="AF144" s="703">
        <v>20</v>
      </c>
      <c r="AG144" s="1729"/>
      <c r="AH144" s="1730">
        <v>7.0000000000000007E-2</v>
      </c>
      <c r="AI144" s="1730">
        <v>0.28000000000000003</v>
      </c>
      <c r="AJ144" s="1729">
        <f t="shared" si="106"/>
        <v>0.35000000000000003</v>
      </c>
    </row>
    <row r="145" spans="13:36">
      <c r="N145" s="850">
        <f>SUM(N142:N144)</f>
        <v>0</v>
      </c>
      <c r="O145">
        <f t="shared" ref="O145:Q145" si="107">SUM(O142:O144)</f>
        <v>2410</v>
      </c>
      <c r="P145">
        <f t="shared" si="107"/>
        <v>2926</v>
      </c>
      <c r="Q145" s="850">
        <f t="shared" si="107"/>
        <v>5336</v>
      </c>
      <c r="T145" s="1728">
        <f>SUM(T142:T144)</f>
        <v>0</v>
      </c>
      <c r="U145" s="583">
        <f t="shared" ref="U145" si="108">SUM(U142:U144)</f>
        <v>0.45164917541229388</v>
      </c>
      <c r="V145" s="583">
        <f t="shared" ref="V145" si="109">SUM(V142:V144)</f>
        <v>0.54835082458770612</v>
      </c>
      <c r="W145" s="1728">
        <f t="shared" ref="W145" si="110">SUM(W142:W144)</f>
        <v>0.99999999999999989</v>
      </c>
      <c r="AA145" s="1736"/>
      <c r="AB145" s="897">
        <f t="shared" ref="AB145" si="111">SUM(AB142:AB144)</f>
        <v>5347.0459140000003</v>
      </c>
      <c r="AC145" s="897">
        <f t="shared" ref="AC145" si="112">SUM(AC142:AC144)</f>
        <v>7694.5294859999995</v>
      </c>
      <c r="AD145" s="1736">
        <f t="shared" ref="AD145" si="113">SUM(AD142:AD144)</f>
        <v>13041.575399999998</v>
      </c>
      <c r="AG145" s="1728"/>
      <c r="AH145" s="583">
        <f t="shared" ref="AH145" si="114">SUM(AH142:AH144)</f>
        <v>0.41000000000000003</v>
      </c>
      <c r="AI145" s="583">
        <f t="shared" ref="AI145" si="115">SUM(AI142:AI144)</f>
        <v>0.59000000000000008</v>
      </c>
      <c r="AJ145" s="1728">
        <f t="shared" ref="AJ145" si="116">SUM(AJ142:AJ144)</f>
        <v>1</v>
      </c>
    </row>
    <row r="147" spans="13:36">
      <c r="M147" s="69" t="s">
        <v>1514</v>
      </c>
      <c r="S147" s="69" t="s">
        <v>1515</v>
      </c>
      <c r="Z147" s="69" t="s">
        <v>1514</v>
      </c>
      <c r="AF147" s="69" t="s">
        <v>1515</v>
      </c>
    </row>
    <row r="148" spans="13:36">
      <c r="M148" s="703" t="s">
        <v>1504</v>
      </c>
      <c r="N148" s="702" t="s">
        <v>1512</v>
      </c>
      <c r="O148" s="703" t="s">
        <v>1505</v>
      </c>
      <c r="P148" s="703" t="s">
        <v>1506</v>
      </c>
      <c r="Q148" s="702" t="s">
        <v>254</v>
      </c>
      <c r="S148" s="703" t="s">
        <v>1504</v>
      </c>
      <c r="T148" s="702" t="s">
        <v>1512</v>
      </c>
      <c r="U148" s="703" t="s">
        <v>1505</v>
      </c>
      <c r="V148" s="703" t="s">
        <v>1506</v>
      </c>
      <c r="W148" s="702" t="s">
        <v>254</v>
      </c>
      <c r="Z148" s="703" t="s">
        <v>1504</v>
      </c>
      <c r="AA148" s="702" t="s">
        <v>1512</v>
      </c>
      <c r="AB148" s="703" t="s">
        <v>1505</v>
      </c>
      <c r="AC148" s="703" t="s">
        <v>1506</v>
      </c>
      <c r="AD148" s="702" t="s">
        <v>254</v>
      </c>
      <c r="AF148" s="703" t="s">
        <v>1504</v>
      </c>
      <c r="AG148" s="702" t="s">
        <v>1512</v>
      </c>
      <c r="AH148" s="703" t="s">
        <v>1505</v>
      </c>
      <c r="AI148" s="703" t="s">
        <v>1506</v>
      </c>
      <c r="AJ148" s="702" t="s">
        <v>254</v>
      </c>
    </row>
    <row r="149" spans="13:36">
      <c r="M149">
        <v>12</v>
      </c>
      <c r="N149" s="1731"/>
      <c r="O149" s="442">
        <v>6139.4340000000002</v>
      </c>
      <c r="P149" s="442">
        <v>4568.3040000000001</v>
      </c>
      <c r="Q149" s="1731">
        <f>SUM(N149:P149)</f>
        <v>10707.738000000001</v>
      </c>
      <c r="S149">
        <v>12</v>
      </c>
      <c r="T149" s="1728"/>
      <c r="U149" s="583">
        <v>7.0234206111165765E-2</v>
      </c>
      <c r="V149" s="583">
        <v>5.2260714051891914E-2</v>
      </c>
      <c r="W149" s="1728">
        <f>SUM(T149:V149)</f>
        <v>0.12249492016305769</v>
      </c>
      <c r="Z149">
        <v>12</v>
      </c>
      <c r="AA149" s="1731"/>
      <c r="AB149" s="442">
        <f>AH149*$AC$136</f>
        <v>14084.901431999997</v>
      </c>
      <c r="AC149" s="442">
        <f>AI149*$AC$136</f>
        <v>14084.901431999997</v>
      </c>
      <c r="AD149" s="1731">
        <f>SUM(AA149:AC149)</f>
        <v>28169.802863999994</v>
      </c>
      <c r="AF149">
        <v>12</v>
      </c>
      <c r="AG149" s="1728"/>
      <c r="AH149" s="583">
        <v>0.06</v>
      </c>
      <c r="AI149" s="583">
        <v>0.06</v>
      </c>
      <c r="AJ149" s="1728">
        <f>SUM(AG149:AI149)</f>
        <v>0.12</v>
      </c>
    </row>
    <row r="150" spans="13:36">
      <c r="M150">
        <v>15</v>
      </c>
      <c r="N150" s="1731"/>
      <c r="O150" s="442">
        <v>23177.019</v>
      </c>
      <c r="P150" s="442">
        <v>16765.629000000001</v>
      </c>
      <c r="Q150" s="1731">
        <f t="shared" ref="Q150:Q151" si="117">SUM(N150:P150)</f>
        <v>39942.648000000001</v>
      </c>
      <c r="S150">
        <v>15</v>
      </c>
      <c r="T150" s="1728"/>
      <c r="U150" s="583">
        <v>0.26514162860752394</v>
      </c>
      <c r="V150" s="583">
        <v>0.19179628655822961</v>
      </c>
      <c r="W150" s="1728">
        <f t="shared" ref="W150:W151" si="118">SUM(T150:V150)</f>
        <v>0.45693791516575355</v>
      </c>
      <c r="Z150">
        <v>15</v>
      </c>
      <c r="AA150" s="1731"/>
      <c r="AB150" s="442">
        <f t="shared" ref="AB150:AB151" si="119">AH150*$AC$136</f>
        <v>53992.122155999998</v>
      </c>
      <c r="AC150" s="442">
        <f t="shared" ref="AC150:AC151" si="120">AI150*$AC$136</f>
        <v>51644.638583999993</v>
      </c>
      <c r="AD150" s="1731">
        <f t="shared" ref="AD150:AD151" si="121">SUM(AA150:AC150)</f>
        <v>105636.76074</v>
      </c>
      <c r="AF150">
        <v>15</v>
      </c>
      <c r="AG150" s="1728"/>
      <c r="AH150" s="583">
        <v>0.23</v>
      </c>
      <c r="AI150" s="583">
        <v>0.22</v>
      </c>
      <c r="AJ150" s="1728">
        <f t="shared" ref="AJ150:AJ151" si="122">SUM(AG150:AI150)</f>
        <v>0.45</v>
      </c>
    </row>
    <row r="151" spans="13:36">
      <c r="M151" s="703">
        <v>20</v>
      </c>
      <c r="N151" s="1732"/>
      <c r="O151" s="720">
        <v>9128.4699999999993</v>
      </c>
      <c r="P151" s="720">
        <v>27634.875</v>
      </c>
      <c r="Q151" s="1732">
        <f t="shared" si="117"/>
        <v>36763.345000000001</v>
      </c>
      <c r="S151" s="703">
        <v>20</v>
      </c>
      <c r="T151" s="1729"/>
      <c r="U151" s="1730">
        <v>0.10442833060174493</v>
      </c>
      <c r="V151" s="1730">
        <v>0.31613883406944387</v>
      </c>
      <c r="W151" s="1729">
        <f t="shared" si="118"/>
        <v>0.42056716467118882</v>
      </c>
      <c r="Z151" s="703">
        <v>20</v>
      </c>
      <c r="AA151" s="1732"/>
      <c r="AB151" s="720">
        <f t="shared" si="119"/>
        <v>25822.319291999996</v>
      </c>
      <c r="AC151" s="720">
        <f t="shared" si="120"/>
        <v>75119.474303999988</v>
      </c>
      <c r="AD151" s="1732">
        <f t="shared" si="121"/>
        <v>100941.79359599999</v>
      </c>
      <c r="AF151" s="703">
        <v>20</v>
      </c>
      <c r="AG151" s="1729"/>
      <c r="AH151" s="1730">
        <v>0.11</v>
      </c>
      <c r="AI151" s="1730">
        <v>0.32</v>
      </c>
      <c r="AJ151" s="1729">
        <f t="shared" si="122"/>
        <v>0.43</v>
      </c>
    </row>
    <row r="152" spans="13:36">
      <c r="N152" s="1731">
        <f>SUM(N149:N151)</f>
        <v>0</v>
      </c>
      <c r="O152" s="442">
        <f t="shared" ref="O152" si="123">SUM(O149:O151)</f>
        <v>38444.923000000003</v>
      </c>
      <c r="P152" s="442">
        <f t="shared" ref="P152" si="124">SUM(P149:P151)</f>
        <v>48968.808000000005</v>
      </c>
      <c r="Q152" s="1731">
        <f t="shared" ref="Q152" si="125">SUM(Q149:Q151)</f>
        <v>87413.731</v>
      </c>
      <c r="T152" s="1728">
        <f>SUM(T149:T151)</f>
        <v>0</v>
      </c>
      <c r="U152" s="583">
        <f t="shared" ref="U152" si="126">SUM(U149:U151)</f>
        <v>0.43980416532043465</v>
      </c>
      <c r="V152" s="583">
        <f t="shared" ref="V152" si="127">SUM(V149:V151)</f>
        <v>0.56019583467956546</v>
      </c>
      <c r="W152" s="1728">
        <f t="shared" ref="W152" si="128">SUM(W149:W151)</f>
        <v>1</v>
      </c>
      <c r="AA152" s="1731"/>
      <c r="AB152" s="442">
        <f t="shared" ref="AB152" si="129">SUM(AB149:AB151)</f>
        <v>93899.342879999997</v>
      </c>
      <c r="AC152" s="442">
        <f t="shared" ref="AC152" si="130">SUM(AC149:AC151)</f>
        <v>140849.01431999996</v>
      </c>
      <c r="AD152" s="1731">
        <f t="shared" ref="AD152" si="131">SUM(AD149:AD151)</f>
        <v>234748.35719999997</v>
      </c>
      <c r="AG152" s="1728">
        <f>SUM(AG149:AG151)</f>
        <v>0</v>
      </c>
      <c r="AH152" s="583">
        <f t="shared" ref="AH152" si="132">SUM(AH149:AH151)</f>
        <v>0.4</v>
      </c>
      <c r="AI152" s="583">
        <f t="shared" ref="AI152" si="133">SUM(AI149:AI151)</f>
        <v>0.60000000000000009</v>
      </c>
      <c r="AJ152" s="1728">
        <f t="shared" ref="AJ152" si="134">SUM(AJ149:AJ151)</f>
        <v>1</v>
      </c>
    </row>
    <row r="153" spans="13:36">
      <c r="O153" s="1741">
        <f>O152/O145</f>
        <v>15.952250207468881</v>
      </c>
      <c r="P153" s="1741">
        <f>P152/P145</f>
        <v>16.735751196172249</v>
      </c>
      <c r="Q153" s="1741">
        <f>Q152/Q145</f>
        <v>16.381883620689656</v>
      </c>
      <c r="AB153" s="1741">
        <f>AB152/AB145</f>
        <v>17.560975609756095</v>
      </c>
      <c r="AC153" s="1741">
        <f>AC152/AC145</f>
        <v>18.305084745762709</v>
      </c>
      <c r="AD153" s="1741">
        <f>AD152/AD145</f>
        <v>18</v>
      </c>
    </row>
    <row r="154" spans="13:36">
      <c r="M154" s="69" t="s">
        <v>1516</v>
      </c>
      <c r="Z154" s="69" t="s">
        <v>1516</v>
      </c>
    </row>
    <row r="155" spans="13:36">
      <c r="M155" s="703" t="s">
        <v>1504</v>
      </c>
      <c r="N155" s="702" t="s">
        <v>1512</v>
      </c>
      <c r="O155" s="703" t="s">
        <v>1505</v>
      </c>
      <c r="P155" s="703" t="s">
        <v>1506</v>
      </c>
      <c r="Q155" s="702" t="s">
        <v>254</v>
      </c>
      <c r="Z155" s="703" t="s">
        <v>1504</v>
      </c>
      <c r="AA155" s="702" t="s">
        <v>1512</v>
      </c>
      <c r="AB155" s="703" t="s">
        <v>1505</v>
      </c>
      <c r="AC155" s="703" t="s">
        <v>1506</v>
      </c>
      <c r="AD155" s="702" t="s">
        <v>254</v>
      </c>
    </row>
    <row r="156" spans="13:36">
      <c r="M156">
        <v>12</v>
      </c>
      <c r="N156" s="1731"/>
      <c r="O156" s="442">
        <f>O149*D136</f>
        <v>245.57736</v>
      </c>
      <c r="P156" s="442">
        <f>P149*E136</f>
        <v>274.09823999999998</v>
      </c>
      <c r="Q156" s="1731">
        <f>SUM(N156:P156)</f>
        <v>519.67560000000003</v>
      </c>
      <c r="Z156">
        <v>12</v>
      </c>
      <c r="AA156" s="1731"/>
      <c r="AB156" s="442">
        <f>AB149*D136</f>
        <v>563.39605727999992</v>
      </c>
      <c r="AC156" s="442">
        <f>AC149*E136</f>
        <v>845.09408591999977</v>
      </c>
      <c r="AD156" s="1731">
        <f>SUM(AA156:AC156)</f>
        <v>1408.4901431999997</v>
      </c>
    </row>
    <row r="157" spans="13:36">
      <c r="M157">
        <v>15</v>
      </c>
      <c r="N157" s="1731"/>
      <c r="O157" s="442">
        <f t="shared" ref="O157:P157" si="135">O150*D137</f>
        <v>1390.62114</v>
      </c>
      <c r="P157" s="442">
        <f t="shared" si="135"/>
        <v>1341.2503200000001</v>
      </c>
      <c r="Q157" s="1731">
        <f t="shared" ref="Q157:Q158" si="136">SUM(N157:P157)</f>
        <v>2731.8714600000003</v>
      </c>
      <c r="Z157">
        <v>15</v>
      </c>
      <c r="AA157" s="1731"/>
      <c r="AB157" s="442">
        <f t="shared" ref="AB157:AC157" si="137">AB150*D137</f>
        <v>3239.5273293599998</v>
      </c>
      <c r="AC157" s="442">
        <f t="shared" si="137"/>
        <v>4131.5710867199996</v>
      </c>
      <c r="AD157" s="1731">
        <f t="shared" ref="AD157:AD158" si="138">SUM(AA157:AC157)</f>
        <v>7371.0984160799999</v>
      </c>
    </row>
    <row r="158" spans="13:36">
      <c r="M158" s="703">
        <v>20</v>
      </c>
      <c r="N158" s="1732"/>
      <c r="O158" s="720">
        <f t="shared" ref="O158:P158" si="139">O151*D138</f>
        <v>730.27760000000001</v>
      </c>
      <c r="P158" s="720">
        <f t="shared" si="139"/>
        <v>2763.4875000000002</v>
      </c>
      <c r="Q158" s="1732">
        <f t="shared" si="136"/>
        <v>3493.7651000000001</v>
      </c>
      <c r="Z158" s="703">
        <v>20</v>
      </c>
      <c r="AA158" s="1732"/>
      <c r="AB158" s="720">
        <f t="shared" ref="AB158:AC158" si="140">AB151*D138</f>
        <v>2065.7855433599998</v>
      </c>
      <c r="AC158" s="720">
        <f t="shared" si="140"/>
        <v>7511.9474303999996</v>
      </c>
      <c r="AD158" s="1732">
        <f t="shared" si="138"/>
        <v>9577.7329737599994</v>
      </c>
    </row>
    <row r="159" spans="13:36">
      <c r="N159" s="1731">
        <f>SUM(N156:N158)</f>
        <v>0</v>
      </c>
      <c r="O159" s="442">
        <f t="shared" ref="O159" si="141">SUM(O156:O158)</f>
        <v>2366.4760999999999</v>
      </c>
      <c r="P159" s="442">
        <f t="shared" ref="P159" si="142">SUM(P156:P158)</f>
        <v>4378.8360600000005</v>
      </c>
      <c r="Q159" s="1733">
        <f t="shared" ref="Q159" si="143">SUM(Q156:Q158)</f>
        <v>6745.3121600000004</v>
      </c>
      <c r="R159" s="1739">
        <f>Q159/O133</f>
        <v>3.0869952200651831E-2</v>
      </c>
      <c r="S159" s="1739" t="s">
        <v>206</v>
      </c>
      <c r="AA159" s="1731">
        <f>SUM(AA156:AA158)</f>
        <v>0</v>
      </c>
      <c r="AB159" s="442">
        <f t="shared" ref="AB159" si="144">SUM(AB156:AB158)</f>
        <v>5868.7089299999998</v>
      </c>
      <c r="AC159" s="442">
        <f t="shared" ref="AC159" si="145">SUM(AC156:AC158)</f>
        <v>12488.612603039999</v>
      </c>
      <c r="AD159" s="1733">
        <f t="shared" ref="AD159" si="146">SUM(AD156:AD158)</f>
        <v>18357.321533039998</v>
      </c>
      <c r="AE159" s="1739">
        <f>AD159/AB133</f>
        <v>4.2227999999999995E-2</v>
      </c>
      <c r="AF159" s="1739" t="s">
        <v>206</v>
      </c>
    </row>
    <row r="160" spans="13:36">
      <c r="O160" s="1739">
        <f>O159/O133</f>
        <v>1.0830188782691557E-2</v>
      </c>
      <c r="P160" s="1739">
        <f>P159/O133</f>
        <v>2.0039763417960276E-2</v>
      </c>
      <c r="AB160" s="1739">
        <f>AB159/AB133</f>
        <v>1.35E-2</v>
      </c>
      <c r="AC160" s="1739">
        <f>AC159/AB133</f>
        <v>2.8728E-2</v>
      </c>
    </row>
    <row r="161" spans="2:43">
      <c r="O161" s="1734" t="s">
        <v>1517</v>
      </c>
      <c r="Q161" s="860">
        <v>2042.5776000000001</v>
      </c>
      <c r="R161" s="572"/>
    </row>
    <row r="163" spans="2:43" s="42" customFormat="1">
      <c r="B163" s="53" t="s">
        <v>201</v>
      </c>
      <c r="O163" s="485" t="s">
        <v>460</v>
      </c>
      <c r="P163" s="485"/>
      <c r="Q163" s="584">
        <f>AQ176+AQ185+AD198</f>
        <v>15389.571265552851</v>
      </c>
      <c r="R163" s="1117">
        <f>Q163/SUM($X$57:$AA$57)</f>
        <v>2.1342344027756789E-2</v>
      </c>
      <c r="W163" s="485" t="s">
        <v>1530</v>
      </c>
      <c r="X163" s="485"/>
      <c r="Y163" s="584">
        <f>AO185+AP185+AD198+AO176+AP176</f>
        <v>11396.662818802852</v>
      </c>
    </row>
    <row r="165" spans="2:43">
      <c r="B165" s="86" t="s">
        <v>224</v>
      </c>
      <c r="L165" s="542" t="s">
        <v>470</v>
      </c>
      <c r="W165" s="543" t="s">
        <v>471</v>
      </c>
    </row>
    <row r="167" spans="2:43">
      <c r="N167" s="505"/>
      <c r="O167" s="502" t="s">
        <v>208</v>
      </c>
      <c r="P167" s="502" t="s">
        <v>209</v>
      </c>
      <c r="Q167" s="502" t="s">
        <v>212</v>
      </c>
      <c r="R167" s="503" t="s">
        <v>211</v>
      </c>
      <c r="S167" s="82" t="s">
        <v>213</v>
      </c>
      <c r="T167" s="82" t="s">
        <v>214</v>
      </c>
      <c r="U167" s="82" t="s">
        <v>210</v>
      </c>
      <c r="W167" s="491"/>
      <c r="X167" s="72" t="s">
        <v>215</v>
      </c>
      <c r="Y167" s="72" t="s">
        <v>216</v>
      </c>
      <c r="Z167" s="72" t="s">
        <v>217</v>
      </c>
      <c r="AA167" s="82" t="s">
        <v>218</v>
      </c>
      <c r="AD167" t="s">
        <v>203</v>
      </c>
      <c r="AE167">
        <v>0.5</v>
      </c>
      <c r="AF167" s="711">
        <f>$AE167*AA173*3</f>
        <v>222</v>
      </c>
      <c r="AG167" s="711">
        <f t="shared" ref="AG167:AH169" si="147">$AE167*AB173*3</f>
        <v>187.5</v>
      </c>
      <c r="AH167" s="711">
        <f>$AE167*AC173*3</f>
        <v>339.81514452048521</v>
      </c>
    </row>
    <row r="168" spans="2:43">
      <c r="C168" s="629" t="s">
        <v>357</v>
      </c>
      <c r="D168" s="67"/>
      <c r="E168" s="67"/>
      <c r="F168" s="67"/>
      <c r="G168" s="67"/>
      <c r="H168" s="67"/>
      <c r="I168" s="67"/>
      <c r="J168" s="67"/>
      <c r="L168" s="2"/>
      <c r="M168" s="2"/>
      <c r="N168" s="506" t="s">
        <v>465</v>
      </c>
      <c r="O168" s="499">
        <v>2807</v>
      </c>
      <c r="P168" s="499">
        <v>3106</v>
      </c>
      <c r="Q168" s="499">
        <v>3466</v>
      </c>
      <c r="R168" s="504">
        <v>4120</v>
      </c>
      <c r="S168" s="500">
        <v>4327</v>
      </c>
      <c r="T168" s="500">
        <v>5821</v>
      </c>
      <c r="U168" s="500">
        <v>7702</v>
      </c>
      <c r="W168" s="567" t="s">
        <v>206</v>
      </c>
      <c r="X168" s="499">
        <f>X57</f>
        <v>124617.10630000001</v>
      </c>
      <c r="Y168" s="499">
        <f t="shared" ref="Y168:AA168" si="148">Y57</f>
        <v>161745.299</v>
      </c>
      <c r="Z168" s="499">
        <f t="shared" si="148"/>
        <v>197960</v>
      </c>
      <c r="AA168" s="499">
        <f t="shared" si="148"/>
        <v>236759.18</v>
      </c>
      <c r="AD168" t="s">
        <v>204</v>
      </c>
      <c r="AE168">
        <v>0.2</v>
      </c>
      <c r="AF168" s="711">
        <f t="shared" ref="AF168:AF169" si="149">$AE168*AA174*3</f>
        <v>97.800000000000011</v>
      </c>
      <c r="AG168" s="711">
        <f t="shared" si="147"/>
        <v>82.800000000000011</v>
      </c>
      <c r="AH168" s="711">
        <f t="shared" si="147"/>
        <v>149.70234745091648</v>
      </c>
    </row>
    <row r="169" spans="2:43">
      <c r="C169" s="629"/>
      <c r="D169" s="67"/>
      <c r="E169" s="67"/>
      <c r="F169" s="67"/>
      <c r="G169" s="67"/>
      <c r="H169" s="67"/>
      <c r="I169" s="67"/>
      <c r="J169" s="67"/>
      <c r="N169" s="506" t="s">
        <v>206</v>
      </c>
      <c r="O169" s="499">
        <v>37796.877999999997</v>
      </c>
      <c r="P169" s="499">
        <v>67166.509000000005</v>
      </c>
      <c r="Q169" s="499">
        <v>82679.967999999993</v>
      </c>
      <c r="R169" s="504">
        <v>124665.7445</v>
      </c>
      <c r="S169" s="500">
        <v>60676.530400000003</v>
      </c>
      <c r="T169" s="500">
        <v>99565.522100000002</v>
      </c>
      <c r="U169" s="500">
        <v>109301.67099999994</v>
      </c>
      <c r="W169" s="75" t="s">
        <v>117</v>
      </c>
      <c r="X169" s="499">
        <f>X58</f>
        <v>10388</v>
      </c>
      <c r="Y169" s="499">
        <f t="shared" ref="Y169:AA169" si="150">Y58</f>
        <v>12864</v>
      </c>
      <c r="Z169" s="499">
        <f t="shared" si="150"/>
        <v>15143.713948000001</v>
      </c>
      <c r="AA169" s="499">
        <f t="shared" si="150"/>
        <v>17569.783820071436</v>
      </c>
      <c r="AD169" t="s">
        <v>205</v>
      </c>
      <c r="AE169">
        <v>0.1</v>
      </c>
      <c r="AF169" s="711">
        <f t="shared" si="149"/>
        <v>93.9</v>
      </c>
      <c r="AG169" s="711">
        <f t="shared" si="147"/>
        <v>90.600000000000009</v>
      </c>
      <c r="AH169" s="711">
        <f t="shared" si="147"/>
        <v>143.7326219390701</v>
      </c>
    </row>
    <row r="170" spans="2:43" ht="41.25" customHeight="1">
      <c r="C170" s="630" t="s">
        <v>202</v>
      </c>
      <c r="D170" s="631" t="s">
        <v>342</v>
      </c>
      <c r="E170" s="630" t="s">
        <v>229</v>
      </c>
      <c r="F170" s="632"/>
      <c r="G170" s="633"/>
      <c r="H170" s="634" t="s">
        <v>518</v>
      </c>
      <c r="I170" s="634" t="s">
        <v>519</v>
      </c>
      <c r="J170" s="634" t="s">
        <v>520</v>
      </c>
      <c r="W170" s="542" t="s">
        <v>613</v>
      </c>
    </row>
    <row r="171" spans="2:43">
      <c r="C171" s="635" t="s">
        <v>203</v>
      </c>
      <c r="D171" s="636">
        <v>300</v>
      </c>
      <c r="E171" s="636">
        <v>6</v>
      </c>
      <c r="F171" s="637">
        <f>D171/2</f>
        <v>150</v>
      </c>
      <c r="G171" s="1271">
        <f>F171*32%*5%</f>
        <v>2.4000000000000004</v>
      </c>
      <c r="H171" s="638">
        <v>270</v>
      </c>
      <c r="I171" s="638">
        <v>400</v>
      </c>
      <c r="J171" s="638">
        <v>300</v>
      </c>
      <c r="M171" s="68"/>
      <c r="W171" s="69" t="s">
        <v>222</v>
      </c>
      <c r="Z171" s="546"/>
      <c r="AA171" s="701" t="s">
        <v>610</v>
      </c>
      <c r="AC171" s="546"/>
      <c r="AD171" s="1258" t="s">
        <v>1207</v>
      </c>
      <c r="AF171" s="546"/>
      <c r="AG171" s="701" t="s">
        <v>206</v>
      </c>
      <c r="AI171" s="546"/>
      <c r="AJ171" s="701" t="s">
        <v>611</v>
      </c>
      <c r="AL171" s="546"/>
      <c r="AM171" s="722" t="s">
        <v>522</v>
      </c>
      <c r="AN171" s="729" t="s">
        <v>466</v>
      </c>
      <c r="AP171" s="12"/>
    </row>
    <row r="172" spans="2:43">
      <c r="C172" s="635" t="s">
        <v>204</v>
      </c>
      <c r="D172" s="636">
        <v>150</v>
      </c>
      <c r="E172" s="636">
        <v>6</v>
      </c>
      <c r="F172" s="637">
        <f t="shared" ref="F172:F173" si="151">D172/2</f>
        <v>75</v>
      </c>
      <c r="G172" s="1271">
        <f t="shared" ref="G172:G173" si="152">F172*32%*5%</f>
        <v>1.2000000000000002</v>
      </c>
      <c r="H172" s="638">
        <v>130</v>
      </c>
      <c r="I172" s="638">
        <v>260</v>
      </c>
      <c r="J172" s="638">
        <v>200</v>
      </c>
      <c r="L172" s="69" t="s">
        <v>219</v>
      </c>
      <c r="M172" s="70" t="s">
        <v>20</v>
      </c>
      <c r="N172" s="78" t="s">
        <v>220</v>
      </c>
      <c r="O172" s="71" t="s">
        <v>208</v>
      </c>
      <c r="P172" s="72" t="s">
        <v>209</v>
      </c>
      <c r="Q172" s="72" t="s">
        <v>212</v>
      </c>
      <c r="R172" s="73" t="s">
        <v>211</v>
      </c>
      <c r="S172" s="71" t="s">
        <v>213</v>
      </c>
      <c r="T172" s="72" t="s">
        <v>214</v>
      </c>
      <c r="U172" s="72" t="s">
        <v>210</v>
      </c>
      <c r="W172" s="700" t="s">
        <v>202</v>
      </c>
      <c r="X172" s="82" t="s">
        <v>607</v>
      </c>
      <c r="Y172" s="71" t="s">
        <v>608</v>
      </c>
      <c r="Z172" s="77" t="s">
        <v>609</v>
      </c>
      <c r="AA172" s="82" t="s">
        <v>607</v>
      </c>
      <c r="AB172" s="71" t="s">
        <v>608</v>
      </c>
      <c r="AC172" s="77" t="s">
        <v>609</v>
      </c>
      <c r="AD172" s="502" t="s">
        <v>216</v>
      </c>
      <c r="AE172" s="502" t="s">
        <v>217</v>
      </c>
      <c r="AF172" s="503" t="s">
        <v>218</v>
      </c>
      <c r="AG172" s="502" t="s">
        <v>216</v>
      </c>
      <c r="AH172" s="502" t="s">
        <v>217</v>
      </c>
      <c r="AI172" s="503" t="s">
        <v>218</v>
      </c>
      <c r="AJ172" s="704" t="s">
        <v>216</v>
      </c>
      <c r="AK172" s="502" t="s">
        <v>217</v>
      </c>
      <c r="AL172" s="503" t="s">
        <v>218</v>
      </c>
      <c r="AM172" s="723" t="s">
        <v>612</v>
      </c>
      <c r="AN172" s="502" t="s">
        <v>216</v>
      </c>
      <c r="AO172" s="502" t="s">
        <v>217</v>
      </c>
      <c r="AP172" s="502" t="s">
        <v>218</v>
      </c>
    </row>
    <row r="173" spans="2:43">
      <c r="C173" s="639" t="s">
        <v>205</v>
      </c>
      <c r="D173" s="99">
        <v>75</v>
      </c>
      <c r="E173" s="99">
        <v>6</v>
      </c>
      <c r="F173" s="637">
        <f t="shared" si="151"/>
        <v>37.5</v>
      </c>
      <c r="G173" s="1271">
        <f t="shared" si="152"/>
        <v>0.60000000000000009</v>
      </c>
      <c r="H173" s="638">
        <v>50</v>
      </c>
      <c r="I173" s="638">
        <v>146</v>
      </c>
      <c r="J173" s="638">
        <v>140</v>
      </c>
      <c r="M173" s="68">
        <v>3</v>
      </c>
      <c r="N173" s="473">
        <v>300</v>
      </c>
      <c r="O173" s="74">
        <v>53</v>
      </c>
      <c r="P173" s="74">
        <v>49</v>
      </c>
      <c r="Q173" s="74">
        <v>76</v>
      </c>
      <c r="R173" s="75">
        <v>121</v>
      </c>
      <c r="S173" s="76">
        <v>97</v>
      </c>
      <c r="T173" s="76">
        <v>71</v>
      </c>
      <c r="U173" s="76">
        <v>98</v>
      </c>
      <c r="V173" s="572"/>
      <c r="W173" s="75" t="s">
        <v>203</v>
      </c>
      <c r="X173" s="1638">
        <f>AA173/X$169</f>
        <v>1.424720831728918E-2</v>
      </c>
      <c r="Y173" s="1638">
        <f>AB173/Y$169</f>
        <v>9.717039800995024E-3</v>
      </c>
      <c r="Z173" s="707">
        <f>X173*1.05</f>
        <v>1.495956873315364E-2</v>
      </c>
      <c r="AA173" s="1614">
        <v>148</v>
      </c>
      <c r="AB173" s="1614">
        <v>125</v>
      </c>
      <c r="AC173" s="504">
        <f>Z173*Z$169</f>
        <v>226.54342968032347</v>
      </c>
      <c r="AD173" s="1640">
        <f>AG173/AA173</f>
        <v>197.8371283783784</v>
      </c>
      <c r="AE173" s="1275">
        <f>AD173*1.1</f>
        <v>217.62084121621626</v>
      </c>
      <c r="AF173" s="1276">
        <f>AE173*1.05</f>
        <v>228.50188327702708</v>
      </c>
      <c r="AG173" s="1614">
        <v>29279.895</v>
      </c>
      <c r="AH173" s="499">
        <f>AE173*AB173</f>
        <v>27202.605152027034</v>
      </c>
      <c r="AI173" s="504">
        <f>AF173*AC173</f>
        <v>51765.600325990665</v>
      </c>
      <c r="AJ173" s="131">
        <f>AG173/Y$168</f>
        <v>0.18102470477364538</v>
      </c>
      <c r="AK173" s="131">
        <f>AH173/Z$168</f>
        <v>0.13741465524362009</v>
      </c>
      <c r="AL173" s="553">
        <f t="shared" ref="AK173:AL174" si="153">AI173/AA$168</f>
        <v>0.21864242107102527</v>
      </c>
      <c r="AM173" s="726">
        <v>0.2</v>
      </c>
      <c r="AN173" s="1640">
        <f>AG173*$AM173*$R$22</f>
        <v>1903.1931750000001</v>
      </c>
      <c r="AO173" s="499">
        <f>AH173*$AM173*$R$22</f>
        <v>1768.1693348817573</v>
      </c>
      <c r="AP173" s="499">
        <f>AI173*$AM173*$R$22</f>
        <v>3364.7640211893936</v>
      </c>
    </row>
    <row r="174" spans="2:43">
      <c r="C174" s="67"/>
      <c r="D174" s="67"/>
      <c r="E174" s="67"/>
      <c r="F174" s="67"/>
      <c r="G174" s="67"/>
      <c r="H174" s="67"/>
      <c r="I174" s="67"/>
      <c r="J174" s="67"/>
      <c r="M174" s="68">
        <v>2</v>
      </c>
      <c r="N174" s="473">
        <v>150</v>
      </c>
      <c r="O174" s="74">
        <v>70</v>
      </c>
      <c r="P174" s="74">
        <v>67</v>
      </c>
      <c r="Q174" s="74">
        <v>92</v>
      </c>
      <c r="R174" s="75">
        <v>138</v>
      </c>
      <c r="S174" s="76">
        <v>143</v>
      </c>
      <c r="T174" s="76">
        <v>82</v>
      </c>
      <c r="U174" s="76">
        <v>109</v>
      </c>
      <c r="V174" s="572"/>
      <c r="W174" s="75" t="s">
        <v>204</v>
      </c>
      <c r="X174" s="1638">
        <f t="shared" ref="X174:Y175" si="154">AA174/X$169</f>
        <v>1.569118213323065E-2</v>
      </c>
      <c r="Y174" s="1638">
        <f t="shared" si="154"/>
        <v>1.0727611940298507E-2</v>
      </c>
      <c r="Z174" s="707">
        <f t="shared" ref="Z174:Z175" si="155">X174*1.05</f>
        <v>1.6475741239892185E-2</v>
      </c>
      <c r="AA174" s="1614">
        <v>163</v>
      </c>
      <c r="AB174" s="1614">
        <v>138</v>
      </c>
      <c r="AC174" s="504">
        <f t="shared" ref="AC174:AC175" si="156">Z174*Z$169</f>
        <v>249.50391241819409</v>
      </c>
      <c r="AD174" s="1640">
        <f t="shared" ref="AD174:AD175" si="157">AG174/AA174</f>
        <v>74.638361963190178</v>
      </c>
      <c r="AE174" s="557">
        <f>AD174*1.1</f>
        <v>82.1021981595092</v>
      </c>
      <c r="AF174" s="504">
        <f t="shared" ref="AF174" si="158">AE174*1.05</f>
        <v>86.207308067484661</v>
      </c>
      <c r="AG174" s="1614">
        <v>12166.053</v>
      </c>
      <c r="AH174" s="499">
        <f t="shared" ref="AH174:AI175" si="159">AE174*AB174</f>
        <v>11330.103346012269</v>
      </c>
      <c r="AI174" s="504">
        <f t="shared" si="159"/>
        <v>21509.060641877968</v>
      </c>
      <c r="AJ174" s="131">
        <f t="shared" ref="AJ174" si="160">AG174/Y$168</f>
        <v>7.5217351448341005E-2</v>
      </c>
      <c r="AK174" s="131">
        <f t="shared" si="153"/>
        <v>5.7234306657972668E-2</v>
      </c>
      <c r="AL174" s="553">
        <f t="shared" si="153"/>
        <v>9.0847842275336349E-2</v>
      </c>
      <c r="AM174" s="726">
        <v>0.15</v>
      </c>
      <c r="AN174" s="1640">
        <f t="shared" ref="AN174:AN175" si="161">AG174*$AM174*$R$22</f>
        <v>593.09508375000007</v>
      </c>
      <c r="AO174" s="499">
        <f t="shared" ref="AO174:AP175" si="162">AH174*$AM174*$R$22</f>
        <v>552.3425381180981</v>
      </c>
      <c r="AP174" s="499">
        <f t="shared" si="162"/>
        <v>1048.5667062915509</v>
      </c>
    </row>
    <row r="175" spans="2:43">
      <c r="C175" s="67" t="s">
        <v>23</v>
      </c>
      <c r="D175" s="67"/>
      <c r="E175" s="67"/>
      <c r="F175" s="67"/>
      <c r="G175" s="67"/>
      <c r="H175" s="67"/>
      <c r="I175" s="67"/>
      <c r="J175" s="67"/>
      <c r="M175" s="70">
        <v>1</v>
      </c>
      <c r="N175" s="78">
        <v>75</v>
      </c>
      <c r="O175" s="71">
        <v>213</v>
      </c>
      <c r="P175" s="71">
        <v>186</v>
      </c>
      <c r="Q175" s="71">
        <v>251</v>
      </c>
      <c r="R175" s="77">
        <v>397</v>
      </c>
      <c r="S175" s="72">
        <v>387</v>
      </c>
      <c r="T175" s="72">
        <v>350</v>
      </c>
      <c r="U175" s="72">
        <v>442</v>
      </c>
      <c r="V175" s="572"/>
      <c r="W175" s="77" t="s">
        <v>205</v>
      </c>
      <c r="X175" s="1639">
        <f t="shared" si="154"/>
        <v>3.0130920292645361E-2</v>
      </c>
      <c r="Y175" s="1639">
        <f t="shared" si="154"/>
        <v>2.3476368159203981E-2</v>
      </c>
      <c r="Z175" s="708">
        <f t="shared" si="155"/>
        <v>3.163746630727763E-2</v>
      </c>
      <c r="AA175" s="1635">
        <v>313</v>
      </c>
      <c r="AB175" s="1636">
        <v>302</v>
      </c>
      <c r="AC175" s="713">
        <f t="shared" si="156"/>
        <v>479.1087397969003</v>
      </c>
      <c r="AD175" s="1641">
        <f t="shared" si="157"/>
        <v>22.32588498402556</v>
      </c>
      <c r="AE175" s="611">
        <f>AD175*1.1</f>
        <v>24.558473482428116</v>
      </c>
      <c r="AF175" s="713">
        <f t="shared" ref="AF175" si="163">AE175*1.05</f>
        <v>25.786397156549523</v>
      </c>
      <c r="AG175" s="1636">
        <v>6988.0020000000004</v>
      </c>
      <c r="AH175" s="611">
        <f t="shared" si="159"/>
        <v>7416.6589916932908</v>
      </c>
      <c r="AI175" s="713">
        <f t="shared" si="159"/>
        <v>12354.488245576815</v>
      </c>
      <c r="AJ175" s="717">
        <f>AG175/Y$168</f>
        <v>4.3203740963129941E-2</v>
      </c>
      <c r="AK175" s="705">
        <f>AH175/Z$168</f>
        <v>3.7465442471677567E-2</v>
      </c>
      <c r="AL175" s="706">
        <f>AI175/AA$168</f>
        <v>5.2181665123087584E-2</v>
      </c>
      <c r="AM175" s="727">
        <v>0.1</v>
      </c>
      <c r="AN175" s="1642">
        <f t="shared" si="161"/>
        <v>227.11006500000005</v>
      </c>
      <c r="AO175" s="611">
        <f t="shared" si="162"/>
        <v>241.04141723003198</v>
      </c>
      <c r="AP175" s="611">
        <f t="shared" si="162"/>
        <v>401.52086798124651</v>
      </c>
    </row>
    <row r="176" spans="2:43">
      <c r="C176" s="67" t="s">
        <v>24</v>
      </c>
      <c r="D176" s="67"/>
      <c r="E176" s="67"/>
      <c r="F176" s="67"/>
      <c r="G176" s="67"/>
      <c r="H176" s="67"/>
      <c r="I176" s="67"/>
      <c r="J176" s="67"/>
      <c r="N176" s="546"/>
      <c r="O176" s="93">
        <f>SUM(O173:O175)</f>
        <v>336</v>
      </c>
      <c r="P176" s="93">
        <f t="shared" ref="P176:U176" si="164">SUM(P173:P175)</f>
        <v>302</v>
      </c>
      <c r="Q176" s="93">
        <f t="shared" si="164"/>
        <v>419</v>
      </c>
      <c r="R176" s="612">
        <f t="shared" si="164"/>
        <v>656</v>
      </c>
      <c r="S176" s="93">
        <f t="shared" si="164"/>
        <v>627</v>
      </c>
      <c r="T176" s="93">
        <f t="shared" si="164"/>
        <v>503</v>
      </c>
      <c r="U176" s="93">
        <f t="shared" si="164"/>
        <v>649</v>
      </c>
      <c r="W176" s="709"/>
      <c r="X176" s="477">
        <f>SUM(X173:X175)</f>
        <v>6.0069310743165197E-2</v>
      </c>
      <c r="Y176" s="615">
        <f t="shared" ref="Y176:AC176" si="165">SUM(Y173:Y175)</f>
        <v>4.3921019900497515E-2</v>
      </c>
      <c r="Z176" s="710">
        <f t="shared" si="165"/>
        <v>6.3072776280323456E-2</v>
      </c>
      <c r="AA176" s="714">
        <f t="shared" si="165"/>
        <v>624</v>
      </c>
      <c r="AB176" s="714">
        <f t="shared" si="165"/>
        <v>565</v>
      </c>
      <c r="AC176" s="715">
        <f t="shared" si="165"/>
        <v>955.15608189541786</v>
      </c>
      <c r="AD176" s="714"/>
      <c r="AE176" s="714"/>
      <c r="AF176" s="715"/>
      <c r="AG176" s="714">
        <f>SUM(AG173:AG175)</f>
        <v>48433.950000000004</v>
      </c>
      <c r="AH176" s="714">
        <f t="shared" ref="AH176" si="166">SUM(AH173:AH175)</f>
        <v>45949.367489732598</v>
      </c>
      <c r="AI176" s="715">
        <f t="shared" ref="AI176" si="167">SUM(AI173:AI175)</f>
        <v>85629.149213445446</v>
      </c>
      <c r="AJ176" s="613">
        <f>SUM(AJ173:AJ175)</f>
        <v>0.29944579718511632</v>
      </c>
      <c r="AK176" s="613">
        <f>SUM(AK173:AK175)</f>
        <v>0.23211440437327033</v>
      </c>
      <c r="AL176" s="716">
        <f>SUM(AL173:AL175)</f>
        <v>0.36167192846944923</v>
      </c>
      <c r="AM176" s="724"/>
      <c r="AN176" s="594">
        <f>SUM(AN173:AN175)</f>
        <v>2723.3983237500001</v>
      </c>
      <c r="AO176" s="594">
        <f t="shared" ref="AO176:AP176" si="168">SUM(AO173:AO175)</f>
        <v>2561.5532902298874</v>
      </c>
      <c r="AP176" s="594">
        <f t="shared" si="168"/>
        <v>4814.8515954621917</v>
      </c>
      <c r="AQ176" s="1116">
        <f>SUM(AN176:AP176)</f>
        <v>10099.803209442078</v>
      </c>
    </row>
    <row r="177" spans="3:43">
      <c r="C177" s="130"/>
      <c r="D177" s="67"/>
      <c r="E177" s="67"/>
      <c r="F177" s="67"/>
      <c r="G177" s="67"/>
      <c r="H177" s="67"/>
      <c r="I177" s="67"/>
      <c r="J177" s="67"/>
      <c r="AA177" s="866"/>
      <c r="AB177" s="866"/>
      <c r="AC177" s="866"/>
      <c r="AD177" s="711"/>
      <c r="AM177" s="624" t="s">
        <v>464</v>
      </c>
      <c r="AN177" s="622">
        <f>AN176/Y168</f>
        <v>1.6837573274695299E-2</v>
      </c>
      <c r="AO177" s="622">
        <f>AO176/Z168</f>
        <v>1.2939751920740995E-2</v>
      </c>
      <c r="AP177" s="622">
        <f>AP176/AA168</f>
        <v>2.033649379703964E-2</v>
      </c>
    </row>
    <row r="178" spans="3:43">
      <c r="C178" s="67"/>
      <c r="D178" s="67"/>
      <c r="E178" s="67"/>
      <c r="F178" s="67"/>
      <c r="G178" s="67"/>
      <c r="H178" s="67"/>
      <c r="I178" s="67"/>
      <c r="J178" s="67"/>
      <c r="L178" s="80" t="s">
        <v>222</v>
      </c>
      <c r="M178" s="70" t="s">
        <v>20</v>
      </c>
      <c r="N178" s="78" t="s">
        <v>220</v>
      </c>
      <c r="O178" s="71" t="s">
        <v>208</v>
      </c>
      <c r="P178" s="72" t="s">
        <v>209</v>
      </c>
      <c r="Q178" s="72" t="s">
        <v>212</v>
      </c>
      <c r="R178" s="73" t="s">
        <v>211</v>
      </c>
      <c r="S178" s="71" t="s">
        <v>213</v>
      </c>
      <c r="T178" s="72" t="s">
        <v>214</v>
      </c>
      <c r="U178" s="72" t="s">
        <v>210</v>
      </c>
      <c r="AD178" s="711"/>
    </row>
    <row r="179" spans="3:43">
      <c r="C179" s="640" t="s">
        <v>358</v>
      </c>
      <c r="D179" s="67"/>
      <c r="E179" s="67"/>
      <c r="F179" s="67"/>
      <c r="G179" s="67"/>
      <c r="H179" s="67"/>
      <c r="I179" s="67"/>
      <c r="J179" s="67"/>
      <c r="M179" s="68">
        <v>3</v>
      </c>
      <c r="N179" s="473">
        <v>300</v>
      </c>
      <c r="O179" s="512">
        <f t="shared" ref="O179:U181" si="169">O173/O$168</f>
        <v>1.8881368008550052E-2</v>
      </c>
      <c r="P179" s="512">
        <f t="shared" si="169"/>
        <v>1.5775917578879587E-2</v>
      </c>
      <c r="Q179" s="512">
        <f t="shared" si="169"/>
        <v>2.1927293710328911E-2</v>
      </c>
      <c r="R179" s="513">
        <f t="shared" si="169"/>
        <v>2.9368932038834953E-2</v>
      </c>
      <c r="S179" s="514">
        <f t="shared" si="169"/>
        <v>2.2417379246591172E-2</v>
      </c>
      <c r="T179" s="514">
        <f t="shared" si="169"/>
        <v>1.2197216973028689E-2</v>
      </c>
      <c r="U179" s="514">
        <f t="shared" si="169"/>
        <v>1.272396780057128E-2</v>
      </c>
      <c r="W179" s="542" t="s">
        <v>523</v>
      </c>
      <c r="AD179" s="711"/>
    </row>
    <row r="180" spans="3:43">
      <c r="C180" s="67"/>
      <c r="D180" s="67"/>
      <c r="E180" s="1888" t="s">
        <v>521</v>
      </c>
      <c r="F180" s="1889"/>
      <c r="G180" s="1890"/>
      <c r="H180" s="67"/>
      <c r="I180" s="67"/>
      <c r="J180" s="67"/>
      <c r="M180" s="68">
        <v>2</v>
      </c>
      <c r="N180" s="473">
        <v>150</v>
      </c>
      <c r="O180" s="512">
        <f t="shared" si="169"/>
        <v>2.4937655860349128E-2</v>
      </c>
      <c r="P180" s="512">
        <f t="shared" si="169"/>
        <v>2.1571152607855762E-2</v>
      </c>
      <c r="Q180" s="512">
        <f t="shared" si="169"/>
        <v>2.6543566070398154E-2</v>
      </c>
      <c r="R180" s="513">
        <f t="shared" si="169"/>
        <v>3.3495145631067959E-2</v>
      </c>
      <c r="S180" s="514">
        <f t="shared" si="169"/>
        <v>3.3048301363531318E-2</v>
      </c>
      <c r="T180" s="514">
        <f t="shared" si="169"/>
        <v>1.4086926644906373E-2</v>
      </c>
      <c r="U180" s="514">
        <f t="shared" si="169"/>
        <v>1.4152168267982343E-2</v>
      </c>
      <c r="W180" s="69" t="s">
        <v>614</v>
      </c>
      <c r="Z180" s="546"/>
      <c r="AA180" s="701" t="s">
        <v>615</v>
      </c>
      <c r="AC180" s="546"/>
      <c r="AD180" s="1258" t="s">
        <v>1207</v>
      </c>
      <c r="AF180" s="546"/>
      <c r="AG180" s="701" t="s">
        <v>206</v>
      </c>
      <c r="AI180" s="546"/>
      <c r="AJ180" s="701" t="s">
        <v>611</v>
      </c>
      <c r="AL180" s="546"/>
      <c r="AM180" s="722" t="s">
        <v>522</v>
      </c>
      <c r="AN180" s="729" t="s">
        <v>466</v>
      </c>
      <c r="AP180" s="12"/>
    </row>
    <row r="181" spans="3:43">
      <c r="C181" s="115"/>
      <c r="D181" s="116"/>
      <c r="E181" s="641" t="s">
        <v>203</v>
      </c>
      <c r="F181" s="642" t="s">
        <v>204</v>
      </c>
      <c r="G181" s="643" t="s">
        <v>205</v>
      </c>
      <c r="H181" s="67"/>
      <c r="I181" s="67"/>
      <c r="J181" s="67"/>
      <c r="M181" s="70">
        <v>1</v>
      </c>
      <c r="N181" s="78">
        <v>75</v>
      </c>
      <c r="O181" s="516">
        <f t="shared" si="169"/>
        <v>7.5881724260776634E-2</v>
      </c>
      <c r="P181" s="516">
        <f t="shared" si="169"/>
        <v>5.988409529942048E-2</v>
      </c>
      <c r="Q181" s="516">
        <f t="shared" si="169"/>
        <v>7.2417772648586273E-2</v>
      </c>
      <c r="R181" s="517">
        <f t="shared" si="169"/>
        <v>9.6359223300970867E-2</v>
      </c>
      <c r="S181" s="518">
        <f t="shared" si="169"/>
        <v>8.9438409983822506E-2</v>
      </c>
      <c r="T181" s="518">
        <f t="shared" si="169"/>
        <v>6.0127125923380861E-2</v>
      </c>
      <c r="U181" s="518">
        <f t="shared" si="169"/>
        <v>5.7387691508699039E-2</v>
      </c>
      <c r="W181" s="700" t="s">
        <v>202</v>
      </c>
      <c r="X181" s="82" t="s">
        <v>607</v>
      </c>
      <c r="Y181" s="71" t="s">
        <v>608</v>
      </c>
      <c r="Z181" s="77" t="s">
        <v>609</v>
      </c>
      <c r="AA181" s="82" t="s">
        <v>607</v>
      </c>
      <c r="AB181" s="71" t="s">
        <v>608</v>
      </c>
      <c r="AC181" s="77" t="s">
        <v>609</v>
      </c>
      <c r="AD181" s="502" t="s">
        <v>216</v>
      </c>
      <c r="AE181" s="502" t="s">
        <v>217</v>
      </c>
      <c r="AF181" s="503" t="s">
        <v>218</v>
      </c>
      <c r="AG181" s="502" t="s">
        <v>216</v>
      </c>
      <c r="AH181" s="502" t="s">
        <v>217</v>
      </c>
      <c r="AI181" s="503" t="s">
        <v>218</v>
      </c>
      <c r="AJ181" s="704" t="s">
        <v>216</v>
      </c>
      <c r="AK181" s="502" t="s">
        <v>217</v>
      </c>
      <c r="AL181" s="503" t="s">
        <v>218</v>
      </c>
      <c r="AM181" s="723" t="s">
        <v>612</v>
      </c>
      <c r="AN181" s="502" t="s">
        <v>216</v>
      </c>
      <c r="AO181" s="502" t="s">
        <v>217</v>
      </c>
      <c r="AP181" s="502" t="s">
        <v>218</v>
      </c>
    </row>
    <row r="182" spans="3:43">
      <c r="C182" s="549" t="s">
        <v>606</v>
      </c>
      <c r="D182" s="539"/>
      <c r="E182" s="644">
        <v>0.2</v>
      </c>
      <c r="F182" s="645">
        <v>0.15</v>
      </c>
      <c r="G182" s="646">
        <v>0.1</v>
      </c>
      <c r="H182" s="67"/>
      <c r="I182" s="1257"/>
      <c r="J182" s="67"/>
      <c r="N182" s="546"/>
      <c r="O182" s="615">
        <f>SUM(O179:O181)</f>
        <v>0.11970074812967582</v>
      </c>
      <c r="P182" s="615">
        <f t="shared" ref="P182" si="170">SUM(P179:P181)</f>
        <v>9.7231165486155818E-2</v>
      </c>
      <c r="Q182" s="615">
        <f t="shared" ref="Q182" si="171">SUM(Q179:Q181)</f>
        <v>0.12088863242931333</v>
      </c>
      <c r="R182" s="616">
        <f t="shared" ref="R182" si="172">SUM(R179:R181)</f>
        <v>0.15922330097087378</v>
      </c>
      <c r="S182" s="615">
        <f t="shared" ref="S182" si="173">SUM(S179:S181)</f>
        <v>0.14490409059394499</v>
      </c>
      <c r="T182" s="615">
        <f t="shared" ref="T182" si="174">SUM(T179:T181)</f>
        <v>8.6411269541315922E-2</v>
      </c>
      <c r="U182" s="615">
        <f t="shared" ref="U182" si="175">SUM(U179:U181)</f>
        <v>8.4263827577252662E-2</v>
      </c>
      <c r="W182" s="75" t="s">
        <v>203</v>
      </c>
      <c r="X182" s="1638">
        <f>AA182/AA173</f>
        <v>0.58108108108108103</v>
      </c>
      <c r="Y182" s="474">
        <v>0.6</v>
      </c>
      <c r="Z182" s="707">
        <v>0.62</v>
      </c>
      <c r="AA182" s="1614">
        <v>86</v>
      </c>
      <c r="AB182" s="499">
        <f t="shared" ref="AB182:AC182" si="176">Y182*AB173</f>
        <v>75</v>
      </c>
      <c r="AC182" s="504">
        <f t="shared" si="176"/>
        <v>140.45692640180056</v>
      </c>
      <c r="AD182" s="1640">
        <f t="shared" ref="AD182:AD184" si="177">AG182/AA182</f>
        <v>300.43942441860463</v>
      </c>
      <c r="AE182" s="499">
        <f t="shared" ref="AE182:AE184" si="178">AD182*1.1</f>
        <v>330.48336686046514</v>
      </c>
      <c r="AF182" s="504">
        <f t="shared" ref="AF182:AF184" si="179">AE182*1.05</f>
        <v>347.00753520348843</v>
      </c>
      <c r="AG182" s="1614">
        <v>25837.790499999999</v>
      </c>
      <c r="AH182" s="499">
        <f>AE182*AB182</f>
        <v>24786.252514534885</v>
      </c>
      <c r="AI182" s="504">
        <f>AF182*AC182</f>
        <v>48739.61183294659</v>
      </c>
      <c r="AJ182" s="131">
        <f>AG182/Y$168</f>
        <v>0.15974368751205559</v>
      </c>
      <c r="AK182" s="131">
        <f t="shared" ref="AK182:AK184" si="180">AH182/Z$168</f>
        <v>0.12520838813161692</v>
      </c>
      <c r="AL182" s="553">
        <f t="shared" ref="AL182:AL184" si="181">AI182/AA$168</f>
        <v>0.20586155025940955</v>
      </c>
      <c r="AM182" s="726">
        <v>0.1</v>
      </c>
      <c r="AN182" s="1614">
        <v>871.27263400000004</v>
      </c>
      <c r="AO182" s="499">
        <f t="shared" ref="AO182:AP184" si="182">AH182*$AM182*$R$22</f>
        <v>805.55320672238383</v>
      </c>
      <c r="AP182" s="499">
        <f t="shared" si="182"/>
        <v>1584.0373845707643</v>
      </c>
    </row>
    <row r="183" spans="3:43">
      <c r="C183" s="107" t="s">
        <v>375</v>
      </c>
      <c r="D183" s="117"/>
      <c r="E183" s="647">
        <v>0.1</v>
      </c>
      <c r="F183" s="648">
        <v>0.1</v>
      </c>
      <c r="G183" s="649">
        <v>0.1</v>
      </c>
      <c r="H183" s="67"/>
      <c r="I183" s="67"/>
      <c r="J183" s="67"/>
      <c r="W183" s="75" t="s">
        <v>204</v>
      </c>
      <c r="X183" s="1638">
        <f>AA183/AA174</f>
        <v>0.24539877300613497</v>
      </c>
      <c r="Y183" s="474">
        <v>0.25</v>
      </c>
      <c r="Z183" s="707">
        <v>0.28000000000000003</v>
      </c>
      <c r="AA183" s="1614">
        <v>40</v>
      </c>
      <c r="AB183" s="499">
        <f t="shared" ref="AB183:AC183" si="183">Y183*AB174</f>
        <v>34.5</v>
      </c>
      <c r="AC183" s="504">
        <f t="shared" si="183"/>
        <v>69.861095477094352</v>
      </c>
      <c r="AD183" s="1640">
        <f t="shared" si="177"/>
        <v>232.82600000000002</v>
      </c>
      <c r="AE183" s="499">
        <f t="shared" si="178"/>
        <v>256.10860000000002</v>
      </c>
      <c r="AF183" s="504">
        <f t="shared" si="179"/>
        <v>268.91403000000003</v>
      </c>
      <c r="AG183" s="1614">
        <v>9313.0400000000009</v>
      </c>
      <c r="AH183" s="499">
        <f t="shared" ref="AH183:AH184" si="184">AE183*AB183</f>
        <v>8835.7467000000015</v>
      </c>
      <c r="AI183" s="504">
        <f t="shared" ref="AI183:AI184" si="185">AF183*AC183</f>
        <v>18786.628724960217</v>
      </c>
      <c r="AJ183" s="131">
        <f t="shared" ref="AJ183" si="186">AG183/Y$168</f>
        <v>5.7578427673499188E-2</v>
      </c>
      <c r="AK183" s="131">
        <f t="shared" si="180"/>
        <v>4.4634000303091538E-2</v>
      </c>
      <c r="AL183" s="553">
        <f t="shared" si="181"/>
        <v>7.9349103696677012E-2</v>
      </c>
      <c r="AM183" s="726">
        <v>0.1</v>
      </c>
      <c r="AN183" s="1614">
        <v>310.13095099999998</v>
      </c>
      <c r="AO183" s="499">
        <f t="shared" si="182"/>
        <v>287.16176775000008</v>
      </c>
      <c r="AP183" s="499">
        <f t="shared" si="182"/>
        <v>610.5654335612071</v>
      </c>
    </row>
    <row r="184" spans="3:43">
      <c r="C184" s="67"/>
      <c r="D184" s="67"/>
      <c r="E184" s="67"/>
      <c r="F184" s="67"/>
      <c r="G184" s="67"/>
      <c r="H184" s="67"/>
      <c r="I184" s="67"/>
      <c r="J184" s="67"/>
      <c r="L184" s="69" t="s">
        <v>584</v>
      </c>
      <c r="M184" s="70" t="s">
        <v>20</v>
      </c>
      <c r="N184" s="78" t="s">
        <v>220</v>
      </c>
      <c r="O184" s="71" t="s">
        <v>208</v>
      </c>
      <c r="P184" s="72" t="s">
        <v>209</v>
      </c>
      <c r="Q184" s="72" t="s">
        <v>212</v>
      </c>
      <c r="R184" s="73" t="s">
        <v>211</v>
      </c>
      <c r="S184" s="71" t="s">
        <v>213</v>
      </c>
      <c r="T184" s="72" t="s">
        <v>214</v>
      </c>
      <c r="U184" s="72" t="s">
        <v>210</v>
      </c>
      <c r="W184" s="77" t="s">
        <v>205</v>
      </c>
      <c r="X184" s="1639">
        <f>AA184/AA175</f>
        <v>8.9456869009584661E-2</v>
      </c>
      <c r="Y184" s="478">
        <v>0.1</v>
      </c>
      <c r="Z184" s="708">
        <v>0.14000000000000001</v>
      </c>
      <c r="AA184" s="1635">
        <v>28</v>
      </c>
      <c r="AB184" s="611">
        <f t="shared" ref="AB184:AC184" si="187">Y184*AB175</f>
        <v>30.200000000000003</v>
      </c>
      <c r="AC184" s="713">
        <f t="shared" si="187"/>
        <v>67.075223571566042</v>
      </c>
      <c r="AD184" s="1642">
        <f t="shared" si="177"/>
        <v>101.80121428571429</v>
      </c>
      <c r="AE184" s="611">
        <f t="shared" si="178"/>
        <v>111.98133571428573</v>
      </c>
      <c r="AF184" s="713">
        <f t="shared" si="179"/>
        <v>117.58040250000002</v>
      </c>
      <c r="AG184" s="1636">
        <v>2850.4340000000002</v>
      </c>
      <c r="AH184" s="611">
        <f t="shared" si="184"/>
        <v>3381.8363385714297</v>
      </c>
      <c r="AI184" s="713">
        <f t="shared" si="185"/>
        <v>7886.7317853222239</v>
      </c>
      <c r="AJ184" s="717">
        <f>AG184/Y$168</f>
        <v>1.7622978952853523E-2</v>
      </c>
      <c r="AK184" s="705">
        <f t="shared" si="180"/>
        <v>1.7083432706463071E-2</v>
      </c>
      <c r="AL184" s="706">
        <f t="shared" si="181"/>
        <v>3.3311197417233089E-2</v>
      </c>
      <c r="AM184" s="727">
        <v>0.1</v>
      </c>
      <c r="AN184" s="1635">
        <v>88.106538</v>
      </c>
      <c r="AO184" s="611">
        <f t="shared" si="182"/>
        <v>109.90968100357148</v>
      </c>
      <c r="AP184" s="611">
        <f t="shared" si="182"/>
        <v>256.3187830229723</v>
      </c>
    </row>
    <row r="185" spans="3:43">
      <c r="C185" s="67" t="s">
        <v>376</v>
      </c>
      <c r="D185" s="67"/>
      <c r="E185" s="67"/>
      <c r="F185" s="67"/>
      <c r="G185" s="67"/>
      <c r="H185" s="67"/>
      <c r="I185" s="67"/>
      <c r="J185" s="67"/>
      <c r="M185" s="68">
        <v>3</v>
      </c>
      <c r="N185" s="473">
        <v>300</v>
      </c>
      <c r="O185" s="494"/>
      <c r="P185" s="494">
        <v>8077.0115000000014</v>
      </c>
      <c r="Q185" s="494">
        <v>10811.0435</v>
      </c>
      <c r="R185" s="495">
        <v>15110.622500000003</v>
      </c>
      <c r="S185" s="496">
        <v>11119.076999999994</v>
      </c>
      <c r="T185" s="496">
        <v>15481.093500000001</v>
      </c>
      <c r="U185" s="496">
        <v>11626.798500000003</v>
      </c>
      <c r="W185" s="709"/>
      <c r="X185" s="477"/>
      <c r="Y185" s="615"/>
      <c r="Z185" s="710"/>
      <c r="AA185" s="714">
        <f t="shared" ref="AA185" si="188">SUM(AA182:AA184)</f>
        <v>154</v>
      </c>
      <c r="AB185" s="714">
        <f t="shared" ref="AB185" si="189">SUM(AB182:AB184)</f>
        <v>139.69999999999999</v>
      </c>
      <c r="AC185" s="715">
        <f>SUM(AC182:AC184)</f>
        <v>277.39324545046094</v>
      </c>
      <c r="AD185" s="714"/>
      <c r="AE185" s="714"/>
      <c r="AF185" s="715"/>
      <c r="AG185" s="714">
        <f>SUM(AG182:AG184)</f>
        <v>38001.264499999997</v>
      </c>
      <c r="AH185" s="714">
        <f t="shared" ref="AH185" si="190">SUM(AH182:AH184)</f>
        <v>37003.835553106321</v>
      </c>
      <c r="AI185" s="715">
        <f t="shared" ref="AI185" si="191">SUM(AI182:AI184)</f>
        <v>75412.972343229019</v>
      </c>
      <c r="AJ185" s="613">
        <f>SUM(AJ182:AJ184)</f>
        <v>0.23494509413840831</v>
      </c>
      <c r="AK185" s="613">
        <f>SUM(AK182:AK184)</f>
        <v>0.18692582114117151</v>
      </c>
      <c r="AL185" s="716">
        <f>SUM(AL182:AL184)</f>
        <v>0.31852185137331968</v>
      </c>
      <c r="AM185" s="724"/>
      <c r="AN185" s="594">
        <f>SUM(AN182:AN184)</f>
        <v>1269.510123</v>
      </c>
      <c r="AO185" s="594">
        <f t="shared" ref="AO185" si="192">SUM(AO182:AO184)</f>
        <v>1202.6246554759553</v>
      </c>
      <c r="AP185" s="594">
        <f t="shared" ref="AP185" si="193">SUM(AP182:AP184)</f>
        <v>2450.9216011549438</v>
      </c>
      <c r="AQ185" s="1116">
        <f>SUM(AN185:AP185)</f>
        <v>4923.0563796308998</v>
      </c>
    </row>
    <row r="186" spans="3:43">
      <c r="C186" s="67" t="s">
        <v>231</v>
      </c>
      <c r="D186" s="67"/>
      <c r="E186" s="67"/>
      <c r="F186" s="67"/>
      <c r="G186" s="67"/>
      <c r="H186" s="67"/>
      <c r="I186" s="67"/>
      <c r="J186" s="67"/>
      <c r="M186" s="68">
        <v>2</v>
      </c>
      <c r="N186" s="473">
        <v>150</v>
      </c>
      <c r="O186" s="494"/>
      <c r="P186" s="494">
        <v>4712.6630000000005</v>
      </c>
      <c r="Q186" s="494">
        <v>7243.5289999999995</v>
      </c>
      <c r="R186" s="495">
        <v>15228.374500000002</v>
      </c>
      <c r="S186" s="496">
        <v>6379.1279999999988</v>
      </c>
      <c r="T186" s="496">
        <v>9058.4755000000005</v>
      </c>
      <c r="U186" s="496">
        <v>8263.9954999999991</v>
      </c>
      <c r="AA186" s="469">
        <f>AA185/AA176</f>
        <v>0.24679487179487181</v>
      </c>
      <c r="AB186" s="469">
        <f t="shared" ref="AB186:AC186" si="194">AB185/AB176</f>
        <v>0.24725663716814159</v>
      </c>
      <c r="AC186" s="469">
        <f t="shared" si="194"/>
        <v>0.29041666666666666</v>
      </c>
      <c r="AG186" s="469">
        <f>AG185/AG176</f>
        <v>0.78459973840663411</v>
      </c>
      <c r="AH186" s="469">
        <f t="shared" ref="AH186:AI186" si="195">AH185/AH176</f>
        <v>0.80531762621922576</v>
      </c>
      <c r="AI186" s="469">
        <f t="shared" si="195"/>
        <v>0.88069276684332298</v>
      </c>
      <c r="AM186" s="624" t="s">
        <v>464</v>
      </c>
      <c r="AN186" s="622">
        <f>AN185/Y$168</f>
        <v>7.8488223821577656E-3</v>
      </c>
      <c r="AO186" s="622">
        <f t="shared" ref="AO186:AP186" si="196">AO185/Z$168</f>
        <v>6.0750891870880747E-3</v>
      </c>
      <c r="AP186" s="622">
        <f t="shared" si="196"/>
        <v>1.035196016963289E-2</v>
      </c>
    </row>
    <row r="187" spans="3:43">
      <c r="C187" s="67"/>
      <c r="D187" s="67"/>
      <c r="E187" s="67"/>
      <c r="F187" s="67"/>
      <c r="G187" s="67"/>
      <c r="H187" s="67"/>
      <c r="I187" s="67"/>
      <c r="J187" s="67"/>
      <c r="M187" s="70">
        <v>1</v>
      </c>
      <c r="N187" s="78">
        <v>75</v>
      </c>
      <c r="O187" s="524"/>
      <c r="P187" s="524">
        <v>7870.8604999999998</v>
      </c>
      <c r="Q187" s="524">
        <v>10909.000500000006</v>
      </c>
      <c r="R187" s="525">
        <v>16057.231999999995</v>
      </c>
      <c r="S187" s="526">
        <v>7612.1113999999998</v>
      </c>
      <c r="T187" s="526">
        <v>11171.237100000006</v>
      </c>
      <c r="U187" s="526">
        <v>11880.548499999999</v>
      </c>
    </row>
    <row r="188" spans="3:43">
      <c r="C188" s="650" t="s">
        <v>377</v>
      </c>
      <c r="D188" s="116"/>
      <c r="E188" s="116"/>
      <c r="F188" s="116"/>
      <c r="G188" s="651" t="s">
        <v>203</v>
      </c>
      <c r="H188" s="652" t="s">
        <v>204</v>
      </c>
      <c r="I188" s="653" t="s">
        <v>205</v>
      </c>
      <c r="J188" s="67"/>
      <c r="N188" s="546"/>
      <c r="O188" s="568">
        <f>SUM(O185:O187)</f>
        <v>0</v>
      </c>
      <c r="P188" s="568">
        <f t="shared" ref="P188" si="197">SUM(P185:P187)</f>
        <v>20660.535</v>
      </c>
      <c r="Q188" s="568">
        <f t="shared" ref="Q188" si="198">SUM(Q185:Q187)</f>
        <v>28963.573000000004</v>
      </c>
      <c r="R188" s="675">
        <f t="shared" ref="R188" si="199">SUM(R185:R187)</f>
        <v>46396.228999999999</v>
      </c>
      <c r="S188" s="568">
        <f t="shared" ref="S188" si="200">SUM(S185:S187)</f>
        <v>25110.316399999996</v>
      </c>
      <c r="T188" s="568">
        <f t="shared" ref="T188" si="201">SUM(T185:T187)</f>
        <v>35710.806100000009</v>
      </c>
      <c r="U188" s="568">
        <f t="shared" ref="U188" si="202">SUM(U185:U187)</f>
        <v>31771.342499999999</v>
      </c>
      <c r="W188" s="542" t="s">
        <v>377</v>
      </c>
    </row>
    <row r="189" spans="3:43">
      <c r="C189" s="549"/>
      <c r="D189" s="539"/>
      <c r="E189" s="539"/>
      <c r="F189" s="539"/>
      <c r="G189" s="654"/>
      <c r="H189" s="655"/>
      <c r="I189" s="656"/>
      <c r="J189" s="67"/>
      <c r="N189" s="93"/>
      <c r="O189" s="93"/>
      <c r="P189" s="594">
        <f>P169</f>
        <v>67166.509000000005</v>
      </c>
      <c r="Q189" s="594">
        <f t="shared" ref="Q189:U189" si="203">Q169</f>
        <v>82679.967999999993</v>
      </c>
      <c r="R189" s="594">
        <f t="shared" si="203"/>
        <v>124665.7445</v>
      </c>
      <c r="S189" s="594">
        <f t="shared" si="203"/>
        <v>60676.530400000003</v>
      </c>
      <c r="T189" s="594">
        <f t="shared" si="203"/>
        <v>99565.522100000002</v>
      </c>
      <c r="U189" s="594">
        <f t="shared" si="203"/>
        <v>109301.67099999994</v>
      </c>
      <c r="W189" s="140" t="s">
        <v>683</v>
      </c>
      <c r="AA189" s="1274">
        <f>AVERAGE(AA173:AC173)*70%</f>
        <v>116.56013359207547</v>
      </c>
      <c r="AB189" s="1479">
        <f>AVERAGE(AA174:AC174)*70%</f>
        <v>128.4509128975786</v>
      </c>
      <c r="AC189" s="1274">
        <f>AVERAGE(AA175:AC175)*70%</f>
        <v>255.29203928594342</v>
      </c>
    </row>
    <row r="190" spans="3:43">
      <c r="C190" s="549"/>
      <c r="D190" s="539"/>
      <c r="E190" s="539"/>
      <c r="F190" s="539"/>
      <c r="G190" s="472"/>
      <c r="H190" s="490"/>
      <c r="I190" s="473"/>
      <c r="J190" s="67"/>
      <c r="P190" s="442"/>
      <c r="Q190" s="442"/>
      <c r="R190" s="442"/>
      <c r="S190" s="442"/>
      <c r="T190" s="442"/>
      <c r="U190" s="442"/>
      <c r="W190" s="435" t="s">
        <v>377</v>
      </c>
      <c r="X190" s="253"/>
      <c r="Y190" s="253"/>
      <c r="Z190" s="253"/>
      <c r="AA190" s="427" t="s">
        <v>203</v>
      </c>
      <c r="AB190" s="1272" t="s">
        <v>204</v>
      </c>
      <c r="AC190" s="1273" t="s">
        <v>205</v>
      </c>
    </row>
    <row r="191" spans="3:43">
      <c r="C191" s="549" t="s">
        <v>378</v>
      </c>
      <c r="D191" s="539"/>
      <c r="E191" s="539"/>
      <c r="F191" s="539"/>
      <c r="G191" s="472" t="s">
        <v>404</v>
      </c>
      <c r="H191" s="490" t="s">
        <v>404</v>
      </c>
      <c r="I191" s="473" t="s">
        <v>404</v>
      </c>
      <c r="J191" s="67"/>
      <c r="L191" s="69" t="s">
        <v>605</v>
      </c>
      <c r="M191" s="70" t="s">
        <v>20</v>
      </c>
      <c r="N191" s="78" t="s">
        <v>220</v>
      </c>
      <c r="O191" s="71" t="s">
        <v>208</v>
      </c>
      <c r="P191" s="72" t="s">
        <v>209</v>
      </c>
      <c r="Q191" s="72" t="s">
        <v>212</v>
      </c>
      <c r="R191" s="73" t="s">
        <v>211</v>
      </c>
      <c r="S191" s="71" t="s">
        <v>213</v>
      </c>
      <c r="T191" s="72" t="s">
        <v>214</v>
      </c>
      <c r="U191" s="72" t="s">
        <v>210</v>
      </c>
      <c r="W191" s="422" t="s">
        <v>381</v>
      </c>
      <c r="X191" s="143"/>
      <c r="Y191" s="143"/>
      <c r="Z191" s="143"/>
      <c r="AA191" s="843"/>
      <c r="AB191" s="844"/>
      <c r="AC191" s="845"/>
    </row>
    <row r="192" spans="3:43">
      <c r="C192" s="549"/>
      <c r="D192" s="539"/>
      <c r="E192" s="539"/>
      <c r="F192" s="539"/>
      <c r="G192" s="472" t="s">
        <v>290</v>
      </c>
      <c r="H192" s="490" t="s">
        <v>290</v>
      </c>
      <c r="I192" s="473"/>
      <c r="J192" s="67"/>
      <c r="M192" s="68">
        <v>3</v>
      </c>
      <c r="N192" s="473">
        <v>300</v>
      </c>
      <c r="O192" s="676" t="e">
        <f t="shared" ref="O192:U194" si="204">O185/O$189</f>
        <v>#DIV/0!</v>
      </c>
      <c r="P192" s="508">
        <f t="shared" si="204"/>
        <v>0.1202535552353927</v>
      </c>
      <c r="Q192" s="508">
        <f t="shared" si="204"/>
        <v>0.13075771267836001</v>
      </c>
      <c r="R192" s="509">
        <f t="shared" si="204"/>
        <v>0.12120909846248905</v>
      </c>
      <c r="S192" s="510">
        <f t="shared" si="204"/>
        <v>0.18325169429925073</v>
      </c>
      <c r="T192" s="510">
        <f t="shared" si="204"/>
        <v>0.15548648943407689</v>
      </c>
      <c r="U192" s="510">
        <f t="shared" si="204"/>
        <v>0.10637347438174123</v>
      </c>
      <c r="V192" s="711"/>
      <c r="W192" s="422"/>
      <c r="X192" s="143"/>
      <c r="Y192" s="143"/>
      <c r="Z192" s="143"/>
      <c r="AA192" s="846"/>
      <c r="AB192" s="847"/>
      <c r="AC192" s="848"/>
    </row>
    <row r="193" spans="2:30">
      <c r="B193" s="57"/>
      <c r="C193" s="549" t="s">
        <v>380</v>
      </c>
      <c r="D193" s="539"/>
      <c r="E193" s="539"/>
      <c r="F193" s="539"/>
      <c r="G193" s="472" t="s">
        <v>290</v>
      </c>
      <c r="H193" s="490" t="s">
        <v>290</v>
      </c>
      <c r="I193" s="473"/>
      <c r="J193" s="67"/>
      <c r="M193" s="68">
        <v>2</v>
      </c>
      <c r="N193" s="473">
        <v>150</v>
      </c>
      <c r="O193" s="494" t="e">
        <f t="shared" si="204"/>
        <v>#DIV/0!</v>
      </c>
      <c r="P193" s="508">
        <f t="shared" si="204"/>
        <v>7.016388182390125E-2</v>
      </c>
      <c r="Q193" s="508">
        <f t="shared" si="204"/>
        <v>8.7609238068403705E-2</v>
      </c>
      <c r="R193" s="509">
        <f t="shared" si="204"/>
        <v>0.12215364020867819</v>
      </c>
      <c r="S193" s="510">
        <f t="shared" si="204"/>
        <v>0.10513336800813512</v>
      </c>
      <c r="T193" s="510">
        <f t="shared" si="204"/>
        <v>9.0980043181032047E-2</v>
      </c>
      <c r="U193" s="510">
        <f t="shared" si="204"/>
        <v>7.5607220131154299E-2</v>
      </c>
      <c r="V193" s="711"/>
      <c r="W193" s="422" t="s">
        <v>378</v>
      </c>
      <c r="X193" s="143"/>
      <c r="Y193" s="143"/>
      <c r="Z193" s="143"/>
      <c r="AA193" s="846"/>
      <c r="AB193" s="847"/>
      <c r="AC193" s="848"/>
    </row>
    <row r="194" spans="2:30">
      <c r="C194" s="549" t="s">
        <v>385</v>
      </c>
      <c r="D194" s="539"/>
      <c r="E194" s="539"/>
      <c r="F194" s="539"/>
      <c r="G194" s="472" t="s">
        <v>290</v>
      </c>
      <c r="H194" s="490" t="s">
        <v>290</v>
      </c>
      <c r="I194" s="473" t="s">
        <v>290</v>
      </c>
      <c r="J194" s="67"/>
      <c r="M194" s="70">
        <v>1</v>
      </c>
      <c r="N194" s="78">
        <v>75</v>
      </c>
      <c r="O194" s="524" t="e">
        <f t="shared" si="204"/>
        <v>#DIV/0!</v>
      </c>
      <c r="P194" s="530">
        <f t="shared" si="204"/>
        <v>0.11718430237307702</v>
      </c>
      <c r="Q194" s="530">
        <f t="shared" si="204"/>
        <v>0.13194248575422776</v>
      </c>
      <c r="R194" s="531">
        <f t="shared" si="204"/>
        <v>0.12880227896124261</v>
      </c>
      <c r="S194" s="532">
        <f t="shared" si="204"/>
        <v>0.12545396629995836</v>
      </c>
      <c r="T194" s="532">
        <f t="shared" si="204"/>
        <v>0.11219985457194731</v>
      </c>
      <c r="U194" s="532">
        <f t="shared" si="204"/>
        <v>0.10869503083809218</v>
      </c>
      <c r="V194" s="711"/>
      <c r="W194" s="422"/>
      <c r="X194" s="143"/>
      <c r="Y194" s="143"/>
      <c r="Z194" s="143"/>
      <c r="AA194" s="846"/>
      <c r="AB194" s="847"/>
      <c r="AC194" s="848"/>
    </row>
    <row r="195" spans="2:30">
      <c r="C195" s="107"/>
      <c r="D195" s="117"/>
      <c r="E195" s="117"/>
      <c r="F195" s="117"/>
      <c r="G195" s="548"/>
      <c r="H195" s="70"/>
      <c r="I195" s="78"/>
      <c r="J195" s="67"/>
      <c r="N195" s="546"/>
      <c r="O195" s="527" t="e">
        <f>SUM(O192:O194)</f>
        <v>#DIV/0!</v>
      </c>
      <c r="P195" s="613">
        <f t="shared" ref="P195" si="205">SUM(P192:P194)</f>
        <v>0.30760173943237096</v>
      </c>
      <c r="Q195" s="613">
        <f t="shared" ref="Q195" si="206">SUM(Q192:Q194)</f>
        <v>0.35030943650099144</v>
      </c>
      <c r="R195" s="614">
        <f t="shared" ref="R195" si="207">SUM(R192:R194)</f>
        <v>0.37216501763240983</v>
      </c>
      <c r="S195" s="613">
        <f t="shared" ref="S195" si="208">SUM(S192:S194)</f>
        <v>0.41383902860734423</v>
      </c>
      <c r="T195" s="613">
        <f t="shared" ref="T195" si="209">SUM(T192:T194)</f>
        <v>0.35866638718705623</v>
      </c>
      <c r="U195" s="613">
        <f t="shared" ref="U195" si="210">SUM(U192:U194)</f>
        <v>0.29067572535098773</v>
      </c>
      <c r="W195" s="850" t="s">
        <v>385</v>
      </c>
      <c r="X195" s="12"/>
      <c r="Y195" s="12"/>
      <c r="Z195" s="12"/>
      <c r="AA195" s="851">
        <v>1.5</v>
      </c>
      <c r="AB195" s="852">
        <v>0.5</v>
      </c>
      <c r="AC195" s="751">
        <v>0.5</v>
      </c>
    </row>
    <row r="196" spans="2:30">
      <c r="D196" s="8"/>
      <c r="E196" s="8"/>
      <c r="F196" s="8"/>
      <c r="W196" s="702"/>
      <c r="X196" s="703"/>
      <c r="Y196" s="703"/>
      <c r="Z196" s="491"/>
      <c r="AA196" s="719"/>
      <c r="AB196" s="719"/>
      <c r="AC196" s="752"/>
      <c r="AD196" s="883"/>
    </row>
    <row r="197" spans="2:30">
      <c r="D197" s="8"/>
      <c r="E197" s="8"/>
      <c r="F197" s="8"/>
      <c r="L197" s="80" t="s">
        <v>522</v>
      </c>
      <c r="M197" s="70" t="s">
        <v>20</v>
      </c>
      <c r="N197" s="78" t="s">
        <v>220</v>
      </c>
      <c r="O197" s="71" t="s">
        <v>208</v>
      </c>
      <c r="P197" s="72" t="s">
        <v>209</v>
      </c>
      <c r="Q197" s="72" t="s">
        <v>212</v>
      </c>
      <c r="R197" s="73" t="s">
        <v>211</v>
      </c>
      <c r="S197" s="71" t="s">
        <v>213</v>
      </c>
      <c r="T197" s="72" t="s">
        <v>214</v>
      </c>
      <c r="U197" s="72" t="s">
        <v>210</v>
      </c>
      <c r="W197" s="434" t="s">
        <v>695</v>
      </c>
      <c r="AA197" s="849">
        <f>SUM(AA191:AA196)</f>
        <v>1.5</v>
      </c>
      <c r="AB197" s="849">
        <f>SUM(AB191:AB196)</f>
        <v>0.5</v>
      </c>
      <c r="AC197" s="849">
        <f>SUM(AC191:AC196)</f>
        <v>0.5</v>
      </c>
      <c r="AD197" s="841"/>
    </row>
    <row r="198" spans="2:30">
      <c r="C198" s="1424" t="s">
        <v>1427</v>
      </c>
      <c r="D198" s="8"/>
      <c r="E198" s="8"/>
      <c r="F198" s="8"/>
      <c r="L198" s="489"/>
      <c r="M198" s="68">
        <v>3</v>
      </c>
      <c r="N198" s="473">
        <v>300</v>
      </c>
      <c r="O198" s="494"/>
      <c r="P198" s="494">
        <v>638.54277999999988</v>
      </c>
      <c r="Q198" s="494">
        <v>894.2092725</v>
      </c>
      <c r="R198" s="495">
        <v>1224.6077449999998</v>
      </c>
      <c r="S198" s="496">
        <v>865.6400299999998</v>
      </c>
      <c r="T198" s="496">
        <v>1263.97249375</v>
      </c>
      <c r="U198" s="496">
        <v>934.88769999999977</v>
      </c>
      <c r="V198" s="711"/>
      <c r="W198" s="853" t="s">
        <v>625</v>
      </c>
      <c r="X198" s="658"/>
      <c r="Y198" s="658"/>
      <c r="Z198" s="658"/>
      <c r="AA198" s="854">
        <f>AA197*AA189</f>
        <v>174.8402003881132</v>
      </c>
      <c r="AB198" s="854">
        <f>AB197*AB189</f>
        <v>64.225456448789302</v>
      </c>
      <c r="AC198" s="854">
        <f>AC197*AC189</f>
        <v>127.64601964297171</v>
      </c>
      <c r="AD198" s="855">
        <f>SUM(AA198:AC198)</f>
        <v>366.7116764798742</v>
      </c>
    </row>
    <row r="199" spans="2:30">
      <c r="C199" s="1423" t="s">
        <v>1428</v>
      </c>
      <c r="L199" s="489"/>
      <c r="M199" s="68">
        <v>2</v>
      </c>
      <c r="N199" s="473">
        <v>150</v>
      </c>
      <c r="O199" s="494"/>
      <c r="P199" s="494">
        <v>218.82676949999998</v>
      </c>
      <c r="Q199" s="494">
        <v>360.73334025000008</v>
      </c>
      <c r="R199" s="495">
        <v>730.03679549999981</v>
      </c>
      <c r="S199" s="496">
        <v>280.16453325000003</v>
      </c>
      <c r="T199" s="496">
        <v>425.61465224999995</v>
      </c>
      <c r="U199" s="496">
        <v>410.76152624999986</v>
      </c>
      <c r="V199" s="711"/>
      <c r="Y199" s="143"/>
      <c r="Z199" s="143"/>
      <c r="AA199" s="143"/>
      <c r="AB199" s="143"/>
      <c r="AC199" s="841"/>
      <c r="AD199" s="858">
        <f>AD198/SUM($Y$512:$AB$512)</f>
        <v>5.0855781641866073E-4</v>
      </c>
    </row>
    <row r="200" spans="2:30">
      <c r="C200" s="1423" t="s">
        <v>1429</v>
      </c>
      <c r="L200" s="489"/>
      <c r="M200" s="70">
        <v>1</v>
      </c>
      <c r="N200" s="78">
        <v>75</v>
      </c>
      <c r="O200" s="524"/>
      <c r="P200" s="524">
        <v>258.42417549999993</v>
      </c>
      <c r="Q200" s="524">
        <v>356.75731899999988</v>
      </c>
      <c r="R200" s="525">
        <v>506.50717099999997</v>
      </c>
      <c r="S200" s="526">
        <v>234.87483950000001</v>
      </c>
      <c r="T200" s="526">
        <v>345.44351550000016</v>
      </c>
      <c r="U200" s="526">
        <v>375.96767000000006</v>
      </c>
      <c r="V200" s="711"/>
      <c r="W200" s="711"/>
      <c r="X200" s="711"/>
    </row>
    <row r="201" spans="2:30">
      <c r="L201" s="489"/>
      <c r="N201" s="546"/>
      <c r="O201" s="620">
        <f t="shared" ref="O201:U201" si="211">SUM(O198:O200)</f>
        <v>0</v>
      </c>
      <c r="P201" s="620">
        <f t="shared" si="211"/>
        <v>1115.7937249999998</v>
      </c>
      <c r="Q201" s="620">
        <f t="shared" si="211"/>
        <v>1611.6999317499999</v>
      </c>
      <c r="R201" s="621">
        <f t="shared" si="211"/>
        <v>2461.1517114999997</v>
      </c>
      <c r="S201" s="620">
        <f t="shared" si="211"/>
        <v>1380.6794027499998</v>
      </c>
      <c r="T201" s="620">
        <f t="shared" si="211"/>
        <v>2035.0306615</v>
      </c>
      <c r="U201" s="620">
        <f t="shared" si="211"/>
        <v>1721.6168962499996</v>
      </c>
    </row>
    <row r="202" spans="2:30">
      <c r="L202" s="489"/>
      <c r="N202" s="624" t="s">
        <v>464</v>
      </c>
      <c r="O202" s="622">
        <f t="shared" ref="O202:U202" si="212">O201/O169</f>
        <v>0</v>
      </c>
      <c r="P202" s="622">
        <f t="shared" si="212"/>
        <v>1.6612352519318811E-2</v>
      </c>
      <c r="Q202" s="622">
        <f t="shared" si="212"/>
        <v>1.9493233617966569E-2</v>
      </c>
      <c r="R202" s="622">
        <f t="shared" si="212"/>
        <v>1.9742004681165642E-2</v>
      </c>
      <c r="S202" s="622">
        <f t="shared" si="212"/>
        <v>2.2754752021054911E-2</v>
      </c>
      <c r="T202" s="622">
        <f>T201/T169</f>
        <v>2.0439110031041558E-2</v>
      </c>
      <c r="U202" s="622">
        <f t="shared" si="212"/>
        <v>1.5751057422077296E-2</v>
      </c>
    </row>
    <row r="204" spans="2:30">
      <c r="L204" s="80" t="s">
        <v>523</v>
      </c>
      <c r="M204" s="70" t="s">
        <v>20</v>
      </c>
      <c r="N204" s="78" t="s">
        <v>220</v>
      </c>
      <c r="O204" s="71" t="s">
        <v>208</v>
      </c>
      <c r="P204" s="72" t="s">
        <v>209</v>
      </c>
      <c r="Q204" s="72" t="s">
        <v>212</v>
      </c>
      <c r="R204" s="73" t="s">
        <v>211</v>
      </c>
      <c r="S204" s="71" t="s">
        <v>213</v>
      </c>
      <c r="T204" s="72" t="s">
        <v>214</v>
      </c>
      <c r="U204" s="72" t="s">
        <v>210</v>
      </c>
    </row>
    <row r="205" spans="2:30">
      <c r="L205" s="489"/>
      <c r="M205" s="68">
        <v>3</v>
      </c>
      <c r="N205" s="473">
        <v>300</v>
      </c>
      <c r="O205" s="494"/>
      <c r="P205" s="494">
        <v>183.33336899999998</v>
      </c>
      <c r="Q205" s="494">
        <v>270.05410799999993</v>
      </c>
      <c r="R205" s="495">
        <v>470.26081599999998</v>
      </c>
      <c r="S205" s="496">
        <v>211.68144050000004</v>
      </c>
      <c r="T205" s="496">
        <v>365.86138850000003</v>
      </c>
      <c r="U205" s="496">
        <v>308.31338600000004</v>
      </c>
    </row>
    <row r="206" spans="2:30">
      <c r="M206" s="68">
        <v>2</v>
      </c>
      <c r="N206" s="473">
        <v>150</v>
      </c>
      <c r="O206" s="494"/>
      <c r="P206" s="494">
        <v>80.160531999999989</v>
      </c>
      <c r="Q206" s="494">
        <v>157.10825400000002</v>
      </c>
      <c r="R206" s="495">
        <v>366.76006700000011</v>
      </c>
      <c r="S206" s="496">
        <v>69.179779499999995</v>
      </c>
      <c r="T206" s="496">
        <v>178.3412635</v>
      </c>
      <c r="U206" s="496">
        <v>175.53768550000004</v>
      </c>
    </row>
    <row r="207" spans="2:30">
      <c r="M207" s="70">
        <v>1</v>
      </c>
      <c r="N207" s="78">
        <v>75</v>
      </c>
      <c r="O207" s="524"/>
      <c r="P207" s="524">
        <v>96.08417</v>
      </c>
      <c r="Q207" s="524">
        <v>219.708549</v>
      </c>
      <c r="R207" s="525">
        <v>331.70203900000007</v>
      </c>
      <c r="S207" s="526">
        <v>61.050106999999997</v>
      </c>
      <c r="T207" s="526">
        <v>149.7574965</v>
      </c>
      <c r="U207" s="526">
        <v>164.50538599999999</v>
      </c>
    </row>
    <row r="208" spans="2:30">
      <c r="N208" s="546"/>
      <c r="O208" s="620">
        <f t="shared" ref="O208:U208" si="213">SUM(O205:O207)</f>
        <v>0</v>
      </c>
      <c r="P208" s="620">
        <f t="shared" si="213"/>
        <v>359.57807099999991</v>
      </c>
      <c r="Q208" s="620">
        <f t="shared" si="213"/>
        <v>646.87091099999998</v>
      </c>
      <c r="R208" s="621">
        <f t="shared" si="213"/>
        <v>1168.7229220000002</v>
      </c>
      <c r="S208" s="620">
        <f t="shared" si="213"/>
        <v>341.91132700000003</v>
      </c>
      <c r="T208" s="620">
        <f t="shared" si="213"/>
        <v>693.96014850000006</v>
      </c>
      <c r="U208" s="620">
        <f t="shared" si="213"/>
        <v>648.35645750000003</v>
      </c>
    </row>
    <row r="209" spans="12:21">
      <c r="N209" s="624" t="s">
        <v>464</v>
      </c>
      <c r="O209" s="622">
        <f t="shared" ref="O209:U209" si="214">O208/O169</f>
        <v>0</v>
      </c>
      <c r="P209" s="622">
        <f t="shared" si="214"/>
        <v>5.3535322343461365E-3</v>
      </c>
      <c r="Q209" s="622">
        <f t="shared" si="214"/>
        <v>7.8237924692955863E-3</v>
      </c>
      <c r="R209" s="622">
        <f t="shared" si="214"/>
        <v>9.3748521431242099E-3</v>
      </c>
      <c r="S209" s="622">
        <f t="shared" si="214"/>
        <v>5.6349848078986403E-3</v>
      </c>
      <c r="T209" s="622">
        <f t="shared" si="214"/>
        <v>6.969884091031147E-3</v>
      </c>
      <c r="U209" s="622">
        <f t="shared" si="214"/>
        <v>5.9318073691663909E-3</v>
      </c>
    </row>
    <row r="211" spans="12:21">
      <c r="L211" s="80" t="s">
        <v>524</v>
      </c>
      <c r="M211" s="70"/>
      <c r="N211" s="78"/>
      <c r="O211" s="71" t="s">
        <v>208</v>
      </c>
      <c r="P211" s="72" t="s">
        <v>209</v>
      </c>
      <c r="Q211" s="72" t="s">
        <v>212</v>
      </c>
      <c r="R211" s="73" t="s">
        <v>211</v>
      </c>
      <c r="S211" s="71" t="s">
        <v>213</v>
      </c>
      <c r="T211" s="72" t="s">
        <v>214</v>
      </c>
      <c r="U211" s="72" t="s">
        <v>210</v>
      </c>
    </row>
    <row r="212" spans="12:21">
      <c r="N212" s="625" t="s">
        <v>525</v>
      </c>
      <c r="O212" s="626">
        <f t="shared" ref="O212:U212" si="215">O208+O201</f>
        <v>0</v>
      </c>
      <c r="P212" s="626">
        <f t="shared" si="215"/>
        <v>1475.3717959999997</v>
      </c>
      <c r="Q212" s="626">
        <f t="shared" si="215"/>
        <v>2258.5708427499999</v>
      </c>
      <c r="R212" s="627">
        <f t="shared" si="215"/>
        <v>3629.8746334999996</v>
      </c>
      <c r="S212" s="626">
        <f t="shared" si="215"/>
        <v>1722.5907297499998</v>
      </c>
      <c r="T212" s="626">
        <f t="shared" si="215"/>
        <v>2728.9908100000002</v>
      </c>
      <c r="U212" s="626">
        <f t="shared" si="215"/>
        <v>2369.9733537499997</v>
      </c>
    </row>
    <row r="213" spans="12:21">
      <c r="N213" s="624" t="s">
        <v>464</v>
      </c>
      <c r="O213" s="622">
        <f t="shared" ref="O213:U213" si="216">O212/O169</f>
        <v>0</v>
      </c>
      <c r="P213" s="622">
        <f t="shared" si="216"/>
        <v>2.1965884753664948E-2</v>
      </c>
      <c r="Q213" s="622">
        <f t="shared" si="216"/>
        <v>2.7317026087262154E-2</v>
      </c>
      <c r="R213" s="623">
        <f t="shared" si="216"/>
        <v>2.9116856824289848E-2</v>
      </c>
      <c r="S213" s="622">
        <f t="shared" si="216"/>
        <v>2.838973682895355E-2</v>
      </c>
      <c r="T213" s="622">
        <f t="shared" si="216"/>
        <v>2.7408994122072705E-2</v>
      </c>
      <c r="U213" s="622">
        <f t="shared" si="216"/>
        <v>2.1682864791243685E-2</v>
      </c>
    </row>
    <row r="230" spans="2:27" s="9" customFormat="1" ht="15.75" thickBot="1"/>
    <row r="231" spans="2:27" ht="15.75" thickTop="1"/>
    <row r="232" spans="2:27" s="41" customFormat="1" ht="18.75" customHeight="1">
      <c r="B232" s="40" t="s">
        <v>32</v>
      </c>
    </row>
    <row r="234" spans="2:27" s="45" customFormat="1">
      <c r="B234" s="44" t="s">
        <v>33</v>
      </c>
      <c r="O234" s="1118" t="s">
        <v>460</v>
      </c>
      <c r="P234" s="1118"/>
      <c r="Q234" s="1119">
        <f>AB258</f>
        <v>37524.003071352236</v>
      </c>
      <c r="R234" s="1120">
        <f>Q234/SUM($X$57:$AA$57)</f>
        <v>5.2038498605869531E-2</v>
      </c>
      <c r="W234" s="1118" t="s">
        <v>1530</v>
      </c>
      <c r="X234" s="1118"/>
      <c r="Y234" s="1119">
        <f>Z258+AA258</f>
        <v>22820.711625652235</v>
      </c>
    </row>
    <row r="236" spans="2:27">
      <c r="B236" t="s">
        <v>710</v>
      </c>
      <c r="L236" s="542" t="s">
        <v>470</v>
      </c>
      <c r="W236" s="543" t="s">
        <v>471</v>
      </c>
    </row>
    <row r="238" spans="2:27">
      <c r="C238" s="731" t="s">
        <v>616</v>
      </c>
      <c r="D238" s="734" t="s">
        <v>271</v>
      </c>
      <c r="L238" s="80" t="s">
        <v>222</v>
      </c>
      <c r="M238" s="70" t="s">
        <v>20</v>
      </c>
      <c r="N238" s="78" t="s">
        <v>220</v>
      </c>
      <c r="O238" s="71" t="s">
        <v>208</v>
      </c>
      <c r="P238" s="72" t="s">
        <v>209</v>
      </c>
      <c r="Q238" s="72" t="s">
        <v>212</v>
      </c>
      <c r="R238" s="73" t="s">
        <v>211</v>
      </c>
      <c r="S238" s="71" t="s">
        <v>213</v>
      </c>
      <c r="T238" s="72" t="s">
        <v>214</v>
      </c>
      <c r="U238" s="72" t="s">
        <v>210</v>
      </c>
      <c r="W238" s="78"/>
      <c r="X238" s="739" t="s">
        <v>215</v>
      </c>
      <c r="Y238" s="82" t="s">
        <v>216</v>
      </c>
      <c r="Z238" s="82" t="s">
        <v>217</v>
      </c>
      <c r="AA238" s="82" t="s">
        <v>218</v>
      </c>
    </row>
    <row r="239" spans="2:27">
      <c r="C239" s="738" t="s">
        <v>16</v>
      </c>
      <c r="D239" s="735"/>
      <c r="L239" s="489"/>
      <c r="M239" s="68">
        <v>4</v>
      </c>
      <c r="N239" s="506">
        <v>300</v>
      </c>
      <c r="O239" s="474">
        <v>5.4844606946983544E-3</v>
      </c>
      <c r="P239" s="474">
        <v>1.0352941176470589E-2</v>
      </c>
      <c r="Q239" s="474">
        <v>1.4329135909683021E-2</v>
      </c>
      <c r="R239" s="707">
        <v>2.564102564102564E-2</v>
      </c>
      <c r="S239" s="474">
        <v>5.7692307692307696E-3</v>
      </c>
      <c r="T239" s="474">
        <v>1.1060507482108002E-2</v>
      </c>
      <c r="U239" s="474">
        <v>6.5341682548325621E-3</v>
      </c>
      <c r="V239" s="442"/>
      <c r="W239" s="741" t="s">
        <v>206</v>
      </c>
      <c r="X239" s="1651">
        <f>X57</f>
        <v>124617.10630000001</v>
      </c>
      <c r="Y239" s="1614">
        <f t="shared" ref="Y239:AA239" si="217">Y57</f>
        <v>161745.299</v>
      </c>
      <c r="Z239" s="499">
        <f t="shared" si="217"/>
        <v>197960</v>
      </c>
      <c r="AA239" s="499">
        <f t="shared" si="217"/>
        <v>236759.18</v>
      </c>
    </row>
    <row r="240" spans="2:27">
      <c r="C240" s="732" t="s">
        <v>1430</v>
      </c>
      <c r="D240" s="736">
        <v>0.12</v>
      </c>
      <c r="L240" s="489"/>
      <c r="M240" s="68">
        <v>3</v>
      </c>
      <c r="N240" s="506">
        <v>150</v>
      </c>
      <c r="O240" s="474">
        <v>1.2797074954296161E-2</v>
      </c>
      <c r="P240" s="474">
        <v>2.6352941176470589E-2</v>
      </c>
      <c r="Q240" s="474">
        <v>2.7355623100303952E-2</v>
      </c>
      <c r="R240" s="707">
        <v>4.6231546231546232E-2</v>
      </c>
      <c r="S240" s="474">
        <v>1.653846153846154E-2</v>
      </c>
      <c r="T240" s="474">
        <v>2.6675341574495772E-2</v>
      </c>
      <c r="U240" s="474">
        <v>2.5592158998094201E-2</v>
      </c>
      <c r="V240" s="442"/>
      <c r="W240" s="742" t="s">
        <v>618</v>
      </c>
      <c r="X240" s="1614">
        <f>'Sale Plan &amp; KPIs'!D4</f>
        <v>2116</v>
      </c>
      <c r="Y240" s="1614">
        <f>'Sale Plan &amp; KPIs'!G4</f>
        <v>1972</v>
      </c>
      <c r="Z240" s="499">
        <f>'Sale Plan &amp; KPIs'!Q4</f>
        <v>2197.0429592167034</v>
      </c>
      <c r="AA240" s="499">
        <f>'Sale Plan &amp; KPIs'!R4</f>
        <v>2383.2262479493688</v>
      </c>
    </row>
    <row r="241" spans="3:39">
      <c r="C241" s="732">
        <v>50</v>
      </c>
      <c r="D241" s="736">
        <v>0.15</v>
      </c>
      <c r="L241" s="489"/>
      <c r="M241" s="490">
        <v>2</v>
      </c>
      <c r="N241" s="506">
        <v>50</v>
      </c>
      <c r="O241" s="591">
        <v>9.384521633150518E-2</v>
      </c>
      <c r="P241" s="591">
        <v>0.1171764705882353</v>
      </c>
      <c r="Q241" s="591">
        <v>0.13460703430308293</v>
      </c>
      <c r="R241" s="707">
        <v>0.18764568764568765</v>
      </c>
      <c r="S241" s="591">
        <v>9.2307692307692313E-2</v>
      </c>
      <c r="T241" s="591">
        <v>0.12947299934938192</v>
      </c>
      <c r="U241" s="591">
        <v>0.13422270623468555</v>
      </c>
      <c r="V241" s="442"/>
    </row>
    <row r="242" spans="3:39">
      <c r="C242" s="732">
        <v>150</v>
      </c>
      <c r="D242" s="736">
        <v>0.17</v>
      </c>
      <c r="L242" s="489"/>
      <c r="M242" s="70">
        <v>1</v>
      </c>
      <c r="N242" s="547">
        <v>0</v>
      </c>
      <c r="O242" s="478">
        <v>0.88787324801950029</v>
      </c>
      <c r="P242" s="478">
        <v>0.84611764705882353</v>
      </c>
      <c r="Q242" s="478">
        <v>0.82370820668693012</v>
      </c>
      <c r="R242" s="708">
        <v>0.74048174048174054</v>
      </c>
      <c r="S242" s="478">
        <v>0.88538461538461544</v>
      </c>
      <c r="T242" s="478">
        <v>0.83279115159401429</v>
      </c>
      <c r="U242" s="478">
        <v>0.83365096651238768</v>
      </c>
      <c r="V242" s="442"/>
      <c r="X242" s="711"/>
      <c r="Y242" s="711"/>
      <c r="Z242" s="711"/>
      <c r="AA242" s="711"/>
    </row>
    <row r="243" spans="3:39">
      <c r="C243" s="733">
        <v>300</v>
      </c>
      <c r="D243" s="737">
        <v>0.2</v>
      </c>
      <c r="F243" s="583"/>
      <c r="L243" s="489"/>
      <c r="N243" s="546"/>
      <c r="R243" s="546"/>
      <c r="X243" s="711">
        <f>X240*X246</f>
        <v>18.910855782230716</v>
      </c>
      <c r="Y243" s="711">
        <f t="shared" ref="Y243:AA243" si="218">Y240*Y246</f>
        <v>24.648050184996624</v>
      </c>
      <c r="Z243" s="711">
        <f t="shared" si="218"/>
        <v>30.206951130377018</v>
      </c>
      <c r="AA243" s="711">
        <f t="shared" si="218"/>
        <v>35.748393719240532</v>
      </c>
      <c r="AF243" s="1658" t="s">
        <v>1485</v>
      </c>
    </row>
    <row r="244" spans="3:39">
      <c r="L244" s="489"/>
      <c r="W244" s="80" t="s">
        <v>619</v>
      </c>
      <c r="AB244" s="69" t="s">
        <v>620</v>
      </c>
      <c r="AC244" s="67"/>
      <c r="AD244" s="67"/>
      <c r="AE244" s="67"/>
      <c r="AF244" s="69" t="s">
        <v>509</v>
      </c>
      <c r="AG244" s="67"/>
      <c r="AH244" s="67"/>
      <c r="AI244" s="67"/>
      <c r="AJ244" s="69" t="s">
        <v>621</v>
      </c>
      <c r="AK244" s="67"/>
      <c r="AL244" s="67"/>
      <c r="AM244" s="67"/>
    </row>
    <row r="245" spans="3:39">
      <c r="L245" s="80" t="s">
        <v>223</v>
      </c>
      <c r="M245" s="70" t="s">
        <v>20</v>
      </c>
      <c r="N245" s="78" t="s">
        <v>220</v>
      </c>
      <c r="O245" s="71" t="s">
        <v>208</v>
      </c>
      <c r="P245" s="72" t="s">
        <v>209</v>
      </c>
      <c r="Q245" s="72" t="s">
        <v>212</v>
      </c>
      <c r="R245" s="73" t="s">
        <v>211</v>
      </c>
      <c r="S245" s="71" t="s">
        <v>213</v>
      </c>
      <c r="T245" s="72" t="s">
        <v>214</v>
      </c>
      <c r="U245" s="72" t="s">
        <v>210</v>
      </c>
      <c r="W245" s="78" t="s">
        <v>220</v>
      </c>
      <c r="X245" s="739" t="s">
        <v>215</v>
      </c>
      <c r="Y245" s="82" t="s">
        <v>216</v>
      </c>
      <c r="Z245" s="82" t="s">
        <v>217</v>
      </c>
      <c r="AA245" s="700" t="s">
        <v>218</v>
      </c>
      <c r="AB245" s="82" t="s">
        <v>215</v>
      </c>
      <c r="AC245" s="82" t="s">
        <v>216</v>
      </c>
      <c r="AD245" s="82" t="s">
        <v>217</v>
      </c>
      <c r="AE245" s="700" t="s">
        <v>218</v>
      </c>
      <c r="AF245" s="82" t="s">
        <v>215</v>
      </c>
      <c r="AG245" s="82" t="s">
        <v>216</v>
      </c>
      <c r="AH245" s="82" t="s">
        <v>217</v>
      </c>
      <c r="AI245" s="700" t="s">
        <v>218</v>
      </c>
      <c r="AJ245" s="82" t="s">
        <v>215</v>
      </c>
      <c r="AK245" s="82" t="s">
        <v>216</v>
      </c>
      <c r="AL245" s="82" t="s">
        <v>217</v>
      </c>
      <c r="AM245" s="82" t="s">
        <v>218</v>
      </c>
    </row>
    <row r="246" spans="3:39">
      <c r="L246" s="489"/>
      <c r="M246" s="68">
        <v>4</v>
      </c>
      <c r="N246" s="506">
        <v>300</v>
      </c>
      <c r="O246" s="131">
        <v>0.15137872371474967</v>
      </c>
      <c r="P246" s="131">
        <v>0.21810819044223814</v>
      </c>
      <c r="Q246" s="131">
        <v>0.23187789879071102</v>
      </c>
      <c r="R246" s="553">
        <v>0.26854123603819674</v>
      </c>
      <c r="S246" s="131">
        <v>0.12647972029638505</v>
      </c>
      <c r="T246" s="131">
        <v>0.19086797248750123</v>
      </c>
      <c r="U246" s="131">
        <v>0.11057095499412521</v>
      </c>
      <c r="V246" s="693"/>
      <c r="W246" s="506">
        <v>300</v>
      </c>
      <c r="X246" s="1652">
        <v>8.9370774018103574E-3</v>
      </c>
      <c r="Y246" s="1654">
        <v>1.2499011249998289E-2</v>
      </c>
      <c r="Z246" s="474">
        <f>Y246*1.1</f>
        <v>1.3748912374998118E-2</v>
      </c>
      <c r="AA246" s="707">
        <v>1.4999999999999999E-2</v>
      </c>
      <c r="AB246" s="1661">
        <f>AF246/(X246*X$240*3)</f>
        <v>532.91635499662971</v>
      </c>
      <c r="AC246" s="1661">
        <f>AG246/(Y246*Y$240*3)</f>
        <v>668.79995413866823</v>
      </c>
      <c r="AD246" s="499">
        <f>AC246*1.04</f>
        <v>695.55195230421498</v>
      </c>
      <c r="AE246" s="1659">
        <f>AD246*1.02</f>
        <v>709.46299135029926</v>
      </c>
      <c r="AF246" s="1614">
        <v>30233.713</v>
      </c>
      <c r="AG246" s="1614">
        <v>49453.844500000007</v>
      </c>
      <c r="AH246" s="499">
        <f t="shared" ref="AH246:AI249" si="219">Z246*Z$240*AD246*3</f>
        <v>63031.511495675237</v>
      </c>
      <c r="AI246" s="504">
        <f t="shared" si="219"/>
        <v>76086.487032061908</v>
      </c>
      <c r="AJ246" s="1656">
        <f t="shared" ref="AJ246:AJ249" si="220">AF246/AF$250</f>
        <v>0.24314120939844544</v>
      </c>
      <c r="AK246" s="1656">
        <f t="shared" ref="AK246:AK249" si="221">AG246/AG$250</f>
        <v>0.30697244344141889</v>
      </c>
      <c r="AL246" s="131">
        <f t="shared" ref="AL246:AM249" si="222">AH246/AH$250</f>
        <v>0.32102933390642463</v>
      </c>
      <c r="AM246" s="131">
        <f t="shared" si="222"/>
        <v>0.3239991248081483</v>
      </c>
    </row>
    <row r="247" spans="3:39">
      <c r="L247" s="489"/>
      <c r="M247" s="68">
        <v>3</v>
      </c>
      <c r="N247" s="506">
        <v>150</v>
      </c>
      <c r="O247" s="131">
        <v>0.11966359341203767</v>
      </c>
      <c r="P247" s="131">
        <v>0.17178841428214872</v>
      </c>
      <c r="Q247" s="131">
        <v>0.16090886888987416</v>
      </c>
      <c r="R247" s="553">
        <v>0.21008735671785209</v>
      </c>
      <c r="S247" s="131">
        <v>0.16117743515541655</v>
      </c>
      <c r="T247" s="131">
        <v>0.18958631758325706</v>
      </c>
      <c r="U247" s="131">
        <v>0.19038828942952227</v>
      </c>
      <c r="V247" s="693"/>
      <c r="W247" s="506">
        <v>150</v>
      </c>
      <c r="X247" s="1652">
        <v>1.1780682152481884E-2</v>
      </c>
      <c r="Y247" s="1654">
        <v>1.8224688621400715E-2</v>
      </c>
      <c r="Z247" s="474">
        <f>Y247*1.05</f>
        <v>1.9135923052470753E-2</v>
      </c>
      <c r="AA247" s="707">
        <v>2.3E-2</v>
      </c>
      <c r="AB247" s="1661">
        <f t="shared" ref="AB247:AC249" si="223">AF247/(X247*X$240*3)</f>
        <v>194.82180345792861</v>
      </c>
      <c r="AC247" s="1661">
        <f t="shared" si="223"/>
        <v>200.93092168293194</v>
      </c>
      <c r="AD247" s="499">
        <f t="shared" ref="AD247:AD249" si="224">AC247*1.04</f>
        <v>208.96815855024923</v>
      </c>
      <c r="AE247" s="1659">
        <f>AD247*1.02</f>
        <v>213.14752172125421</v>
      </c>
      <c r="AF247" s="1614">
        <v>14569.509000000002</v>
      </c>
      <c r="AG247" s="1614">
        <v>21663.821</v>
      </c>
      <c r="AH247" s="499">
        <f t="shared" si="219"/>
        <v>26356.59694441015</v>
      </c>
      <c r="AI247" s="504">
        <f t="shared" si="219"/>
        <v>35050.535023150136</v>
      </c>
      <c r="AJ247" s="1656">
        <f t="shared" si="220"/>
        <v>0.11716880551857907</v>
      </c>
      <c r="AK247" s="1656">
        <f t="shared" si="221"/>
        <v>0.13447278232630674</v>
      </c>
      <c r="AL247" s="131">
        <f t="shared" si="222"/>
        <v>0.13423826527917937</v>
      </c>
      <c r="AM247" s="131">
        <f t="shared" si="222"/>
        <v>0.14925571037039168</v>
      </c>
    </row>
    <row r="248" spans="3:39">
      <c r="L248" s="489"/>
      <c r="M248" s="490">
        <v>2</v>
      </c>
      <c r="N248" s="506">
        <v>50</v>
      </c>
      <c r="O248" s="552">
        <v>0.33590549742015791</v>
      </c>
      <c r="P248" s="552">
        <v>0.32501955924503761</v>
      </c>
      <c r="Q248" s="552">
        <v>0.32284187945385001</v>
      </c>
      <c r="R248" s="553">
        <v>0.34487718335252293</v>
      </c>
      <c r="S248" s="552">
        <v>0.35617040248380333</v>
      </c>
      <c r="T248" s="552">
        <v>0.36046279014534122</v>
      </c>
      <c r="U248" s="552">
        <v>0.42005673494897716</v>
      </c>
      <c r="V248" s="693"/>
      <c r="W248" s="506">
        <v>50</v>
      </c>
      <c r="X248" s="1652">
        <v>8.0185740696604557E-2</v>
      </c>
      <c r="Y248" s="1654">
        <v>0.11392226047775537</v>
      </c>
      <c r="Z248" s="474">
        <f>Y248*1.05</f>
        <v>0.11961837350164314</v>
      </c>
      <c r="AA248" s="707">
        <v>0.13</v>
      </c>
      <c r="AB248" s="1661">
        <f t="shared" si="223"/>
        <v>78.875285670667978</v>
      </c>
      <c r="AC248" s="1661">
        <f t="shared" si="223"/>
        <v>78.934425518531953</v>
      </c>
      <c r="AD248" s="499">
        <f>AC248*1.04</f>
        <v>82.091802539273232</v>
      </c>
      <c r="AE248" s="1659">
        <f>AD248*1.02</f>
        <v>83.733638590058703</v>
      </c>
      <c r="AF248" s="1614">
        <v>40149.025500000003</v>
      </c>
      <c r="AG248" s="1614">
        <v>53198.968500000003</v>
      </c>
      <c r="AH248" s="499">
        <f t="shared" si="219"/>
        <v>64722.828471158049</v>
      </c>
      <c r="AI248" s="504">
        <f t="shared" si="219"/>
        <v>77826.920076412294</v>
      </c>
      <c r="AJ248" s="1656">
        <f t="shared" si="220"/>
        <v>0.32288070658866896</v>
      </c>
      <c r="AK248" s="1656">
        <f t="shared" si="221"/>
        <v>0.33021936947709035</v>
      </c>
      <c r="AL248" s="131">
        <f t="shared" si="222"/>
        <v>0.32964347545530892</v>
      </c>
      <c r="AM248" s="131">
        <f t="shared" si="222"/>
        <v>0.33141041168907748</v>
      </c>
    </row>
    <row r="249" spans="3:39">
      <c r="L249" s="489"/>
      <c r="M249" s="70">
        <v>1</v>
      </c>
      <c r="N249" s="547">
        <v>0</v>
      </c>
      <c r="O249" s="705">
        <v>0.39305218545305465</v>
      </c>
      <c r="P249" s="705">
        <v>0.28508383603057552</v>
      </c>
      <c r="Q249" s="705">
        <v>0.2843713528655647</v>
      </c>
      <c r="R249" s="706">
        <v>0.17649422389142824</v>
      </c>
      <c r="S249" s="705">
        <v>0.35617244206439508</v>
      </c>
      <c r="T249" s="705">
        <v>0.25908291978390047</v>
      </c>
      <c r="U249" s="705">
        <v>0.27898402062737543</v>
      </c>
      <c r="V249" s="693"/>
      <c r="W249" s="547">
        <v>0</v>
      </c>
      <c r="X249" s="1653">
        <v>0.89909649974910322</v>
      </c>
      <c r="Y249" s="1655">
        <v>0.85535403965084555</v>
      </c>
      <c r="Z249" s="478">
        <f t="shared" ref="Z249:AA249" si="225">1-SUM(Z246:Z248)</f>
        <v>0.84749679107088793</v>
      </c>
      <c r="AA249" s="708">
        <f t="shared" si="225"/>
        <v>0.83199999999999996</v>
      </c>
      <c r="AB249" s="1662">
        <f t="shared" si="223"/>
        <v>6.9022006610838531</v>
      </c>
      <c r="AC249" s="1663">
        <f t="shared" si="223"/>
        <v>7.2694214533941341</v>
      </c>
      <c r="AD249" s="611">
        <f t="shared" si="224"/>
        <v>7.5601983115298994</v>
      </c>
      <c r="AE249" s="1660">
        <f>AD249*1.02</f>
        <v>7.7114022777604978</v>
      </c>
      <c r="AF249" s="1636">
        <v>39394.065799999997</v>
      </c>
      <c r="AG249" s="1636">
        <v>36785.268000000004</v>
      </c>
      <c r="AH249" s="611">
        <f t="shared" si="219"/>
        <v>42230.969694861335</v>
      </c>
      <c r="AI249" s="713">
        <f t="shared" si="219"/>
        <v>45871.528726870994</v>
      </c>
      <c r="AJ249" s="1657">
        <f t="shared" si="220"/>
        <v>0.31680927849430657</v>
      </c>
      <c r="AK249" s="1657">
        <f t="shared" si="221"/>
        <v>0.2283354047551841</v>
      </c>
      <c r="AL249" s="705">
        <f t="shared" si="222"/>
        <v>0.21508892535908719</v>
      </c>
      <c r="AM249" s="705">
        <f t="shared" si="222"/>
        <v>0.19533475313238252</v>
      </c>
    </row>
    <row r="250" spans="3:39">
      <c r="L250" s="489"/>
      <c r="N250" s="546"/>
      <c r="R250" s="546"/>
      <c r="W250" s="546"/>
      <c r="X250" s="475"/>
      <c r="Y250" s="475"/>
      <c r="Z250" s="475"/>
      <c r="AA250" s="765" t="s">
        <v>631</v>
      </c>
      <c r="AB250" s="761">
        <f>SUMPRODUCT(X246:X249,AB246:AB249)/'Sale Plan &amp; KPIs'!O17</f>
        <v>4.0034741209795728</v>
      </c>
      <c r="AC250" s="762">
        <f>SUMPRODUCT(Y246:Y249,AC246:AC249)/'Sale Plan &amp; KPIs'!P17</f>
        <v>4.6258787851669743</v>
      </c>
      <c r="AD250" s="762">
        <f>SUMPRODUCT(Z246:Z249,AD246:AD249)/'Sale Plan &amp; KPIs'!Q17</f>
        <v>4.5738922576619885</v>
      </c>
      <c r="AE250" s="763">
        <f>SUMPRODUCT(AA246:AA249,AE246:AE249)/'Sale Plan &amp; KPIs'!R17</f>
        <v>4.6584370044697119</v>
      </c>
      <c r="AF250" s="499">
        <f>SUM(AF246:AF249)</f>
        <v>124346.31329999999</v>
      </c>
      <c r="AG250" s="499">
        <f>SUM(AG246:AG249)</f>
        <v>161101.902</v>
      </c>
      <c r="AH250" s="499">
        <f t="shared" ref="AH250:AI250" si="226">SUM(AH246:AH249)</f>
        <v>196341.90660610475</v>
      </c>
      <c r="AI250" s="504">
        <f t="shared" si="226"/>
        <v>234835.47085849533</v>
      </c>
      <c r="AJ250" s="67"/>
      <c r="AK250" s="67"/>
      <c r="AL250" s="67"/>
      <c r="AM250" s="67"/>
    </row>
    <row r="251" spans="3:39">
      <c r="L251" s="489"/>
      <c r="AB251" s="764"/>
      <c r="AC251" s="767">
        <f>AC250/AB250-1</f>
        <v>0.15546613900306938</v>
      </c>
      <c r="AD251" s="767">
        <f t="shared" ref="AD251:AE251" si="227">AD250/AC250-1</f>
        <v>-1.1238194928860246E-2</v>
      </c>
      <c r="AE251" s="767">
        <f t="shared" si="227"/>
        <v>1.8484201648190979E-2</v>
      </c>
      <c r="AF251" s="747">
        <f>'Sale Plan &amp; KPIs'!O15</f>
        <v>124617.10630000001</v>
      </c>
      <c r="AG251" s="747">
        <f>'Sale Plan &amp; KPIs'!P15</f>
        <v>161745.299</v>
      </c>
      <c r="AH251" s="747">
        <f>'Sale Plan &amp; KPIs'!Q15</f>
        <v>197960</v>
      </c>
      <c r="AI251" s="747">
        <f>'Sale Plan &amp; KPIs'!R15</f>
        <v>236759.18</v>
      </c>
    </row>
    <row r="252" spans="3:39">
      <c r="L252" s="80" t="s">
        <v>624</v>
      </c>
      <c r="M252" s="70" t="s">
        <v>20</v>
      </c>
      <c r="N252" s="78" t="s">
        <v>220</v>
      </c>
      <c r="O252" s="71" t="s">
        <v>208</v>
      </c>
      <c r="P252" s="72" t="s">
        <v>209</v>
      </c>
      <c r="Q252" s="72" t="s">
        <v>212</v>
      </c>
      <c r="R252" s="73" t="s">
        <v>211</v>
      </c>
      <c r="S252" s="71" t="s">
        <v>213</v>
      </c>
      <c r="T252" s="72" t="s">
        <v>214</v>
      </c>
      <c r="U252" s="72" t="s">
        <v>210</v>
      </c>
      <c r="W252" s="743" t="s">
        <v>622</v>
      </c>
      <c r="AC252" s="766"/>
      <c r="AD252" s="766"/>
      <c r="AE252" s="766"/>
      <c r="AF252" s="748">
        <f>AF250/AF251</f>
        <v>0.99782699977523059</v>
      </c>
      <c r="AG252" s="748">
        <f t="shared" ref="AG252:AI252" si="228">AG250/AG251</f>
        <v>0.99602215950647199</v>
      </c>
      <c r="AH252" s="748">
        <f t="shared" si="228"/>
        <v>0.991826159861107</v>
      </c>
      <c r="AI252" s="748">
        <f t="shared" si="228"/>
        <v>0.99187482765608215</v>
      </c>
    </row>
    <row r="253" spans="3:39">
      <c r="L253" s="489"/>
      <c r="M253" s="68">
        <v>4</v>
      </c>
      <c r="N253" s="506">
        <v>300</v>
      </c>
      <c r="O253" s="499">
        <v>355.79945999999995</v>
      </c>
      <c r="P253" s="499">
        <v>888.16023200000018</v>
      </c>
      <c r="Q253" s="499">
        <v>1250.2645619999996</v>
      </c>
      <c r="R253" s="504">
        <v>2047.7408599999997</v>
      </c>
      <c r="S253" s="499">
        <v>418.52126999999996</v>
      </c>
      <c r="T253" s="499">
        <v>1102.11339</v>
      </c>
      <c r="U253" s="499">
        <v>754.25169299999993</v>
      </c>
      <c r="W253" s="78" t="s">
        <v>220</v>
      </c>
      <c r="X253" s="739" t="s">
        <v>215</v>
      </c>
      <c r="Y253" s="82" t="s">
        <v>216</v>
      </c>
      <c r="Z253" s="82" t="s">
        <v>217</v>
      </c>
      <c r="AA253" s="700" t="s">
        <v>218</v>
      </c>
      <c r="AB253" s="739" t="s">
        <v>254</v>
      </c>
      <c r="AC253" s="749" t="s">
        <v>623</v>
      </c>
      <c r="AI253" s="464"/>
    </row>
    <row r="254" spans="3:39">
      <c r="L254" s="489"/>
      <c r="M254" s="68">
        <v>3</v>
      </c>
      <c r="N254" s="506">
        <v>150</v>
      </c>
      <c r="O254" s="499">
        <v>210.25625500000004</v>
      </c>
      <c r="P254" s="499">
        <v>572.80653740000014</v>
      </c>
      <c r="Q254" s="499">
        <v>694.26190179999981</v>
      </c>
      <c r="R254" s="504">
        <v>1327.6560277999999</v>
      </c>
      <c r="S254" s="499">
        <v>469.81658490000001</v>
      </c>
      <c r="T254" s="499">
        <v>925.02684970000007</v>
      </c>
      <c r="U254" s="499">
        <v>1004.2445368500003</v>
      </c>
      <c r="W254" s="506">
        <v>300</v>
      </c>
      <c r="X254" s="499">
        <f>AF246*$R$22*$AC254</f>
        <v>1965.1913450000002</v>
      </c>
      <c r="Y254" s="499">
        <f t="shared" ref="Y254:AA254" si="229">AG246*$R$22*$AC254</f>
        <v>3214.4998925000009</v>
      </c>
      <c r="Z254" s="499">
        <f t="shared" si="229"/>
        <v>4097.0482472188905</v>
      </c>
      <c r="AA254" s="504">
        <f t="shared" si="229"/>
        <v>4945.6216570840243</v>
      </c>
      <c r="AB254" s="499">
        <f>SUM(X254:AA254)</f>
        <v>14222.361141802916</v>
      </c>
      <c r="AC254" s="771">
        <v>0.2</v>
      </c>
    </row>
    <row r="255" spans="3:39">
      <c r="L255" s="489"/>
      <c r="M255" s="490">
        <v>2</v>
      </c>
      <c r="N255" s="506">
        <v>50</v>
      </c>
      <c r="O255" s="557">
        <v>550.21741574999987</v>
      </c>
      <c r="P255" s="557">
        <v>949.54840725000088</v>
      </c>
      <c r="Q255" s="557">
        <v>1199.7704452499997</v>
      </c>
      <c r="R255" s="504">
        <v>1866.2805449999983</v>
      </c>
      <c r="S255" s="557">
        <v>907.92030374999933</v>
      </c>
      <c r="T255" s="557">
        <v>1535.8285290000006</v>
      </c>
      <c r="U255" s="557">
        <v>1943.326846500001</v>
      </c>
      <c r="W255" s="506">
        <v>150</v>
      </c>
      <c r="X255" s="499">
        <f t="shared" ref="X255:AA255" si="230">AF247*$R$22*$AC255</f>
        <v>804.96537225000009</v>
      </c>
      <c r="Y255" s="499">
        <f t="shared" si="230"/>
        <v>1196.9261102500002</v>
      </c>
      <c r="Z255" s="499">
        <f t="shared" si="230"/>
        <v>1456.2019811786608</v>
      </c>
      <c r="AA255" s="504">
        <f t="shared" si="230"/>
        <v>1936.5420600290454</v>
      </c>
      <c r="AB255" s="499">
        <f t="shared" ref="AB255:AB257" si="231">SUM(X255:AA255)</f>
        <v>5394.6355237077059</v>
      </c>
      <c r="AC255" s="771">
        <v>0.17</v>
      </c>
    </row>
    <row r="256" spans="3:39">
      <c r="L256" s="489"/>
      <c r="M256" s="70">
        <v>1</v>
      </c>
      <c r="N256" s="547">
        <v>0</v>
      </c>
      <c r="O256" s="611">
        <v>512.87885219999941</v>
      </c>
      <c r="P256" s="611">
        <v>665.03844479999952</v>
      </c>
      <c r="Q256" s="611">
        <v>848.8525800000009</v>
      </c>
      <c r="R256" s="713">
        <v>771.31709160000003</v>
      </c>
      <c r="S256" s="611">
        <v>725.0811984000004</v>
      </c>
      <c r="T256" s="611">
        <v>893.99983380000106</v>
      </c>
      <c r="U256" s="611">
        <v>1036.3443126000009</v>
      </c>
      <c r="W256" s="506">
        <v>50</v>
      </c>
      <c r="X256" s="499">
        <f t="shared" ref="X256:AA256" si="232">AF248*$R$22*$AC256</f>
        <v>1957.2649931250003</v>
      </c>
      <c r="Y256" s="499">
        <f t="shared" si="232"/>
        <v>2593.449714375</v>
      </c>
      <c r="Z256" s="499">
        <f t="shared" si="232"/>
        <v>3155.2378879689545</v>
      </c>
      <c r="AA256" s="504">
        <f t="shared" si="232"/>
        <v>3794.0623537250995</v>
      </c>
      <c r="AB256" s="499">
        <f t="shared" si="231"/>
        <v>11500.014949194054</v>
      </c>
      <c r="AC256" s="771">
        <v>0.15</v>
      </c>
    </row>
    <row r="257" spans="2:32">
      <c r="L257" s="489"/>
      <c r="N257" s="546" t="s">
        <v>625</v>
      </c>
      <c r="O257" s="725">
        <f>SUM(O253:O256)</f>
        <v>1629.1519829499994</v>
      </c>
      <c r="P257" s="499">
        <f t="shared" ref="P257:U257" si="233">SUM(P253:P256)</f>
        <v>3075.5536214500007</v>
      </c>
      <c r="Q257" s="499">
        <f t="shared" si="233"/>
        <v>3993.1494890499998</v>
      </c>
      <c r="R257" s="504">
        <f t="shared" si="233"/>
        <v>6012.9945243999973</v>
      </c>
      <c r="S257" s="499">
        <f t="shared" si="233"/>
        <v>2521.3393570499993</v>
      </c>
      <c r="T257" s="499">
        <f t="shared" si="233"/>
        <v>4456.9686025000019</v>
      </c>
      <c r="U257" s="499">
        <f t="shared" si="233"/>
        <v>4738.1673889500025</v>
      </c>
      <c r="W257" s="547">
        <v>0</v>
      </c>
      <c r="X257" s="712">
        <f t="shared" ref="X257:AA257" si="234">AF249*$R$22*$AC257</f>
        <v>1536.3685661999998</v>
      </c>
      <c r="Y257" s="611">
        <f t="shared" si="234"/>
        <v>1434.6254520000002</v>
      </c>
      <c r="Z257" s="611">
        <f t="shared" si="234"/>
        <v>1647.007818099592</v>
      </c>
      <c r="AA257" s="713">
        <f t="shared" si="234"/>
        <v>1788.9896203479686</v>
      </c>
      <c r="AB257" s="712">
        <f t="shared" si="231"/>
        <v>6406.9914566475609</v>
      </c>
      <c r="AC257" s="771">
        <v>0.12</v>
      </c>
    </row>
    <row r="258" spans="2:32">
      <c r="N258" s="744" t="s">
        <v>464</v>
      </c>
      <c r="O258" s="622">
        <f>O257/O169</f>
        <v>4.3102818781752275E-2</v>
      </c>
      <c r="P258" s="622">
        <f t="shared" ref="P258:U258" si="235">P257/P169</f>
        <v>4.5789987707266437E-2</v>
      </c>
      <c r="Q258" s="622">
        <f t="shared" si="235"/>
        <v>4.8296456634453463E-2</v>
      </c>
      <c r="R258" s="622">
        <f t="shared" si="235"/>
        <v>4.8232933180774429E-2</v>
      </c>
      <c r="S258" s="622">
        <f t="shared" si="235"/>
        <v>4.1553782664046315E-2</v>
      </c>
      <c r="T258" s="622">
        <f t="shared" si="235"/>
        <v>4.4764176478917915E-2</v>
      </c>
      <c r="U258" s="622">
        <f t="shared" si="235"/>
        <v>4.3349450613156731E-2</v>
      </c>
      <c r="W258" s="742" t="s">
        <v>254</v>
      </c>
      <c r="X258" s="499">
        <f>SUM(X254:X257)</f>
        <v>6263.7902765750005</v>
      </c>
      <c r="Y258" s="499">
        <f t="shared" ref="Y258:AA258" si="236">SUM(Y254:Y257)</f>
        <v>8439.501169125002</v>
      </c>
      <c r="Z258" s="499">
        <f t="shared" si="236"/>
        <v>10355.495934466098</v>
      </c>
      <c r="AA258" s="504">
        <f t="shared" si="236"/>
        <v>12465.215691186138</v>
      </c>
      <c r="AB258" s="770">
        <f>SUM(AB254:AB257)</f>
        <v>37524.003071352236</v>
      </c>
    </row>
    <row r="259" spans="2:32">
      <c r="W259" s="728" t="s">
        <v>464</v>
      </c>
      <c r="X259" s="753">
        <f>X258/X239</f>
        <v>5.0264289250110762E-2</v>
      </c>
      <c r="Y259" s="753">
        <f t="shared" ref="Y259:AA259" si="237">Y258/Y239</f>
        <v>5.2177721524537181E-2</v>
      </c>
      <c r="Z259" s="753">
        <f t="shared" si="237"/>
        <v>5.2311052406880672E-2</v>
      </c>
      <c r="AA259" s="753">
        <f t="shared" si="237"/>
        <v>5.2649344752698245E-2</v>
      </c>
      <c r="AB259" s="772">
        <f>AB258/SUM(X239:AA239)</f>
        <v>5.2038498605869531E-2</v>
      </c>
    </row>
    <row r="260" spans="2:32">
      <c r="L260" s="756" t="s">
        <v>626</v>
      </c>
      <c r="N260" s="758" t="s">
        <v>466</v>
      </c>
      <c r="O260" s="573">
        <v>1643.6858010000003</v>
      </c>
      <c r="P260" s="573">
        <v>2952.3841702500013</v>
      </c>
      <c r="Q260" s="573">
        <v>3811.1186227500016</v>
      </c>
      <c r="R260" s="573">
        <v>5537.6937555000068</v>
      </c>
      <c r="S260" s="573">
        <v>2542.7067997500008</v>
      </c>
      <c r="T260" s="573">
        <v>4296.1135252499989</v>
      </c>
      <c r="U260" s="573">
        <v>4690.5441277499967</v>
      </c>
    </row>
    <row r="261" spans="2:32">
      <c r="N261" s="758" t="s">
        <v>464</v>
      </c>
      <c r="O261" s="746">
        <f>O260/O169</f>
        <v>4.3487343081616434E-2</v>
      </c>
      <c r="P261" s="746">
        <f t="shared" ref="P261:U261" si="238">P260/P169</f>
        <v>4.395619504729658E-2</v>
      </c>
      <c r="Q261" s="746">
        <f t="shared" si="238"/>
        <v>4.609482459826305E-2</v>
      </c>
      <c r="R261" s="746">
        <f t="shared" si="238"/>
        <v>4.4420331966172205E-2</v>
      </c>
      <c r="S261" s="746">
        <f t="shared" si="238"/>
        <v>4.1905936001739488E-2</v>
      </c>
      <c r="T261" s="746">
        <f t="shared" si="238"/>
        <v>4.3148606411516008E-2</v>
      </c>
      <c r="U261" s="746">
        <f t="shared" si="238"/>
        <v>4.2913745826905055E-2</v>
      </c>
      <c r="V261" s="746"/>
    </row>
    <row r="262" spans="2:32">
      <c r="N262" s="758" t="s">
        <v>627</v>
      </c>
      <c r="O262" s="759">
        <f>O258-O261</f>
        <v>-3.8452429986415848E-4</v>
      </c>
      <c r="P262" s="759">
        <f t="shared" ref="P262:U262" si="239">P258-P261</f>
        <v>1.8337926599698573E-3</v>
      </c>
      <c r="Q262" s="759">
        <f t="shared" si="239"/>
        <v>2.2016320361904138E-3</v>
      </c>
      <c r="R262" s="759">
        <f t="shared" si="239"/>
        <v>3.8126012146022237E-3</v>
      </c>
      <c r="S262" s="759">
        <f t="shared" si="239"/>
        <v>-3.5215333769317292E-4</v>
      </c>
      <c r="T262" s="759">
        <f t="shared" si="239"/>
        <v>1.6155700674019072E-3</v>
      </c>
      <c r="U262" s="759">
        <f t="shared" si="239"/>
        <v>4.3570478625167691E-4</v>
      </c>
    </row>
    <row r="264" spans="2:32" s="703" customFormat="1">
      <c r="O264" s="1118" t="s">
        <v>460</v>
      </c>
      <c r="P264" s="1118"/>
      <c r="Q264" s="1119">
        <f>AB288</f>
        <v>12481.031405850637</v>
      </c>
      <c r="R264" s="1120">
        <f>Q264/SUM($X$57:$AA$57)</f>
        <v>1.7308764584049126E-2</v>
      </c>
      <c r="W264" s="1118" t="s">
        <v>1530</v>
      </c>
      <c r="X264" s="1118"/>
      <c r="Y264" s="1119">
        <f>Z288+AA288</f>
        <v>7590.2523357256359</v>
      </c>
    </row>
    <row r="266" spans="2:32">
      <c r="B266" t="s">
        <v>36</v>
      </c>
      <c r="L266" s="542" t="s">
        <v>470</v>
      </c>
      <c r="W266" s="543" t="s">
        <v>471</v>
      </c>
    </row>
    <row r="268" spans="2:32">
      <c r="C268" s="731" t="s">
        <v>616</v>
      </c>
      <c r="D268" s="734" t="s">
        <v>271</v>
      </c>
      <c r="L268" s="80" t="s">
        <v>222</v>
      </c>
      <c r="M268" s="70" t="s">
        <v>20</v>
      </c>
      <c r="N268" s="78" t="s">
        <v>220</v>
      </c>
      <c r="O268" s="71" t="s">
        <v>208</v>
      </c>
      <c r="P268" s="72" t="s">
        <v>209</v>
      </c>
      <c r="Q268" s="72" t="s">
        <v>212</v>
      </c>
      <c r="R268" s="73" t="s">
        <v>211</v>
      </c>
      <c r="S268" s="71" t="s">
        <v>213</v>
      </c>
      <c r="T268" s="72" t="s">
        <v>214</v>
      </c>
      <c r="U268" s="72" t="s">
        <v>210</v>
      </c>
      <c r="W268" s="78"/>
      <c r="X268" s="739" t="s">
        <v>215</v>
      </c>
      <c r="Y268" s="82" t="s">
        <v>216</v>
      </c>
      <c r="Z268" s="82" t="s">
        <v>217</v>
      </c>
      <c r="AA268" s="82" t="s">
        <v>218</v>
      </c>
      <c r="AC268" s="718"/>
      <c r="AD268" s="718"/>
      <c r="AE268" s="718"/>
      <c r="AF268" s="718"/>
    </row>
    <row r="269" spans="2:32">
      <c r="C269" s="738" t="s">
        <v>16</v>
      </c>
      <c r="D269" s="735"/>
      <c r="L269" s="489"/>
      <c r="M269" s="68">
        <v>4</v>
      </c>
      <c r="N269" s="506">
        <v>700</v>
      </c>
      <c r="O269" s="474">
        <v>1.7167381974248927E-2</v>
      </c>
      <c r="P269" s="474">
        <v>6.2068965517241378E-2</v>
      </c>
      <c r="Q269" s="474">
        <v>7.6666666666666661E-2</v>
      </c>
      <c r="R269" s="707">
        <v>0.14715719063545152</v>
      </c>
      <c r="S269" s="474">
        <v>3.5947712418300651E-2</v>
      </c>
      <c r="T269" s="474">
        <v>6.6066066066066062E-2</v>
      </c>
      <c r="U269" s="474">
        <v>5.9259259259259262E-2</v>
      </c>
      <c r="V269" s="693"/>
      <c r="W269" s="741" t="s">
        <v>206</v>
      </c>
      <c r="X269" s="1651">
        <f>X239</f>
        <v>124617.10630000001</v>
      </c>
      <c r="Y269" s="1614">
        <f t="shared" ref="Y269:AA269" si="240">Y239</f>
        <v>161745.299</v>
      </c>
      <c r="Z269" s="499">
        <f t="shared" si="240"/>
        <v>197960</v>
      </c>
      <c r="AA269" s="499">
        <f t="shared" si="240"/>
        <v>236759.18</v>
      </c>
      <c r="AC269" s="779"/>
      <c r="AD269" s="779"/>
      <c r="AE269" s="779"/>
      <c r="AF269" s="779"/>
    </row>
    <row r="270" spans="2:32">
      <c r="C270" s="734" t="s">
        <v>1431</v>
      </c>
      <c r="D270" s="776">
        <v>0.04</v>
      </c>
      <c r="L270" s="489"/>
      <c r="M270" s="68">
        <v>3</v>
      </c>
      <c r="N270" s="506">
        <v>500</v>
      </c>
      <c r="O270" s="474">
        <v>2.575107296137339E-2</v>
      </c>
      <c r="P270" s="474">
        <v>3.793103448275862E-2</v>
      </c>
      <c r="Q270" s="474">
        <v>3.6666666666666667E-2</v>
      </c>
      <c r="R270" s="707">
        <v>8.6956521739130432E-2</v>
      </c>
      <c r="S270" s="474">
        <v>3.5947712418300651E-2</v>
      </c>
      <c r="T270" s="474">
        <v>6.9069069069069067E-2</v>
      </c>
      <c r="U270" s="474">
        <v>7.6543209876543214E-2</v>
      </c>
      <c r="V270" s="693"/>
      <c r="W270" s="742" t="s">
        <v>618</v>
      </c>
      <c r="X270" s="1614">
        <v>195</v>
      </c>
      <c r="Y270" s="1614">
        <v>196</v>
      </c>
      <c r="Z270" s="1664">
        <v>198</v>
      </c>
      <c r="AA270" s="1664">
        <v>200</v>
      </c>
      <c r="AC270" s="718"/>
      <c r="AD270" s="718"/>
      <c r="AE270" s="718"/>
      <c r="AF270" s="718"/>
    </row>
    <row r="271" spans="2:32">
      <c r="C271" s="774">
        <v>150</v>
      </c>
      <c r="D271" s="736">
        <v>0.05</v>
      </c>
      <c r="L271" s="489"/>
      <c r="M271" s="490">
        <v>2</v>
      </c>
      <c r="N271" s="506">
        <v>150</v>
      </c>
      <c r="O271" s="591">
        <v>0.23175965665236051</v>
      </c>
      <c r="P271" s="591">
        <v>0.29310344827586204</v>
      </c>
      <c r="Q271" s="591">
        <v>0.34</v>
      </c>
      <c r="R271" s="707">
        <v>0.35785953177257523</v>
      </c>
      <c r="S271" s="591">
        <v>0.29738562091503268</v>
      </c>
      <c r="T271" s="591">
        <v>0.37237237237237236</v>
      </c>
      <c r="U271" s="591">
        <v>0.36543209876543209</v>
      </c>
      <c r="V271" s="693"/>
      <c r="X271" s="442"/>
      <c r="Y271" s="442"/>
      <c r="Z271" s="442"/>
      <c r="AA271" s="442"/>
    </row>
    <row r="272" spans="2:32">
      <c r="C272" s="774">
        <v>500</v>
      </c>
      <c r="D272" s="736">
        <v>0.06</v>
      </c>
      <c r="L272" s="489"/>
      <c r="M272" s="70">
        <v>1</v>
      </c>
      <c r="N272" s="547">
        <v>0</v>
      </c>
      <c r="O272" s="478">
        <v>0.72532188841201717</v>
      </c>
      <c r="P272" s="478">
        <v>0.60689655172413792</v>
      </c>
      <c r="Q272" s="478">
        <v>0.54666666666666663</v>
      </c>
      <c r="R272" s="708">
        <v>0.40802675585284282</v>
      </c>
      <c r="S272" s="478">
        <v>0.63071895424836599</v>
      </c>
      <c r="T272" s="478">
        <v>0.4924924924924925</v>
      </c>
      <c r="U272" s="478">
        <v>0.498765432098765</v>
      </c>
      <c r="V272" s="693"/>
      <c r="X272" s="442"/>
      <c r="Y272" s="442"/>
      <c r="Z272" s="442"/>
      <c r="AA272" s="442"/>
    </row>
    <row r="273" spans="3:39">
      <c r="C273" s="775">
        <v>700</v>
      </c>
      <c r="D273" s="737">
        <v>7.0000000000000007E-2</v>
      </c>
      <c r="L273" s="489"/>
      <c r="N273" s="546"/>
      <c r="R273" s="546"/>
      <c r="AF273" s="1658" t="s">
        <v>1486</v>
      </c>
    </row>
    <row r="274" spans="3:39">
      <c r="L274" s="489"/>
      <c r="W274" s="80" t="s">
        <v>619</v>
      </c>
      <c r="AB274" s="69" t="s">
        <v>620</v>
      </c>
      <c r="AC274" s="67"/>
      <c r="AD274" s="67"/>
      <c r="AE274" s="67"/>
      <c r="AF274" s="69" t="s">
        <v>509</v>
      </c>
      <c r="AG274" s="67"/>
      <c r="AH274" s="67"/>
      <c r="AI274" s="67"/>
      <c r="AJ274" s="69" t="s">
        <v>621</v>
      </c>
      <c r="AK274" s="67"/>
      <c r="AL274" s="67"/>
      <c r="AM274" s="67"/>
    </row>
    <row r="275" spans="3:39">
      <c r="L275" s="80" t="s">
        <v>223</v>
      </c>
      <c r="M275" s="70" t="s">
        <v>20</v>
      </c>
      <c r="N275" s="78" t="s">
        <v>220</v>
      </c>
      <c r="O275" s="71" t="s">
        <v>208</v>
      </c>
      <c r="P275" s="72" t="s">
        <v>209</v>
      </c>
      <c r="Q275" s="72" t="s">
        <v>212</v>
      </c>
      <c r="R275" s="73" t="s">
        <v>211</v>
      </c>
      <c r="S275" s="71" t="s">
        <v>213</v>
      </c>
      <c r="T275" s="72" t="s">
        <v>214</v>
      </c>
      <c r="U275" s="72" t="s">
        <v>210</v>
      </c>
      <c r="W275" s="78" t="s">
        <v>220</v>
      </c>
      <c r="X275" s="739" t="s">
        <v>215</v>
      </c>
      <c r="Y275" s="82" t="s">
        <v>216</v>
      </c>
      <c r="Z275" s="82" t="s">
        <v>217</v>
      </c>
      <c r="AA275" s="700" t="s">
        <v>218</v>
      </c>
      <c r="AB275" s="82" t="s">
        <v>215</v>
      </c>
      <c r="AC275" s="82" t="s">
        <v>216</v>
      </c>
      <c r="AD275" s="82" t="s">
        <v>217</v>
      </c>
      <c r="AE275" s="700" t="s">
        <v>218</v>
      </c>
      <c r="AF275" s="82" t="s">
        <v>215</v>
      </c>
      <c r="AG275" s="82" t="s">
        <v>216</v>
      </c>
      <c r="AH275" s="82" t="s">
        <v>217</v>
      </c>
      <c r="AI275" s="700" t="s">
        <v>218</v>
      </c>
      <c r="AJ275" s="82" t="s">
        <v>215</v>
      </c>
      <c r="AK275" s="82" t="s">
        <v>216</v>
      </c>
      <c r="AL275" s="82" t="s">
        <v>217</v>
      </c>
      <c r="AM275" s="82" t="s">
        <v>218</v>
      </c>
    </row>
    <row r="276" spans="3:39">
      <c r="L276" s="489"/>
      <c r="M276" s="68">
        <v>4</v>
      </c>
      <c r="N276" s="506">
        <v>700</v>
      </c>
      <c r="O276" s="131">
        <v>0.14868330089722415</v>
      </c>
      <c r="P276" s="131">
        <v>0.34201077841133765</v>
      </c>
      <c r="Q276" s="131">
        <v>0.39268823939594799</v>
      </c>
      <c r="R276" s="553">
        <v>0.48981499192705519</v>
      </c>
      <c r="S276" s="131">
        <v>0.20845293592766009</v>
      </c>
      <c r="T276" s="131">
        <v>0.3137028952042562</v>
      </c>
      <c r="U276" s="131">
        <v>0.2731234975533533</v>
      </c>
      <c r="V276" s="693"/>
      <c r="W276" s="506">
        <v>700</v>
      </c>
      <c r="X276" s="1652">
        <v>3.4653708765383893E-2</v>
      </c>
      <c r="Y276" s="1654">
        <v>4.3757300900158037E-2</v>
      </c>
      <c r="Z276" s="1666">
        <v>0.05</v>
      </c>
      <c r="AA276" s="1667">
        <v>5.5E-2</v>
      </c>
      <c r="AB276" s="1661">
        <f>AF276/(X276*X$270*3)</f>
        <v>1753.1388286453553</v>
      </c>
      <c r="AC276" s="1640">
        <f>AG276/(Y276*Y$270*3)</f>
        <v>2363.0963807317844</v>
      </c>
      <c r="AD276" s="1664">
        <f>AC276*1.05</f>
        <v>2481.2511997683737</v>
      </c>
      <c r="AE276" s="1659">
        <f>AD276*1.1</f>
        <v>2729.3763197452113</v>
      </c>
      <c r="AF276" s="1614">
        <v>35540.366000000002</v>
      </c>
      <c r="AG276" s="1614">
        <v>60800.798999999999</v>
      </c>
      <c r="AH276" s="499">
        <f>Z276*Z$270*AD276*3</f>
        <v>73693.1606331207</v>
      </c>
      <c r="AI276" s="504">
        <f>AA276*AA$270*AE276*3</f>
        <v>90069.418551591967</v>
      </c>
      <c r="AJ276" s="1656">
        <f>AF276/AF$280</f>
        <v>0.31722379292151814</v>
      </c>
      <c r="AK276" s="1656">
        <f t="shared" ref="AK276:AM279" si="241">AG276/AG$280</f>
        <v>0.40543848165710722</v>
      </c>
      <c r="AL276" s="131">
        <f t="shared" si="241"/>
        <v>0.41026124580124634</v>
      </c>
      <c r="AM276" s="131">
        <f t="shared" si="241"/>
        <v>0.41777936266437493</v>
      </c>
    </row>
    <row r="277" spans="3:39">
      <c r="L277" s="489"/>
      <c r="M277" s="68">
        <v>3</v>
      </c>
      <c r="N277" s="506">
        <v>500</v>
      </c>
      <c r="O277" s="131">
        <v>0.10440430400749856</v>
      </c>
      <c r="P277" s="131">
        <v>0.10256296718106664</v>
      </c>
      <c r="Q277" s="131">
        <v>9.199866387628948E-2</v>
      </c>
      <c r="R277" s="553">
        <v>0.15184500840893381</v>
      </c>
      <c r="S277" s="131">
        <v>0.13128469467372295</v>
      </c>
      <c r="T277" s="131">
        <v>0.1550491544090658</v>
      </c>
      <c r="U277" s="131">
        <v>0.18697245190216633</v>
      </c>
      <c r="V277" s="693"/>
      <c r="W277" s="506">
        <v>500</v>
      </c>
      <c r="X277" s="1652">
        <v>4.5069923496319435E-2</v>
      </c>
      <c r="Y277" s="1654">
        <v>4.7209166494880779E-2</v>
      </c>
      <c r="Z277" s="1666">
        <v>7.0000000000000007E-2</v>
      </c>
      <c r="AA277" s="1667">
        <v>0.08</v>
      </c>
      <c r="AB277" s="1661">
        <f t="shared" ref="AB277:AC279" si="242">AF277/(X277*X$270*3)</f>
        <v>572.84295226940901</v>
      </c>
      <c r="AC277" s="1661">
        <f t="shared" si="242"/>
        <v>589.57926997896766</v>
      </c>
      <c r="AD277" s="1664">
        <f t="shared" ref="AD277:AD279" si="243">AC277*1.05</f>
        <v>619.05823347791602</v>
      </c>
      <c r="AE277" s="1659">
        <f>AD277*1.1</f>
        <v>680.96405682570764</v>
      </c>
      <c r="AF277" s="1614">
        <v>15103.522999999999</v>
      </c>
      <c r="AG277" s="1614">
        <v>16366.125</v>
      </c>
      <c r="AH277" s="499">
        <f t="shared" ref="AH277:AH279" si="244">Z277*Z$270*AD277*3</f>
        <v>25740.441348011751</v>
      </c>
      <c r="AI277" s="504">
        <f t="shared" ref="AI277:AI278" si="245">AA277*AA$270*AE277*3</f>
        <v>32686.274727633965</v>
      </c>
      <c r="AJ277" s="1656">
        <f t="shared" ref="AJ277:AJ279" si="246">AF277/AF$280</f>
        <v>0.13481000315352368</v>
      </c>
      <c r="AK277" s="1656">
        <f t="shared" si="241"/>
        <v>0.10913436960936029</v>
      </c>
      <c r="AL277" s="131">
        <f t="shared" si="241"/>
        <v>0.14330102609499129</v>
      </c>
      <c r="AM277" s="131">
        <f t="shared" si="241"/>
        <v>0.15161251447139737</v>
      </c>
    </row>
    <row r="278" spans="3:39">
      <c r="L278" s="489"/>
      <c r="M278" s="490">
        <v>2</v>
      </c>
      <c r="N278" s="506">
        <v>150</v>
      </c>
      <c r="O278" s="552">
        <v>0.44231699141262382</v>
      </c>
      <c r="P278" s="552">
        <v>0.39037378056292577</v>
      </c>
      <c r="Q278" s="552">
        <v>0.38414799702206492</v>
      </c>
      <c r="R278" s="553">
        <v>0.30137288936009859</v>
      </c>
      <c r="S278" s="552">
        <v>0.46818388598079896</v>
      </c>
      <c r="T278" s="552">
        <v>0.43038748396904081</v>
      </c>
      <c r="U278" s="552">
        <v>0.43162644376931381</v>
      </c>
      <c r="V278" s="693"/>
      <c r="W278" s="506">
        <v>150</v>
      </c>
      <c r="X278" s="1652">
        <v>0.28911232591435637</v>
      </c>
      <c r="Y278" s="1654">
        <v>0.35510719439290872</v>
      </c>
      <c r="Z278" s="1666">
        <v>0.38</v>
      </c>
      <c r="AA278" s="1667">
        <v>0.40500000000000003</v>
      </c>
      <c r="AB278" s="1661">
        <f t="shared" si="242"/>
        <v>270.93647937272556</v>
      </c>
      <c r="AC278" s="1661">
        <f t="shared" si="242"/>
        <v>282.91663638342646</v>
      </c>
      <c r="AD278" s="1664">
        <f t="shared" si="243"/>
        <v>297.06246820259781</v>
      </c>
      <c r="AE278" s="1659">
        <f>AD278*1.1</f>
        <v>326.76871502285763</v>
      </c>
      <c r="AF278" s="1614">
        <v>45823.679300000003</v>
      </c>
      <c r="AG278" s="1614">
        <v>59073.851000000002</v>
      </c>
      <c r="AH278" s="499">
        <f t="shared" si="244"/>
        <v>67052.940322690367</v>
      </c>
      <c r="AI278" s="504">
        <f t="shared" si="245"/>
        <v>79404.797750554411</v>
      </c>
      <c r="AJ278" s="1656">
        <f t="shared" si="246"/>
        <v>0.40900989464107534</v>
      </c>
      <c r="AK278" s="1656">
        <f t="shared" si="241"/>
        <v>0.39392265971830709</v>
      </c>
      <c r="AL278" s="131">
        <f t="shared" si="241"/>
        <v>0.37329411026862391</v>
      </c>
      <c r="AM278" s="131">
        <f t="shared" si="241"/>
        <v>0.36831242313081275</v>
      </c>
    </row>
    <row r="279" spans="3:39">
      <c r="L279" s="489"/>
      <c r="M279" s="70">
        <v>1</v>
      </c>
      <c r="N279" s="547">
        <v>0</v>
      </c>
      <c r="O279" s="705">
        <v>0.30459540368265348</v>
      </c>
      <c r="P279" s="705">
        <v>0.16505247384467001</v>
      </c>
      <c r="Q279" s="705">
        <v>0.13116509970569765</v>
      </c>
      <c r="R279" s="706">
        <v>5.6967110303912431E-2</v>
      </c>
      <c r="S279" s="705">
        <v>0.19207848341781802</v>
      </c>
      <c r="T279" s="705">
        <v>0.10086046641763709</v>
      </c>
      <c r="U279" s="705">
        <v>0.10827760677516662</v>
      </c>
      <c r="V279" s="693"/>
      <c r="W279" s="547">
        <v>0</v>
      </c>
      <c r="X279" s="1653">
        <v>0.63116404182394037</v>
      </c>
      <c r="Y279" s="1655">
        <v>0.55392633821205262</v>
      </c>
      <c r="Z279" s="1668">
        <f t="shared" ref="Z279:AA279" si="247">1-SUM(Z276:Z278)</f>
        <v>0.5</v>
      </c>
      <c r="AA279" s="1669">
        <f t="shared" si="247"/>
        <v>0.45999999999999996</v>
      </c>
      <c r="AB279" s="1662">
        <f t="shared" si="242"/>
        <v>42.163465413776734</v>
      </c>
      <c r="AC279" s="1641">
        <f t="shared" si="242"/>
        <v>42.130574200903318</v>
      </c>
      <c r="AD279" s="1665">
        <f t="shared" si="243"/>
        <v>44.237102910948487</v>
      </c>
      <c r="AE279" s="1660">
        <f>AD279*1.1</f>
        <v>48.660813202043336</v>
      </c>
      <c r="AF279" s="1636">
        <v>15568.056999999999</v>
      </c>
      <c r="AG279" s="1636">
        <v>13722.294</v>
      </c>
      <c r="AH279" s="611">
        <f t="shared" si="244"/>
        <v>13138.419564551699</v>
      </c>
      <c r="AI279" s="713">
        <f>AA279*AA$270*AE279*3</f>
        <v>13430.384443763962</v>
      </c>
      <c r="AJ279" s="1657">
        <f t="shared" si="246"/>
        <v>0.13895630928388272</v>
      </c>
      <c r="AK279" s="1657">
        <f t="shared" si="241"/>
        <v>9.1504489015225482E-2</v>
      </c>
      <c r="AL279" s="705">
        <f t="shared" si="241"/>
        <v>7.3143617835138425E-2</v>
      </c>
      <c r="AM279" s="705">
        <f t="shared" si="241"/>
        <v>6.2295699733414908E-2</v>
      </c>
    </row>
    <row r="280" spans="3:39">
      <c r="L280" s="489"/>
      <c r="N280" s="546"/>
      <c r="R280" s="546"/>
      <c r="W280" s="546"/>
      <c r="X280" s="475"/>
      <c r="Y280" s="475"/>
      <c r="Z280" s="475"/>
      <c r="AA280" s="765" t="s">
        <v>631</v>
      </c>
      <c r="AB280" s="761">
        <f>SUMPRODUCT(X276:X279,AB276:AB279)/50</f>
        <v>3.8302777880341883</v>
      </c>
      <c r="AC280" s="762">
        <f>SUMPRODUCT(Y276:Y279,AC276:AC279)/52</f>
        <v>4.904600634484563</v>
      </c>
      <c r="AD280" s="762">
        <f>SUMPRODUCT(Z276:Z279,AD276:AD279)/57</f>
        <v>5.3052443106023546</v>
      </c>
      <c r="AE280" s="763">
        <f>SUMPRODUCT(AA276:AA279,AE276:AE279)/60</f>
        <v>5.9886354298206745</v>
      </c>
      <c r="AF280" s="499">
        <f>SUM(AF276:AF279)</f>
        <v>112035.62530000001</v>
      </c>
      <c r="AG280" s="499">
        <f>SUM(AG276:AG279)</f>
        <v>149963.06899999999</v>
      </c>
      <c r="AH280" s="499">
        <f t="shared" ref="AH280" si="248">SUM(AH276:AH279)</f>
        <v>179624.96186837452</v>
      </c>
      <c r="AI280" s="504">
        <f t="shared" ref="AI280" si="249">SUM(AI276:AI279)</f>
        <v>215590.87547354432</v>
      </c>
      <c r="AJ280" s="67"/>
      <c r="AK280" s="67"/>
      <c r="AL280" s="67"/>
      <c r="AM280" s="67"/>
    </row>
    <row r="281" spans="3:39">
      <c r="L281" s="489"/>
      <c r="AB281" s="764"/>
      <c r="AC281" s="767">
        <f>AC280/AB280-1</f>
        <v>0.2804817054801001</v>
      </c>
      <c r="AD281" s="767">
        <f t="shared" ref="AD281" si="250">AD280/AC280-1</f>
        <v>8.1687318902346595E-2</v>
      </c>
      <c r="AE281" s="767">
        <f t="shared" ref="AE281" si="251">AE280/AD280-1</f>
        <v>0.12881425985464712</v>
      </c>
      <c r="AF281" s="747">
        <f>'Sale Plan &amp; KPIs'!O15</f>
        <v>124617.10630000001</v>
      </c>
      <c r="AG281" s="747">
        <f>'Sale Plan &amp; KPIs'!P15</f>
        <v>161745.299</v>
      </c>
      <c r="AH281" s="747">
        <f>'Sale Plan &amp; KPIs'!Q15</f>
        <v>197960</v>
      </c>
      <c r="AI281" s="747">
        <f>'Sale Plan &amp; KPIs'!R15</f>
        <v>236759.18</v>
      </c>
    </row>
    <row r="282" spans="3:39">
      <c r="L282" s="80" t="s">
        <v>624</v>
      </c>
      <c r="M282" s="70" t="s">
        <v>20</v>
      </c>
      <c r="N282" s="78" t="s">
        <v>220</v>
      </c>
      <c r="O282" s="71" t="s">
        <v>208</v>
      </c>
      <c r="P282" s="72" t="s">
        <v>209</v>
      </c>
      <c r="Q282" s="72" t="s">
        <v>212</v>
      </c>
      <c r="R282" s="73" t="s">
        <v>211</v>
      </c>
      <c r="S282" s="71" t="s">
        <v>213</v>
      </c>
      <c r="T282" s="72" t="s">
        <v>214</v>
      </c>
      <c r="U282" s="72" t="s">
        <v>210</v>
      </c>
      <c r="W282" s="743" t="s">
        <v>622</v>
      </c>
      <c r="AB282" s="778"/>
      <c r="AC282" s="777"/>
      <c r="AD282" s="777"/>
      <c r="AE282" s="777"/>
      <c r="AF282" s="748">
        <f>AF280/AF281</f>
        <v>0.89903889302555573</v>
      </c>
      <c r="AG282" s="748">
        <f t="shared" ref="AG282" si="252">AG280/AG281</f>
        <v>0.92715565724107996</v>
      </c>
      <c r="AH282" s="748">
        <f t="shared" ref="AH282" si="253">AH280/AH281</f>
        <v>0.90738008622133015</v>
      </c>
      <c r="AI282" s="748">
        <f t="shared" ref="AI282" si="254">AI280/AI281</f>
        <v>0.91059140969124963</v>
      </c>
    </row>
    <row r="283" spans="3:39">
      <c r="L283" s="489"/>
      <c r="M283" s="68">
        <v>4</v>
      </c>
      <c r="N283" s="506">
        <v>700</v>
      </c>
      <c r="O283" s="499">
        <v>111.91205760000001</v>
      </c>
      <c r="P283" s="499">
        <v>472.4977624500001</v>
      </c>
      <c r="Q283" s="499">
        <v>654.16910790000009</v>
      </c>
      <c r="R283" s="504">
        <v>1128.6904797000004</v>
      </c>
      <c r="S283" s="499">
        <v>221.38335659999996</v>
      </c>
      <c r="T283" s="499">
        <v>615.20318229999998</v>
      </c>
      <c r="U283" s="499">
        <v>618.54398060000005</v>
      </c>
      <c r="W283" s="78" t="s">
        <v>220</v>
      </c>
      <c r="X283" s="739" t="s">
        <v>215</v>
      </c>
      <c r="Y283" s="82" t="s">
        <v>216</v>
      </c>
      <c r="Z283" s="82" t="s">
        <v>217</v>
      </c>
      <c r="AA283" s="700" t="s">
        <v>218</v>
      </c>
      <c r="AB283" s="739" t="s">
        <v>254</v>
      </c>
      <c r="AC283" s="749" t="s">
        <v>623</v>
      </c>
      <c r="AI283" s="464"/>
    </row>
    <row r="284" spans="3:39">
      <c r="L284" s="489"/>
      <c r="M284" s="68">
        <v>3</v>
      </c>
      <c r="N284" s="506">
        <v>500</v>
      </c>
      <c r="O284" s="499">
        <v>64.017140999999995</v>
      </c>
      <c r="P284" s="499">
        <v>120.264048</v>
      </c>
      <c r="Q284" s="499">
        <v>125.55676199999998</v>
      </c>
      <c r="R284" s="504">
        <v>301.98985349999992</v>
      </c>
      <c r="S284" s="499">
        <v>123.26310599999998</v>
      </c>
      <c r="T284" s="499">
        <v>246.08054069999997</v>
      </c>
      <c r="U284" s="499">
        <v>341.04327419999993</v>
      </c>
      <c r="W284" s="506">
        <v>700</v>
      </c>
      <c r="X284" s="499">
        <f>AF276*$R$22*$AC284</f>
        <v>808.54332650000026</v>
      </c>
      <c r="Y284" s="499">
        <f t="shared" ref="Y284:AA284" si="255">AG276*$R$22*$AC284</f>
        <v>1383.2181772500003</v>
      </c>
      <c r="Z284" s="499">
        <f t="shared" si="255"/>
        <v>1676.5194044034961</v>
      </c>
      <c r="AA284" s="504">
        <f t="shared" si="255"/>
        <v>2049.0792720487175</v>
      </c>
      <c r="AB284" s="499">
        <f>SUM(X284:AA284)</f>
        <v>5917.360180202214</v>
      </c>
      <c r="AC284" s="771">
        <v>7.0000000000000007E-2</v>
      </c>
    </row>
    <row r="285" spans="3:39">
      <c r="L285" s="489"/>
      <c r="M285" s="490">
        <v>2</v>
      </c>
      <c r="N285" s="506">
        <v>150</v>
      </c>
      <c r="O285" s="557">
        <v>221.26533224999997</v>
      </c>
      <c r="P285" s="557">
        <v>370.14942475000009</v>
      </c>
      <c r="Q285" s="557">
        <v>430.51330350000012</v>
      </c>
      <c r="R285" s="504">
        <v>482.35258524999978</v>
      </c>
      <c r="S285" s="557">
        <v>363.10868799999997</v>
      </c>
      <c r="T285" s="557">
        <v>583.92506849999995</v>
      </c>
      <c r="U285" s="557">
        <v>658.39995525000006</v>
      </c>
      <c r="W285" s="506">
        <v>500</v>
      </c>
      <c r="X285" s="499">
        <f t="shared" ref="X285:AA285" si="256">AF277*$R$22*$AC285</f>
        <v>294.51869849999997</v>
      </c>
      <c r="Y285" s="499">
        <f t="shared" si="256"/>
        <v>319.13943749999999</v>
      </c>
      <c r="Z285" s="499">
        <f t="shared" si="256"/>
        <v>501.93860628622917</v>
      </c>
      <c r="AA285" s="504">
        <f t="shared" si="256"/>
        <v>637.38235718886233</v>
      </c>
      <c r="AB285" s="499">
        <f t="shared" ref="AB285:AB287" si="257">SUM(X285:AA285)</f>
        <v>1752.9790994750915</v>
      </c>
      <c r="AC285" s="771">
        <v>0.06</v>
      </c>
    </row>
    <row r="286" spans="3:39">
      <c r="L286" s="489"/>
      <c r="M286" s="70">
        <v>1</v>
      </c>
      <c r="N286" s="547">
        <v>0</v>
      </c>
      <c r="O286" s="611">
        <v>122.72153860000004</v>
      </c>
      <c r="P286" s="611">
        <v>122.26209139999999</v>
      </c>
      <c r="Q286" s="611">
        <v>116.65621659999995</v>
      </c>
      <c r="R286" s="713">
        <v>71.143390399999987</v>
      </c>
      <c r="S286" s="611">
        <v>119.79826260000004</v>
      </c>
      <c r="T286" s="611">
        <v>107.89315420000001</v>
      </c>
      <c r="U286" s="611">
        <v>130.3043844</v>
      </c>
      <c r="W286" s="506">
        <v>150</v>
      </c>
      <c r="X286" s="499">
        <f t="shared" ref="X286:AA286" si="258">AF278*$R$22*$AC286</f>
        <v>744.63478862500006</v>
      </c>
      <c r="Y286" s="499">
        <f t="shared" si="258"/>
        <v>959.9500787500001</v>
      </c>
      <c r="Z286" s="499">
        <f t="shared" si="258"/>
        <v>1089.6102802437185</v>
      </c>
      <c r="AA286" s="504">
        <f t="shared" si="258"/>
        <v>1290.3279634465093</v>
      </c>
      <c r="AB286" s="499">
        <f t="shared" si="257"/>
        <v>4084.523111065228</v>
      </c>
      <c r="AC286" s="771">
        <v>0.05</v>
      </c>
    </row>
    <row r="287" spans="3:39">
      <c r="L287" s="489"/>
      <c r="N287" s="546" t="s">
        <v>625</v>
      </c>
      <c r="O287" s="725">
        <f>SUM(O283:O286)</f>
        <v>519.91606945000001</v>
      </c>
      <c r="P287" s="499">
        <f t="shared" ref="P287:U287" si="259">SUM(P283:P286)</f>
        <v>1085.1733266000001</v>
      </c>
      <c r="Q287" s="499">
        <f t="shared" si="259"/>
        <v>1326.8953900000001</v>
      </c>
      <c r="R287" s="504">
        <f t="shared" si="259"/>
        <v>1984.1763088500002</v>
      </c>
      <c r="S287" s="499">
        <f t="shared" si="259"/>
        <v>827.55341320000002</v>
      </c>
      <c r="T287" s="499">
        <f t="shared" si="259"/>
        <v>1553.1019457</v>
      </c>
      <c r="U287" s="499">
        <f t="shared" si="259"/>
        <v>1748.29159445</v>
      </c>
      <c r="W287" s="547">
        <v>0</v>
      </c>
      <c r="X287" s="712">
        <f t="shared" ref="X287:AA287" si="260">AF279*$R$22*$AC287</f>
        <v>202.38474099999999</v>
      </c>
      <c r="Y287" s="611">
        <f t="shared" si="260"/>
        <v>178.38982200000004</v>
      </c>
      <c r="Z287" s="611">
        <f t="shared" si="260"/>
        <v>170.79945433917209</v>
      </c>
      <c r="AA287" s="713">
        <f t="shared" si="260"/>
        <v>174.59499776893151</v>
      </c>
      <c r="AB287" s="712">
        <f t="shared" si="257"/>
        <v>726.16901510810362</v>
      </c>
      <c r="AC287" s="771">
        <v>0.04</v>
      </c>
    </row>
    <row r="288" spans="3:39">
      <c r="N288" s="744" t="s">
        <v>464</v>
      </c>
      <c r="O288" s="622">
        <f>O287/O169</f>
        <v>1.3755529476535074E-2</v>
      </c>
      <c r="P288" s="622">
        <f t="shared" ref="P288:U288" si="261">P287/P169</f>
        <v>1.6156464624356166E-2</v>
      </c>
      <c r="Q288" s="622">
        <f t="shared" si="261"/>
        <v>1.6048571644343163E-2</v>
      </c>
      <c r="R288" s="622">
        <f t="shared" si="261"/>
        <v>1.5915970476155943E-2</v>
      </c>
      <c r="S288" s="622">
        <f t="shared" si="261"/>
        <v>1.3638772812889775E-2</v>
      </c>
      <c r="T288" s="622">
        <f t="shared" si="261"/>
        <v>1.5598792764227367E-2</v>
      </c>
      <c r="U288" s="622">
        <f t="shared" si="261"/>
        <v>1.5995103994796207E-2</v>
      </c>
      <c r="W288" s="742" t="s">
        <v>254</v>
      </c>
      <c r="X288" s="499">
        <f>SUM(X284:X287)</f>
        <v>2050.0815546250001</v>
      </c>
      <c r="Y288" s="499">
        <f t="shared" ref="Y288" si="262">SUM(Y284:Y287)</f>
        <v>2840.6975155000005</v>
      </c>
      <c r="Z288" s="499">
        <f t="shared" ref="Z288" si="263">SUM(Z284:Z287)</f>
        <v>3438.8677452726156</v>
      </c>
      <c r="AA288" s="504">
        <f t="shared" ref="AA288" si="264">SUM(AA284:AA287)</f>
        <v>4151.3845904530208</v>
      </c>
      <c r="AB288" s="770">
        <f>SUM(AB284:AB287)</f>
        <v>12481.031405850637</v>
      </c>
    </row>
    <row r="289" spans="2:28">
      <c r="W289" s="728" t="s">
        <v>464</v>
      </c>
      <c r="X289" s="753">
        <f>X288/X269</f>
        <v>1.6451044447218077E-2</v>
      </c>
      <c r="Y289" s="753">
        <f>Y288/Y269</f>
        <v>1.7562782554193433E-2</v>
      </c>
      <c r="Z289" s="753">
        <f>Z288/Z269</f>
        <v>1.7371528315177891E-2</v>
      </c>
      <c r="AA289" s="753">
        <f>AA288/AA269</f>
        <v>1.7534207503392355E-2</v>
      </c>
      <c r="AB289" s="772">
        <f>AB288/SUM(X269:AA269)</f>
        <v>1.7308764584049126E-2</v>
      </c>
    </row>
    <row r="290" spans="2:28">
      <c r="L290" s="756" t="s">
        <v>626</v>
      </c>
      <c r="N290" s="758" t="s">
        <v>466</v>
      </c>
      <c r="O290" s="573">
        <v>507.95205699999997</v>
      </c>
      <c r="P290" s="573">
        <v>960.69548075000012</v>
      </c>
      <c r="Q290" s="573">
        <v>1148.2278577499999</v>
      </c>
      <c r="R290" s="573">
        <v>1629.14752</v>
      </c>
      <c r="S290" s="573">
        <v>773.70674024999983</v>
      </c>
      <c r="T290" s="573">
        <v>1363.2894729999998</v>
      </c>
      <c r="U290" s="573">
        <v>1547.3002932499999</v>
      </c>
    </row>
    <row r="291" spans="2:28">
      <c r="N291" s="758" t="s">
        <v>464</v>
      </c>
      <c r="O291" s="746">
        <f>O290/O169</f>
        <v>1.343899506726455E-2</v>
      </c>
      <c r="P291" s="746">
        <f t="shared" ref="P291:U291" si="265">P290/P169</f>
        <v>1.4303192097567554E-2</v>
      </c>
      <c r="Q291" s="746">
        <f t="shared" si="265"/>
        <v>1.3887618555319227E-2</v>
      </c>
      <c r="R291" s="746">
        <f t="shared" si="265"/>
        <v>1.3068124900982723E-2</v>
      </c>
      <c r="S291" s="746">
        <f t="shared" si="265"/>
        <v>1.2751334579440617E-2</v>
      </c>
      <c r="T291" s="746">
        <f t="shared" si="265"/>
        <v>1.3692385117317633E-2</v>
      </c>
      <c r="U291" s="746">
        <f t="shared" si="265"/>
        <v>1.4156236396879978E-2</v>
      </c>
    </row>
    <row r="292" spans="2:28">
      <c r="N292" s="758" t="s">
        <v>627</v>
      </c>
      <c r="O292" s="759">
        <f>O288-O291</f>
        <v>3.1653440927052398E-4</v>
      </c>
      <c r="P292" s="759">
        <f t="shared" ref="P292" si="266">P288-P291</f>
        <v>1.8532725267886123E-3</v>
      </c>
      <c r="Q292" s="759">
        <f t="shared" ref="Q292" si="267">Q288-Q291</f>
        <v>2.160953089023936E-3</v>
      </c>
      <c r="R292" s="759">
        <f t="shared" ref="R292" si="268">R288-R291</f>
        <v>2.8478455751732197E-3</v>
      </c>
      <c r="S292" s="759">
        <f t="shared" ref="S292" si="269">S288-S291</f>
        <v>8.8743823344915838E-4</v>
      </c>
      <c r="T292" s="759">
        <f t="shared" ref="T292" si="270">T288-T291</f>
        <v>1.9064076469097347E-3</v>
      </c>
      <c r="U292" s="759">
        <f t="shared" ref="U292" si="271">U288-U291</f>
        <v>1.8388675979162297E-3</v>
      </c>
    </row>
    <row r="295" spans="2:28" s="45" customFormat="1">
      <c r="B295" s="44" t="s">
        <v>186</v>
      </c>
      <c r="O295" s="1118" t="s">
        <v>460</v>
      </c>
      <c r="P295" s="1118"/>
      <c r="Q295" s="1119">
        <f>Y303+Y310+Y304</f>
        <v>3347.4</v>
      </c>
      <c r="R295" s="1120">
        <f>Q295/SUM($X$57:$AA$57)</f>
        <v>4.6421931557263972E-3</v>
      </c>
      <c r="W295" s="1118" t="s">
        <v>1530</v>
      </c>
      <c r="X295" s="1118"/>
      <c r="Y295" s="1119">
        <f>SUM(S303:X304,S310:X310)</f>
        <v>2248.3999999999996</v>
      </c>
    </row>
    <row r="297" spans="2:28">
      <c r="C297" s="1" t="s">
        <v>389</v>
      </c>
      <c r="D297" s="141"/>
      <c r="E297" s="141"/>
      <c r="F297" s="141"/>
      <c r="G297" s="141"/>
    </row>
    <row r="298" spans="2:28">
      <c r="C298" s="141"/>
      <c r="D298" s="141"/>
      <c r="E298" s="141"/>
      <c r="F298" s="141"/>
      <c r="G298" s="141"/>
      <c r="W298" s="543"/>
    </row>
    <row r="299" spans="2:28">
      <c r="C299" s="140" t="s">
        <v>391</v>
      </c>
      <c r="D299" s="141"/>
      <c r="E299" s="141"/>
      <c r="F299" s="874">
        <v>1</v>
      </c>
      <c r="G299" s="141" t="s">
        <v>713</v>
      </c>
      <c r="L299" s="67"/>
      <c r="M299" s="74" t="s">
        <v>479</v>
      </c>
      <c r="N299" s="74" t="s">
        <v>480</v>
      </c>
      <c r="O299" s="74" t="s">
        <v>481</v>
      </c>
      <c r="P299" s="74" t="s">
        <v>482</v>
      </c>
      <c r="Q299" s="74" t="s">
        <v>483</v>
      </c>
      <c r="R299" s="74" t="s">
        <v>484</v>
      </c>
      <c r="S299" s="74" t="s">
        <v>485</v>
      </c>
      <c r="T299" s="74" t="s">
        <v>486</v>
      </c>
      <c r="U299" s="74" t="s">
        <v>487</v>
      </c>
      <c r="V299" s="74" t="s">
        <v>488</v>
      </c>
      <c r="W299" s="74" t="s">
        <v>489</v>
      </c>
      <c r="X299" s="74" t="s">
        <v>490</v>
      </c>
      <c r="Y299" s="74" t="s">
        <v>254</v>
      </c>
    </row>
    <row r="300" spans="2:28">
      <c r="C300" s="140"/>
      <c r="D300" s="141"/>
      <c r="E300" s="141"/>
      <c r="F300" s="141"/>
      <c r="G300" s="141"/>
      <c r="L300" s="74" t="s">
        <v>711</v>
      </c>
      <c r="M300" s="1671">
        <f>M301</f>
        <v>50</v>
      </c>
      <c r="N300" s="1671">
        <f>M300+N301</f>
        <v>122</v>
      </c>
      <c r="O300" s="1671">
        <f t="shared" ref="O300:X300" si="272">N300+O301</f>
        <v>219</v>
      </c>
      <c r="P300" s="1671">
        <f t="shared" si="272"/>
        <v>283</v>
      </c>
      <c r="Q300" s="1671">
        <f t="shared" si="272"/>
        <v>362</v>
      </c>
      <c r="R300" s="1671">
        <f t="shared" si="272"/>
        <v>439</v>
      </c>
      <c r="S300" s="1671">
        <f t="shared" si="272"/>
        <v>516</v>
      </c>
      <c r="T300" s="1671">
        <f t="shared" si="272"/>
        <v>594</v>
      </c>
      <c r="U300" s="1671">
        <f t="shared" si="272"/>
        <v>675</v>
      </c>
      <c r="V300" s="1671">
        <f t="shared" si="272"/>
        <v>759</v>
      </c>
      <c r="W300" s="1671">
        <f t="shared" si="272"/>
        <v>843</v>
      </c>
      <c r="X300" s="1671">
        <f t="shared" si="272"/>
        <v>929</v>
      </c>
      <c r="Y300" s="501"/>
      <c r="Z300" s="501"/>
      <c r="AA300" s="501"/>
    </row>
    <row r="301" spans="2:28">
      <c r="C301" s="140"/>
      <c r="D301" s="141"/>
      <c r="E301" s="141"/>
      <c r="F301" s="141"/>
      <c r="G301" s="141"/>
      <c r="L301" s="74" t="s">
        <v>1487</v>
      </c>
      <c r="M301" s="1670">
        <v>50</v>
      </c>
      <c r="N301" s="1670">
        <v>72</v>
      </c>
      <c r="O301" s="1670">
        <v>97</v>
      </c>
      <c r="P301" s="1670">
        <v>64</v>
      </c>
      <c r="Q301" s="1670">
        <v>79</v>
      </c>
      <c r="R301" s="1670">
        <v>77</v>
      </c>
      <c r="S301" s="1742">
        <v>77</v>
      </c>
      <c r="T301" s="1742">
        <v>78</v>
      </c>
      <c r="U301" s="1742">
        <v>81</v>
      </c>
      <c r="V301" s="1742">
        <v>84</v>
      </c>
      <c r="W301" s="1742">
        <v>84</v>
      </c>
      <c r="X301" s="1742">
        <v>86</v>
      </c>
      <c r="Y301" s="501"/>
      <c r="Z301" s="501"/>
      <c r="AA301" s="501"/>
    </row>
    <row r="302" spans="2:28">
      <c r="C302" s="140" t="s">
        <v>390</v>
      </c>
      <c r="D302" s="141"/>
      <c r="E302" s="141"/>
      <c r="F302" s="141"/>
      <c r="G302" s="141"/>
      <c r="L302" s="74" t="s">
        <v>712</v>
      </c>
      <c r="M302" s="1670">
        <v>13</v>
      </c>
      <c r="N302" s="1670">
        <v>8</v>
      </c>
      <c r="O302" s="1670">
        <v>24</v>
      </c>
      <c r="P302" s="1670">
        <v>15</v>
      </c>
      <c r="Q302" s="1670">
        <v>19</v>
      </c>
      <c r="R302" s="1670">
        <v>25</v>
      </c>
      <c r="S302" s="1742">
        <v>27</v>
      </c>
      <c r="T302" s="1742">
        <v>27</v>
      </c>
      <c r="U302" s="1742">
        <v>28</v>
      </c>
      <c r="V302" s="1742">
        <v>29</v>
      </c>
      <c r="W302" s="1742">
        <v>29</v>
      </c>
      <c r="X302" s="1742">
        <v>30</v>
      </c>
      <c r="Y302" s="799"/>
      <c r="Z302" s="799"/>
      <c r="AA302" s="799"/>
    </row>
    <row r="303" spans="2:28">
      <c r="C303" s="243"/>
      <c r="D303" s="243"/>
      <c r="E303" s="867"/>
      <c r="F303" s="868"/>
      <c r="G303" s="869"/>
      <c r="L303" s="74" t="s">
        <v>554</v>
      </c>
      <c r="M303" s="1614"/>
      <c r="N303" s="1614"/>
      <c r="O303" s="1614">
        <v>96</v>
      </c>
      <c r="P303" s="1614">
        <v>66</v>
      </c>
      <c r="Q303" s="1614">
        <v>34</v>
      </c>
      <c r="R303" s="1614">
        <v>50</v>
      </c>
      <c r="S303" s="1664">
        <f>S301*$F$299+SUM(M301:R301)-SUM(O303:R303)</f>
        <v>270</v>
      </c>
      <c r="T303" s="1664">
        <f t="shared" ref="T303:X303" si="273">T301*$F$299</f>
        <v>78</v>
      </c>
      <c r="U303" s="1664">
        <f t="shared" si="273"/>
        <v>81</v>
      </c>
      <c r="V303" s="1664">
        <f t="shared" si="273"/>
        <v>84</v>
      </c>
      <c r="W303" s="1664">
        <f t="shared" si="273"/>
        <v>84</v>
      </c>
      <c r="X303" s="1664">
        <f t="shared" si="273"/>
        <v>86</v>
      </c>
      <c r="Y303" s="1121">
        <f>SUM(M303:X303)</f>
        <v>929</v>
      </c>
      <c r="Z303" s="557"/>
      <c r="AA303" s="557"/>
    </row>
    <row r="304" spans="2:28">
      <c r="C304" s="243"/>
      <c r="D304" s="143" t="s">
        <v>708</v>
      </c>
      <c r="E304" s="870"/>
      <c r="F304" s="875">
        <v>1</v>
      </c>
      <c r="G304" s="873" t="s">
        <v>714</v>
      </c>
      <c r="L304" s="74" t="s">
        <v>715</v>
      </c>
      <c r="M304" s="1614"/>
      <c r="N304" s="1614">
        <v>5</v>
      </c>
      <c r="O304" s="1614">
        <v>18</v>
      </c>
      <c r="P304" s="1614">
        <v>70</v>
      </c>
      <c r="Q304" s="1614">
        <v>40</v>
      </c>
      <c r="R304" s="1614">
        <v>55</v>
      </c>
      <c r="S304" s="1664">
        <f>S300*15%*$F$304</f>
        <v>77.399999999999991</v>
      </c>
      <c r="T304" s="1664">
        <f t="shared" ref="T304:X304" si="274">T300*15%*$F$304</f>
        <v>89.1</v>
      </c>
      <c r="U304" s="1664">
        <f t="shared" si="274"/>
        <v>101.25</v>
      </c>
      <c r="V304" s="1664">
        <f t="shared" si="274"/>
        <v>113.85</v>
      </c>
      <c r="W304" s="1664">
        <f t="shared" si="274"/>
        <v>126.44999999999999</v>
      </c>
      <c r="X304" s="1664">
        <f t="shared" si="274"/>
        <v>139.35</v>
      </c>
      <c r="Y304" s="1121">
        <f>SUM(M304:X304)</f>
        <v>835.4</v>
      </c>
      <c r="Z304" s="12"/>
      <c r="AA304" s="12"/>
    </row>
    <row r="305" spans="2:25">
      <c r="C305" s="243"/>
      <c r="D305" s="143"/>
      <c r="E305" s="870"/>
      <c r="F305" s="870"/>
      <c r="G305" s="871"/>
      <c r="L305" s="67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67"/>
    </row>
    <row r="306" spans="2:25">
      <c r="C306" s="243"/>
      <c r="D306" s="143" t="s">
        <v>1432</v>
      </c>
      <c r="E306" s="870"/>
      <c r="F306" s="870"/>
      <c r="G306" s="871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</row>
    <row r="307" spans="2:25">
      <c r="C307" s="243"/>
      <c r="D307" s="143"/>
      <c r="E307" s="870"/>
      <c r="F307" s="870"/>
      <c r="G307" s="871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</row>
    <row r="308" spans="2:25">
      <c r="C308" s="243"/>
      <c r="D308" s="143"/>
      <c r="E308" s="870"/>
      <c r="F308" s="870"/>
      <c r="G308" s="871"/>
      <c r="H308" s="464"/>
      <c r="L308" s="74" t="s">
        <v>1419</v>
      </c>
      <c r="M308" s="499">
        <f>M302*20%</f>
        <v>2.6</v>
      </c>
      <c r="N308" s="499">
        <f t="shared" ref="N308:X308" si="275">N302*20%</f>
        <v>1.6</v>
      </c>
      <c r="O308" s="499">
        <f t="shared" si="275"/>
        <v>4.8000000000000007</v>
      </c>
      <c r="P308" s="499">
        <f t="shared" si="275"/>
        <v>3</v>
      </c>
      <c r="Q308" s="499">
        <f t="shared" si="275"/>
        <v>3.8000000000000003</v>
      </c>
      <c r="R308" s="499">
        <f t="shared" si="275"/>
        <v>5</v>
      </c>
      <c r="S308" s="499">
        <f t="shared" si="275"/>
        <v>5.4</v>
      </c>
      <c r="T308" s="499">
        <f t="shared" si="275"/>
        <v>5.4</v>
      </c>
      <c r="U308" s="499">
        <f t="shared" si="275"/>
        <v>5.6000000000000005</v>
      </c>
      <c r="V308" s="499">
        <f t="shared" si="275"/>
        <v>5.8000000000000007</v>
      </c>
      <c r="W308" s="499">
        <f t="shared" si="275"/>
        <v>5.8000000000000007</v>
      </c>
      <c r="X308" s="499">
        <f t="shared" si="275"/>
        <v>6</v>
      </c>
      <c r="Y308" s="67"/>
    </row>
    <row r="309" spans="2:25">
      <c r="C309" s="140" t="s">
        <v>531</v>
      </c>
      <c r="D309" s="141"/>
      <c r="E309" s="141"/>
      <c r="F309" s="141"/>
      <c r="G309" s="1422"/>
      <c r="L309" s="74" t="s">
        <v>1420</v>
      </c>
      <c r="M309" s="499">
        <f>M302*50%</f>
        <v>6.5</v>
      </c>
      <c r="N309" s="499">
        <f t="shared" ref="N309:X309" si="276">N302*50%</f>
        <v>4</v>
      </c>
      <c r="O309" s="499">
        <f t="shared" si="276"/>
        <v>12</v>
      </c>
      <c r="P309" s="499">
        <f t="shared" si="276"/>
        <v>7.5</v>
      </c>
      <c r="Q309" s="499">
        <f t="shared" si="276"/>
        <v>9.5</v>
      </c>
      <c r="R309" s="499">
        <f t="shared" si="276"/>
        <v>12.5</v>
      </c>
      <c r="S309" s="499">
        <f t="shared" si="276"/>
        <v>13.5</v>
      </c>
      <c r="T309" s="499">
        <f t="shared" si="276"/>
        <v>13.5</v>
      </c>
      <c r="U309" s="499">
        <f t="shared" si="276"/>
        <v>14</v>
      </c>
      <c r="V309" s="499">
        <f t="shared" si="276"/>
        <v>14.5</v>
      </c>
      <c r="W309" s="499">
        <f t="shared" si="276"/>
        <v>14.5</v>
      </c>
      <c r="X309" s="499">
        <f t="shared" si="276"/>
        <v>15</v>
      </c>
      <c r="Y309" s="67"/>
    </row>
    <row r="310" spans="2:25">
      <c r="C310" s="141"/>
      <c r="D310" s="141"/>
      <c r="E310" s="141"/>
      <c r="F310" s="141"/>
      <c r="G310" s="872"/>
      <c r="L310" s="489" t="s">
        <v>531</v>
      </c>
      <c r="M310" s="1613">
        <v>45</v>
      </c>
      <c r="N310" s="1613">
        <v>175</v>
      </c>
      <c r="O310" s="1613">
        <v>95</v>
      </c>
      <c r="P310" s="1613">
        <v>105</v>
      </c>
      <c r="Q310" s="1613">
        <v>160</v>
      </c>
      <c r="R310" s="1613">
        <v>85</v>
      </c>
      <c r="S310" s="442">
        <f t="shared" ref="S310:W310" si="277">S308*$F$311+S309*$F$312</f>
        <v>145.80000000000001</v>
      </c>
      <c r="T310" s="442">
        <f t="shared" si="277"/>
        <v>145.80000000000001</v>
      </c>
      <c r="U310" s="442">
        <f t="shared" si="277"/>
        <v>151.19999999999999</v>
      </c>
      <c r="V310" s="442">
        <f t="shared" si="277"/>
        <v>156.60000000000002</v>
      </c>
      <c r="W310" s="442">
        <f t="shared" si="277"/>
        <v>156.60000000000002</v>
      </c>
      <c r="X310" s="442">
        <f>X308*$F$311+X309*$F$312</f>
        <v>162</v>
      </c>
      <c r="Y310" s="1129">
        <f>SUM(M310:X310)</f>
        <v>1583</v>
      </c>
    </row>
    <row r="311" spans="2:25">
      <c r="C311" s="141" t="s">
        <v>532</v>
      </c>
      <c r="D311" s="141"/>
      <c r="E311" s="141"/>
      <c r="F311" s="1419">
        <v>12</v>
      </c>
      <c r="G311" s="219" t="s">
        <v>1418</v>
      </c>
    </row>
    <row r="312" spans="2:25">
      <c r="C312" s="141" t="s">
        <v>533</v>
      </c>
      <c r="D312" s="141"/>
      <c r="E312" s="141"/>
      <c r="F312" s="1419">
        <v>6</v>
      </c>
      <c r="G312" s="141" t="s">
        <v>1418</v>
      </c>
      <c r="M312" s="464"/>
      <c r="N312" s="464"/>
    </row>
    <row r="313" spans="2:25">
      <c r="G313" s="141"/>
    </row>
    <row r="314" spans="2:25">
      <c r="G314" s="141"/>
    </row>
    <row r="315" spans="2:25">
      <c r="G315" s="141"/>
    </row>
    <row r="316" spans="2:25">
      <c r="G316" s="141"/>
    </row>
    <row r="317" spans="2:25" s="45" customFormat="1">
      <c r="B317" s="44" t="s">
        <v>1433</v>
      </c>
      <c r="O317" s="1118" t="s">
        <v>460</v>
      </c>
      <c r="P317" s="1118"/>
      <c r="Q317" s="1119">
        <f>R322</f>
        <v>1062.8333333333333</v>
      </c>
      <c r="R317" s="1120">
        <f>Q317/SUM($X$57:$AA$57)</f>
        <v>1.4739432472001769E-3</v>
      </c>
      <c r="W317" s="1118"/>
      <c r="X317" s="1118"/>
      <c r="Y317" s="1119"/>
    </row>
    <row r="319" spans="2:25">
      <c r="C319" t="s">
        <v>1233</v>
      </c>
      <c r="P319" s="489" t="s">
        <v>219</v>
      </c>
      <c r="Q319" s="489" t="s">
        <v>1236</v>
      </c>
      <c r="R319" s="489" t="s">
        <v>466</v>
      </c>
    </row>
    <row r="320" spans="2:25">
      <c r="C320" t="s">
        <v>1234</v>
      </c>
      <c r="O320" t="s">
        <v>1234</v>
      </c>
      <c r="P320">
        <v>130</v>
      </c>
      <c r="Q320">
        <v>3.5</v>
      </c>
      <c r="R320" s="442">
        <f>Q320*P320</f>
        <v>455</v>
      </c>
    </row>
    <row r="321" spans="2:32">
      <c r="C321" t="s">
        <v>1235</v>
      </c>
      <c r="O321" t="s">
        <v>1235</v>
      </c>
      <c r="P321" s="442">
        <f>AVERAGE('[1]AL Promotion &amp; Recruited'!$Z$20:$AK$20)+AVERAGE('[1]AL Promotion &amp; Recruited'!$Z$21:$AK$21)</f>
        <v>173.66666666666666</v>
      </c>
      <c r="Q321">
        <v>3.5</v>
      </c>
      <c r="R321" s="442">
        <f>Q321*P321</f>
        <v>607.83333333333326</v>
      </c>
    </row>
    <row r="322" spans="2:32">
      <c r="R322" s="860">
        <f>SUM(R320:R321)</f>
        <v>1062.8333333333333</v>
      </c>
    </row>
    <row r="326" spans="2:32" s="45" customFormat="1">
      <c r="B326" s="44" t="s">
        <v>74</v>
      </c>
      <c r="O326" s="1118" t="s">
        <v>460</v>
      </c>
      <c r="P326" s="1118"/>
      <c r="Q326" s="1119">
        <f>AC389+AJ389+AQ389+AX389</f>
        <v>27967.08434713944</v>
      </c>
      <c r="R326" s="1120">
        <f>Q326/SUM($X$57:$AA$57)</f>
        <v>3.8784909942616227E-2</v>
      </c>
      <c r="W326" s="1118" t="s">
        <v>1530</v>
      </c>
      <c r="X326" s="1118"/>
      <c r="Y326" s="1119">
        <f>AQ389+AX389</f>
        <v>18271.87564222746</v>
      </c>
    </row>
    <row r="328" spans="2:32" ht="18">
      <c r="B328" s="258" t="s">
        <v>650</v>
      </c>
      <c r="L328" s="542" t="s">
        <v>470</v>
      </c>
      <c r="M328" s="2"/>
      <c r="N328" s="2"/>
      <c r="O328" s="2"/>
      <c r="P328" s="2"/>
      <c r="Q328" s="2"/>
      <c r="R328" s="2"/>
      <c r="S328" s="85"/>
      <c r="T328" s="85"/>
      <c r="U328" s="85"/>
      <c r="W328" s="543" t="s">
        <v>471</v>
      </c>
      <c r="Y328" s="442"/>
      <c r="Z328" s="442"/>
      <c r="AA328" s="442"/>
      <c r="AB328" s="442"/>
    </row>
    <row r="329" spans="2:32" ht="18">
      <c r="L329" s="2"/>
      <c r="M329" s="2"/>
      <c r="N329" s="2"/>
      <c r="O329" s="2"/>
      <c r="P329" s="2"/>
      <c r="Q329" s="2"/>
      <c r="R329" s="2"/>
      <c r="S329" s="85"/>
      <c r="T329" s="85"/>
      <c r="U329" s="85"/>
    </row>
    <row r="330" spans="2:32" ht="18">
      <c r="D330" s="141"/>
      <c r="E330" s="141"/>
      <c r="F330" s="141"/>
      <c r="G330" s="141"/>
      <c r="H330" s="141"/>
      <c r="L330" s="2"/>
      <c r="M330" s="2"/>
      <c r="N330" s="2"/>
      <c r="O330" s="2"/>
      <c r="P330" s="2"/>
      <c r="Q330" s="2"/>
      <c r="R330" s="2"/>
      <c r="S330" s="85"/>
      <c r="T330" s="85"/>
      <c r="U330" s="85"/>
    </row>
    <row r="331" spans="2:32">
      <c r="C331" s="261" t="s">
        <v>52</v>
      </c>
      <c r="D331" s="231"/>
      <c r="E331" s="231"/>
      <c r="F331" s="231"/>
      <c r="G331" s="231"/>
      <c r="H331" s="141"/>
      <c r="L331" s="2"/>
      <c r="M331" s="2"/>
      <c r="N331" s="505"/>
      <c r="O331" s="502" t="s">
        <v>208</v>
      </c>
      <c r="P331" s="502" t="s">
        <v>209</v>
      </c>
      <c r="Q331" s="502" t="s">
        <v>212</v>
      </c>
      <c r="R331" s="503" t="s">
        <v>211</v>
      </c>
      <c r="S331" s="82" t="s">
        <v>213</v>
      </c>
      <c r="T331" s="82" t="s">
        <v>214</v>
      </c>
      <c r="U331" s="82" t="s">
        <v>210</v>
      </c>
      <c r="X331" s="795"/>
      <c r="Y331" s="82" t="s">
        <v>215</v>
      </c>
      <c r="Z331" s="82" t="s">
        <v>216</v>
      </c>
      <c r="AA331" s="82" t="s">
        <v>217</v>
      </c>
      <c r="AB331" s="82" t="s">
        <v>218</v>
      </c>
      <c r="AE331" s="547" t="s">
        <v>222</v>
      </c>
      <c r="AF331" s="702"/>
    </row>
    <row r="332" spans="2:32" ht="14.25" customHeight="1">
      <c r="C332" s="231"/>
      <c r="D332" s="231"/>
      <c r="E332" s="231"/>
      <c r="F332" s="231"/>
      <c r="G332" s="231"/>
      <c r="H332" s="141"/>
      <c r="N332" s="506" t="s">
        <v>632</v>
      </c>
      <c r="O332" s="499">
        <v>585</v>
      </c>
      <c r="P332" s="499">
        <v>722</v>
      </c>
      <c r="Q332" s="499">
        <v>817</v>
      </c>
      <c r="R332" s="504">
        <v>856</v>
      </c>
      <c r="S332" s="500">
        <v>885</v>
      </c>
      <c r="T332" s="500">
        <v>1124</v>
      </c>
      <c r="U332" s="500">
        <v>1341</v>
      </c>
      <c r="X332" s="75" t="s">
        <v>632</v>
      </c>
      <c r="Y332" s="1651">
        <f>X240</f>
        <v>2116</v>
      </c>
      <c r="Z332" s="1651">
        <f>Y240</f>
        <v>1972</v>
      </c>
      <c r="AA332" s="725">
        <f>Z240</f>
        <v>2197.0429592167034</v>
      </c>
      <c r="AB332" s="725">
        <f>AA240</f>
        <v>2383.2262479493688</v>
      </c>
      <c r="AC332" s="67"/>
      <c r="AE332" s="1485">
        <v>600</v>
      </c>
    </row>
    <row r="333" spans="2:32">
      <c r="C333" s="261" t="s">
        <v>53</v>
      </c>
      <c r="D333" s="262"/>
      <c r="E333" s="262"/>
      <c r="F333" s="262"/>
      <c r="G333" s="262"/>
      <c r="H333" s="141"/>
      <c r="N333" s="506" t="s">
        <v>584</v>
      </c>
      <c r="O333" s="499">
        <v>37796.877999999997</v>
      </c>
      <c r="P333" s="499">
        <v>67166.509000000005</v>
      </c>
      <c r="Q333" s="499">
        <v>82679.967999999993</v>
      </c>
      <c r="R333" s="504">
        <v>124665.7445</v>
      </c>
      <c r="S333" s="500">
        <v>60676.530400000003</v>
      </c>
      <c r="T333" s="500">
        <v>99565.522100000002</v>
      </c>
      <c r="U333" s="500">
        <v>109301.67099999994</v>
      </c>
      <c r="X333" s="75" t="s">
        <v>206</v>
      </c>
      <c r="Y333" s="1651">
        <f>X239</f>
        <v>124617.10630000001</v>
      </c>
      <c r="Z333" s="1651">
        <f>Y239</f>
        <v>161745.299</v>
      </c>
      <c r="AA333" s="725">
        <f>Z239</f>
        <v>197960</v>
      </c>
      <c r="AB333" s="725">
        <f>AA239</f>
        <v>236759.18</v>
      </c>
      <c r="AC333" s="67"/>
      <c r="AE333" s="1485">
        <v>360</v>
      </c>
    </row>
    <row r="334" spans="2:32">
      <c r="C334" s="1839" t="s">
        <v>54</v>
      </c>
      <c r="D334" s="1840"/>
      <c r="E334" s="1861" t="s">
        <v>55</v>
      </c>
      <c r="F334" s="1862"/>
      <c r="G334" s="1862"/>
      <c r="H334" s="1863"/>
      <c r="M334" s="68"/>
      <c r="AE334" s="1485">
        <v>240</v>
      </c>
    </row>
    <row r="335" spans="2:32" ht="29.25">
      <c r="C335" s="263" t="s">
        <v>56</v>
      </c>
      <c r="D335" s="264"/>
      <c r="E335" s="265">
        <v>6</v>
      </c>
      <c r="F335" s="468">
        <v>10</v>
      </c>
      <c r="G335" s="267">
        <v>18</v>
      </c>
      <c r="H335" s="267">
        <v>24</v>
      </c>
      <c r="AE335" s="1485">
        <v>120</v>
      </c>
      <c r="AF335" s="850"/>
    </row>
    <row r="336" spans="2:32">
      <c r="C336" s="268" t="s">
        <v>57</v>
      </c>
      <c r="D336" s="269">
        <v>600</v>
      </c>
      <c r="E336" s="270">
        <v>0.2</v>
      </c>
      <c r="F336" s="270">
        <v>0.23</v>
      </c>
      <c r="G336" s="270">
        <v>0.26</v>
      </c>
      <c r="H336" s="270">
        <v>0.3</v>
      </c>
      <c r="L336" s="80" t="s">
        <v>633</v>
      </c>
      <c r="M336" s="70" t="s">
        <v>20</v>
      </c>
      <c r="N336" s="78" t="s">
        <v>220</v>
      </c>
      <c r="O336" s="71" t="s">
        <v>208</v>
      </c>
      <c r="P336" s="72" t="s">
        <v>209</v>
      </c>
      <c r="Q336" s="72" t="s">
        <v>212</v>
      </c>
      <c r="R336" s="73" t="s">
        <v>211</v>
      </c>
      <c r="S336" s="71" t="s">
        <v>213</v>
      </c>
      <c r="T336" s="72" t="s">
        <v>214</v>
      </c>
      <c r="U336" s="72" t="s">
        <v>210</v>
      </c>
      <c r="W336" s="703"/>
      <c r="X336" s="700" t="s">
        <v>477</v>
      </c>
      <c r="Y336" s="82" t="s">
        <v>215</v>
      </c>
      <c r="Z336" s="82" t="s">
        <v>216</v>
      </c>
      <c r="AA336" s="82" t="s">
        <v>217</v>
      </c>
      <c r="AB336" s="82" t="s">
        <v>218</v>
      </c>
      <c r="AE336" s="1589">
        <v>0</v>
      </c>
      <c r="AF336" s="703"/>
    </row>
    <row r="337" spans="3:50">
      <c r="C337" s="271" t="s">
        <v>17</v>
      </c>
      <c r="D337" s="272">
        <v>360</v>
      </c>
      <c r="E337" s="270">
        <v>0.15</v>
      </c>
      <c r="F337" s="270">
        <v>0.18</v>
      </c>
      <c r="G337" s="270">
        <v>0.21</v>
      </c>
      <c r="H337" s="270">
        <v>0.25</v>
      </c>
      <c r="M337" s="68">
        <v>4</v>
      </c>
      <c r="N337" s="699">
        <v>600</v>
      </c>
      <c r="O337" s="74">
        <v>5</v>
      </c>
      <c r="P337" s="74">
        <v>11</v>
      </c>
      <c r="Q337" s="74">
        <v>17</v>
      </c>
      <c r="R337" s="75">
        <v>43</v>
      </c>
      <c r="S337" s="76">
        <v>8</v>
      </c>
      <c r="T337" s="76">
        <v>19</v>
      </c>
      <c r="U337" s="76">
        <v>15</v>
      </c>
      <c r="V337" s="464"/>
      <c r="W337" s="81" t="s">
        <v>651</v>
      </c>
      <c r="X337" s="625" t="s">
        <v>619</v>
      </c>
      <c r="Y337" s="1684">
        <v>0.11</v>
      </c>
      <c r="Z337" s="1684">
        <v>0.156</v>
      </c>
      <c r="AA337" s="1645">
        <v>0.2</v>
      </c>
      <c r="AB337" s="1646">
        <v>0.24</v>
      </c>
      <c r="AE337" s="1485" t="s">
        <v>254</v>
      </c>
      <c r="AF337" s="1484">
        <f>SUM(AF332:AF335)</f>
        <v>0</v>
      </c>
    </row>
    <row r="338" spans="3:50">
      <c r="C338" s="271" t="s">
        <v>18</v>
      </c>
      <c r="D338" s="273">
        <v>240</v>
      </c>
      <c r="E338" s="270">
        <v>0.1</v>
      </c>
      <c r="F338" s="270">
        <v>0.13</v>
      </c>
      <c r="G338" s="270">
        <v>0.16</v>
      </c>
      <c r="H338" s="270">
        <v>0.2</v>
      </c>
      <c r="M338" s="68">
        <v>3</v>
      </c>
      <c r="N338" s="699">
        <v>360</v>
      </c>
      <c r="O338" s="74">
        <v>9</v>
      </c>
      <c r="P338" s="74">
        <v>22</v>
      </c>
      <c r="Q338" s="74">
        <v>25</v>
      </c>
      <c r="R338" s="75">
        <v>50</v>
      </c>
      <c r="S338" s="76">
        <v>13</v>
      </c>
      <c r="T338" s="76">
        <v>30</v>
      </c>
      <c r="U338" s="76">
        <v>32</v>
      </c>
      <c r="V338" s="464"/>
      <c r="W338" s="81"/>
      <c r="X338" s="625" t="s">
        <v>632</v>
      </c>
      <c r="Y338" s="557">
        <f>Y337*Y332</f>
        <v>232.76</v>
      </c>
      <c r="Z338" s="557">
        <f t="shared" ref="Z338:AB338" si="278">Z337*Z332</f>
        <v>307.63200000000001</v>
      </c>
      <c r="AA338" s="557">
        <f t="shared" si="278"/>
        <v>439.40859184334067</v>
      </c>
      <c r="AB338" s="557">
        <f t="shared" si="278"/>
        <v>571.97429950784851</v>
      </c>
    </row>
    <row r="339" spans="3:50">
      <c r="C339" s="274" t="s">
        <v>19</v>
      </c>
      <c r="D339" s="275">
        <v>120</v>
      </c>
      <c r="E339" s="276">
        <v>0.05</v>
      </c>
      <c r="F339" s="276">
        <v>0.05</v>
      </c>
      <c r="G339" s="276">
        <v>0.05</v>
      </c>
      <c r="H339" s="276">
        <v>0.05</v>
      </c>
      <c r="M339" s="68">
        <v>2</v>
      </c>
      <c r="N339" s="699">
        <v>240</v>
      </c>
      <c r="O339" s="74">
        <v>14</v>
      </c>
      <c r="P339" s="74">
        <v>35</v>
      </c>
      <c r="Q339" s="74">
        <v>37</v>
      </c>
      <c r="R339" s="75">
        <v>49</v>
      </c>
      <c r="S339" s="76">
        <v>27</v>
      </c>
      <c r="T339" s="76">
        <v>44</v>
      </c>
      <c r="U339" s="76">
        <v>60</v>
      </c>
      <c r="V339" s="464"/>
      <c r="W339" s="81" t="s">
        <v>654</v>
      </c>
      <c r="X339" s="796" t="s">
        <v>653</v>
      </c>
      <c r="Y339" s="1685">
        <v>0.27</v>
      </c>
      <c r="Z339" s="1685">
        <v>0.23499999999999999</v>
      </c>
      <c r="AA339" s="1686">
        <v>0.22</v>
      </c>
      <c r="AB339" s="1643">
        <v>0.2</v>
      </c>
    </row>
    <row r="340" spans="3:50">
      <c r="C340" s="262"/>
      <c r="D340" s="262"/>
      <c r="E340" s="262"/>
      <c r="F340" s="262"/>
      <c r="G340" s="262"/>
      <c r="H340" s="141"/>
      <c r="M340" s="70">
        <v>1</v>
      </c>
      <c r="N340" s="78">
        <v>120</v>
      </c>
      <c r="O340" s="71">
        <v>52</v>
      </c>
      <c r="P340" s="71">
        <v>56</v>
      </c>
      <c r="Q340" s="71">
        <v>96</v>
      </c>
      <c r="R340" s="77">
        <v>129</v>
      </c>
      <c r="S340" s="72">
        <v>88</v>
      </c>
      <c r="T340" s="72">
        <v>124</v>
      </c>
      <c r="U340" s="72">
        <v>147</v>
      </c>
      <c r="V340" s="464"/>
      <c r="W340" s="81"/>
      <c r="X340" s="625" t="s">
        <v>632</v>
      </c>
      <c r="Y340" s="557">
        <f>Y338*Y339</f>
        <v>62.845199999999998</v>
      </c>
      <c r="Z340" s="557">
        <f t="shared" ref="Z340:AB340" si="279">Z338*Z339</f>
        <v>72.293520000000001</v>
      </c>
      <c r="AA340" s="557">
        <f t="shared" si="279"/>
        <v>96.669890205534955</v>
      </c>
      <c r="AB340" s="557">
        <f t="shared" si="279"/>
        <v>114.3948599015697</v>
      </c>
    </row>
    <row r="341" spans="3:50">
      <c r="C341" s="141"/>
      <c r="D341" s="141"/>
      <c r="E341" s="278"/>
      <c r="F341" s="278"/>
      <c r="G341" s="278"/>
      <c r="H341" s="141"/>
      <c r="M341" s="519" t="s">
        <v>221</v>
      </c>
      <c r="N341" s="520"/>
      <c r="O341" s="527">
        <f>SUM(O337:O340)</f>
        <v>80</v>
      </c>
      <c r="P341" s="528">
        <f t="shared" ref="P341:U341" si="280">SUM(P337:P340)</f>
        <v>124</v>
      </c>
      <c r="Q341" s="528">
        <f t="shared" si="280"/>
        <v>175</v>
      </c>
      <c r="R341" s="529">
        <f t="shared" si="280"/>
        <v>271</v>
      </c>
      <c r="S341" s="528">
        <f t="shared" si="280"/>
        <v>136</v>
      </c>
      <c r="T341" s="528">
        <f t="shared" si="280"/>
        <v>217</v>
      </c>
      <c r="U341" s="528">
        <f t="shared" si="280"/>
        <v>254</v>
      </c>
      <c r="W341" s="81" t="s">
        <v>652</v>
      </c>
      <c r="X341" s="796" t="s">
        <v>655</v>
      </c>
      <c r="Y341" s="1685">
        <v>0.08</v>
      </c>
      <c r="Z341" s="1685">
        <v>7.0000000000000007E-2</v>
      </c>
      <c r="AA341" s="1686">
        <v>7.0000000000000007E-2</v>
      </c>
      <c r="AB341" s="1643">
        <v>7.0000000000000007E-2</v>
      </c>
    </row>
    <row r="342" spans="3:50">
      <c r="C342" s="277" t="s">
        <v>649</v>
      </c>
      <c r="D342" s="262"/>
      <c r="E342" s="278"/>
      <c r="F342" s="278"/>
      <c r="G342" s="278"/>
      <c r="H342" s="141"/>
      <c r="M342" s="490"/>
      <c r="N342" s="490"/>
      <c r="O342" s="81"/>
      <c r="P342" s="81"/>
      <c r="Q342" s="81"/>
      <c r="R342" s="81"/>
      <c r="S342" s="76"/>
      <c r="T342" s="76"/>
      <c r="U342" s="76"/>
      <c r="X342" s="797" t="s">
        <v>656</v>
      </c>
      <c r="Y342" s="499">
        <f>(Y338-Y340)*Y341</f>
        <v>13.593183999999999</v>
      </c>
      <c r="Z342" s="499">
        <f t="shared" ref="Z342:AB342" si="281">(Z338-Z340)*Z341</f>
        <v>16.473693600000001</v>
      </c>
      <c r="AA342" s="499">
        <f t="shared" si="281"/>
        <v>23.991709114646401</v>
      </c>
      <c r="AB342" s="499">
        <f t="shared" si="281"/>
        <v>32.030560772439522</v>
      </c>
    </row>
    <row r="343" spans="3:50">
      <c r="C343" s="277" t="s">
        <v>59</v>
      </c>
      <c r="D343" s="262"/>
      <c r="E343" s="262"/>
      <c r="F343" s="279"/>
      <c r="G343" s="278"/>
      <c r="H343" s="141"/>
      <c r="L343" s="80" t="s">
        <v>634</v>
      </c>
      <c r="M343" s="70" t="s">
        <v>20</v>
      </c>
      <c r="N343" s="78" t="s">
        <v>220</v>
      </c>
      <c r="O343" s="71" t="s">
        <v>208</v>
      </c>
      <c r="P343" s="72" t="s">
        <v>209</v>
      </c>
      <c r="Q343" s="72" t="s">
        <v>212</v>
      </c>
      <c r="R343" s="73" t="s">
        <v>211</v>
      </c>
      <c r="S343" s="71" t="s">
        <v>213</v>
      </c>
      <c r="T343" s="72" t="s">
        <v>214</v>
      </c>
      <c r="U343" s="72" t="s">
        <v>210</v>
      </c>
      <c r="W343" s="800" t="s">
        <v>657</v>
      </c>
      <c r="X343" s="801" t="s">
        <v>656</v>
      </c>
      <c r="Y343" s="1675">
        <f t="shared" ref="Y343:AB343" si="282">Y338-Y340-Y342</f>
        <v>156.32161599999998</v>
      </c>
      <c r="Z343" s="1675">
        <f t="shared" si="282"/>
        <v>218.86478640000001</v>
      </c>
      <c r="AA343" s="594">
        <f t="shared" si="282"/>
        <v>318.74699252315929</v>
      </c>
      <c r="AB343" s="594">
        <f t="shared" si="282"/>
        <v>425.5488788338393</v>
      </c>
    </row>
    <row r="344" spans="3:50">
      <c r="C344" s="277" t="s">
        <v>393</v>
      </c>
      <c r="D344" s="141"/>
      <c r="E344" s="141"/>
      <c r="F344" s="141"/>
      <c r="G344" s="141"/>
      <c r="H344" s="141"/>
      <c r="M344" s="68">
        <v>4</v>
      </c>
      <c r="N344" s="699">
        <v>600</v>
      </c>
      <c r="O344" s="508">
        <f>O337/O$332</f>
        <v>8.5470085470085479E-3</v>
      </c>
      <c r="P344" s="508">
        <f t="shared" ref="P344:U344" si="283">P337/P$332</f>
        <v>1.5235457063711912E-2</v>
      </c>
      <c r="Q344" s="508">
        <f t="shared" si="283"/>
        <v>2.0807833537331701E-2</v>
      </c>
      <c r="R344" s="509">
        <f t="shared" si="283"/>
        <v>5.0233644859813083E-2</v>
      </c>
      <c r="S344" s="510">
        <f t="shared" si="283"/>
        <v>9.0395480225988704E-3</v>
      </c>
      <c r="T344" s="510">
        <f t="shared" si="283"/>
        <v>1.6903914590747332E-2</v>
      </c>
      <c r="U344" s="510">
        <f t="shared" si="283"/>
        <v>1.1185682326621925E-2</v>
      </c>
      <c r="W344" s="658"/>
      <c r="X344" s="802" t="s">
        <v>655</v>
      </c>
      <c r="Y344" s="1683">
        <f>Y343/Y332</f>
        <v>7.3875999999999983E-2</v>
      </c>
      <c r="Z344" s="1683">
        <f>Z343/Z332</f>
        <v>0.11098620000000001</v>
      </c>
      <c r="AA344" s="613">
        <f t="shared" ref="AA344:AB344" si="284">AA343/AA332</f>
        <v>0.14507999999999999</v>
      </c>
      <c r="AB344" s="613">
        <f t="shared" si="284"/>
        <v>0.17856</v>
      </c>
    </row>
    <row r="345" spans="3:50">
      <c r="D345" s="141"/>
      <c r="E345" s="141"/>
      <c r="F345" s="141"/>
      <c r="G345" s="141"/>
      <c r="H345" s="141"/>
      <c r="M345" s="68">
        <v>3</v>
      </c>
      <c r="N345" s="699">
        <v>360</v>
      </c>
      <c r="O345" s="508">
        <f t="shared" ref="O345:U348" si="285">O338/O$332</f>
        <v>1.5384615384615385E-2</v>
      </c>
      <c r="P345" s="508">
        <f t="shared" si="285"/>
        <v>3.0470914127423823E-2</v>
      </c>
      <c r="Q345" s="508">
        <f t="shared" si="285"/>
        <v>3.0599755201958383E-2</v>
      </c>
      <c r="R345" s="509">
        <f t="shared" si="285"/>
        <v>5.8411214953271028E-2</v>
      </c>
      <c r="S345" s="510">
        <f t="shared" si="285"/>
        <v>1.4689265536723164E-2</v>
      </c>
      <c r="T345" s="510">
        <f t="shared" si="285"/>
        <v>2.6690391459074734E-2</v>
      </c>
      <c r="U345" s="510">
        <f t="shared" si="285"/>
        <v>2.3862788963460103E-2</v>
      </c>
      <c r="Y345" s="572"/>
    </row>
    <row r="346" spans="3:50">
      <c r="D346">
        <f>120/3</f>
        <v>40</v>
      </c>
      <c r="M346" s="68">
        <v>2</v>
      </c>
      <c r="N346" s="699">
        <v>240</v>
      </c>
      <c r="O346" s="508">
        <f t="shared" si="285"/>
        <v>2.3931623931623933E-2</v>
      </c>
      <c r="P346" s="508">
        <f t="shared" si="285"/>
        <v>4.8476454293628811E-2</v>
      </c>
      <c r="Q346" s="508">
        <f t="shared" si="285"/>
        <v>4.528763769889841E-2</v>
      </c>
      <c r="R346" s="509">
        <f t="shared" si="285"/>
        <v>5.7242990654205607E-2</v>
      </c>
      <c r="S346" s="510">
        <f t="shared" si="285"/>
        <v>3.0508474576271188E-2</v>
      </c>
      <c r="T346" s="510">
        <f t="shared" si="285"/>
        <v>3.9145907473309607E-2</v>
      </c>
      <c r="U346" s="510">
        <f t="shared" si="285"/>
        <v>4.4742729306487698E-2</v>
      </c>
    </row>
    <row r="347" spans="3:50">
      <c r="M347" s="70">
        <v>1</v>
      </c>
      <c r="N347" s="78">
        <v>120</v>
      </c>
      <c r="O347" s="783">
        <f t="shared" si="285"/>
        <v>8.8888888888888892E-2</v>
      </c>
      <c r="P347" s="530">
        <f t="shared" si="285"/>
        <v>7.7562326869806089E-2</v>
      </c>
      <c r="Q347" s="530">
        <f t="shared" si="285"/>
        <v>0.1175030599755202</v>
      </c>
      <c r="R347" s="531">
        <f t="shared" si="285"/>
        <v>0.15070093457943926</v>
      </c>
      <c r="S347" s="532">
        <f t="shared" si="285"/>
        <v>9.9435028248587576E-2</v>
      </c>
      <c r="T347" s="532">
        <f t="shared" si="285"/>
        <v>0.1103202846975089</v>
      </c>
      <c r="U347" s="532">
        <f t="shared" si="285"/>
        <v>0.10961968680089486</v>
      </c>
      <c r="W347" s="93" t="s">
        <v>215</v>
      </c>
      <c r="X347" s="547" t="s">
        <v>222</v>
      </c>
      <c r="Y347" s="71" t="s">
        <v>658</v>
      </c>
      <c r="Z347" s="71" t="s">
        <v>659</v>
      </c>
      <c r="AA347" s="71" t="s">
        <v>660</v>
      </c>
      <c r="AB347" s="71" t="s">
        <v>661</v>
      </c>
      <c r="AC347" s="804"/>
      <c r="AD347" s="93" t="s">
        <v>216</v>
      </c>
      <c r="AE347" s="547" t="s">
        <v>222</v>
      </c>
      <c r="AF347" s="71" t="s">
        <v>658</v>
      </c>
      <c r="AG347" s="71" t="s">
        <v>659</v>
      </c>
      <c r="AH347" s="71" t="s">
        <v>660</v>
      </c>
      <c r="AI347" s="71" t="s">
        <v>661</v>
      </c>
      <c r="AJ347" s="804"/>
      <c r="AK347" s="93" t="s">
        <v>217</v>
      </c>
      <c r="AL347" s="547" t="s">
        <v>222</v>
      </c>
      <c r="AM347" s="71" t="s">
        <v>658</v>
      </c>
      <c r="AN347" s="71" t="s">
        <v>659</v>
      </c>
      <c r="AO347" s="71" t="s">
        <v>660</v>
      </c>
      <c r="AP347" s="71" t="s">
        <v>661</v>
      </c>
      <c r="AQ347" s="804"/>
      <c r="AR347" s="93" t="s">
        <v>218</v>
      </c>
      <c r="AS347" s="547" t="s">
        <v>222</v>
      </c>
      <c r="AT347" s="71" t="s">
        <v>658</v>
      </c>
      <c r="AU347" s="71" t="s">
        <v>659</v>
      </c>
      <c r="AV347" s="71" t="s">
        <v>660</v>
      </c>
      <c r="AW347" s="71" t="s">
        <v>661</v>
      </c>
      <c r="AX347" s="804"/>
    </row>
    <row r="348" spans="3:50">
      <c r="M348" s="519" t="s">
        <v>221</v>
      </c>
      <c r="N348" s="740"/>
      <c r="O348" s="613">
        <f t="shared" si="285"/>
        <v>0.13675213675213677</v>
      </c>
      <c r="P348" s="613">
        <f t="shared" si="285"/>
        <v>0.17174515235457063</v>
      </c>
      <c r="Q348" s="613">
        <f t="shared" si="285"/>
        <v>0.21419828641370869</v>
      </c>
      <c r="R348" s="614">
        <f t="shared" si="285"/>
        <v>0.31658878504672899</v>
      </c>
      <c r="S348" s="613">
        <f t="shared" si="285"/>
        <v>0.1536723163841808</v>
      </c>
      <c r="T348" s="613">
        <f t="shared" si="285"/>
        <v>0.19306049822064056</v>
      </c>
      <c r="U348" s="613">
        <f t="shared" si="285"/>
        <v>0.18941088739746459</v>
      </c>
      <c r="X348" s="699">
        <v>600</v>
      </c>
      <c r="Y348" s="1672">
        <v>2.6785714285714284E-2</v>
      </c>
      <c r="Z348" s="1672">
        <v>0.26190476190476192</v>
      </c>
      <c r="AA348" s="1672">
        <v>0.8</v>
      </c>
      <c r="AB348" s="1673">
        <v>1</v>
      </c>
      <c r="AC348" s="497"/>
      <c r="AE348" s="699">
        <v>600</v>
      </c>
      <c r="AF348" s="1672">
        <v>8.5470085470085479E-3</v>
      </c>
      <c r="AG348" s="1672">
        <v>0.13157894736842105</v>
      </c>
      <c r="AH348" s="1672">
        <v>0.5714285714285714</v>
      </c>
      <c r="AI348" s="1673">
        <v>1</v>
      </c>
      <c r="AJ348" s="497"/>
      <c r="AL348" s="699">
        <v>600</v>
      </c>
      <c r="AM348" s="508">
        <v>0.05</v>
      </c>
      <c r="AN348" s="508">
        <v>0.12</v>
      </c>
      <c r="AO348" s="508">
        <v>0.5</v>
      </c>
      <c r="AP348" s="511">
        <v>0.7</v>
      </c>
      <c r="AQ348" s="497"/>
      <c r="AS348" s="699">
        <v>600</v>
      </c>
      <c r="AT348" s="508">
        <v>0.05</v>
      </c>
      <c r="AU348" s="508">
        <v>0.14000000000000001</v>
      </c>
      <c r="AV348" s="508">
        <v>0.55000000000000004</v>
      </c>
      <c r="AW348" s="511">
        <v>0.75</v>
      </c>
      <c r="AX348" s="497"/>
    </row>
    <row r="349" spans="3:50">
      <c r="X349" s="699">
        <v>360</v>
      </c>
      <c r="Y349" s="1672">
        <v>6.25E-2</v>
      </c>
      <c r="Z349" s="1672">
        <v>0.16666666666666666</v>
      </c>
      <c r="AA349" s="1672">
        <v>0.1</v>
      </c>
      <c r="AB349" s="1673">
        <v>0</v>
      </c>
      <c r="AC349" s="497"/>
      <c r="AE349" s="699">
        <v>360</v>
      </c>
      <c r="AF349" s="1672">
        <v>7.6923076923076927E-2</v>
      </c>
      <c r="AG349" s="1672">
        <v>0.17105263157894737</v>
      </c>
      <c r="AH349" s="1672">
        <v>0.35714285714285715</v>
      </c>
      <c r="AI349" s="1673">
        <v>0</v>
      </c>
      <c r="AJ349" s="497"/>
      <c r="AL349" s="699">
        <v>360</v>
      </c>
      <c r="AM349" s="508">
        <v>0.12</v>
      </c>
      <c r="AN349" s="508">
        <v>0.15</v>
      </c>
      <c r="AO349" s="508">
        <v>0.35</v>
      </c>
      <c r="AP349" s="511">
        <v>0.3</v>
      </c>
      <c r="AQ349" s="497"/>
      <c r="AS349" s="699">
        <v>360</v>
      </c>
      <c r="AT349" s="508">
        <v>0.12</v>
      </c>
      <c r="AU349" s="508">
        <v>0.16</v>
      </c>
      <c r="AV349" s="508">
        <v>0.3</v>
      </c>
      <c r="AW349" s="511">
        <v>0.25</v>
      </c>
      <c r="AX349" s="497"/>
    </row>
    <row r="350" spans="3:50">
      <c r="L350" s="80" t="s">
        <v>636</v>
      </c>
      <c r="M350" s="70" t="s">
        <v>20</v>
      </c>
      <c r="N350" s="78" t="s">
        <v>220</v>
      </c>
      <c r="O350" s="71" t="s">
        <v>208</v>
      </c>
      <c r="P350" s="72" t="s">
        <v>209</v>
      </c>
      <c r="Q350" s="72" t="s">
        <v>212</v>
      </c>
      <c r="R350" s="73" t="s">
        <v>211</v>
      </c>
      <c r="S350" s="71" t="s">
        <v>213</v>
      </c>
      <c r="T350" s="72" t="s">
        <v>214</v>
      </c>
      <c r="U350" s="72" t="s">
        <v>210</v>
      </c>
      <c r="X350" s="699">
        <v>240</v>
      </c>
      <c r="Y350" s="1672">
        <v>0.13392857142857142</v>
      </c>
      <c r="Z350" s="1672">
        <v>0.35714285714285715</v>
      </c>
      <c r="AA350" s="1672">
        <v>0</v>
      </c>
      <c r="AB350" s="1673">
        <v>0</v>
      </c>
      <c r="AC350" s="497"/>
      <c r="AE350" s="699">
        <v>240</v>
      </c>
      <c r="AF350" s="1672">
        <v>0.1623931623931624</v>
      </c>
      <c r="AG350" s="1672">
        <v>0.21052631578947367</v>
      </c>
      <c r="AH350" s="1672">
        <v>7.1428571428571425E-2</v>
      </c>
      <c r="AI350" s="1673">
        <v>0</v>
      </c>
      <c r="AJ350" s="497"/>
      <c r="AL350" s="699">
        <v>240</v>
      </c>
      <c r="AM350" s="508">
        <v>0.2</v>
      </c>
      <c r="AN350" s="508">
        <v>0.22</v>
      </c>
      <c r="AO350" s="508">
        <v>0.1</v>
      </c>
      <c r="AP350" s="511">
        <v>0</v>
      </c>
      <c r="AQ350" s="497"/>
      <c r="AS350" s="699">
        <v>240</v>
      </c>
      <c r="AT350" s="508">
        <v>0.2</v>
      </c>
      <c r="AU350" s="508">
        <v>0.25</v>
      </c>
      <c r="AV350" s="508">
        <v>0.1</v>
      </c>
      <c r="AW350" s="511">
        <v>0</v>
      </c>
      <c r="AX350" s="497"/>
    </row>
    <row r="351" spans="3:50">
      <c r="M351" s="68">
        <v>4</v>
      </c>
      <c r="N351" s="699">
        <v>600</v>
      </c>
      <c r="O351" s="74">
        <v>5</v>
      </c>
      <c r="P351" s="74">
        <v>11</v>
      </c>
      <c r="Q351" s="74">
        <v>17</v>
      </c>
      <c r="R351" s="75">
        <v>41</v>
      </c>
      <c r="S351" s="76">
        <v>8</v>
      </c>
      <c r="T351" s="76">
        <v>19</v>
      </c>
      <c r="U351" s="76">
        <v>13</v>
      </c>
      <c r="X351" s="78">
        <v>120</v>
      </c>
      <c r="Y351" s="1674">
        <v>0.7767857142857143</v>
      </c>
      <c r="Z351" s="1674">
        <v>0.21428571428571427</v>
      </c>
      <c r="AA351" s="1674">
        <v>0.1</v>
      </c>
      <c r="AB351" s="1674">
        <v>0</v>
      </c>
      <c r="AC351" s="497"/>
      <c r="AE351" s="78">
        <v>120</v>
      </c>
      <c r="AF351" s="1674">
        <v>0.75213675213675213</v>
      </c>
      <c r="AG351" s="1674">
        <v>0.48684210526315791</v>
      </c>
      <c r="AH351" s="1674">
        <v>0</v>
      </c>
      <c r="AI351" s="1674">
        <v>0</v>
      </c>
      <c r="AJ351" s="497"/>
      <c r="AL351" s="78">
        <v>120</v>
      </c>
      <c r="AM351" s="530">
        <f>1-SUM(AM348:AM350)</f>
        <v>0.63</v>
      </c>
      <c r="AN351" s="530">
        <f t="shared" ref="AN351" si="286">1-SUM(AN348:AN350)</f>
        <v>0.51</v>
      </c>
      <c r="AO351" s="530">
        <f t="shared" ref="AO351" si="287">1-SUM(AO348:AO350)</f>
        <v>5.0000000000000044E-2</v>
      </c>
      <c r="AP351" s="530">
        <f t="shared" ref="AP351" si="288">1-SUM(AP348:AP350)</f>
        <v>0</v>
      </c>
      <c r="AQ351" s="497"/>
      <c r="AS351" s="78">
        <v>120</v>
      </c>
      <c r="AT351" s="530">
        <f>1-SUM(AT348:AT350)</f>
        <v>0.63</v>
      </c>
      <c r="AU351" s="530">
        <f t="shared" ref="AU351" si="289">1-SUM(AU348:AU350)</f>
        <v>0.44999999999999996</v>
      </c>
      <c r="AV351" s="530">
        <f t="shared" ref="AV351" si="290">1-SUM(AV348:AV350)</f>
        <v>4.9999999999999933E-2</v>
      </c>
      <c r="AW351" s="530">
        <f t="shared" ref="AW351" si="291">1-SUM(AW348:AW350)</f>
        <v>0</v>
      </c>
      <c r="AX351" s="497"/>
    </row>
    <row r="352" spans="3:50">
      <c r="M352" s="68">
        <v>3</v>
      </c>
      <c r="N352" s="699">
        <v>360</v>
      </c>
      <c r="O352" s="74">
        <v>9</v>
      </c>
      <c r="P352" s="74">
        <v>22</v>
      </c>
      <c r="Q352" s="74">
        <v>25</v>
      </c>
      <c r="R352" s="75">
        <v>47</v>
      </c>
      <c r="S352" s="76">
        <v>13</v>
      </c>
      <c r="T352" s="76">
        <v>27</v>
      </c>
      <c r="U352" s="76">
        <v>29</v>
      </c>
      <c r="X352" s="699" t="s">
        <v>254</v>
      </c>
      <c r="Y352" s="508">
        <f>SUM(Y348:Y351)</f>
        <v>1</v>
      </c>
      <c r="Z352" s="508">
        <f t="shared" ref="Z352:AB352" si="292">SUM(Z348:Z351)</f>
        <v>1</v>
      </c>
      <c r="AA352" s="508">
        <f t="shared" si="292"/>
        <v>1</v>
      </c>
      <c r="AB352" s="508">
        <f t="shared" si="292"/>
        <v>1</v>
      </c>
      <c r="AC352" s="81"/>
      <c r="AE352" s="699" t="s">
        <v>254</v>
      </c>
      <c r="AF352" s="508">
        <f>SUM(AF348:AF351)</f>
        <v>1</v>
      </c>
      <c r="AG352" s="508">
        <f t="shared" ref="AG352" si="293">SUM(AG348:AG351)</f>
        <v>1</v>
      </c>
      <c r="AH352" s="508">
        <f t="shared" ref="AH352" si="294">SUM(AH348:AH351)</f>
        <v>1</v>
      </c>
      <c r="AI352" s="508">
        <f t="shared" ref="AI352" si="295">SUM(AI348:AI351)</f>
        <v>1</v>
      </c>
      <c r="AJ352" s="81"/>
      <c r="AL352" s="699" t="s">
        <v>254</v>
      </c>
      <c r="AM352" s="508">
        <f>SUM(AM348:AM351)</f>
        <v>1</v>
      </c>
      <c r="AN352" s="508">
        <f t="shared" ref="AN352" si="296">SUM(AN348:AN351)</f>
        <v>1</v>
      </c>
      <c r="AO352" s="508">
        <f t="shared" ref="AO352" si="297">SUM(AO348:AO351)</f>
        <v>1</v>
      </c>
      <c r="AP352" s="508">
        <f t="shared" ref="AP352" si="298">SUM(AP348:AP351)</f>
        <v>1</v>
      </c>
      <c r="AQ352" s="81"/>
      <c r="AS352" s="699" t="s">
        <v>254</v>
      </c>
      <c r="AT352" s="508">
        <f>SUM(AT348:AT351)</f>
        <v>1</v>
      </c>
      <c r="AU352" s="508">
        <f t="shared" ref="AU352" si="299">SUM(AU348:AU351)</f>
        <v>1</v>
      </c>
      <c r="AV352" s="508">
        <f t="shared" ref="AV352" si="300">SUM(AV348:AV351)</f>
        <v>1</v>
      </c>
      <c r="AW352" s="508">
        <f t="shared" ref="AW352" si="301">SUM(AW348:AW351)</f>
        <v>1</v>
      </c>
      <c r="AX352" s="81"/>
    </row>
    <row r="353" spans="12:49">
      <c r="M353" s="68">
        <v>2</v>
      </c>
      <c r="N353" s="699">
        <v>240</v>
      </c>
      <c r="O353" s="74">
        <v>14</v>
      </c>
      <c r="P353" s="74">
        <v>35</v>
      </c>
      <c r="Q353" s="74">
        <v>37</v>
      </c>
      <c r="R353" s="75">
        <v>48</v>
      </c>
      <c r="S353" s="76">
        <v>21</v>
      </c>
      <c r="T353" s="76">
        <v>39</v>
      </c>
      <c r="U353" s="76">
        <v>55</v>
      </c>
    </row>
    <row r="354" spans="12:49">
      <c r="M354" s="70">
        <v>1</v>
      </c>
      <c r="N354" s="78">
        <v>120</v>
      </c>
      <c r="O354" s="71">
        <v>52</v>
      </c>
      <c r="P354" s="71">
        <v>56</v>
      </c>
      <c r="Q354" s="71">
        <v>96</v>
      </c>
      <c r="R354" s="77">
        <v>120</v>
      </c>
      <c r="S354" s="72">
        <v>79</v>
      </c>
      <c r="T354" s="72">
        <v>112</v>
      </c>
      <c r="U354" s="72">
        <v>123</v>
      </c>
    </row>
    <row r="355" spans="12:49">
      <c r="M355" s="519" t="s">
        <v>221</v>
      </c>
      <c r="N355" s="520"/>
      <c r="O355" s="527">
        <f>SUM(O351:O354)</f>
        <v>80</v>
      </c>
      <c r="P355" s="528">
        <f t="shared" ref="P355" si="302">SUM(P351:P354)</f>
        <v>124</v>
      </c>
      <c r="Q355" s="528">
        <f t="shared" ref="Q355" si="303">SUM(Q351:Q354)</f>
        <v>175</v>
      </c>
      <c r="R355" s="529">
        <f t="shared" ref="R355" si="304">SUM(R351:R354)</f>
        <v>256</v>
      </c>
      <c r="S355" s="528">
        <f t="shared" ref="S355" si="305">SUM(S351:S354)</f>
        <v>121</v>
      </c>
      <c r="T355" s="528">
        <f t="shared" ref="T355" si="306">SUM(T351:T354)</f>
        <v>197</v>
      </c>
      <c r="U355" s="528">
        <f t="shared" ref="U355" si="307">SUM(U351:U354)</f>
        <v>220</v>
      </c>
      <c r="X355" s="805" t="s">
        <v>664</v>
      </c>
      <c r="Y355" s="1680">
        <v>0.64</v>
      </c>
      <c r="Z355" s="1680">
        <v>0.26</v>
      </c>
      <c r="AA355" s="1680">
        <v>0.06</v>
      </c>
      <c r="AB355" s="1680">
        <f>1-SUM(Y355:AA355)</f>
        <v>4.0000000000000036E-2</v>
      </c>
      <c r="AE355" s="805" t="s">
        <v>664</v>
      </c>
      <c r="AF355" s="1680">
        <v>0.53</v>
      </c>
      <c r="AG355" s="1680">
        <v>0.35</v>
      </c>
      <c r="AH355" s="1680">
        <v>0.06</v>
      </c>
      <c r="AI355" s="1680">
        <f>1-SUM(AF355:AH355)</f>
        <v>6.0000000000000053E-2</v>
      </c>
      <c r="AL355" s="805" t="s">
        <v>664</v>
      </c>
      <c r="AM355" s="803">
        <v>0.53</v>
      </c>
      <c r="AN355" s="803">
        <v>0.35</v>
      </c>
      <c r="AO355" s="803">
        <v>7.0000000000000007E-2</v>
      </c>
      <c r="AP355" s="803">
        <f>1-SUM(AM355:AO355)</f>
        <v>5.0000000000000044E-2</v>
      </c>
      <c r="AS355" s="805" t="s">
        <v>664</v>
      </c>
      <c r="AT355" s="803">
        <v>0.6</v>
      </c>
      <c r="AU355" s="803">
        <v>0.3</v>
      </c>
      <c r="AV355" s="803">
        <v>0.05</v>
      </c>
      <c r="AW355" s="803">
        <v>0.05</v>
      </c>
    </row>
    <row r="356" spans="12:49">
      <c r="M356" s="490"/>
      <c r="N356" s="490"/>
      <c r="O356" s="81"/>
      <c r="P356" s="81"/>
      <c r="Q356" s="81"/>
      <c r="R356" s="81"/>
      <c r="S356" s="76"/>
      <c r="T356" s="76"/>
      <c r="U356" s="76"/>
      <c r="X356" s="547" t="s">
        <v>219</v>
      </c>
      <c r="Y356" s="71" t="s">
        <v>658</v>
      </c>
      <c r="Z356" s="71" t="s">
        <v>659</v>
      </c>
      <c r="AA356" s="71" t="s">
        <v>660</v>
      </c>
      <c r="AB356" s="71" t="s">
        <v>661</v>
      </c>
      <c r="AE356" s="547" t="s">
        <v>219</v>
      </c>
      <c r="AF356" s="71" t="s">
        <v>658</v>
      </c>
      <c r="AG356" s="71" t="s">
        <v>659</v>
      </c>
      <c r="AH356" s="71" t="s">
        <v>660</v>
      </c>
      <c r="AI356" s="71" t="s">
        <v>661</v>
      </c>
      <c r="AL356" s="547" t="s">
        <v>219</v>
      </c>
      <c r="AM356" s="71" t="s">
        <v>658</v>
      </c>
      <c r="AN356" s="71" t="s">
        <v>659</v>
      </c>
      <c r="AO356" s="71" t="s">
        <v>660</v>
      </c>
      <c r="AP356" s="71" t="s">
        <v>661</v>
      </c>
      <c r="AS356" s="547" t="s">
        <v>219</v>
      </c>
      <c r="AT356" s="71" t="s">
        <v>658</v>
      </c>
      <c r="AU356" s="71" t="s">
        <v>659</v>
      </c>
      <c r="AV356" s="71" t="s">
        <v>660</v>
      </c>
      <c r="AW356" s="71" t="s">
        <v>661</v>
      </c>
    </row>
    <row r="357" spans="12:49">
      <c r="L357" s="80" t="s">
        <v>637</v>
      </c>
      <c r="M357" s="70" t="s">
        <v>20</v>
      </c>
      <c r="N357" s="78" t="s">
        <v>220</v>
      </c>
      <c r="O357" s="71" t="s">
        <v>208</v>
      </c>
      <c r="P357" s="72" t="s">
        <v>209</v>
      </c>
      <c r="Q357" s="72" t="s">
        <v>212</v>
      </c>
      <c r="R357" s="73" t="s">
        <v>211</v>
      </c>
      <c r="S357" s="71" t="s">
        <v>213</v>
      </c>
      <c r="T357" s="72" t="s">
        <v>214</v>
      </c>
      <c r="U357" s="72" t="s">
        <v>210</v>
      </c>
      <c r="X357" s="699">
        <v>600</v>
      </c>
      <c r="Y357" s="507">
        <f>Y$361*Y348</f>
        <v>2.6797991314285712</v>
      </c>
      <c r="Z357" s="507">
        <f t="shared" ref="Z357:AB357" si="308">Z$361*Z348</f>
        <v>10.644757660952381</v>
      </c>
      <c r="AA357" s="507">
        <f t="shared" si="308"/>
        <v>7.5034375679999989</v>
      </c>
      <c r="AB357" s="507">
        <f t="shared" si="308"/>
        <v>6.2528646400000047</v>
      </c>
      <c r="AE357" s="699">
        <v>600</v>
      </c>
      <c r="AF357" s="507">
        <f>AF$361*AF348</f>
        <v>0.9914387760000003</v>
      </c>
      <c r="AG357" s="507">
        <f t="shared" ref="AG357:AI357" si="309">AG$361*AG348</f>
        <v>10.07929937368421</v>
      </c>
      <c r="AH357" s="507">
        <f t="shared" si="309"/>
        <v>7.5039355337142855</v>
      </c>
      <c r="AI357" s="507">
        <f t="shared" si="309"/>
        <v>13.131887184000012</v>
      </c>
      <c r="AL357" s="699">
        <v>600</v>
      </c>
      <c r="AM357" s="507">
        <f>AM$361*AM348</f>
        <v>8.4467953018637214</v>
      </c>
      <c r="AN357" s="507">
        <f t="shared" ref="AN357:AP357" si="310">AN$361*AN348</f>
        <v>13.387373685972689</v>
      </c>
      <c r="AO357" s="507">
        <f t="shared" si="310"/>
        <v>11.156144738310577</v>
      </c>
      <c r="AP357" s="507">
        <f t="shared" si="310"/>
        <v>11.156144738310584</v>
      </c>
      <c r="AS357" s="699">
        <v>600</v>
      </c>
      <c r="AT357" s="507">
        <f>AT$361*AT348</f>
        <v>12.766466365015178</v>
      </c>
      <c r="AU357" s="507">
        <f t="shared" ref="AU357:AW357" si="311">AU$361*AU348</f>
        <v>17.873052911021251</v>
      </c>
      <c r="AV357" s="507">
        <f t="shared" si="311"/>
        <v>11.702594167930583</v>
      </c>
      <c r="AW357" s="507">
        <f t="shared" si="311"/>
        <v>15.958082956268974</v>
      </c>
    </row>
    <row r="358" spans="12:49">
      <c r="M358" s="68">
        <v>4</v>
      </c>
      <c r="N358" s="699">
        <v>600</v>
      </c>
      <c r="O358" s="508">
        <f>O351/O$332</f>
        <v>8.5470085470085479E-3</v>
      </c>
      <c r="P358" s="508">
        <f t="shared" ref="P358:U358" si="312">P351/P$332</f>
        <v>1.5235457063711912E-2</v>
      </c>
      <c r="Q358" s="508">
        <f t="shared" si="312"/>
        <v>2.0807833537331701E-2</v>
      </c>
      <c r="R358" s="509">
        <f t="shared" si="312"/>
        <v>4.7897196261682241E-2</v>
      </c>
      <c r="S358" s="510">
        <f t="shared" si="312"/>
        <v>9.0395480225988704E-3</v>
      </c>
      <c r="T358" s="510">
        <f t="shared" si="312"/>
        <v>1.6903914590747332E-2</v>
      </c>
      <c r="U358" s="510">
        <f t="shared" si="312"/>
        <v>9.6942580164056675E-3</v>
      </c>
      <c r="X358" s="699">
        <v>360</v>
      </c>
      <c r="Y358" s="507">
        <f t="shared" ref="Y358:AB360" si="313">Y$361*Y349</f>
        <v>6.2528646399999994</v>
      </c>
      <c r="Z358" s="507">
        <f t="shared" si="313"/>
        <v>6.7739366933333329</v>
      </c>
      <c r="AA358" s="507">
        <f t="shared" si="313"/>
        <v>0.93792969599999987</v>
      </c>
      <c r="AB358" s="507">
        <f t="shared" si="313"/>
        <v>0</v>
      </c>
      <c r="AE358" s="699">
        <v>360</v>
      </c>
      <c r="AF358" s="507">
        <f t="shared" ref="AF358:AI358" si="314">AF$361*AF349</f>
        <v>8.9229489840000014</v>
      </c>
      <c r="AG358" s="507">
        <f t="shared" si="314"/>
        <v>13.103089185789473</v>
      </c>
      <c r="AH358" s="507">
        <f t="shared" si="314"/>
        <v>4.6899597085714291</v>
      </c>
      <c r="AI358" s="507">
        <f t="shared" si="314"/>
        <v>0</v>
      </c>
      <c r="AL358" s="699">
        <v>360</v>
      </c>
      <c r="AM358" s="507">
        <f t="shared" ref="AM358:AP358" si="315">AM$361*AM349</f>
        <v>20.272308724472932</v>
      </c>
      <c r="AN358" s="507">
        <f t="shared" si="315"/>
        <v>16.734217107465859</v>
      </c>
      <c r="AO358" s="507">
        <f t="shared" si="315"/>
        <v>7.809301316817403</v>
      </c>
      <c r="AP358" s="507">
        <f t="shared" si="315"/>
        <v>4.7812048878473936</v>
      </c>
      <c r="AS358" s="699">
        <v>360</v>
      </c>
      <c r="AT358" s="507">
        <f t="shared" ref="AT358:AW358" si="316">AT$361*AT349</f>
        <v>30.639519276036427</v>
      </c>
      <c r="AU358" s="507">
        <f t="shared" si="316"/>
        <v>20.426346184024286</v>
      </c>
      <c r="AV358" s="507">
        <f t="shared" si="316"/>
        <v>6.3832331825075901</v>
      </c>
      <c r="AW358" s="507">
        <f t="shared" si="316"/>
        <v>5.3193609854229917</v>
      </c>
    </row>
    <row r="359" spans="12:49">
      <c r="M359" s="68">
        <v>3</v>
      </c>
      <c r="N359" s="699">
        <v>360</v>
      </c>
      <c r="O359" s="508">
        <f t="shared" ref="O359:U359" si="317">O352/O$332</f>
        <v>1.5384615384615385E-2</v>
      </c>
      <c r="P359" s="508">
        <f t="shared" si="317"/>
        <v>3.0470914127423823E-2</v>
      </c>
      <c r="Q359" s="508">
        <f t="shared" si="317"/>
        <v>3.0599755201958383E-2</v>
      </c>
      <c r="R359" s="509">
        <f t="shared" si="317"/>
        <v>5.4906542056074766E-2</v>
      </c>
      <c r="S359" s="510">
        <f t="shared" si="317"/>
        <v>1.4689265536723164E-2</v>
      </c>
      <c r="T359" s="510">
        <f t="shared" si="317"/>
        <v>2.4021352313167259E-2</v>
      </c>
      <c r="U359" s="510">
        <f t="shared" si="317"/>
        <v>2.1625652498135719E-2</v>
      </c>
      <c r="X359" s="699">
        <v>240</v>
      </c>
      <c r="Y359" s="507">
        <f t="shared" si="313"/>
        <v>13.398995657142855</v>
      </c>
      <c r="Z359" s="507">
        <f t="shared" si="313"/>
        <v>14.515578628571427</v>
      </c>
      <c r="AA359" s="507">
        <f t="shared" si="313"/>
        <v>0</v>
      </c>
      <c r="AB359" s="507">
        <f t="shared" si="313"/>
        <v>0</v>
      </c>
      <c r="AE359" s="699">
        <v>240</v>
      </c>
      <c r="AF359" s="507">
        <f t="shared" ref="AF359:AI359" si="318">AF$361*AF350</f>
        <v>18.837336744000005</v>
      </c>
      <c r="AG359" s="507">
        <f t="shared" si="318"/>
        <v>16.126878997894735</v>
      </c>
      <c r="AH359" s="507">
        <f t="shared" si="318"/>
        <v>0.93799194171428568</v>
      </c>
      <c r="AI359" s="507">
        <f t="shared" si="318"/>
        <v>0</v>
      </c>
      <c r="AL359" s="699">
        <v>240</v>
      </c>
      <c r="AM359" s="507">
        <f t="shared" ref="AM359:AP359" si="319">AM$361*AM350</f>
        <v>33.787181207454886</v>
      </c>
      <c r="AN359" s="507">
        <f t="shared" si="319"/>
        <v>24.543518424283263</v>
      </c>
      <c r="AO359" s="507">
        <f t="shared" si="319"/>
        <v>2.2312289476621152</v>
      </c>
      <c r="AP359" s="507">
        <f t="shared" si="319"/>
        <v>0</v>
      </c>
      <c r="AS359" s="699">
        <v>240</v>
      </c>
      <c r="AT359" s="507">
        <f t="shared" ref="AT359:AW359" si="320">AT$361*AT350</f>
        <v>51.065865460060714</v>
      </c>
      <c r="AU359" s="507">
        <f t="shared" si="320"/>
        <v>31.916165912537945</v>
      </c>
      <c r="AV359" s="507">
        <f t="shared" si="320"/>
        <v>2.1277443941691967</v>
      </c>
      <c r="AW359" s="507">
        <f t="shared" si="320"/>
        <v>0</v>
      </c>
    </row>
    <row r="360" spans="12:49">
      <c r="M360" s="68">
        <v>2</v>
      </c>
      <c r="N360" s="699">
        <v>240</v>
      </c>
      <c r="O360" s="508">
        <f t="shared" ref="O360:U360" si="321">O353/O$332</f>
        <v>2.3931623931623933E-2</v>
      </c>
      <c r="P360" s="508">
        <f t="shared" si="321"/>
        <v>4.8476454293628811E-2</v>
      </c>
      <c r="Q360" s="508">
        <f t="shared" si="321"/>
        <v>4.528763769889841E-2</v>
      </c>
      <c r="R360" s="509">
        <f t="shared" si="321"/>
        <v>5.6074766355140186E-2</v>
      </c>
      <c r="S360" s="510">
        <f t="shared" si="321"/>
        <v>2.3728813559322035E-2</v>
      </c>
      <c r="T360" s="510">
        <f t="shared" si="321"/>
        <v>3.4697508896797152E-2</v>
      </c>
      <c r="U360" s="510">
        <f t="shared" si="321"/>
        <v>4.1014168530947054E-2</v>
      </c>
      <c r="X360" s="78">
        <v>120</v>
      </c>
      <c r="Y360" s="807">
        <f t="shared" si="313"/>
        <v>77.714174811428563</v>
      </c>
      <c r="Z360" s="807">
        <f t="shared" si="313"/>
        <v>8.7093471771428561</v>
      </c>
      <c r="AA360" s="807">
        <f t="shared" si="313"/>
        <v>0.93792969599999987</v>
      </c>
      <c r="AB360" s="807">
        <f t="shared" si="313"/>
        <v>0</v>
      </c>
      <c r="AE360" s="78">
        <v>120</v>
      </c>
      <c r="AF360" s="807">
        <f t="shared" ref="AF360:AI360" si="322">AF$361*AF351</f>
        <v>87.246612288000009</v>
      </c>
      <c r="AG360" s="807">
        <f t="shared" si="322"/>
        <v>37.293407682631582</v>
      </c>
      <c r="AH360" s="807">
        <f t="shared" si="322"/>
        <v>0</v>
      </c>
      <c r="AI360" s="807">
        <f t="shared" si="322"/>
        <v>0</v>
      </c>
      <c r="AL360" s="78">
        <v>120</v>
      </c>
      <c r="AM360" s="807">
        <f t="shared" ref="AM360:AP360" si="323">AM$361*AM351</f>
        <v>106.42962080348289</v>
      </c>
      <c r="AN360" s="807">
        <f t="shared" si="323"/>
        <v>56.896338165383931</v>
      </c>
      <c r="AO360" s="807">
        <f t="shared" si="323"/>
        <v>1.1156144738310587</v>
      </c>
      <c r="AP360" s="807">
        <f t="shared" si="323"/>
        <v>0</v>
      </c>
      <c r="AS360" s="78">
        <v>120</v>
      </c>
      <c r="AT360" s="807">
        <f t="shared" ref="AT360:AW360" si="324">AT$361*AT351</f>
        <v>160.85747619919124</v>
      </c>
      <c r="AU360" s="807">
        <f t="shared" si="324"/>
        <v>57.449098642568295</v>
      </c>
      <c r="AV360" s="807">
        <f t="shared" si="324"/>
        <v>1.063872197084597</v>
      </c>
      <c r="AW360" s="807">
        <f t="shared" si="324"/>
        <v>0</v>
      </c>
    </row>
    <row r="361" spans="12:49">
      <c r="M361" s="70">
        <v>1</v>
      </c>
      <c r="N361" s="78">
        <v>120</v>
      </c>
      <c r="O361" s="783">
        <f t="shared" ref="O361:U361" si="325">O354/O$332</f>
        <v>8.8888888888888892E-2</v>
      </c>
      <c r="P361" s="530">
        <f t="shared" si="325"/>
        <v>7.7562326869806089E-2</v>
      </c>
      <c r="Q361" s="530">
        <f t="shared" si="325"/>
        <v>0.1175030599755202</v>
      </c>
      <c r="R361" s="531">
        <f t="shared" si="325"/>
        <v>0.14018691588785046</v>
      </c>
      <c r="S361" s="532">
        <f t="shared" si="325"/>
        <v>8.9265536723163841E-2</v>
      </c>
      <c r="T361" s="532">
        <f t="shared" si="325"/>
        <v>9.9644128113879002E-2</v>
      </c>
      <c r="U361" s="532">
        <f t="shared" si="325"/>
        <v>9.1722595078299773E-2</v>
      </c>
      <c r="X361" s="699" t="s">
        <v>254</v>
      </c>
      <c r="Y361" s="806">
        <f>Y355*$Y$343</f>
        <v>100.04583423999999</v>
      </c>
      <c r="Z361" s="806">
        <f t="shared" ref="Z361:AA361" si="326">Z355*$Y$343</f>
        <v>40.643620159999998</v>
      </c>
      <c r="AA361" s="806">
        <f t="shared" si="326"/>
        <v>9.3792969599999978</v>
      </c>
      <c r="AB361" s="806">
        <f>AB355*$Y$343</f>
        <v>6.2528646400000047</v>
      </c>
      <c r="AE361" s="699" t="s">
        <v>254</v>
      </c>
      <c r="AF361" s="808">
        <f>AF355*$Z$343</f>
        <v>115.99833679200002</v>
      </c>
      <c r="AG361" s="808">
        <f t="shared" ref="AG361:AI361" si="327">AG355*$Z$343</f>
        <v>76.602675239999996</v>
      </c>
      <c r="AH361" s="808">
        <f t="shared" si="327"/>
        <v>13.131887184</v>
      </c>
      <c r="AI361" s="808">
        <f t="shared" si="327"/>
        <v>13.131887184000012</v>
      </c>
      <c r="AL361" s="699" t="s">
        <v>254</v>
      </c>
      <c r="AM361" s="808">
        <f>AM355*$AA$343</f>
        <v>168.93590603727444</v>
      </c>
      <c r="AN361" s="808">
        <f t="shared" ref="AN361:AP361" si="328">AN355*$AA$343</f>
        <v>111.56144738310574</v>
      </c>
      <c r="AO361" s="808">
        <f>AO355*$AA$343</f>
        <v>22.312289476621153</v>
      </c>
      <c r="AP361" s="808">
        <f t="shared" si="328"/>
        <v>15.937349626157978</v>
      </c>
      <c r="AS361" s="699" t="s">
        <v>254</v>
      </c>
      <c r="AT361" s="808">
        <f>AT355*$AB$343</f>
        <v>255.32932730030356</v>
      </c>
      <c r="AU361" s="808">
        <f t="shared" ref="AU361:AW361" si="329">AU355*$AB$343</f>
        <v>127.66466365015178</v>
      </c>
      <c r="AV361" s="808">
        <f t="shared" si="329"/>
        <v>21.277443941691967</v>
      </c>
      <c r="AW361" s="808">
        <f t="shared" si="329"/>
        <v>21.277443941691967</v>
      </c>
    </row>
    <row r="362" spans="12:49">
      <c r="M362" s="519" t="s">
        <v>221</v>
      </c>
      <c r="N362" s="740"/>
      <c r="O362" s="613">
        <f t="shared" ref="O362:U362" si="330">O355/O$332</f>
        <v>0.13675213675213677</v>
      </c>
      <c r="P362" s="613">
        <f t="shared" si="330"/>
        <v>0.17174515235457063</v>
      </c>
      <c r="Q362" s="613">
        <f t="shared" si="330"/>
        <v>0.21419828641370869</v>
      </c>
      <c r="R362" s="614">
        <f t="shared" si="330"/>
        <v>0.29906542056074764</v>
      </c>
      <c r="S362" s="613">
        <f t="shared" si="330"/>
        <v>0.13672316384180791</v>
      </c>
      <c r="T362" s="613">
        <f t="shared" si="330"/>
        <v>0.17526690391459074</v>
      </c>
      <c r="U362" s="613">
        <f t="shared" si="330"/>
        <v>0.16405667412378822</v>
      </c>
    </row>
    <row r="363" spans="12:49"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X363" s="547" t="s">
        <v>662</v>
      </c>
      <c r="Y363" s="71" t="s">
        <v>658</v>
      </c>
      <c r="Z363" s="71" t="s">
        <v>659</v>
      </c>
      <c r="AA363" s="71" t="s">
        <v>660</v>
      </c>
      <c r="AB363" s="71" t="s">
        <v>661</v>
      </c>
      <c r="AE363" s="547" t="s">
        <v>662</v>
      </c>
      <c r="AF363" s="71" t="s">
        <v>658</v>
      </c>
      <c r="AG363" s="71" t="s">
        <v>659</v>
      </c>
      <c r="AH363" s="71" t="s">
        <v>660</v>
      </c>
      <c r="AI363" s="71" t="s">
        <v>661</v>
      </c>
      <c r="AL363" s="547" t="s">
        <v>662</v>
      </c>
      <c r="AM363" s="71" t="s">
        <v>658</v>
      </c>
      <c r="AN363" s="71" t="s">
        <v>659</v>
      </c>
      <c r="AO363" s="71" t="s">
        <v>660</v>
      </c>
      <c r="AP363" s="71" t="s">
        <v>661</v>
      </c>
      <c r="AS363" s="547" t="s">
        <v>662</v>
      </c>
      <c r="AT363" s="71" t="s">
        <v>658</v>
      </c>
      <c r="AU363" s="71" t="s">
        <v>659</v>
      </c>
      <c r="AV363" s="71" t="s">
        <v>660</v>
      </c>
      <c r="AW363" s="71" t="s">
        <v>661</v>
      </c>
    </row>
    <row r="364" spans="12:49">
      <c r="L364" s="80" t="s">
        <v>638</v>
      </c>
      <c r="M364" s="70" t="s">
        <v>20</v>
      </c>
      <c r="N364" s="78" t="s">
        <v>635</v>
      </c>
      <c r="O364" s="71" t="s">
        <v>208</v>
      </c>
      <c r="P364" s="72" t="s">
        <v>209</v>
      </c>
      <c r="Q364" s="72" t="s">
        <v>212</v>
      </c>
      <c r="R364" s="73" t="s">
        <v>211</v>
      </c>
      <c r="S364" s="71" t="s">
        <v>213</v>
      </c>
      <c r="T364" s="72" t="s">
        <v>214</v>
      </c>
      <c r="U364" s="72" t="s">
        <v>210</v>
      </c>
      <c r="X364" s="699">
        <v>600</v>
      </c>
      <c r="Y364" s="1681">
        <v>729</v>
      </c>
      <c r="Z364" s="1681">
        <v>992</v>
      </c>
      <c r="AA364" s="1681">
        <v>1218</v>
      </c>
      <c r="AB364" s="1681">
        <v>1670</v>
      </c>
      <c r="AE364" s="699">
        <v>600</v>
      </c>
      <c r="AF364" s="1681">
        <v>602.66</v>
      </c>
      <c r="AG364" s="1681">
        <v>1470.1017999999999</v>
      </c>
      <c r="AH364" s="1681">
        <v>1189.9204999999999</v>
      </c>
      <c r="AI364" s="1681">
        <v>2183.373</v>
      </c>
      <c r="AL364" s="699">
        <v>600</v>
      </c>
      <c r="AM364" s="494">
        <f>AF364*1.05</f>
        <v>632.79300000000001</v>
      </c>
      <c r="AN364" s="494">
        <f t="shared" ref="AN364:AN365" si="331">AG364*1.05</f>
        <v>1543.60689</v>
      </c>
      <c r="AO364" s="494">
        <f t="shared" ref="AO364:AO365" si="332">AH364*1.05</f>
        <v>1249.4165250000001</v>
      </c>
      <c r="AP364" s="494">
        <f t="shared" ref="AP364:AP365" si="333">AI364*1.05</f>
        <v>2292.5416500000001</v>
      </c>
      <c r="AR364" s="572">
        <f>AVERAGE(AB364,AI364,AP364,AW364)</f>
        <v>2109.6140750000004</v>
      </c>
      <c r="AS364" s="699">
        <v>600</v>
      </c>
      <c r="AT364" s="494">
        <f>AM364</f>
        <v>632.79300000000001</v>
      </c>
      <c r="AU364" s="494">
        <f t="shared" ref="AU364:AW367" si="334">AN364</f>
        <v>1543.60689</v>
      </c>
      <c r="AV364" s="494">
        <f t="shared" si="334"/>
        <v>1249.4165250000001</v>
      </c>
      <c r="AW364" s="494">
        <f t="shared" si="334"/>
        <v>2292.5416500000001</v>
      </c>
    </row>
    <row r="365" spans="12:49">
      <c r="M365" s="68">
        <v>4</v>
      </c>
      <c r="N365" s="699">
        <v>24</v>
      </c>
      <c r="O365" s="74">
        <v>1</v>
      </c>
      <c r="P365" s="74">
        <v>2</v>
      </c>
      <c r="Q365" s="74">
        <v>1</v>
      </c>
      <c r="R365" s="75">
        <v>3</v>
      </c>
      <c r="S365" s="76"/>
      <c r="T365" s="76">
        <v>1</v>
      </c>
      <c r="U365" s="76">
        <v>5</v>
      </c>
      <c r="V365" s="464"/>
      <c r="X365" s="699">
        <v>360</v>
      </c>
      <c r="Y365" s="1681">
        <v>458</v>
      </c>
      <c r="Z365" s="1681">
        <v>409</v>
      </c>
      <c r="AA365" s="1681">
        <v>384</v>
      </c>
      <c r="AB365" s="1681"/>
      <c r="AE365" s="699">
        <v>360</v>
      </c>
      <c r="AF365" s="1681">
        <v>479.70699999999999</v>
      </c>
      <c r="AG365" s="1681">
        <v>425.87369230769229</v>
      </c>
      <c r="AH365" s="1681">
        <v>490.24130000000002</v>
      </c>
      <c r="AI365" s="1681"/>
      <c r="AL365" s="699">
        <v>360</v>
      </c>
      <c r="AM365" s="494">
        <f t="shared" ref="AM365" si="335">AF365*1.05</f>
        <v>503.69235000000003</v>
      </c>
      <c r="AN365" s="494">
        <f t="shared" si="331"/>
        <v>447.16737692307692</v>
      </c>
      <c r="AO365" s="494">
        <f t="shared" si="332"/>
        <v>514.75336500000003</v>
      </c>
      <c r="AP365" s="494">
        <f t="shared" si="333"/>
        <v>0</v>
      </c>
      <c r="AR365" s="572">
        <f t="shared" ref="AR365:AR367" si="336">AVERAGE(AB365,AI365,AP365,AW365)</f>
        <v>0</v>
      </c>
      <c r="AS365" s="699">
        <v>360</v>
      </c>
      <c r="AT365" s="494">
        <f t="shared" ref="AT365:AT367" si="337">AM365</f>
        <v>503.69235000000003</v>
      </c>
      <c r="AU365" s="494">
        <f t="shared" si="334"/>
        <v>447.16737692307692</v>
      </c>
      <c r="AV365" s="494">
        <f t="shared" si="334"/>
        <v>514.75336500000003</v>
      </c>
      <c r="AW365" s="494">
        <f t="shared" si="334"/>
        <v>0</v>
      </c>
    </row>
    <row r="366" spans="12:49">
      <c r="M366" s="68">
        <v>3</v>
      </c>
      <c r="N366" s="699">
        <v>18</v>
      </c>
      <c r="O366" s="74"/>
      <c r="P366" s="74">
        <v>1</v>
      </c>
      <c r="Q366" s="74">
        <v>4</v>
      </c>
      <c r="R366" s="75">
        <v>3</v>
      </c>
      <c r="S366" s="76"/>
      <c r="T366" s="76">
        <v>1</v>
      </c>
      <c r="U366" s="76">
        <v>6</v>
      </c>
      <c r="V366" s="464"/>
      <c r="X366" s="699">
        <v>240</v>
      </c>
      <c r="Y366" s="1681">
        <v>296</v>
      </c>
      <c r="Z366" s="1681">
        <v>286</v>
      </c>
      <c r="AA366" s="1681"/>
      <c r="AB366" s="1681"/>
      <c r="AE366" s="699">
        <v>240</v>
      </c>
      <c r="AF366" s="1681">
        <v>280.07547368421052</v>
      </c>
      <c r="AG366" s="1681">
        <v>303.37237499999998</v>
      </c>
      <c r="AH366" s="1681">
        <v>291.01600000000002</v>
      </c>
      <c r="AI366" s="1681"/>
      <c r="AL366" s="699">
        <v>240</v>
      </c>
      <c r="AM366" s="494">
        <f>AF366</f>
        <v>280.07547368421052</v>
      </c>
      <c r="AN366" s="494">
        <f t="shared" ref="AN366:AN367" si="338">AG366</f>
        <v>303.37237499999998</v>
      </c>
      <c r="AO366" s="494">
        <f t="shared" ref="AO366:AO367" si="339">AH366</f>
        <v>291.01600000000002</v>
      </c>
      <c r="AP366" s="494">
        <f t="shared" ref="AP366:AP367" si="340">AI366</f>
        <v>0</v>
      </c>
      <c r="AR366" s="572">
        <f t="shared" si="336"/>
        <v>0</v>
      </c>
      <c r="AS366" s="699">
        <v>240</v>
      </c>
      <c r="AT366" s="494">
        <f t="shared" si="337"/>
        <v>280.07547368421052</v>
      </c>
      <c r="AU366" s="494">
        <f t="shared" si="334"/>
        <v>303.37237499999998</v>
      </c>
      <c r="AV366" s="494">
        <f t="shared" si="334"/>
        <v>291.01600000000002</v>
      </c>
      <c r="AW366" s="494">
        <f t="shared" si="334"/>
        <v>0</v>
      </c>
    </row>
    <row r="367" spans="12:49">
      <c r="M367" s="68">
        <v>2</v>
      </c>
      <c r="N367" s="699">
        <v>10</v>
      </c>
      <c r="O367" s="74">
        <v>10</v>
      </c>
      <c r="P367" s="74">
        <v>30</v>
      </c>
      <c r="Q367" s="74">
        <v>54</v>
      </c>
      <c r="R367" s="75">
        <v>75</v>
      </c>
      <c r="S367" s="76">
        <v>22</v>
      </c>
      <c r="T367" s="76">
        <v>58</v>
      </c>
      <c r="U367" s="76">
        <v>62</v>
      </c>
      <c r="V367" s="464"/>
      <c r="X367" s="78">
        <v>120</v>
      </c>
      <c r="Y367" s="1682">
        <v>164</v>
      </c>
      <c r="Z367" s="1682">
        <v>212</v>
      </c>
      <c r="AA367" s="1682">
        <v>134</v>
      </c>
      <c r="AB367" s="1682"/>
      <c r="AE367" s="78">
        <v>120</v>
      </c>
      <c r="AF367" s="1682">
        <v>161.6524431818182</v>
      </c>
      <c r="AG367" s="1682">
        <v>179.43967567567569</v>
      </c>
      <c r="AH367" s="1682"/>
      <c r="AI367" s="1682"/>
      <c r="AL367" s="78">
        <v>120</v>
      </c>
      <c r="AM367" s="524">
        <f>AF367</f>
        <v>161.6524431818182</v>
      </c>
      <c r="AN367" s="524">
        <f t="shared" si="338"/>
        <v>179.43967567567569</v>
      </c>
      <c r="AO367" s="524">
        <f t="shared" si="339"/>
        <v>0</v>
      </c>
      <c r="AP367" s="524">
        <f t="shared" si="340"/>
        <v>0</v>
      </c>
      <c r="AR367" s="572">
        <f t="shared" si="336"/>
        <v>0</v>
      </c>
      <c r="AS367" s="78">
        <v>120</v>
      </c>
      <c r="AT367" s="524">
        <f t="shared" si="337"/>
        <v>161.6524431818182</v>
      </c>
      <c r="AU367" s="524">
        <f t="shared" si="334"/>
        <v>179.43967567567569</v>
      </c>
      <c r="AV367" s="524">
        <f t="shared" si="334"/>
        <v>0</v>
      </c>
      <c r="AW367" s="524">
        <f t="shared" si="334"/>
        <v>0</v>
      </c>
    </row>
    <row r="368" spans="12:49">
      <c r="M368" s="70">
        <v>1</v>
      </c>
      <c r="N368" s="78">
        <v>6</v>
      </c>
      <c r="O368" s="71">
        <v>37</v>
      </c>
      <c r="P368" s="71">
        <v>63</v>
      </c>
      <c r="Q368" s="71">
        <v>86</v>
      </c>
      <c r="R368" s="77">
        <v>113</v>
      </c>
      <c r="S368" s="72">
        <v>57</v>
      </c>
      <c r="T368" s="72">
        <v>91</v>
      </c>
      <c r="U368" s="72">
        <v>89</v>
      </c>
      <c r="V368" s="464"/>
      <c r="X368" s="699" t="s">
        <v>254</v>
      </c>
      <c r="Y368" s="8"/>
      <c r="Z368" s="8"/>
      <c r="AA368" s="8"/>
      <c r="AB368" s="8"/>
      <c r="AE368" s="699" t="s">
        <v>254</v>
      </c>
      <c r="AF368" s="8"/>
      <c r="AG368" s="8"/>
      <c r="AH368" s="8"/>
      <c r="AI368" s="8"/>
      <c r="AL368" s="699" t="s">
        <v>254</v>
      </c>
      <c r="AM368" s="8"/>
      <c r="AN368" s="8"/>
      <c r="AO368" s="8"/>
      <c r="AP368" s="8"/>
      <c r="AS368" s="699" t="s">
        <v>254</v>
      </c>
      <c r="AT368" s="8"/>
      <c r="AU368" s="8"/>
      <c r="AV368" s="8"/>
      <c r="AW368" s="8"/>
    </row>
    <row r="369" spans="12:50">
      <c r="M369" s="519" t="s">
        <v>221</v>
      </c>
      <c r="N369" s="520"/>
      <c r="O369" s="527">
        <f>SUM(O365:O368)</f>
        <v>48</v>
      </c>
      <c r="P369" s="528">
        <f t="shared" ref="P369" si="341">SUM(P365:P368)</f>
        <v>96</v>
      </c>
      <c r="Q369" s="528">
        <f t="shared" ref="Q369" si="342">SUM(Q365:Q368)</f>
        <v>145</v>
      </c>
      <c r="R369" s="529">
        <f t="shared" ref="R369" si="343">SUM(R365:R368)</f>
        <v>194</v>
      </c>
      <c r="S369" s="528">
        <f t="shared" ref="S369" si="344">SUM(S365:S368)</f>
        <v>79</v>
      </c>
      <c r="T369" s="528">
        <f t="shared" ref="T369" si="345">SUM(T365:T368)</f>
        <v>151</v>
      </c>
      <c r="U369" s="528">
        <f t="shared" ref="U369" si="346">SUM(U365:U368)</f>
        <v>162</v>
      </c>
    </row>
    <row r="370" spans="12:50">
      <c r="M370" s="490"/>
      <c r="N370" s="490"/>
      <c r="O370" s="81"/>
      <c r="P370" s="81"/>
      <c r="Q370" s="81"/>
      <c r="R370" s="81"/>
      <c r="S370" s="76"/>
      <c r="T370" s="76"/>
      <c r="U370" s="76"/>
      <c r="X370" s="78" t="s">
        <v>584</v>
      </c>
      <c r="Y370" s="71" t="s">
        <v>658</v>
      </c>
      <c r="Z370" s="71" t="s">
        <v>659</v>
      </c>
      <c r="AA370" s="71" t="s">
        <v>660</v>
      </c>
      <c r="AB370" s="77" t="s">
        <v>661</v>
      </c>
      <c r="AC370" s="71" t="s">
        <v>254</v>
      </c>
      <c r="AE370" s="78" t="s">
        <v>584</v>
      </c>
      <c r="AF370" s="71" t="s">
        <v>658</v>
      </c>
      <c r="AG370" s="71" t="s">
        <v>659</v>
      </c>
      <c r="AH370" s="71" t="s">
        <v>660</v>
      </c>
      <c r="AI370" s="77" t="s">
        <v>661</v>
      </c>
      <c r="AJ370" s="71" t="s">
        <v>254</v>
      </c>
      <c r="AL370" s="78" t="s">
        <v>584</v>
      </c>
      <c r="AM370" s="71" t="s">
        <v>658</v>
      </c>
      <c r="AN370" s="71" t="s">
        <v>659</v>
      </c>
      <c r="AO370" s="71" t="s">
        <v>660</v>
      </c>
      <c r="AP370" s="77" t="s">
        <v>661</v>
      </c>
      <c r="AQ370" s="71" t="s">
        <v>254</v>
      </c>
      <c r="AS370" s="78" t="s">
        <v>584</v>
      </c>
      <c r="AT370" s="71" t="s">
        <v>658</v>
      </c>
      <c r="AU370" s="71" t="s">
        <v>659</v>
      </c>
      <c r="AV370" s="71" t="s">
        <v>660</v>
      </c>
      <c r="AW370" s="77" t="s">
        <v>661</v>
      </c>
      <c r="AX370" s="71" t="s">
        <v>254</v>
      </c>
    </row>
    <row r="371" spans="12:50">
      <c r="L371" s="80" t="s">
        <v>639</v>
      </c>
      <c r="M371" s="70" t="s">
        <v>20</v>
      </c>
      <c r="N371" s="78" t="s">
        <v>635</v>
      </c>
      <c r="O371" s="71" t="s">
        <v>208</v>
      </c>
      <c r="P371" s="72" t="s">
        <v>209</v>
      </c>
      <c r="Q371" s="72" t="s">
        <v>212</v>
      </c>
      <c r="R371" s="73" t="s">
        <v>211</v>
      </c>
      <c r="S371" s="71" t="s">
        <v>213</v>
      </c>
      <c r="T371" s="72" t="s">
        <v>214</v>
      </c>
      <c r="U371" s="72" t="s">
        <v>210</v>
      </c>
      <c r="X371" s="699">
        <v>600</v>
      </c>
      <c r="Y371" s="808">
        <f>Y364*Y357</f>
        <v>1953.5735668114285</v>
      </c>
      <c r="Z371" s="808">
        <f t="shared" ref="Z371:AB371" si="347">Z364*Z357</f>
        <v>10559.599599664762</v>
      </c>
      <c r="AA371" s="808">
        <f t="shared" si="347"/>
        <v>9139.1869578239985</v>
      </c>
      <c r="AB371" s="559">
        <f t="shared" si="347"/>
        <v>10442.283948800008</v>
      </c>
      <c r="AC371" s="499">
        <f>SUM(Y371:AB371)</f>
        <v>32094.6440731002</v>
      </c>
      <c r="AE371" s="699">
        <v>600</v>
      </c>
      <c r="AF371" s="808">
        <f>AF364*AF357</f>
        <v>597.50049274416017</v>
      </c>
      <c r="AG371" s="808">
        <f t="shared" ref="AG371:AI371" si="348">AG364*AG357</f>
        <v>14817.596151992027</v>
      </c>
      <c r="AH371" s="808">
        <f t="shared" si="348"/>
        <v>8929.0867222450688</v>
      </c>
      <c r="AI371" s="559">
        <f t="shared" si="348"/>
        <v>28671.807916591661</v>
      </c>
      <c r="AJ371" s="499">
        <f>SUM(AF371:AI371)</f>
        <v>53015.991283572919</v>
      </c>
      <c r="AL371" s="699">
        <v>600</v>
      </c>
      <c r="AM371" s="808">
        <f>AM364*AM357</f>
        <v>5345.0729394522496</v>
      </c>
      <c r="AN371" s="808">
        <f t="shared" ref="AN371:AP371" si="349">AN364*AN357</f>
        <v>20664.84226067214</v>
      </c>
      <c r="AO371" s="808">
        <f t="shared" si="349"/>
        <v>13938.671591337035</v>
      </c>
      <c r="AP371" s="559">
        <f t="shared" si="349"/>
        <v>25575.926466005363</v>
      </c>
      <c r="AQ371" s="499">
        <f>SUM(AM371:AP371)</f>
        <v>65524.51325746678</v>
      </c>
      <c r="AS371" s="699">
        <v>600</v>
      </c>
      <c r="AT371" s="808">
        <f>AT364*AT357</f>
        <v>8078.53055051705</v>
      </c>
      <c r="AU371" s="808">
        <f t="shared" ref="AU371:AW371" si="350">AU364*AU357</f>
        <v>27588.967618786959</v>
      </c>
      <c r="AV371" s="808">
        <f t="shared" si="350"/>
        <v>14621.414538781097</v>
      </c>
      <c r="AW371" s="559">
        <f t="shared" si="350"/>
        <v>36584.569831401757</v>
      </c>
      <c r="AX371" s="499">
        <f>SUM(AT371:AW371)</f>
        <v>86873.482539486868</v>
      </c>
    </row>
    <row r="372" spans="12:50">
      <c r="M372" s="68">
        <v>4</v>
      </c>
      <c r="N372" s="699">
        <v>24</v>
      </c>
      <c r="O372" s="508">
        <f t="shared" ref="O372:U376" si="351">O365/O$332</f>
        <v>1.7094017094017094E-3</v>
      </c>
      <c r="P372" s="508">
        <f t="shared" si="351"/>
        <v>2.7700831024930748E-3</v>
      </c>
      <c r="Q372" s="508">
        <f t="shared" si="351"/>
        <v>1.2239902080783353E-3</v>
      </c>
      <c r="R372" s="509">
        <f t="shared" si="351"/>
        <v>3.5046728971962616E-3</v>
      </c>
      <c r="S372" s="510">
        <f t="shared" si="351"/>
        <v>0</v>
      </c>
      <c r="T372" s="510">
        <f t="shared" si="351"/>
        <v>8.8967971530249106E-4</v>
      </c>
      <c r="U372" s="510">
        <f t="shared" si="351"/>
        <v>3.7285607755406414E-3</v>
      </c>
      <c r="X372" s="699">
        <v>360</v>
      </c>
      <c r="Y372" s="808">
        <f t="shared" ref="Y372:AB372" si="352">Y365*Y358</f>
        <v>2863.8120051199999</v>
      </c>
      <c r="Z372" s="808">
        <f t="shared" si="352"/>
        <v>2770.540107573333</v>
      </c>
      <c r="AA372" s="808">
        <f t="shared" si="352"/>
        <v>360.16500326399995</v>
      </c>
      <c r="AB372" s="559">
        <f t="shared" si="352"/>
        <v>0</v>
      </c>
      <c r="AC372" s="499">
        <f t="shared" ref="AC372:AC375" si="353">SUM(Y372:AB372)</f>
        <v>5994.5171159573329</v>
      </c>
      <c r="AE372" s="699">
        <v>360</v>
      </c>
      <c r="AF372" s="808">
        <f t="shared" ref="AF372:AI372" si="354">AF365*AF358</f>
        <v>4280.4010882676885</v>
      </c>
      <c r="AG372" s="808">
        <f t="shared" si="354"/>
        <v>5580.2609721891567</v>
      </c>
      <c r="AH372" s="808">
        <f t="shared" si="354"/>
        <v>2299.2119444776786</v>
      </c>
      <c r="AI372" s="559">
        <f t="shared" si="354"/>
        <v>0</v>
      </c>
      <c r="AJ372" s="499">
        <f t="shared" ref="AJ372:AJ375" si="355">SUM(AF372:AI372)</f>
        <v>12159.874004934523</v>
      </c>
      <c r="AL372" s="699">
        <v>360</v>
      </c>
      <c r="AM372" s="808">
        <f t="shared" ref="AM372:AP372" si="356">AM365*AM358</f>
        <v>10211.006821355275</v>
      </c>
      <c r="AN372" s="808">
        <f t="shared" si="356"/>
        <v>7482.9959688067875</v>
      </c>
      <c r="AO372" s="808">
        <f t="shared" si="356"/>
        <v>4019.8641311306897</v>
      </c>
      <c r="AP372" s="559">
        <f t="shared" si="356"/>
        <v>0</v>
      </c>
      <c r="AQ372" s="499">
        <f t="shared" ref="AQ372:AQ375" si="357">SUM(AM372:AP372)</f>
        <v>21713.866921292753</v>
      </c>
      <c r="AS372" s="699">
        <v>360</v>
      </c>
      <c r="AT372" s="808">
        <f t="shared" ref="AT372:AW372" si="358">AT365*AT358</f>
        <v>15432.891467017087</v>
      </c>
      <c r="AU372" s="808">
        <f t="shared" si="358"/>
        <v>9133.9956432328418</v>
      </c>
      <c r="AV372" s="808">
        <f t="shared" si="358"/>
        <v>3285.7907602754412</v>
      </c>
      <c r="AW372" s="559">
        <f t="shared" si="358"/>
        <v>0</v>
      </c>
      <c r="AX372" s="499">
        <f t="shared" ref="AX372:AX375" si="359">SUM(AT372:AW372)</f>
        <v>27852.677870525371</v>
      </c>
    </row>
    <row r="373" spans="12:50">
      <c r="M373" s="68">
        <v>3</v>
      </c>
      <c r="N373" s="699">
        <v>18</v>
      </c>
      <c r="O373" s="508">
        <f t="shared" si="351"/>
        <v>0</v>
      </c>
      <c r="P373" s="508">
        <f t="shared" si="351"/>
        <v>1.3850415512465374E-3</v>
      </c>
      <c r="Q373" s="508">
        <f t="shared" si="351"/>
        <v>4.8959608323133411E-3</v>
      </c>
      <c r="R373" s="509">
        <f t="shared" si="351"/>
        <v>3.5046728971962616E-3</v>
      </c>
      <c r="S373" s="510">
        <f t="shared" si="351"/>
        <v>0</v>
      </c>
      <c r="T373" s="510">
        <f t="shared" si="351"/>
        <v>8.8967971530249106E-4</v>
      </c>
      <c r="U373" s="510">
        <f t="shared" si="351"/>
        <v>4.4742729306487695E-3</v>
      </c>
      <c r="X373" s="699">
        <v>240</v>
      </c>
      <c r="Y373" s="808">
        <f t="shared" ref="Y373:AB373" si="360">Y366*Y359</f>
        <v>3966.1027145142853</v>
      </c>
      <c r="Z373" s="808">
        <f t="shared" si="360"/>
        <v>4151.4554877714281</v>
      </c>
      <c r="AA373" s="808">
        <f t="shared" si="360"/>
        <v>0</v>
      </c>
      <c r="AB373" s="559">
        <f t="shared" si="360"/>
        <v>0</v>
      </c>
      <c r="AC373" s="499">
        <f t="shared" si="353"/>
        <v>8117.5582022857134</v>
      </c>
      <c r="AE373" s="699">
        <v>240</v>
      </c>
      <c r="AF373" s="808">
        <f t="shared" ref="AF373:AI373" si="361">AF366*AF359</f>
        <v>5275.8760115247851</v>
      </c>
      <c r="AG373" s="808">
        <f t="shared" si="361"/>
        <v>4892.4495829289453</v>
      </c>
      <c r="AH373" s="808">
        <f t="shared" si="361"/>
        <v>272.97066290992456</v>
      </c>
      <c r="AI373" s="559">
        <f t="shared" si="361"/>
        <v>0</v>
      </c>
      <c r="AJ373" s="499">
        <f t="shared" si="355"/>
        <v>10441.296257363654</v>
      </c>
      <c r="AL373" s="699">
        <v>240</v>
      </c>
      <c r="AM373" s="808">
        <f t="shared" ref="AM373:AP373" si="362">AM366*AM359</f>
        <v>9462.9607811321839</v>
      </c>
      <c r="AN373" s="808">
        <f t="shared" si="362"/>
        <v>7445.8254752310704</v>
      </c>
      <c r="AO373" s="808">
        <f t="shared" si="362"/>
        <v>649.32332343283815</v>
      </c>
      <c r="AP373" s="559">
        <f t="shared" si="362"/>
        <v>0</v>
      </c>
      <c r="AQ373" s="499">
        <f t="shared" si="357"/>
        <v>17558.109579796095</v>
      </c>
      <c r="AS373" s="699">
        <v>240</v>
      </c>
      <c r="AT373" s="808">
        <f t="shared" ref="AT373:AW373" si="363">AT366*AT359</f>
        <v>14302.29645782067</v>
      </c>
      <c r="AU373" s="808">
        <f t="shared" si="363"/>
        <v>9682.4830537806774</v>
      </c>
      <c r="AV373" s="808">
        <f t="shared" si="363"/>
        <v>619.20766261354299</v>
      </c>
      <c r="AW373" s="559">
        <f t="shared" si="363"/>
        <v>0</v>
      </c>
      <c r="AX373" s="499">
        <f t="shared" si="359"/>
        <v>24603.98717421489</v>
      </c>
    </row>
    <row r="374" spans="12:50">
      <c r="M374" s="68">
        <v>2</v>
      </c>
      <c r="N374" s="699">
        <v>10</v>
      </c>
      <c r="O374" s="508">
        <f t="shared" si="351"/>
        <v>1.7094017094017096E-2</v>
      </c>
      <c r="P374" s="508">
        <f t="shared" si="351"/>
        <v>4.1551246537396121E-2</v>
      </c>
      <c r="Q374" s="508">
        <f t="shared" si="351"/>
        <v>6.6095471236230108E-2</v>
      </c>
      <c r="R374" s="509">
        <f t="shared" si="351"/>
        <v>8.7616822429906538E-2</v>
      </c>
      <c r="S374" s="510">
        <f t="shared" si="351"/>
        <v>2.4858757062146894E-2</v>
      </c>
      <c r="T374" s="510">
        <f t="shared" si="351"/>
        <v>5.1601423487544484E-2</v>
      </c>
      <c r="U374" s="510">
        <f t="shared" si="351"/>
        <v>4.6234153616703952E-2</v>
      </c>
      <c r="X374" s="78">
        <v>120</v>
      </c>
      <c r="Y374" s="809">
        <f t="shared" ref="Y374:AB374" si="364">Y367*Y360</f>
        <v>12745.124669074285</v>
      </c>
      <c r="Z374" s="809">
        <f t="shared" si="364"/>
        <v>1846.3816015542855</v>
      </c>
      <c r="AA374" s="809">
        <f t="shared" si="364"/>
        <v>125.68257926399998</v>
      </c>
      <c r="AB374" s="810">
        <f t="shared" si="364"/>
        <v>0</v>
      </c>
      <c r="AC374" s="611">
        <f t="shared" si="353"/>
        <v>14717.188849892569</v>
      </c>
      <c r="AE374" s="78">
        <v>120</v>
      </c>
      <c r="AF374" s="809">
        <f t="shared" ref="AF374:AI374" si="365">AF367*AF360</f>
        <v>14103.628035692043</v>
      </c>
      <c r="AG374" s="809">
        <f t="shared" si="365"/>
        <v>6691.9169794121626</v>
      </c>
      <c r="AH374" s="809">
        <f t="shared" si="365"/>
        <v>0</v>
      </c>
      <c r="AI374" s="810">
        <f t="shared" si="365"/>
        <v>0</v>
      </c>
      <c r="AJ374" s="611">
        <f t="shared" si="355"/>
        <v>20795.545015104206</v>
      </c>
      <c r="AL374" s="78">
        <v>120</v>
      </c>
      <c r="AM374" s="809">
        <f t="shared" ref="AM374:AP374" si="366">AM367*AM360</f>
        <v>17204.608229797475</v>
      </c>
      <c r="AN374" s="809">
        <f t="shared" si="366"/>
        <v>10209.460467530062</v>
      </c>
      <c r="AO374" s="809">
        <f t="shared" si="366"/>
        <v>0</v>
      </c>
      <c r="AP374" s="810">
        <f t="shared" si="366"/>
        <v>0</v>
      </c>
      <c r="AQ374" s="611">
        <f t="shared" si="357"/>
        <v>27414.068697327537</v>
      </c>
      <c r="AS374" s="78">
        <v>120</v>
      </c>
      <c r="AT374" s="809">
        <f t="shared" ref="AT374:AW374" si="367">AT367*AT360</f>
        <v>26003.004031660435</v>
      </c>
      <c r="AU374" s="809">
        <f t="shared" si="367"/>
        <v>10308.647628282355</v>
      </c>
      <c r="AV374" s="809">
        <f t="shared" si="367"/>
        <v>0</v>
      </c>
      <c r="AW374" s="810">
        <f t="shared" si="367"/>
        <v>0</v>
      </c>
      <c r="AX374" s="611">
        <f t="shared" si="359"/>
        <v>36311.651659942792</v>
      </c>
    </row>
    <row r="375" spans="12:50">
      <c r="M375" s="70">
        <v>1</v>
      </c>
      <c r="N375" s="78">
        <v>6</v>
      </c>
      <c r="O375" s="783">
        <f t="shared" si="351"/>
        <v>6.3247863247863245E-2</v>
      </c>
      <c r="P375" s="530">
        <f t="shared" si="351"/>
        <v>8.7257617728531855E-2</v>
      </c>
      <c r="Q375" s="530">
        <f t="shared" si="351"/>
        <v>0.10526315789473684</v>
      </c>
      <c r="R375" s="531">
        <f t="shared" si="351"/>
        <v>0.13200934579439252</v>
      </c>
      <c r="S375" s="532">
        <f t="shared" si="351"/>
        <v>6.4406779661016947E-2</v>
      </c>
      <c r="T375" s="532">
        <f t="shared" si="351"/>
        <v>8.0960854092526693E-2</v>
      </c>
      <c r="U375" s="532">
        <f t="shared" si="351"/>
        <v>6.6368381804623414E-2</v>
      </c>
      <c r="X375" s="520" t="s">
        <v>254</v>
      </c>
      <c r="Y375" s="814">
        <f>SUM(Y371:Y374)</f>
        <v>21528.612955519999</v>
      </c>
      <c r="Z375" s="814">
        <f t="shared" ref="Z375:AB375" si="368">SUM(Z371:Z374)</f>
        <v>19327.976796563809</v>
      </c>
      <c r="AA375" s="814">
        <f t="shared" si="368"/>
        <v>9625.0345403519968</v>
      </c>
      <c r="AB375" s="815">
        <f t="shared" si="368"/>
        <v>10442.283948800008</v>
      </c>
      <c r="AC375" s="568">
        <f t="shared" si="353"/>
        <v>60923.908241235811</v>
      </c>
      <c r="AE375" s="520" t="s">
        <v>254</v>
      </c>
      <c r="AF375" s="814">
        <f>SUM(AF371:AF374)</f>
        <v>24257.405628228677</v>
      </c>
      <c r="AG375" s="814">
        <f t="shared" ref="AG375" si="369">SUM(AG371:AG374)</f>
        <v>31982.223686522291</v>
      </c>
      <c r="AH375" s="814">
        <f t="shared" ref="AH375" si="370">SUM(AH371:AH374)</f>
        <v>11501.269329632671</v>
      </c>
      <c r="AI375" s="815">
        <f t="shared" ref="AI375" si="371">SUM(AI371:AI374)</f>
        <v>28671.807916591661</v>
      </c>
      <c r="AJ375" s="568">
        <f t="shared" si="355"/>
        <v>96412.706560975304</v>
      </c>
      <c r="AL375" s="520" t="s">
        <v>254</v>
      </c>
      <c r="AM375" s="814">
        <f>SUM(AM371:AM374)</f>
        <v>42223.648771737178</v>
      </c>
      <c r="AN375" s="814">
        <f t="shared" ref="AN375" si="372">SUM(AN371:AN374)</f>
        <v>45803.124172240059</v>
      </c>
      <c r="AO375" s="814">
        <f t="shared" ref="AO375" si="373">SUM(AO371:AO374)</f>
        <v>18607.859045900565</v>
      </c>
      <c r="AP375" s="815">
        <f t="shared" ref="AP375" si="374">SUM(AP371:AP374)</f>
        <v>25575.926466005363</v>
      </c>
      <c r="AQ375" s="568">
        <f t="shared" si="357"/>
        <v>132210.55845588318</v>
      </c>
      <c r="AS375" s="520" t="s">
        <v>254</v>
      </c>
      <c r="AT375" s="814">
        <f>SUM(AT371:AT374)</f>
        <v>63816.722507015242</v>
      </c>
      <c r="AU375" s="814">
        <f t="shared" ref="AU375" si="375">SUM(AU371:AU374)</f>
        <v>56714.093944082837</v>
      </c>
      <c r="AV375" s="814">
        <f t="shared" ref="AV375" si="376">SUM(AV371:AV374)</f>
        <v>18526.412961670081</v>
      </c>
      <c r="AW375" s="815">
        <f t="shared" ref="AW375" si="377">SUM(AW371:AW374)</f>
        <v>36584.569831401757</v>
      </c>
      <c r="AX375" s="568">
        <f t="shared" si="359"/>
        <v>175641.7992441699</v>
      </c>
    </row>
    <row r="376" spans="12:50">
      <c r="M376" s="519" t="s">
        <v>221</v>
      </c>
      <c r="N376" s="740"/>
      <c r="O376" s="613">
        <f t="shared" si="351"/>
        <v>8.2051282051282051E-2</v>
      </c>
      <c r="P376" s="613">
        <f t="shared" si="351"/>
        <v>0.1329639889196676</v>
      </c>
      <c r="Q376" s="613">
        <f t="shared" si="351"/>
        <v>0.17747858017135862</v>
      </c>
      <c r="R376" s="614">
        <f t="shared" si="351"/>
        <v>0.22663551401869159</v>
      </c>
      <c r="S376" s="613">
        <f t="shared" si="351"/>
        <v>8.9265536723163841E-2</v>
      </c>
      <c r="T376" s="613">
        <f t="shared" si="351"/>
        <v>0.13434163701067617</v>
      </c>
      <c r="U376" s="613">
        <f t="shared" si="351"/>
        <v>0.12080536912751678</v>
      </c>
    </row>
    <row r="377" spans="12:50">
      <c r="L377" s="12"/>
      <c r="M377" s="490"/>
      <c r="N377" s="490"/>
      <c r="O377" s="497"/>
      <c r="P377" s="497"/>
      <c r="Q377" s="497"/>
      <c r="R377" s="497"/>
      <c r="S377" s="496"/>
      <c r="T377" s="496"/>
      <c r="U377" s="496"/>
      <c r="X377" s="78" t="s">
        <v>663</v>
      </c>
      <c r="Y377" s="71" t="s">
        <v>658</v>
      </c>
      <c r="Z377" s="71" t="s">
        <v>659</v>
      </c>
      <c r="AA377" s="71" t="s">
        <v>660</v>
      </c>
      <c r="AB377" s="77" t="s">
        <v>661</v>
      </c>
      <c r="AC377" s="71" t="s">
        <v>254</v>
      </c>
      <c r="AE377" s="78" t="s">
        <v>663</v>
      </c>
      <c r="AF377" s="71" t="s">
        <v>658</v>
      </c>
      <c r="AG377" s="71" t="s">
        <v>659</v>
      </c>
      <c r="AH377" s="71" t="s">
        <v>660</v>
      </c>
      <c r="AI377" s="77" t="s">
        <v>661</v>
      </c>
      <c r="AJ377" s="71" t="s">
        <v>254</v>
      </c>
      <c r="AL377" s="78" t="s">
        <v>663</v>
      </c>
      <c r="AM377" s="71" t="s">
        <v>658</v>
      </c>
      <c r="AN377" s="71" t="s">
        <v>659</v>
      </c>
      <c r="AO377" s="71" t="s">
        <v>660</v>
      </c>
      <c r="AP377" s="77" t="s">
        <v>661</v>
      </c>
      <c r="AQ377" s="71" t="s">
        <v>254</v>
      </c>
      <c r="AS377" s="78" t="s">
        <v>663</v>
      </c>
      <c r="AT377" s="71" t="s">
        <v>658</v>
      </c>
      <c r="AU377" s="71" t="s">
        <v>659</v>
      </c>
      <c r="AV377" s="71" t="s">
        <v>660</v>
      </c>
      <c r="AW377" s="77" t="s">
        <v>661</v>
      </c>
      <c r="AX377" s="71" t="s">
        <v>254</v>
      </c>
    </row>
    <row r="378" spans="12:50">
      <c r="L378" s="12"/>
      <c r="M378" s="490"/>
      <c r="N378" s="490"/>
      <c r="O378" s="497"/>
      <c r="P378" s="497"/>
      <c r="Q378" s="497"/>
      <c r="R378" s="497"/>
      <c r="S378" s="496"/>
      <c r="T378" s="496"/>
      <c r="U378" s="496"/>
      <c r="X378" s="699">
        <v>600</v>
      </c>
      <c r="Y378" s="1676">
        <v>1.9221541091904097E-2</v>
      </c>
      <c r="Z378" s="1676">
        <v>9.5849819705249806E-2</v>
      </c>
      <c r="AA378" s="1676">
        <v>8.5623446514931603E-2</v>
      </c>
      <c r="AB378" s="1677">
        <v>8.8040792749329563E-2</v>
      </c>
      <c r="AC378" s="474">
        <f>AC371/$Y$333</f>
        <v>0.25754605467917369</v>
      </c>
      <c r="AE378" s="699">
        <v>600</v>
      </c>
      <c r="AF378" s="1676">
        <v>4.0055098524336566E-3</v>
      </c>
      <c r="AG378" s="1676">
        <v>0.10841197944273392</v>
      </c>
      <c r="AH378" s="1676">
        <v>6.326934970116195E-2</v>
      </c>
      <c r="AI378" s="1677">
        <v>0.1741384275652135</v>
      </c>
      <c r="AJ378" s="474">
        <f t="shared" ref="AJ378" si="378">AJ371/$Z$333</f>
        <v>0.32777454189610122</v>
      </c>
      <c r="AL378" s="699">
        <v>600</v>
      </c>
      <c r="AM378" s="512">
        <f>AM371/$AA$333</f>
        <v>2.700077257755228E-2</v>
      </c>
      <c r="AN378" s="512">
        <f t="shared" ref="AN378:AQ378" si="379">AN371/$AA$333</f>
        <v>0.10438897888801849</v>
      </c>
      <c r="AO378" s="512">
        <f t="shared" si="379"/>
        <v>7.0411555826111513E-2</v>
      </c>
      <c r="AP378" s="513">
        <f t="shared" si="379"/>
        <v>0.12919744628210428</v>
      </c>
      <c r="AQ378" s="474">
        <f t="shared" si="379"/>
        <v>0.33099875357378655</v>
      </c>
      <c r="AS378" s="699">
        <v>600</v>
      </c>
      <c r="AT378" s="512">
        <f>AT371/$AB$333</f>
        <v>3.4121298065473323E-2</v>
      </c>
      <c r="AU378" s="512">
        <f t="shared" ref="AU378:AX378" si="380">AU371/$AB$333</f>
        <v>0.11652755183045894</v>
      </c>
      <c r="AV378" s="512">
        <f t="shared" si="380"/>
        <v>6.1756484115129545E-2</v>
      </c>
      <c r="AW378" s="513">
        <f t="shared" si="380"/>
        <v>0.15452228644904817</v>
      </c>
      <c r="AX378" s="474">
        <f t="shared" si="380"/>
        <v>0.36692762046011002</v>
      </c>
    </row>
    <row r="379" spans="12:50">
      <c r="L379" s="80" t="s">
        <v>640</v>
      </c>
      <c r="M379" s="70" t="s">
        <v>20</v>
      </c>
      <c r="N379" s="78" t="s">
        <v>220</v>
      </c>
      <c r="O379" s="71" t="s">
        <v>208</v>
      </c>
      <c r="P379" s="72" t="s">
        <v>209</v>
      </c>
      <c r="Q379" s="72" t="s">
        <v>212</v>
      </c>
      <c r="R379" s="73" t="s">
        <v>211</v>
      </c>
      <c r="S379" s="71" t="s">
        <v>213</v>
      </c>
      <c r="T379" s="72" t="s">
        <v>214</v>
      </c>
      <c r="U379" s="72" t="s">
        <v>210</v>
      </c>
      <c r="X379" s="699">
        <v>360</v>
      </c>
      <c r="Y379" s="1676">
        <v>2.8176296028523458E-2</v>
      </c>
      <c r="Z379" s="1676">
        <v>2.5153765533945886E-2</v>
      </c>
      <c r="AA379" s="1676">
        <v>3.3690911048105503E-3</v>
      </c>
      <c r="AB379" s="1677"/>
      <c r="AC379" s="474">
        <f t="shared" ref="AC379" si="381">AC372/$Y$333</f>
        <v>4.8103485098797645E-2</v>
      </c>
      <c r="AE379" s="699">
        <v>360</v>
      </c>
      <c r="AF379" s="1676">
        <v>2.8694852873979573E-2</v>
      </c>
      <c r="AG379" s="1676">
        <v>4.3472523017258999E-2</v>
      </c>
      <c r="AH379" s="1676">
        <v>1.6291659951049382E-2</v>
      </c>
      <c r="AI379" s="1677">
        <v>0</v>
      </c>
      <c r="AJ379" s="474">
        <f t="shared" ref="AF379:AJ382" si="382">AJ372/$Z$333</f>
        <v>7.517914944121204E-2</v>
      </c>
      <c r="AL379" s="699">
        <v>360</v>
      </c>
      <c r="AM379" s="512">
        <f t="shared" ref="AM379:AQ379" si="383">AM372/$AA$333</f>
        <v>5.1581161958755679E-2</v>
      </c>
      <c r="AN379" s="512">
        <f t="shared" si="383"/>
        <v>3.7800545407187247E-2</v>
      </c>
      <c r="AO379" s="512">
        <f t="shared" si="383"/>
        <v>2.0306446409025507E-2</v>
      </c>
      <c r="AP379" s="513">
        <f t="shared" si="383"/>
        <v>0</v>
      </c>
      <c r="AQ379" s="474">
        <f t="shared" si="383"/>
        <v>0.10968815377496845</v>
      </c>
      <c r="AS379" s="699">
        <v>360</v>
      </c>
      <c r="AT379" s="512">
        <f t="shared" ref="AT379:AX379" si="384">AT372/$AB$333</f>
        <v>6.5183920078693836E-2</v>
      </c>
      <c r="AU379" s="512">
        <f t="shared" si="384"/>
        <v>3.8579267098461996E-2</v>
      </c>
      <c r="AV379" s="512">
        <f t="shared" si="384"/>
        <v>1.3878197923626198E-2</v>
      </c>
      <c r="AW379" s="513">
        <f t="shared" si="384"/>
        <v>0</v>
      </c>
      <c r="AX379" s="474">
        <f t="shared" si="384"/>
        <v>0.11764138510078204</v>
      </c>
    </row>
    <row r="380" spans="12:50">
      <c r="L380" s="12"/>
      <c r="M380" s="68">
        <v>4</v>
      </c>
      <c r="N380" s="699">
        <v>600</v>
      </c>
      <c r="O380" s="494">
        <v>4580.4459999999999</v>
      </c>
      <c r="P380" s="494">
        <v>13332.199000000001</v>
      </c>
      <c r="Q380" s="494">
        <v>17506.919000000002</v>
      </c>
      <c r="R380" s="495">
        <v>32332.749999999993</v>
      </c>
      <c r="S380" s="496">
        <v>6125.0990000000011</v>
      </c>
      <c r="T380" s="496">
        <v>18148.984000000004</v>
      </c>
      <c r="U380" s="496">
        <v>10683.895</v>
      </c>
      <c r="V380" s="442"/>
      <c r="X380" s="699">
        <v>240</v>
      </c>
      <c r="Y380" s="1676">
        <v>3.8939396086132637E-2</v>
      </c>
      <c r="Z380" s="1676">
        <v>3.7720994165825202E-2</v>
      </c>
      <c r="AA380" s="1676"/>
      <c r="AB380" s="1677"/>
      <c r="AC380" s="474">
        <f t="shared" ref="AC380" si="385">AC373/$Y$333</f>
        <v>6.5139999180720123E-2</v>
      </c>
      <c r="AE380" s="699">
        <v>240</v>
      </c>
      <c r="AF380" s="1676">
        <v>4.8865006953779384E-2</v>
      </c>
      <c r="AG380" s="1676">
        <v>3.226126935967074E-2</v>
      </c>
      <c r="AH380" s="1676">
        <v>1.9342041204258339E-3</v>
      </c>
      <c r="AI380" s="1677">
        <v>0</v>
      </c>
      <c r="AJ380" s="474">
        <f t="shared" si="382"/>
        <v>6.4553939569913898E-2</v>
      </c>
      <c r="AL380" s="699">
        <v>240</v>
      </c>
      <c r="AM380" s="512">
        <f t="shared" ref="AM380:AQ380" si="386">AM373/$AA$333</f>
        <v>4.7802388265973855E-2</v>
      </c>
      <c r="AN380" s="512">
        <f t="shared" si="386"/>
        <v>3.7612777708784961E-2</v>
      </c>
      <c r="AO380" s="512">
        <f t="shared" si="386"/>
        <v>3.2800733654922113E-3</v>
      </c>
      <c r="AP380" s="513">
        <f t="shared" si="386"/>
        <v>0</v>
      </c>
      <c r="AQ380" s="474">
        <f t="shared" si="386"/>
        <v>8.8695239340251031E-2</v>
      </c>
      <c r="AS380" s="699">
        <v>240</v>
      </c>
      <c r="AT380" s="512">
        <f t="shared" ref="AT380:AX380" si="387">AT373/$AB$333</f>
        <v>6.0408624737679321E-2</v>
      </c>
      <c r="AU380" s="512">
        <f t="shared" si="387"/>
        <v>4.0895913956876681E-2</v>
      </c>
      <c r="AV380" s="512">
        <f t="shared" si="387"/>
        <v>2.6153480621682462E-3</v>
      </c>
      <c r="AW380" s="513">
        <f t="shared" si="387"/>
        <v>0</v>
      </c>
      <c r="AX380" s="474">
        <f t="shared" si="387"/>
        <v>0.10391988675672424</v>
      </c>
    </row>
    <row r="381" spans="12:50">
      <c r="L381" s="12"/>
      <c r="M381" s="68">
        <v>3</v>
      </c>
      <c r="N381" s="699">
        <v>360</v>
      </c>
      <c r="O381" s="494">
        <v>2671.1500000000005</v>
      </c>
      <c r="P381" s="494">
        <v>8163.39</v>
      </c>
      <c r="Q381" s="494">
        <v>10946.118</v>
      </c>
      <c r="R381" s="495">
        <v>18274.391000000003</v>
      </c>
      <c r="S381" s="496">
        <v>5356.5959999999995</v>
      </c>
      <c r="T381" s="496">
        <v>11206.769000000002</v>
      </c>
      <c r="U381" s="496">
        <v>12064.555000000002</v>
      </c>
      <c r="V381" s="442"/>
      <c r="X381" s="78">
        <v>120</v>
      </c>
      <c r="Y381" s="1678">
        <v>0.12514329857162731</v>
      </c>
      <c r="Z381" s="1678">
        <v>1.6723825720134373E-2</v>
      </c>
      <c r="AA381" s="1678">
        <v>1.1745146965333362E-3</v>
      </c>
      <c r="AB381" s="1679"/>
      <c r="AC381" s="478">
        <f t="shared" ref="AC381" si="388">AC374/$Y$333</f>
        <v>0.11809926652014201</v>
      </c>
      <c r="AE381" s="78">
        <v>120</v>
      </c>
      <c r="AF381" s="1678">
        <v>0.10442632566285219</v>
      </c>
      <c r="AG381" s="1678">
        <v>4.4127125389021173E-2</v>
      </c>
      <c r="AH381" s="1678">
        <v>0</v>
      </c>
      <c r="AI381" s="1679">
        <v>0</v>
      </c>
      <c r="AJ381" s="478">
        <f t="shared" si="382"/>
        <v>0.12856970275905333</v>
      </c>
      <c r="AL381" s="78">
        <v>120</v>
      </c>
      <c r="AM381" s="516">
        <f t="shared" ref="AM381:AQ381" si="389">AM374/$AA$333</f>
        <v>8.6909518234984218E-2</v>
      </c>
      <c r="AN381" s="516">
        <f t="shared" si="389"/>
        <v>5.1573350512881699E-2</v>
      </c>
      <c r="AO381" s="516">
        <f t="shared" si="389"/>
        <v>0</v>
      </c>
      <c r="AP381" s="517">
        <f t="shared" si="389"/>
        <v>0</v>
      </c>
      <c r="AQ381" s="478">
        <f t="shared" si="389"/>
        <v>0.13848286874786592</v>
      </c>
      <c r="AS381" s="78">
        <v>120</v>
      </c>
      <c r="AT381" s="516">
        <f t="shared" ref="AT381:AX381" si="390">AT374/$AB$333</f>
        <v>0.10982891574324778</v>
      </c>
      <c r="AU381" s="516">
        <f t="shared" si="390"/>
        <v>4.3540645935174954E-2</v>
      </c>
      <c r="AV381" s="516">
        <f t="shared" si="390"/>
        <v>0</v>
      </c>
      <c r="AW381" s="517">
        <f t="shared" si="390"/>
        <v>0</v>
      </c>
      <c r="AX381" s="478">
        <f t="shared" si="390"/>
        <v>0.15336956167842275</v>
      </c>
    </row>
    <row r="382" spans="12:50">
      <c r="L382" s="12"/>
      <c r="M382" s="68">
        <v>2</v>
      </c>
      <c r="N382" s="699">
        <v>240</v>
      </c>
      <c r="O382" s="494">
        <v>2595.04</v>
      </c>
      <c r="P382" s="494">
        <v>9001.8189999999995</v>
      </c>
      <c r="Q382" s="494">
        <v>9424.0339999999997</v>
      </c>
      <c r="R382" s="495">
        <v>12280.336499999994</v>
      </c>
      <c r="S382" s="496">
        <v>4094.3309999999997</v>
      </c>
      <c r="T382" s="496">
        <v>10558.079</v>
      </c>
      <c r="U382" s="496">
        <v>11594.182000000003</v>
      </c>
      <c r="V382" s="442"/>
      <c r="X382" s="520" t="s">
        <v>254</v>
      </c>
      <c r="Y382" s="588">
        <f t="shared" ref="Y382:AB382" si="391">Y375/$Y$333</f>
        <v>0.17275808751081548</v>
      </c>
      <c r="Z382" s="588">
        <f t="shared" si="391"/>
        <v>0.15509890552292344</v>
      </c>
      <c r="AA382" s="588">
        <f t="shared" si="391"/>
        <v>7.7236864393086899E-2</v>
      </c>
      <c r="AB382" s="813">
        <f t="shared" si="391"/>
        <v>8.3794948052007587E-2</v>
      </c>
      <c r="AC382" s="615">
        <f>AC375/$Y$333</f>
        <v>0.4888888054788334</v>
      </c>
      <c r="AE382" s="520" t="s">
        <v>254</v>
      </c>
      <c r="AF382" s="588">
        <f t="shared" si="382"/>
        <v>0.14997286337347385</v>
      </c>
      <c r="AG382" s="588">
        <f t="shared" si="382"/>
        <v>0.19773201375405841</v>
      </c>
      <c r="AH382" s="588">
        <f t="shared" si="382"/>
        <v>7.1107286584153953E-2</v>
      </c>
      <c r="AI382" s="813">
        <f t="shared" si="382"/>
        <v>0.17726516995459424</v>
      </c>
      <c r="AJ382" s="615">
        <f>AJ375/$Z$333</f>
        <v>0.59607733366628046</v>
      </c>
      <c r="AL382" s="520" t="s">
        <v>254</v>
      </c>
      <c r="AM382" s="588">
        <f t="shared" ref="AM382:AQ382" si="392">AM375/$AA$333</f>
        <v>0.21329384103726601</v>
      </c>
      <c r="AN382" s="588">
        <f t="shared" si="392"/>
        <v>0.23137565251687239</v>
      </c>
      <c r="AO382" s="588">
        <f t="shared" si="392"/>
        <v>9.3998075600629241E-2</v>
      </c>
      <c r="AP382" s="813">
        <f t="shared" si="392"/>
        <v>0.12919744628210428</v>
      </c>
      <c r="AQ382" s="615">
        <f t="shared" si="392"/>
        <v>0.66786501543687193</v>
      </c>
      <c r="AS382" s="520" t="s">
        <v>254</v>
      </c>
      <c r="AT382" s="588">
        <f t="shared" ref="AT382:AX382" si="393">AT375/$AB$333</f>
        <v>0.26954275862509425</v>
      </c>
      <c r="AU382" s="588">
        <f t="shared" si="393"/>
        <v>0.2395433788209726</v>
      </c>
      <c r="AV382" s="588">
        <f t="shared" si="393"/>
        <v>7.825003010092399E-2</v>
      </c>
      <c r="AW382" s="813">
        <f t="shared" si="393"/>
        <v>0.15452228644904817</v>
      </c>
      <c r="AX382" s="615">
        <f t="shared" si="393"/>
        <v>0.741858453996039</v>
      </c>
    </row>
    <row r="383" spans="12:50">
      <c r="L383" s="780"/>
      <c r="M383" s="70">
        <v>1</v>
      </c>
      <c r="N383" s="78">
        <v>120</v>
      </c>
      <c r="O383" s="524">
        <v>4333.4500000000007</v>
      </c>
      <c r="P383" s="524">
        <v>6135.0269999999982</v>
      </c>
      <c r="Q383" s="524">
        <v>12154.844000000001</v>
      </c>
      <c r="R383" s="525">
        <v>12975.388000000003</v>
      </c>
      <c r="S383" s="526">
        <v>7380.2280000000019</v>
      </c>
      <c r="T383" s="526">
        <v>12480.386000000002</v>
      </c>
      <c r="U383" s="526">
        <v>14003.910000000002</v>
      </c>
      <c r="V383" s="442"/>
      <c r="Y383" s="489"/>
      <c r="Z383" s="489"/>
      <c r="AA383" s="489"/>
      <c r="AB383" s="489"/>
      <c r="AF383" s="489"/>
      <c r="AG383" s="489"/>
      <c r="AH383" s="489"/>
      <c r="AI383" s="489"/>
      <c r="AM383" s="489"/>
      <c r="AN383" s="489"/>
      <c r="AO383" s="489"/>
      <c r="AP383" s="489"/>
      <c r="AT383" s="489"/>
      <c r="AU383" s="489"/>
      <c r="AV383" s="489"/>
      <c r="AW383" s="489"/>
    </row>
    <row r="384" spans="12:50">
      <c r="L384" s="780"/>
      <c r="M384" s="519" t="s">
        <v>221</v>
      </c>
      <c r="N384" s="520"/>
      <c r="O384" s="527">
        <f>SUM(O380:O383)</f>
        <v>14180.086000000001</v>
      </c>
      <c r="P384" s="528">
        <f t="shared" ref="P384" si="394">SUM(P380:P383)</f>
        <v>36632.434999999998</v>
      </c>
      <c r="Q384" s="528">
        <f t="shared" ref="Q384" si="395">SUM(Q380:Q383)</f>
        <v>50031.915000000008</v>
      </c>
      <c r="R384" s="529">
        <f t="shared" ref="R384" si="396">SUM(R380:R383)</f>
        <v>75862.8655</v>
      </c>
      <c r="S384" s="528">
        <f t="shared" ref="S384" si="397">SUM(S380:S383)</f>
        <v>22956.254000000001</v>
      </c>
      <c r="T384" s="528">
        <f t="shared" ref="T384" si="398">SUM(T380:T383)</f>
        <v>52394.218000000008</v>
      </c>
      <c r="U384" s="528">
        <f t="shared" ref="U384" si="399">SUM(U380:U383)</f>
        <v>48346.542000000009</v>
      </c>
      <c r="X384" s="78" t="s">
        <v>466</v>
      </c>
      <c r="Y384" s="71" t="s">
        <v>658</v>
      </c>
      <c r="Z384" s="71" t="s">
        <v>659</v>
      </c>
      <c r="AA384" s="71" t="s">
        <v>660</v>
      </c>
      <c r="AB384" s="77" t="s">
        <v>661</v>
      </c>
      <c r="AC384" s="71" t="s">
        <v>254</v>
      </c>
      <c r="AE384" s="78" t="s">
        <v>466</v>
      </c>
      <c r="AF384" s="71" t="s">
        <v>658</v>
      </c>
      <c r="AG384" s="71" t="s">
        <v>659</v>
      </c>
      <c r="AH384" s="71" t="s">
        <v>660</v>
      </c>
      <c r="AI384" s="77" t="s">
        <v>661</v>
      </c>
      <c r="AJ384" s="71" t="s">
        <v>254</v>
      </c>
      <c r="AL384" s="78" t="s">
        <v>466</v>
      </c>
      <c r="AM384" s="71" t="s">
        <v>658</v>
      </c>
      <c r="AN384" s="71" t="s">
        <v>659</v>
      </c>
      <c r="AO384" s="71" t="s">
        <v>660</v>
      </c>
      <c r="AP384" s="77" t="s">
        <v>661</v>
      </c>
      <c r="AQ384" s="71" t="s">
        <v>254</v>
      </c>
      <c r="AS384" s="78" t="s">
        <v>466</v>
      </c>
      <c r="AT384" s="71" t="s">
        <v>658</v>
      </c>
      <c r="AU384" s="71" t="s">
        <v>659</v>
      </c>
      <c r="AV384" s="71" t="s">
        <v>660</v>
      </c>
      <c r="AW384" s="77" t="s">
        <v>661</v>
      </c>
      <c r="AX384" s="71" t="s">
        <v>254</v>
      </c>
    </row>
    <row r="385" spans="12:50">
      <c r="L385" s="780"/>
      <c r="M385" s="539"/>
      <c r="N385" s="539"/>
      <c r="O385" s="782"/>
      <c r="P385" s="782"/>
      <c r="Q385" s="782"/>
      <c r="R385" s="782"/>
      <c r="S385" s="782"/>
      <c r="T385" s="782"/>
      <c r="U385" s="782"/>
      <c r="X385" s="699">
        <v>600</v>
      </c>
      <c r="Y385" s="808">
        <f>Y371*$R$22*E336</f>
        <v>126.98228184274285</v>
      </c>
      <c r="Z385" s="808">
        <f t="shared" ref="Z385:AB385" si="400">Z371*$R$22*F336</f>
        <v>789.33007007494098</v>
      </c>
      <c r="AA385" s="808">
        <f t="shared" si="400"/>
        <v>772.2612979361279</v>
      </c>
      <c r="AB385" s="559">
        <f t="shared" si="400"/>
        <v>1018.1226850080008</v>
      </c>
      <c r="AC385" s="499">
        <f>SUM(Y385:AB385)</f>
        <v>2706.6963348618124</v>
      </c>
      <c r="AE385" s="699">
        <v>600</v>
      </c>
      <c r="AF385" s="808">
        <f>AF371*$R$22*E336</f>
        <v>38.837532028370418</v>
      </c>
      <c r="AG385" s="808">
        <f t="shared" ref="AG385:AI385" si="401">AG371*$R$22*F336</f>
        <v>1107.615312361404</v>
      </c>
      <c r="AH385" s="808">
        <f t="shared" si="401"/>
        <v>754.50782802970843</v>
      </c>
      <c r="AI385" s="559">
        <f t="shared" si="401"/>
        <v>2795.5012718676867</v>
      </c>
      <c r="AJ385" s="499">
        <f>SUM(AF385:AI385)</f>
        <v>4696.4619442871699</v>
      </c>
      <c r="AL385" s="699">
        <v>600</v>
      </c>
      <c r="AM385" s="808">
        <f>AM371*$R$22*E336</f>
        <v>347.42974106439624</v>
      </c>
      <c r="AN385" s="808">
        <f t="shared" ref="AN385:AP385" si="402">AN371*$R$22*F336</f>
        <v>1544.6969589852426</v>
      </c>
      <c r="AO385" s="808">
        <f t="shared" si="402"/>
        <v>1177.8177494679796</v>
      </c>
      <c r="AP385" s="559">
        <f t="shared" si="402"/>
        <v>2493.6528304355229</v>
      </c>
      <c r="AQ385" s="499">
        <f>SUM(AM385:AP385)</f>
        <v>5563.597279953141</v>
      </c>
      <c r="AS385" s="699">
        <v>600</v>
      </c>
      <c r="AT385" s="808">
        <f>AT371*$R$22*E336</f>
        <v>525.10448578360831</v>
      </c>
      <c r="AU385" s="808">
        <f t="shared" ref="AU385:AW385" si="403">AU371*$R$22*F336</f>
        <v>2062.2753295043253</v>
      </c>
      <c r="AV385" s="808">
        <f t="shared" si="403"/>
        <v>1235.5095285270029</v>
      </c>
      <c r="AW385" s="559">
        <f t="shared" si="403"/>
        <v>3566.9955585616717</v>
      </c>
      <c r="AX385" s="499">
        <f t="shared" ref="AX385" si="404">AX371*30%*I336</f>
        <v>0</v>
      </c>
    </row>
    <row r="386" spans="12:50">
      <c r="L386" s="80" t="s">
        <v>641</v>
      </c>
      <c r="M386" s="70" t="s">
        <v>20</v>
      </c>
      <c r="N386" s="78" t="s">
        <v>220</v>
      </c>
      <c r="O386" s="71" t="s">
        <v>208</v>
      </c>
      <c r="P386" s="72" t="s">
        <v>209</v>
      </c>
      <c r="Q386" s="72" t="s">
        <v>212</v>
      </c>
      <c r="R386" s="73" t="s">
        <v>211</v>
      </c>
      <c r="S386" s="71" t="s">
        <v>213</v>
      </c>
      <c r="T386" s="72" t="s">
        <v>214</v>
      </c>
      <c r="U386" s="72" t="s">
        <v>210</v>
      </c>
      <c r="X386" s="699">
        <v>360</v>
      </c>
      <c r="Y386" s="808">
        <f t="shared" ref="Y386:AB386" si="405">Y372*$R$22*E337</f>
        <v>139.6108352496</v>
      </c>
      <c r="Z386" s="808">
        <f t="shared" si="405"/>
        <v>162.07659629303998</v>
      </c>
      <c r="AA386" s="808">
        <f t="shared" si="405"/>
        <v>24.581261472767995</v>
      </c>
      <c r="AB386" s="559">
        <f t="shared" si="405"/>
        <v>0</v>
      </c>
      <c r="AC386" s="499">
        <f t="shared" ref="AC386:AC389" si="406">SUM(Y386:AB386)</f>
        <v>326.26869301540796</v>
      </c>
      <c r="AE386" s="699">
        <v>360</v>
      </c>
      <c r="AF386" s="808">
        <f t="shared" ref="AF386:AI386" si="407">AF372*$R$22*E337</f>
        <v>208.66955305304984</v>
      </c>
      <c r="AG386" s="808">
        <f t="shared" si="407"/>
        <v>326.44526687306563</v>
      </c>
      <c r="AH386" s="808">
        <f t="shared" si="407"/>
        <v>156.92121521060156</v>
      </c>
      <c r="AI386" s="559">
        <f t="shared" si="407"/>
        <v>0</v>
      </c>
      <c r="AJ386" s="499">
        <f t="shared" ref="AJ386:AJ389" si="408">SUM(AF386:AI386)</f>
        <v>692.03603513671703</v>
      </c>
      <c r="AL386" s="699">
        <v>360</v>
      </c>
      <c r="AM386" s="808">
        <f t="shared" ref="AM386:AP386" si="409">AM372*$R$22*E337</f>
        <v>497.78658254106966</v>
      </c>
      <c r="AN386" s="808">
        <f t="shared" si="409"/>
        <v>437.75526417519706</v>
      </c>
      <c r="AO386" s="808">
        <f t="shared" si="409"/>
        <v>274.35572694966959</v>
      </c>
      <c r="AP386" s="559">
        <f t="shared" si="409"/>
        <v>0</v>
      </c>
      <c r="AQ386" s="499">
        <f t="shared" ref="AQ386:AQ389" si="410">SUM(AM386:AP386)</f>
        <v>1209.8975736659363</v>
      </c>
      <c r="AS386" s="699">
        <v>360</v>
      </c>
      <c r="AT386" s="808">
        <f t="shared" ref="AT386:AW386" si="411">AT372*$R$22*E337</f>
        <v>752.35345901708297</v>
      </c>
      <c r="AU386" s="808">
        <f t="shared" si="411"/>
        <v>534.33874512912121</v>
      </c>
      <c r="AV386" s="808">
        <f t="shared" si="411"/>
        <v>224.25521938879885</v>
      </c>
      <c r="AW386" s="559">
        <f t="shared" si="411"/>
        <v>0</v>
      </c>
      <c r="AX386" s="499">
        <f t="shared" ref="AX386" si="412">AX372*30%*I337</f>
        <v>0</v>
      </c>
    </row>
    <row r="387" spans="12:50">
      <c r="L387" s="12"/>
      <c r="M387" s="68">
        <v>4</v>
      </c>
      <c r="N387" s="699">
        <v>600</v>
      </c>
      <c r="O387" s="508">
        <f>O380/O$333</f>
        <v>0.12118582915763572</v>
      </c>
      <c r="P387" s="508">
        <f t="shared" ref="P387:U387" si="413">P380/P$333</f>
        <v>0.19849474386111088</v>
      </c>
      <c r="Q387" s="508">
        <f t="shared" si="413"/>
        <v>0.21174317580771201</v>
      </c>
      <c r="R387" s="509">
        <f t="shared" si="413"/>
        <v>0.25935552809376589</v>
      </c>
      <c r="S387" s="510">
        <f t="shared" si="413"/>
        <v>0.10094675749620649</v>
      </c>
      <c r="T387" s="510">
        <f t="shared" si="413"/>
        <v>0.18228181419841119</v>
      </c>
      <c r="U387" s="510">
        <f t="shared" si="413"/>
        <v>9.7746858783156254E-2</v>
      </c>
      <c r="X387" s="699">
        <v>240</v>
      </c>
      <c r="Y387" s="808">
        <f t="shared" ref="Y387:AB387" si="414">Y373*$R$22*E338</f>
        <v>128.89833822171428</v>
      </c>
      <c r="Z387" s="808">
        <f t="shared" si="414"/>
        <v>175.39899435834286</v>
      </c>
      <c r="AA387" s="808">
        <f t="shared" si="414"/>
        <v>0</v>
      </c>
      <c r="AB387" s="559">
        <f t="shared" si="414"/>
        <v>0</v>
      </c>
      <c r="AC387" s="499">
        <f t="shared" si="406"/>
        <v>304.29733258005717</v>
      </c>
      <c r="AE387" s="699">
        <v>240</v>
      </c>
      <c r="AF387" s="808">
        <f t="shared" ref="AF387:AI387" si="415">AF373*$R$22*E338</f>
        <v>171.46597037455552</v>
      </c>
      <c r="AG387" s="808">
        <f t="shared" si="415"/>
        <v>206.70599487874796</v>
      </c>
      <c r="AH387" s="808">
        <f t="shared" si="415"/>
        <v>14.194474471316077</v>
      </c>
      <c r="AI387" s="559">
        <f t="shared" si="415"/>
        <v>0</v>
      </c>
      <c r="AJ387" s="499">
        <f t="shared" si="408"/>
        <v>392.36643972461957</v>
      </c>
      <c r="AL387" s="699">
        <v>240</v>
      </c>
      <c r="AM387" s="808">
        <f t="shared" ref="AM387:AP387" si="416">AM373*$R$22*E338</f>
        <v>307.54622538679604</v>
      </c>
      <c r="AN387" s="808">
        <f t="shared" si="416"/>
        <v>314.58612632851276</v>
      </c>
      <c r="AO387" s="808">
        <f t="shared" si="416"/>
        <v>33.764812818507586</v>
      </c>
      <c r="AP387" s="559">
        <f t="shared" si="416"/>
        <v>0</v>
      </c>
      <c r="AQ387" s="499">
        <f t="shared" si="410"/>
        <v>655.89716453381641</v>
      </c>
      <c r="AS387" s="699">
        <v>240</v>
      </c>
      <c r="AT387" s="808">
        <f t="shared" ref="AT387:AW387" si="417">AT373*$R$22*E338</f>
        <v>464.82463487917175</v>
      </c>
      <c r="AU387" s="808">
        <f t="shared" si="417"/>
        <v>409.0849090222336</v>
      </c>
      <c r="AV387" s="808">
        <f t="shared" si="417"/>
        <v>32.198798455904239</v>
      </c>
      <c r="AW387" s="559">
        <f t="shared" si="417"/>
        <v>0</v>
      </c>
      <c r="AX387" s="499">
        <f t="shared" ref="AX387" si="418">AX373*30%*I338</f>
        <v>0</v>
      </c>
    </row>
    <row r="388" spans="12:50">
      <c r="L388" s="12"/>
      <c r="M388" s="68">
        <v>3</v>
      </c>
      <c r="N388" s="699">
        <v>360</v>
      </c>
      <c r="O388" s="508">
        <f t="shared" ref="O388:U388" si="419">O381/O$333</f>
        <v>7.0671180831390373E-2</v>
      </c>
      <c r="P388" s="508">
        <f t="shared" si="419"/>
        <v>0.12153959051228938</v>
      </c>
      <c r="Q388" s="508">
        <f t="shared" si="419"/>
        <v>0.13239141553610664</v>
      </c>
      <c r="R388" s="509">
        <f t="shared" si="419"/>
        <v>0.14658710837763458</v>
      </c>
      <c r="S388" s="510">
        <f t="shared" si="419"/>
        <v>8.8281184910994834E-2</v>
      </c>
      <c r="T388" s="510">
        <f t="shared" si="419"/>
        <v>0.11255672409114</v>
      </c>
      <c r="U388" s="510">
        <f t="shared" si="419"/>
        <v>0.11037850464335544</v>
      </c>
      <c r="X388" s="78">
        <v>120</v>
      </c>
      <c r="Y388" s="809">
        <f t="shared" ref="Y388:AB388" si="420">Y374*$R$22*E339</f>
        <v>207.10827587245714</v>
      </c>
      <c r="Z388" s="809">
        <f t="shared" si="420"/>
        <v>30.003701025257143</v>
      </c>
      <c r="AA388" s="809">
        <f t="shared" si="420"/>
        <v>2.04234191304</v>
      </c>
      <c r="AB388" s="810">
        <f t="shared" si="420"/>
        <v>0</v>
      </c>
      <c r="AC388" s="611">
        <f t="shared" si="406"/>
        <v>239.15431881075426</v>
      </c>
      <c r="AE388" s="78">
        <v>120</v>
      </c>
      <c r="AF388" s="809">
        <f t="shared" ref="AF388:AI388" si="421">AF374*$R$22*E339</f>
        <v>229.18395557999571</v>
      </c>
      <c r="AG388" s="809">
        <f t="shared" si="421"/>
        <v>108.74365091544765</v>
      </c>
      <c r="AH388" s="809">
        <f t="shared" si="421"/>
        <v>0</v>
      </c>
      <c r="AI388" s="810">
        <f t="shared" si="421"/>
        <v>0</v>
      </c>
      <c r="AJ388" s="611">
        <f t="shared" si="408"/>
        <v>337.92760649544334</v>
      </c>
      <c r="AL388" s="78">
        <v>120</v>
      </c>
      <c r="AM388" s="809">
        <f t="shared" ref="AM388:AP388" si="422">AM374*$R$22*E339</f>
        <v>279.57488373420898</v>
      </c>
      <c r="AN388" s="809">
        <f t="shared" si="422"/>
        <v>165.9037325973635</v>
      </c>
      <c r="AO388" s="809">
        <f t="shared" si="422"/>
        <v>0</v>
      </c>
      <c r="AP388" s="810">
        <f t="shared" si="422"/>
        <v>0</v>
      </c>
      <c r="AQ388" s="611">
        <f t="shared" si="410"/>
        <v>445.47861633157248</v>
      </c>
      <c r="AS388" s="78">
        <v>120</v>
      </c>
      <c r="AT388" s="809">
        <f t="shared" ref="AT388:AW388" si="423">AT374*$R$22*E339</f>
        <v>422.5488155144821</v>
      </c>
      <c r="AU388" s="809">
        <f t="shared" si="423"/>
        <v>167.51552395958828</v>
      </c>
      <c r="AV388" s="809">
        <f t="shared" si="423"/>
        <v>0</v>
      </c>
      <c r="AW388" s="810">
        <f t="shared" si="423"/>
        <v>0</v>
      </c>
      <c r="AX388" s="611">
        <f t="shared" ref="AX388" si="424">AX374*30%*I339</f>
        <v>0</v>
      </c>
    </row>
    <row r="389" spans="12:50">
      <c r="L389" s="12"/>
      <c r="M389" s="68">
        <v>2</v>
      </c>
      <c r="N389" s="699">
        <v>240</v>
      </c>
      <c r="O389" s="508">
        <f t="shared" ref="O389:U389" si="425">O382/O$333</f>
        <v>6.8657522454632372E-2</v>
      </c>
      <c r="P389" s="508">
        <f t="shared" si="425"/>
        <v>0.13402243371022898</v>
      </c>
      <c r="Q389" s="508">
        <f t="shared" si="425"/>
        <v>0.11398207120738121</v>
      </c>
      <c r="R389" s="509">
        <f t="shared" si="425"/>
        <v>9.8506101650080738E-2</v>
      </c>
      <c r="S389" s="510">
        <f t="shared" si="425"/>
        <v>6.7478001345970165E-2</v>
      </c>
      <c r="T389" s="510">
        <f t="shared" si="425"/>
        <v>0.10604151695599856</v>
      </c>
      <c r="U389" s="510">
        <f t="shared" si="425"/>
        <v>0.10607506631806213</v>
      </c>
      <c r="X389" s="520" t="s">
        <v>254</v>
      </c>
      <c r="Y389" s="814">
        <f>SUM(Y385:Y388)</f>
        <v>602.5997311865143</v>
      </c>
      <c r="Z389" s="814">
        <f t="shared" ref="Z389:AB389" si="426">SUM(Z385:Z388)</f>
        <v>1156.809361751581</v>
      </c>
      <c r="AA389" s="814">
        <f t="shared" si="426"/>
        <v>798.8849013219359</v>
      </c>
      <c r="AB389" s="815">
        <f t="shared" si="426"/>
        <v>1018.1226850080008</v>
      </c>
      <c r="AC389" s="811">
        <f t="shared" si="406"/>
        <v>3576.4166792680321</v>
      </c>
      <c r="AE389" s="520" t="s">
        <v>254</v>
      </c>
      <c r="AF389" s="814">
        <f>SUM(AF385:AF388)</f>
        <v>648.15701103597144</v>
      </c>
      <c r="AG389" s="814">
        <f t="shared" ref="AG389" si="427">SUM(AG385:AG388)</f>
        <v>1749.5102250286652</v>
      </c>
      <c r="AH389" s="814">
        <f t="shared" ref="AH389" si="428">SUM(AH385:AH388)</f>
        <v>925.62351771162605</v>
      </c>
      <c r="AI389" s="815">
        <f t="shared" ref="AI389" si="429">SUM(AI385:AI388)</f>
        <v>2795.5012718676867</v>
      </c>
      <c r="AJ389" s="811">
        <f t="shared" si="408"/>
        <v>6118.7920256439493</v>
      </c>
      <c r="AL389" s="520" t="s">
        <v>254</v>
      </c>
      <c r="AM389" s="814">
        <f>SUM(AM385:AM388)</f>
        <v>1432.337432726471</v>
      </c>
      <c r="AN389" s="814">
        <f t="shared" ref="AN389" si="430">SUM(AN385:AN388)</f>
        <v>2462.9420820863161</v>
      </c>
      <c r="AO389" s="814">
        <f t="shared" ref="AO389" si="431">SUM(AO385:AO388)</f>
        <v>1485.9382892361568</v>
      </c>
      <c r="AP389" s="815">
        <f t="shared" ref="AP389" si="432">SUM(AP385:AP388)</f>
        <v>2493.6528304355229</v>
      </c>
      <c r="AQ389" s="811">
        <f t="shared" si="410"/>
        <v>7874.8706344844668</v>
      </c>
      <c r="AS389" s="520" t="s">
        <v>254</v>
      </c>
      <c r="AT389" s="814">
        <f>SUM(AT385:AT388)</f>
        <v>2164.8313951943451</v>
      </c>
      <c r="AU389" s="814">
        <f t="shared" ref="AU389" si="433">SUM(AU385:AU388)</f>
        <v>3173.2145076152688</v>
      </c>
      <c r="AV389" s="814">
        <f t="shared" ref="AV389" si="434">SUM(AV385:AV388)</f>
        <v>1491.9635463717059</v>
      </c>
      <c r="AW389" s="815">
        <f t="shared" ref="AW389" si="435">SUM(AW385:AW388)</f>
        <v>3566.9955585616717</v>
      </c>
      <c r="AX389" s="811">
        <f t="shared" ref="AX389" si="436">SUM(AT389:AW389)</f>
        <v>10397.005007742991</v>
      </c>
    </row>
    <row r="390" spans="12:50">
      <c r="L390" s="780"/>
      <c r="M390" s="70">
        <v>1</v>
      </c>
      <c r="N390" s="78">
        <v>120</v>
      </c>
      <c r="O390" s="530">
        <f t="shared" ref="O390:U390" si="437">O383/O$333</f>
        <v>0.1146510037151746</v>
      </c>
      <c r="P390" s="530">
        <f t="shared" si="437"/>
        <v>9.1340566769667869E-2</v>
      </c>
      <c r="Q390" s="530">
        <f t="shared" si="437"/>
        <v>0.14701074872210887</v>
      </c>
      <c r="R390" s="531">
        <f t="shared" si="437"/>
        <v>0.10408142230282035</v>
      </c>
      <c r="S390" s="532">
        <f t="shared" si="437"/>
        <v>0.12163233380925158</v>
      </c>
      <c r="T390" s="532">
        <f t="shared" si="437"/>
        <v>0.125348471406248</v>
      </c>
      <c r="U390" s="532">
        <f t="shared" si="437"/>
        <v>0.12812164600850437</v>
      </c>
      <c r="AC390" s="812">
        <f>AC389/Y333</f>
        <v>2.8699243510423512E-2</v>
      </c>
      <c r="AJ390" s="812">
        <f>AJ389/Z333</f>
        <v>3.7829798228905247E-2</v>
      </c>
      <c r="AQ390" s="812">
        <f>AQ389/AA333</f>
        <v>3.9780110297456386E-2</v>
      </c>
      <c r="AX390" s="812">
        <f>AX389/AB333</f>
        <v>4.3913841092636796E-2</v>
      </c>
    </row>
    <row r="391" spans="12:50">
      <c r="L391" s="780"/>
      <c r="M391" s="519" t="s">
        <v>221</v>
      </c>
      <c r="N391" s="520"/>
      <c r="O391" s="784">
        <f t="shared" ref="O391:U391" si="438">O384/O$333</f>
        <v>0.37516553615883308</v>
      </c>
      <c r="P391" s="785">
        <f t="shared" si="438"/>
        <v>0.54539733485329711</v>
      </c>
      <c r="Q391" s="785">
        <f t="shared" si="438"/>
        <v>0.60512741127330882</v>
      </c>
      <c r="R391" s="786">
        <f t="shared" si="438"/>
        <v>0.60853016042430164</v>
      </c>
      <c r="S391" s="785">
        <f t="shared" si="438"/>
        <v>0.37833827756242305</v>
      </c>
      <c r="T391" s="785">
        <f t="shared" si="438"/>
        <v>0.52622852665179776</v>
      </c>
      <c r="U391" s="785">
        <f t="shared" si="438"/>
        <v>0.44232207575307825</v>
      </c>
    </row>
    <row r="392" spans="12:50">
      <c r="L392" s="780"/>
      <c r="M392" s="539"/>
      <c r="N392" s="539"/>
      <c r="O392" s="782"/>
      <c r="P392" s="782"/>
      <c r="Q392" s="782"/>
      <c r="R392" s="782"/>
      <c r="S392" s="782"/>
      <c r="T392" s="782"/>
      <c r="U392" s="782"/>
    </row>
    <row r="393" spans="12:50">
      <c r="L393" s="80" t="s">
        <v>648</v>
      </c>
      <c r="M393" s="70" t="s">
        <v>20</v>
      </c>
      <c r="N393" s="78" t="s">
        <v>220</v>
      </c>
      <c r="O393" s="71" t="s">
        <v>208</v>
      </c>
      <c r="P393" s="72" t="s">
        <v>209</v>
      </c>
      <c r="Q393" s="72" t="s">
        <v>212</v>
      </c>
      <c r="R393" s="73" t="s">
        <v>211</v>
      </c>
      <c r="S393" s="71" t="s">
        <v>213</v>
      </c>
      <c r="T393" s="72" t="s">
        <v>214</v>
      </c>
      <c r="U393" s="72" t="s">
        <v>210</v>
      </c>
    </row>
    <row r="394" spans="12:50">
      <c r="L394" s="12"/>
      <c r="M394" s="68">
        <v>4</v>
      </c>
      <c r="N394" s="699">
        <v>600</v>
      </c>
      <c r="O394" s="494">
        <v>338.49974300000002</v>
      </c>
      <c r="P394" s="494">
        <v>1009.5005704000001</v>
      </c>
      <c r="Q394" s="494">
        <v>1404.5911191000002</v>
      </c>
      <c r="R394" s="495">
        <v>2358.4068674500004</v>
      </c>
      <c r="S394" s="496">
        <v>379.96930150000003</v>
      </c>
      <c r="T394" s="496">
        <v>1333.4721773000003</v>
      </c>
      <c r="U394" s="496">
        <v>853.94292580000001</v>
      </c>
    </row>
    <row r="395" spans="12:50">
      <c r="L395" s="12"/>
      <c r="M395" s="68">
        <v>3</v>
      </c>
      <c r="N395" s="699">
        <v>360</v>
      </c>
      <c r="O395" s="494">
        <v>156.04755509999998</v>
      </c>
      <c r="P395" s="494">
        <v>416.11789344999994</v>
      </c>
      <c r="Q395" s="494">
        <v>572.01872400000002</v>
      </c>
      <c r="R395" s="495">
        <v>957.88508969999975</v>
      </c>
      <c r="S395" s="496">
        <v>277.19606519999996</v>
      </c>
      <c r="T395" s="496">
        <v>559.92903450000017</v>
      </c>
      <c r="U395" s="496">
        <v>679.46495109999978</v>
      </c>
    </row>
    <row r="396" spans="12:50">
      <c r="L396" s="12"/>
      <c r="M396" s="68">
        <v>2</v>
      </c>
      <c r="N396" s="699">
        <v>240</v>
      </c>
      <c r="O396" s="494">
        <v>87.498459700000012</v>
      </c>
      <c r="P396" s="494">
        <v>324.96176485000007</v>
      </c>
      <c r="Q396" s="494">
        <v>347.00222860000002</v>
      </c>
      <c r="R396" s="495">
        <v>445.42299579999991</v>
      </c>
      <c r="S396" s="496">
        <v>136.55458149999998</v>
      </c>
      <c r="T396" s="496">
        <v>369.3752485</v>
      </c>
      <c r="U396" s="496">
        <v>414.1389630000001</v>
      </c>
    </row>
    <row r="397" spans="12:50">
      <c r="L397" s="780"/>
      <c r="M397" s="70">
        <v>1</v>
      </c>
      <c r="N397" s="78">
        <v>120</v>
      </c>
      <c r="O397" s="524">
        <v>67.471004750000006</v>
      </c>
      <c r="P397" s="524">
        <v>96.884432750000002</v>
      </c>
      <c r="Q397" s="524">
        <v>191.63405524999993</v>
      </c>
      <c r="R397" s="525">
        <v>201.44015475</v>
      </c>
      <c r="S397" s="526">
        <v>115.7385645</v>
      </c>
      <c r="T397" s="526">
        <v>194.80423550000006</v>
      </c>
      <c r="U397" s="526">
        <v>219.8121460000001</v>
      </c>
    </row>
    <row r="398" spans="12:50">
      <c r="L398" s="780"/>
      <c r="M398" s="519" t="s">
        <v>221</v>
      </c>
      <c r="N398" s="520"/>
      <c r="O398" s="527">
        <f>SUM(O394:O397)</f>
        <v>649.51676255000007</v>
      </c>
      <c r="P398" s="528">
        <f t="shared" ref="P398" si="439">SUM(P394:P397)</f>
        <v>1847.4646614500002</v>
      </c>
      <c r="Q398" s="528">
        <f t="shared" ref="Q398" si="440">SUM(Q394:Q397)</f>
        <v>2515.2461269500004</v>
      </c>
      <c r="R398" s="529">
        <f t="shared" ref="R398" si="441">SUM(R394:R397)</f>
        <v>3963.1551077000004</v>
      </c>
      <c r="S398" s="528">
        <f t="shared" ref="S398" si="442">SUM(S394:S397)</f>
        <v>909.45851270000003</v>
      </c>
      <c r="T398" s="528">
        <f t="shared" ref="T398" si="443">SUM(T394:T397)</f>
        <v>2457.5806958000007</v>
      </c>
      <c r="U398" s="528">
        <f t="shared" ref="U398" si="444">SUM(U394:U397)</f>
        <v>2167.3589858999999</v>
      </c>
    </row>
    <row r="399" spans="12:50">
      <c r="L399" s="780"/>
      <c r="N399" s="787" t="s">
        <v>464</v>
      </c>
      <c r="O399" s="781">
        <f>O398/O333</f>
        <v>1.7184402440593112E-2</v>
      </c>
      <c r="P399" s="781">
        <f t="shared" ref="P399:Q399" si="445">P398/P333</f>
        <v>2.7505741908515745E-2</v>
      </c>
      <c r="Q399" s="781">
        <f t="shared" si="445"/>
        <v>3.0421469526330739E-2</v>
      </c>
      <c r="R399" s="781">
        <f>R398/R333</f>
        <v>3.1790249387232433E-2</v>
      </c>
      <c r="S399" s="781">
        <f t="shared" ref="S399:U399" si="446">S398/S333</f>
        <v>1.4988637397434314E-2</v>
      </c>
      <c r="T399" s="781">
        <f t="shared" si="446"/>
        <v>2.4683049352482635E-2</v>
      </c>
      <c r="U399" s="781">
        <f t="shared" si="446"/>
        <v>1.9829147771217522E-2</v>
      </c>
      <c r="V399" s="1256"/>
    </row>
    <row r="400" spans="12:50">
      <c r="L400" s="780"/>
      <c r="N400" s="787" t="s">
        <v>467</v>
      </c>
      <c r="O400" s="782">
        <v>680.05447274999995</v>
      </c>
      <c r="P400" s="782">
        <v>1967.0883920000003</v>
      </c>
      <c r="Q400" s="782">
        <v>2665.7221547500008</v>
      </c>
      <c r="R400" s="782">
        <v>4189.2003082500014</v>
      </c>
      <c r="S400" s="782">
        <v>952.39223350000009</v>
      </c>
      <c r="T400" s="782">
        <v>2675.6324234999984</v>
      </c>
      <c r="U400" s="782">
        <v>2321.7431089999995</v>
      </c>
    </row>
    <row r="401" spans="12:25">
      <c r="L401" s="780"/>
      <c r="N401" s="787" t="s">
        <v>468</v>
      </c>
      <c r="O401" s="782">
        <f>O398-O400</f>
        <v>-30.537710199999879</v>
      </c>
      <c r="P401" s="782">
        <f t="shared" ref="P401:U401" si="447">P398-P400</f>
        <v>-119.62373055000012</v>
      </c>
      <c r="Q401" s="782">
        <f t="shared" si="447"/>
        <v>-150.47602780000034</v>
      </c>
      <c r="R401" s="782">
        <f t="shared" si="447"/>
        <v>-226.04520055000103</v>
      </c>
      <c r="S401" s="782">
        <f t="shared" si="447"/>
        <v>-42.93372080000006</v>
      </c>
      <c r="T401" s="782">
        <f t="shared" si="447"/>
        <v>-218.05172769999763</v>
      </c>
      <c r="U401" s="782">
        <f t="shared" si="447"/>
        <v>-154.38412309999967</v>
      </c>
    </row>
    <row r="402" spans="12:25">
      <c r="L402" s="780"/>
      <c r="N402" s="787" t="s">
        <v>469</v>
      </c>
      <c r="O402" s="781">
        <f>O401/O333</f>
        <v>-8.079426612959907E-4</v>
      </c>
      <c r="P402" s="781">
        <f t="shared" ref="P402:U402" si="448">P401/P333</f>
        <v>-1.7810026504429478E-3</v>
      </c>
      <c r="Q402" s="781">
        <f t="shared" si="448"/>
        <v>-1.8199816889140589E-3</v>
      </c>
      <c r="R402" s="781">
        <f t="shared" si="448"/>
        <v>-1.8132102082781933E-3</v>
      </c>
      <c r="S402" s="781">
        <f t="shared" si="448"/>
        <v>-7.075836491797833E-4</v>
      </c>
      <c r="T402" s="781">
        <f t="shared" si="448"/>
        <v>-2.1900324841464132E-3</v>
      </c>
      <c r="U402" s="781">
        <f t="shared" si="448"/>
        <v>-1.41245894676212E-3</v>
      </c>
    </row>
    <row r="403" spans="12:25">
      <c r="L403" s="780"/>
      <c r="M403" s="539"/>
      <c r="N403" s="539"/>
      <c r="O403" s="782"/>
      <c r="P403" s="782"/>
      <c r="Q403" s="782"/>
      <c r="R403" s="782"/>
      <c r="S403" s="782"/>
      <c r="T403" s="782"/>
      <c r="U403" s="782"/>
    </row>
    <row r="404" spans="12:25">
      <c r="L404" s="780"/>
      <c r="M404" s="539"/>
      <c r="N404" s="539"/>
      <c r="O404" s="782"/>
      <c r="P404" s="782"/>
      <c r="Q404" s="782"/>
      <c r="R404" s="782"/>
      <c r="S404" s="782"/>
      <c r="T404" s="782"/>
      <c r="U404" s="782"/>
    </row>
    <row r="405" spans="12:25">
      <c r="L405" s="780"/>
      <c r="M405" s="539"/>
      <c r="N405" s="788" t="s">
        <v>632</v>
      </c>
      <c r="O405" s="789">
        <f>O332</f>
        <v>585</v>
      </c>
      <c r="P405" s="789">
        <f t="shared" ref="P405:U405" si="449">P332</f>
        <v>722</v>
      </c>
      <c r="Q405" s="789">
        <f t="shared" si="449"/>
        <v>817</v>
      </c>
      <c r="R405" s="789">
        <f t="shared" si="449"/>
        <v>856</v>
      </c>
      <c r="S405" s="789">
        <f t="shared" si="449"/>
        <v>885</v>
      </c>
      <c r="T405" s="789">
        <f t="shared" si="449"/>
        <v>1124</v>
      </c>
      <c r="U405" s="789">
        <f t="shared" si="449"/>
        <v>1341</v>
      </c>
    </row>
    <row r="406" spans="12:25">
      <c r="L406" s="780"/>
      <c r="M406" s="539"/>
      <c r="N406" s="790" t="s">
        <v>642</v>
      </c>
      <c r="O406" s="789">
        <f>O341</f>
        <v>80</v>
      </c>
      <c r="P406" s="789">
        <f t="shared" ref="P406:U406" si="450">P341</f>
        <v>124</v>
      </c>
      <c r="Q406" s="789">
        <f t="shared" si="450"/>
        <v>175</v>
      </c>
      <c r="R406" s="789">
        <f t="shared" si="450"/>
        <v>271</v>
      </c>
      <c r="S406" s="789">
        <f t="shared" si="450"/>
        <v>136</v>
      </c>
      <c r="T406" s="789">
        <f t="shared" si="450"/>
        <v>217</v>
      </c>
      <c r="U406" s="789">
        <f t="shared" si="450"/>
        <v>254</v>
      </c>
    </row>
    <row r="407" spans="12:25">
      <c r="L407" s="780"/>
      <c r="M407" s="539"/>
      <c r="N407" s="790" t="s">
        <v>643</v>
      </c>
      <c r="O407" s="791">
        <f>O348</f>
        <v>0.13675213675213677</v>
      </c>
      <c r="P407" s="791">
        <f t="shared" ref="P407:U407" si="451">P348</f>
        <v>0.17174515235457063</v>
      </c>
      <c r="Q407" s="791">
        <f t="shared" si="451"/>
        <v>0.21419828641370869</v>
      </c>
      <c r="R407" s="791">
        <f t="shared" si="451"/>
        <v>0.31658878504672899</v>
      </c>
      <c r="S407" s="791">
        <f t="shared" si="451"/>
        <v>0.1536723163841808</v>
      </c>
      <c r="T407" s="791">
        <f t="shared" si="451"/>
        <v>0.19306049822064056</v>
      </c>
      <c r="U407" s="791">
        <f t="shared" si="451"/>
        <v>0.18941088739746459</v>
      </c>
    </row>
    <row r="408" spans="12:25">
      <c r="L408" s="780"/>
      <c r="M408" s="539"/>
      <c r="N408" s="790" t="s">
        <v>644</v>
      </c>
      <c r="O408" s="789">
        <v>32</v>
      </c>
      <c r="P408" s="789">
        <v>28</v>
      </c>
      <c r="Q408" s="789">
        <v>30</v>
      </c>
      <c r="R408" s="789">
        <v>68</v>
      </c>
      <c r="S408" s="789">
        <v>50</v>
      </c>
      <c r="T408" s="789">
        <v>51</v>
      </c>
      <c r="U408" s="789">
        <v>70</v>
      </c>
    </row>
    <row r="409" spans="12:25">
      <c r="L409" s="780"/>
      <c r="M409" s="539"/>
      <c r="N409" s="790" t="s">
        <v>645</v>
      </c>
      <c r="O409" s="792">
        <v>0</v>
      </c>
      <c r="P409" s="792">
        <v>0</v>
      </c>
      <c r="Q409" s="792">
        <v>0</v>
      </c>
      <c r="R409" s="793">
        <v>15</v>
      </c>
      <c r="S409" s="793">
        <v>15</v>
      </c>
      <c r="T409" s="793">
        <v>20</v>
      </c>
      <c r="U409" s="793">
        <v>34</v>
      </c>
    </row>
    <row r="410" spans="12:25">
      <c r="N410" s="790" t="s">
        <v>646</v>
      </c>
      <c r="O410" s="794">
        <f>O408/O406</f>
        <v>0.4</v>
      </c>
      <c r="P410" s="794">
        <f t="shared" ref="P410:U410" si="452">P408/P406</f>
        <v>0.22580645161290322</v>
      </c>
      <c r="Q410" s="794">
        <f t="shared" si="452"/>
        <v>0.17142857142857143</v>
      </c>
      <c r="R410" s="794">
        <f t="shared" si="452"/>
        <v>0.25092250922509224</v>
      </c>
      <c r="S410" s="794">
        <f t="shared" si="452"/>
        <v>0.36764705882352944</v>
      </c>
      <c r="T410" s="794">
        <f t="shared" si="452"/>
        <v>0.23502304147465439</v>
      </c>
      <c r="U410" s="794">
        <f t="shared" si="452"/>
        <v>0.27559055118110237</v>
      </c>
    </row>
    <row r="411" spans="12:25">
      <c r="N411" s="790" t="s">
        <v>647</v>
      </c>
      <c r="O411" s="794">
        <f>O409/O406</f>
        <v>0</v>
      </c>
      <c r="P411" s="794">
        <f t="shared" ref="P411:U411" si="453">P409/P406</f>
        <v>0</v>
      </c>
      <c r="Q411" s="794">
        <f t="shared" si="453"/>
        <v>0</v>
      </c>
      <c r="R411" s="794">
        <f t="shared" si="453"/>
        <v>5.5350553505535055E-2</v>
      </c>
      <c r="S411" s="794">
        <f t="shared" si="453"/>
        <v>0.11029411764705882</v>
      </c>
      <c r="T411" s="794">
        <f t="shared" si="453"/>
        <v>9.2165898617511524E-2</v>
      </c>
      <c r="U411" s="794">
        <f t="shared" si="453"/>
        <v>0.13385826771653545</v>
      </c>
    </row>
    <row r="413" spans="12:25">
      <c r="O413" s="572"/>
      <c r="P413" s="572"/>
      <c r="Q413" s="572"/>
    </row>
    <row r="414" spans="12:25">
      <c r="O414" s="572"/>
      <c r="P414" s="572"/>
      <c r="Q414" s="572"/>
    </row>
    <row r="415" spans="12:25">
      <c r="O415" s="1118" t="s">
        <v>460</v>
      </c>
      <c r="P415" s="1118"/>
      <c r="Q415" s="1119">
        <f>AC479</f>
        <v>11523.269212960844</v>
      </c>
      <c r="R415" s="1120">
        <f>Q415/SUM($X$57:$AA$57)</f>
        <v>1.5980534585648427E-2</v>
      </c>
      <c r="W415" s="1118" t="s">
        <v>1530</v>
      </c>
      <c r="X415" s="1118"/>
      <c r="Y415" s="1119">
        <f>AA479+AB479</f>
        <v>7834.1474343092505</v>
      </c>
    </row>
    <row r="416" spans="12:25">
      <c r="O416" s="572"/>
      <c r="P416" s="572"/>
      <c r="Q416" s="572"/>
    </row>
    <row r="417" spans="2:28" ht="18">
      <c r="B417" s="258" t="s">
        <v>665</v>
      </c>
      <c r="L417" s="542" t="s">
        <v>470</v>
      </c>
      <c r="M417" s="2"/>
      <c r="N417" s="2"/>
      <c r="O417" s="2"/>
      <c r="P417" s="2"/>
      <c r="Q417" s="2"/>
      <c r="R417" s="2"/>
      <c r="S417" s="85"/>
      <c r="T417" s="85"/>
      <c r="U417" s="85"/>
      <c r="W417" s="543" t="s">
        <v>471</v>
      </c>
    </row>
    <row r="418" spans="2:28" ht="18">
      <c r="L418" s="2"/>
      <c r="M418" s="2"/>
      <c r="N418" s="2"/>
      <c r="O418" s="2"/>
      <c r="P418" s="2"/>
      <c r="Q418" s="2"/>
      <c r="R418" s="2"/>
      <c r="S418" s="85"/>
      <c r="T418" s="85"/>
      <c r="U418" s="85"/>
    </row>
    <row r="419" spans="2:28" ht="18">
      <c r="C419" s="261" t="s">
        <v>68</v>
      </c>
      <c r="D419" s="231"/>
      <c r="E419" s="231"/>
      <c r="F419" s="231"/>
      <c r="L419" s="2"/>
      <c r="M419" s="2"/>
      <c r="N419" s="2"/>
      <c r="O419" s="2"/>
      <c r="P419" s="2"/>
      <c r="Q419" s="2"/>
      <c r="R419" s="2"/>
      <c r="S419" s="85"/>
      <c r="T419" s="85"/>
      <c r="U419" s="85"/>
    </row>
    <row r="420" spans="2:28" ht="60">
      <c r="C420" s="296" t="s">
        <v>69</v>
      </c>
      <c r="D420" s="297"/>
      <c r="E420" s="821" t="s">
        <v>429</v>
      </c>
      <c r="F420" s="279"/>
      <c r="L420" s="2"/>
      <c r="M420" s="2"/>
      <c r="N420" s="505"/>
      <c r="O420" s="502" t="s">
        <v>208</v>
      </c>
      <c r="P420" s="502" t="s">
        <v>209</v>
      </c>
      <c r="Q420" s="502" t="s">
        <v>212</v>
      </c>
      <c r="R420" s="503" t="s">
        <v>211</v>
      </c>
      <c r="S420" s="82" t="s">
        <v>213</v>
      </c>
      <c r="T420" s="82" t="s">
        <v>214</v>
      </c>
      <c r="U420" s="82" t="s">
        <v>210</v>
      </c>
      <c r="X420" s="795"/>
      <c r="Y420" s="82" t="s">
        <v>215</v>
      </c>
      <c r="Z420" s="82" t="s">
        <v>216</v>
      </c>
      <c r="AA420" s="82" t="s">
        <v>217</v>
      </c>
      <c r="AB420" s="82" t="s">
        <v>218</v>
      </c>
    </row>
    <row r="421" spans="2:28" ht="29.25">
      <c r="C421" s="263" t="s">
        <v>56</v>
      </c>
      <c r="D421" s="264"/>
      <c r="E421" s="471"/>
      <c r="F421" s="819"/>
      <c r="N421" s="75" t="s">
        <v>666</v>
      </c>
      <c r="O421" s="499">
        <v>83</v>
      </c>
      <c r="P421" s="499">
        <v>98</v>
      </c>
      <c r="Q421" s="499">
        <v>102</v>
      </c>
      <c r="R421" s="504">
        <v>99</v>
      </c>
      <c r="S421" s="500">
        <v>104</v>
      </c>
      <c r="T421" s="500">
        <v>120</v>
      </c>
      <c r="U421" s="500">
        <v>150</v>
      </c>
      <c r="X421" s="75" t="s">
        <v>632</v>
      </c>
      <c r="Y421" s="1687">
        <f>X270</f>
        <v>195</v>
      </c>
      <c r="Z421" s="1687">
        <f t="shared" ref="Z421:AB421" si="454">Y270</f>
        <v>196</v>
      </c>
      <c r="AA421" s="725">
        <f t="shared" si="454"/>
        <v>198</v>
      </c>
      <c r="AB421" s="725">
        <f t="shared" si="454"/>
        <v>200</v>
      </c>
    </row>
    <row r="422" spans="2:28">
      <c r="C422" s="268" t="s">
        <v>57</v>
      </c>
      <c r="D422" s="269">
        <v>2300</v>
      </c>
      <c r="E422" s="303">
        <v>0.1</v>
      </c>
      <c r="F422" s="820"/>
      <c r="N422" s="75" t="s">
        <v>584</v>
      </c>
      <c r="O422" s="499">
        <v>37796.877999999997</v>
      </c>
      <c r="P422" s="499">
        <v>67166.509000000005</v>
      </c>
      <c r="Q422" s="499">
        <v>82679.967999999993</v>
      </c>
      <c r="R422" s="504">
        <v>124665.7445</v>
      </c>
      <c r="S422" s="500">
        <v>60676.530400000003</v>
      </c>
      <c r="T422" s="500">
        <v>99565.522100000002</v>
      </c>
      <c r="U422" s="500">
        <v>109301.67099999994</v>
      </c>
      <c r="X422" s="75" t="s">
        <v>206</v>
      </c>
      <c r="Y422" s="1687">
        <f>Y333</f>
        <v>124617.10630000001</v>
      </c>
      <c r="Z422" s="1687">
        <f t="shared" ref="Z422:AB422" si="455">Z333</f>
        <v>161745.299</v>
      </c>
      <c r="AA422" s="725">
        <f t="shared" si="455"/>
        <v>197960</v>
      </c>
      <c r="AB422" s="725">
        <f t="shared" si="455"/>
        <v>236759.18</v>
      </c>
    </row>
    <row r="423" spans="2:28">
      <c r="C423" s="271" t="s">
        <v>17</v>
      </c>
      <c r="D423" s="272">
        <v>1500</v>
      </c>
      <c r="E423" s="306">
        <v>0.08</v>
      </c>
      <c r="F423" s="820"/>
      <c r="O423" s="572"/>
      <c r="P423" s="572"/>
      <c r="Q423" s="572"/>
    </row>
    <row r="424" spans="2:28">
      <c r="C424" s="271" t="s">
        <v>18</v>
      </c>
      <c r="D424" s="272">
        <v>960</v>
      </c>
      <c r="E424" s="306">
        <v>0.06</v>
      </c>
      <c r="F424" s="820"/>
      <c r="L424" s="80" t="s">
        <v>633</v>
      </c>
      <c r="M424" s="70" t="s">
        <v>20</v>
      </c>
      <c r="N424" s="78" t="s">
        <v>220</v>
      </c>
      <c r="O424" s="71" t="s">
        <v>208</v>
      </c>
      <c r="P424" s="72" t="s">
        <v>209</v>
      </c>
      <c r="Q424" s="72" t="s">
        <v>212</v>
      </c>
      <c r="R424" s="73" t="s">
        <v>211</v>
      </c>
      <c r="S424" s="71" t="s">
        <v>213</v>
      </c>
      <c r="T424" s="72" t="s">
        <v>214</v>
      </c>
      <c r="U424" s="72" t="s">
        <v>210</v>
      </c>
    </row>
    <row r="425" spans="2:28">
      <c r="C425" s="274" t="s">
        <v>19</v>
      </c>
      <c r="D425" s="307">
        <v>440</v>
      </c>
      <c r="E425" s="308">
        <v>0.04</v>
      </c>
      <c r="F425" s="820"/>
      <c r="M425" s="68">
        <v>4</v>
      </c>
      <c r="N425" s="817">
        <v>2300</v>
      </c>
      <c r="O425" s="74">
        <v>0</v>
      </c>
      <c r="P425" s="74">
        <v>5</v>
      </c>
      <c r="Q425" s="74">
        <v>5</v>
      </c>
      <c r="R425" s="75">
        <v>11</v>
      </c>
      <c r="S425" s="76">
        <v>1</v>
      </c>
      <c r="T425" s="76">
        <v>5</v>
      </c>
      <c r="U425" s="76">
        <v>5</v>
      </c>
      <c r="W425" s="703"/>
      <c r="X425" s="700" t="s">
        <v>477</v>
      </c>
      <c r="Y425" s="82" t="s">
        <v>215</v>
      </c>
      <c r="Z425" s="82" t="s">
        <v>216</v>
      </c>
      <c r="AA425" s="82" t="s">
        <v>217</v>
      </c>
      <c r="AB425" s="82" t="s">
        <v>218</v>
      </c>
    </row>
    <row r="426" spans="2:28">
      <c r="C426" s="294"/>
      <c r="D426" s="294"/>
      <c r="E426" s="294"/>
      <c r="F426" s="231"/>
      <c r="M426" s="68">
        <v>3</v>
      </c>
      <c r="N426" s="817">
        <v>1500</v>
      </c>
      <c r="O426" s="74">
        <v>2</v>
      </c>
      <c r="P426" s="74">
        <v>6</v>
      </c>
      <c r="Q426" s="74">
        <v>9</v>
      </c>
      <c r="R426" s="75">
        <v>14</v>
      </c>
      <c r="S426" s="76">
        <v>1</v>
      </c>
      <c r="T426" s="76">
        <v>7</v>
      </c>
      <c r="U426" s="76">
        <v>10</v>
      </c>
      <c r="W426" s="81" t="s">
        <v>651</v>
      </c>
      <c r="X426" s="625" t="s">
        <v>619</v>
      </c>
      <c r="Y426" s="1684">
        <v>0.38</v>
      </c>
      <c r="Z426" s="1684">
        <v>0.48</v>
      </c>
      <c r="AA426" s="552">
        <v>0.55000000000000004</v>
      </c>
      <c r="AB426" s="131">
        <v>0.6</v>
      </c>
    </row>
    <row r="427" spans="2:28">
      <c r="C427" s="224" t="s">
        <v>395</v>
      </c>
      <c r="D427" s="231"/>
      <c r="E427" s="310"/>
      <c r="F427" s="310"/>
      <c r="M427" s="68">
        <v>2</v>
      </c>
      <c r="N427" s="817">
        <v>960</v>
      </c>
      <c r="O427" s="74">
        <v>7</v>
      </c>
      <c r="P427" s="74">
        <v>7</v>
      </c>
      <c r="Q427" s="74">
        <v>7</v>
      </c>
      <c r="R427" s="75">
        <v>13</v>
      </c>
      <c r="S427" s="76">
        <v>11</v>
      </c>
      <c r="T427" s="76">
        <v>20</v>
      </c>
      <c r="U427" s="76">
        <v>21</v>
      </c>
      <c r="W427" s="81"/>
      <c r="X427" s="625" t="s">
        <v>632</v>
      </c>
      <c r="Y427" s="557">
        <f>Y426*Y421</f>
        <v>74.099999999999994</v>
      </c>
      <c r="Z427" s="557">
        <f t="shared" ref="Z427:AB427" si="456">Z426*Z421</f>
        <v>94.08</v>
      </c>
      <c r="AA427" s="557">
        <f t="shared" si="456"/>
        <v>108.9</v>
      </c>
      <c r="AB427" s="557">
        <f t="shared" si="456"/>
        <v>120</v>
      </c>
    </row>
    <row r="428" spans="2:28">
      <c r="C428" s="141" t="s">
        <v>394</v>
      </c>
      <c r="D428" s="231"/>
      <c r="E428" s="239"/>
      <c r="F428" s="239"/>
      <c r="M428" s="70">
        <v>1</v>
      </c>
      <c r="N428" s="818">
        <v>440</v>
      </c>
      <c r="O428" s="71">
        <v>16</v>
      </c>
      <c r="P428" s="71">
        <v>22</v>
      </c>
      <c r="Q428" s="71">
        <v>28</v>
      </c>
      <c r="R428" s="77">
        <v>21</v>
      </c>
      <c r="S428" s="72">
        <v>30</v>
      </c>
      <c r="T428" s="72">
        <v>30</v>
      </c>
      <c r="U428" s="72">
        <v>38</v>
      </c>
      <c r="W428" s="81" t="s">
        <v>654</v>
      </c>
      <c r="X428" s="796" t="s">
        <v>653</v>
      </c>
      <c r="Y428" s="1685">
        <v>0.33</v>
      </c>
      <c r="Z428" s="1685">
        <v>0.33</v>
      </c>
      <c r="AA428" s="798">
        <v>0.3</v>
      </c>
      <c r="AB428" s="96">
        <v>0.3</v>
      </c>
    </row>
    <row r="429" spans="2:28">
      <c r="C429" s="277" t="s">
        <v>392</v>
      </c>
      <c r="D429" s="141"/>
      <c r="E429" s="141"/>
      <c r="F429" s="141"/>
      <c r="M429" s="519" t="s">
        <v>221</v>
      </c>
      <c r="N429" s="520"/>
      <c r="O429" s="527">
        <f>SUM(O425:O428)</f>
        <v>25</v>
      </c>
      <c r="P429" s="528">
        <f t="shared" ref="P429" si="457">SUM(P425:P428)</f>
        <v>40</v>
      </c>
      <c r="Q429" s="528">
        <f t="shared" ref="Q429" si="458">SUM(Q425:Q428)</f>
        <v>49</v>
      </c>
      <c r="R429" s="529">
        <f t="shared" ref="R429" si="459">SUM(R425:R428)</f>
        <v>59</v>
      </c>
      <c r="S429" s="528">
        <f t="shared" ref="S429" si="460">SUM(S425:S428)</f>
        <v>43</v>
      </c>
      <c r="T429" s="528">
        <f t="shared" ref="T429" si="461">SUM(T425:T428)</f>
        <v>62</v>
      </c>
      <c r="U429" s="528">
        <f t="shared" ref="U429" si="462">SUM(U425:U428)</f>
        <v>74</v>
      </c>
      <c r="W429" s="81"/>
      <c r="X429" s="625" t="s">
        <v>632</v>
      </c>
      <c r="Y429" s="557">
        <f>Y428*Y427</f>
        <v>24.452999999999999</v>
      </c>
      <c r="Z429" s="557">
        <f t="shared" ref="Z429:AB429" si="463">Z428*Z427</f>
        <v>31.046400000000002</v>
      </c>
      <c r="AA429" s="557">
        <f t="shared" si="463"/>
        <v>32.67</v>
      </c>
      <c r="AB429" s="557">
        <f t="shared" si="463"/>
        <v>36</v>
      </c>
    </row>
    <row r="430" spans="2:28">
      <c r="C430" s="277" t="s">
        <v>59</v>
      </c>
      <c r="D430" s="141"/>
      <c r="E430" s="141"/>
      <c r="F430" s="141"/>
      <c r="M430" s="490"/>
      <c r="N430" s="490"/>
      <c r="O430" s="81"/>
      <c r="P430" s="81"/>
      <c r="Q430" s="81"/>
      <c r="R430" s="81"/>
      <c r="S430" s="76"/>
      <c r="T430" s="76"/>
      <c r="U430" s="76"/>
      <c r="W430" s="81" t="s">
        <v>671</v>
      </c>
      <c r="X430" s="796" t="s">
        <v>653</v>
      </c>
      <c r="Y430" s="1689">
        <v>0.55000000000000004</v>
      </c>
      <c r="Z430" s="1691">
        <v>0.45</v>
      </c>
      <c r="AA430" s="131">
        <v>0.25</v>
      </c>
      <c r="AB430" s="131">
        <v>0.25</v>
      </c>
    </row>
    <row r="431" spans="2:28">
      <c r="C431" s="277" t="s">
        <v>60</v>
      </c>
      <c r="D431" s="141"/>
      <c r="E431" s="141"/>
      <c r="F431" s="141"/>
      <c r="L431" s="80" t="s">
        <v>634</v>
      </c>
      <c r="M431" s="70" t="s">
        <v>20</v>
      </c>
      <c r="N431" s="78" t="s">
        <v>220</v>
      </c>
      <c r="O431" s="71" t="s">
        <v>208</v>
      </c>
      <c r="P431" s="72" t="s">
        <v>209</v>
      </c>
      <c r="Q431" s="72" t="s">
        <v>212</v>
      </c>
      <c r="R431" s="73" t="s">
        <v>211</v>
      </c>
      <c r="S431" s="71" t="s">
        <v>213</v>
      </c>
      <c r="T431" s="72" t="s">
        <v>214</v>
      </c>
      <c r="U431" s="72" t="s">
        <v>210</v>
      </c>
      <c r="X431" s="625" t="s">
        <v>632</v>
      </c>
      <c r="Y431" s="1688">
        <f>Y430*(Y427-Y429)</f>
        <v>27.305849999999996</v>
      </c>
      <c r="Z431" s="1688">
        <f t="shared" ref="Z431:AB431" si="464">Z430*(Z427-Z429)</f>
        <v>28.365119999999997</v>
      </c>
      <c r="AA431" s="1688">
        <f t="shared" si="464"/>
        <v>19.057500000000001</v>
      </c>
      <c r="AB431" s="1688">
        <f t="shared" si="464"/>
        <v>21</v>
      </c>
    </row>
    <row r="432" spans="2:28">
      <c r="M432" s="68">
        <v>4</v>
      </c>
      <c r="N432" s="817">
        <v>2300</v>
      </c>
      <c r="O432" s="508">
        <f>O425/O$421</f>
        <v>0</v>
      </c>
      <c r="P432" s="508">
        <f t="shared" ref="P432:U432" si="465">P425/P$421</f>
        <v>5.1020408163265307E-2</v>
      </c>
      <c r="Q432" s="508">
        <f t="shared" si="465"/>
        <v>4.9019607843137254E-2</v>
      </c>
      <c r="R432" s="509">
        <f t="shared" si="465"/>
        <v>0.1111111111111111</v>
      </c>
      <c r="S432" s="510">
        <f t="shared" si="465"/>
        <v>9.6153846153846159E-3</v>
      </c>
      <c r="T432" s="510">
        <f t="shared" si="465"/>
        <v>4.1666666666666664E-2</v>
      </c>
      <c r="U432" s="510">
        <f t="shared" si="465"/>
        <v>3.3333333333333333E-2</v>
      </c>
      <c r="V432" s="721"/>
      <c r="W432" s="81" t="s">
        <v>652</v>
      </c>
      <c r="X432" s="796" t="s">
        <v>655</v>
      </c>
      <c r="Y432" s="1685">
        <v>0.11</v>
      </c>
      <c r="Z432" s="1685">
        <v>0.05</v>
      </c>
      <c r="AA432" s="798">
        <v>0.15</v>
      </c>
      <c r="AB432" s="798">
        <v>0.15</v>
      </c>
    </row>
    <row r="433" spans="12:29">
      <c r="M433" s="68">
        <v>3</v>
      </c>
      <c r="N433" s="817">
        <v>1500</v>
      </c>
      <c r="O433" s="508">
        <f t="shared" ref="O433:U436" si="466">O426/O$421</f>
        <v>2.4096385542168676E-2</v>
      </c>
      <c r="P433" s="508">
        <f t="shared" si="466"/>
        <v>6.1224489795918366E-2</v>
      </c>
      <c r="Q433" s="508">
        <f t="shared" si="466"/>
        <v>8.8235294117647065E-2</v>
      </c>
      <c r="R433" s="509">
        <f t="shared" si="466"/>
        <v>0.14141414141414141</v>
      </c>
      <c r="S433" s="510">
        <f t="shared" si="466"/>
        <v>9.6153846153846159E-3</v>
      </c>
      <c r="T433" s="510">
        <f t="shared" si="466"/>
        <v>5.8333333333333334E-2</v>
      </c>
      <c r="U433" s="510">
        <f t="shared" si="466"/>
        <v>6.6666666666666666E-2</v>
      </c>
      <c r="V433" s="721"/>
      <c r="X433" s="797" t="s">
        <v>656</v>
      </c>
      <c r="Y433" s="499">
        <f>(Y427-Y429-Y431)*Y432</f>
        <v>2.4575264999999997</v>
      </c>
      <c r="Z433" s="499">
        <f t="shared" ref="Z433:AB433" si="467">(Z427-Z429-Z431)*Z432</f>
        <v>1.7334239999999999</v>
      </c>
      <c r="AA433" s="499">
        <f t="shared" si="467"/>
        <v>8.5758749999999999</v>
      </c>
      <c r="AB433" s="499">
        <f t="shared" si="467"/>
        <v>9.4499999999999993</v>
      </c>
    </row>
    <row r="434" spans="12:29">
      <c r="M434" s="68">
        <v>2</v>
      </c>
      <c r="N434" s="817">
        <v>960</v>
      </c>
      <c r="O434" s="508">
        <f t="shared" si="466"/>
        <v>8.4337349397590355E-2</v>
      </c>
      <c r="P434" s="508">
        <f t="shared" si="466"/>
        <v>7.1428571428571425E-2</v>
      </c>
      <c r="Q434" s="508">
        <f t="shared" si="466"/>
        <v>6.8627450980392163E-2</v>
      </c>
      <c r="R434" s="509">
        <f t="shared" si="466"/>
        <v>0.13131313131313133</v>
      </c>
      <c r="S434" s="510">
        <f t="shared" si="466"/>
        <v>0.10576923076923077</v>
      </c>
      <c r="T434" s="510">
        <f t="shared" si="466"/>
        <v>0.16666666666666666</v>
      </c>
      <c r="U434" s="510">
        <f t="shared" si="466"/>
        <v>0.14000000000000001</v>
      </c>
      <c r="V434" s="721"/>
      <c r="W434" s="800" t="s">
        <v>657</v>
      </c>
      <c r="X434" s="801" t="s">
        <v>656</v>
      </c>
      <c r="Y434" s="1690">
        <f>Y427-Y429-Y431-Y433</f>
        <v>19.883623499999995</v>
      </c>
      <c r="Z434" s="1690">
        <f t="shared" ref="Z434:AB434" si="468">Z427-Z429-Z431-Z433</f>
        <v>32.935055999999996</v>
      </c>
      <c r="AA434" s="822">
        <f t="shared" si="468"/>
        <v>48.596625000000003</v>
      </c>
      <c r="AB434" s="822">
        <f t="shared" si="468"/>
        <v>53.55</v>
      </c>
    </row>
    <row r="435" spans="12:29">
      <c r="M435" s="70">
        <v>1</v>
      </c>
      <c r="N435" s="818">
        <v>440</v>
      </c>
      <c r="O435" s="783">
        <f t="shared" si="466"/>
        <v>0.19277108433734941</v>
      </c>
      <c r="P435" s="530">
        <f t="shared" si="466"/>
        <v>0.22448979591836735</v>
      </c>
      <c r="Q435" s="530">
        <f t="shared" si="466"/>
        <v>0.27450980392156865</v>
      </c>
      <c r="R435" s="531">
        <f t="shared" si="466"/>
        <v>0.21212121212121213</v>
      </c>
      <c r="S435" s="532">
        <f t="shared" si="466"/>
        <v>0.28846153846153844</v>
      </c>
      <c r="T435" s="532">
        <f t="shared" si="466"/>
        <v>0.25</v>
      </c>
      <c r="U435" s="532">
        <f t="shared" si="466"/>
        <v>0.25333333333333335</v>
      </c>
      <c r="V435" s="721"/>
      <c r="W435" s="658"/>
      <c r="X435" s="802" t="s">
        <v>655</v>
      </c>
      <c r="Y435" s="823">
        <f>Y434/Y421</f>
        <v>0.10196729999999997</v>
      </c>
      <c r="Z435" s="823">
        <f t="shared" ref="Z435:AB435" si="469">Z434/Z421</f>
        <v>0.16803599999999999</v>
      </c>
      <c r="AA435" s="823">
        <f t="shared" si="469"/>
        <v>0.2454375</v>
      </c>
      <c r="AB435" s="823">
        <f t="shared" si="469"/>
        <v>0.26774999999999999</v>
      </c>
    </row>
    <row r="436" spans="12:29">
      <c r="M436" s="519" t="s">
        <v>221</v>
      </c>
      <c r="N436" s="740"/>
      <c r="O436" s="613">
        <f t="shared" si="466"/>
        <v>0.30120481927710846</v>
      </c>
      <c r="P436" s="613">
        <f t="shared" si="466"/>
        <v>0.40816326530612246</v>
      </c>
      <c r="Q436" s="613">
        <f t="shared" si="466"/>
        <v>0.48039215686274511</v>
      </c>
      <c r="R436" s="614">
        <f t="shared" si="466"/>
        <v>0.59595959595959591</v>
      </c>
      <c r="S436" s="613">
        <f t="shared" si="466"/>
        <v>0.41346153846153844</v>
      </c>
      <c r="T436" s="613">
        <f t="shared" si="466"/>
        <v>0.51666666666666672</v>
      </c>
      <c r="U436" s="613">
        <f t="shared" si="466"/>
        <v>0.49333333333333335</v>
      </c>
    </row>
    <row r="438" spans="12:29">
      <c r="L438" s="80" t="s">
        <v>636</v>
      </c>
      <c r="M438" s="70" t="s">
        <v>20</v>
      </c>
      <c r="N438" s="78" t="s">
        <v>220</v>
      </c>
      <c r="O438" s="71" t="s">
        <v>208</v>
      </c>
      <c r="P438" s="72" t="s">
        <v>209</v>
      </c>
      <c r="Q438" s="72" t="s">
        <v>212</v>
      </c>
      <c r="R438" s="73" t="s">
        <v>211</v>
      </c>
      <c r="S438" s="71" t="s">
        <v>213</v>
      </c>
      <c r="T438" s="72" t="s">
        <v>214</v>
      </c>
      <c r="U438" s="72" t="s">
        <v>210</v>
      </c>
      <c r="W438" s="80" t="s">
        <v>672</v>
      </c>
      <c r="X438" s="78" t="s">
        <v>220</v>
      </c>
      <c r="Y438" s="71" t="s">
        <v>208</v>
      </c>
      <c r="Z438" s="72" t="s">
        <v>209</v>
      </c>
      <c r="AA438" s="72" t="s">
        <v>212</v>
      </c>
      <c r="AB438" s="72" t="s">
        <v>211</v>
      </c>
      <c r="AC438" s="12"/>
    </row>
    <row r="439" spans="12:29">
      <c r="M439" s="68">
        <v>4</v>
      </c>
      <c r="N439" s="817">
        <v>2300</v>
      </c>
      <c r="O439" s="74">
        <v>0</v>
      </c>
      <c r="P439" s="74">
        <v>5</v>
      </c>
      <c r="Q439" s="74">
        <v>5</v>
      </c>
      <c r="R439" s="75">
        <v>11</v>
      </c>
      <c r="S439" s="76">
        <v>1</v>
      </c>
      <c r="T439" s="76">
        <v>5</v>
      </c>
      <c r="U439" s="76">
        <v>5</v>
      </c>
      <c r="X439" s="817">
        <v>2300</v>
      </c>
      <c r="Y439" s="1672">
        <v>0.3</v>
      </c>
      <c r="Z439" s="1672">
        <v>0.21212121212121213</v>
      </c>
      <c r="AA439" s="1694">
        <v>0.21</v>
      </c>
      <c r="AB439" s="1694">
        <v>0.25</v>
      </c>
      <c r="AC439" s="12"/>
    </row>
    <row r="440" spans="12:29">
      <c r="M440" s="68">
        <v>3</v>
      </c>
      <c r="N440" s="817">
        <v>1500</v>
      </c>
      <c r="O440" s="74">
        <v>2</v>
      </c>
      <c r="P440" s="74">
        <v>6</v>
      </c>
      <c r="Q440" s="74">
        <v>9</v>
      </c>
      <c r="R440" s="75">
        <v>9</v>
      </c>
      <c r="S440" s="76">
        <v>0</v>
      </c>
      <c r="T440" s="76">
        <v>7</v>
      </c>
      <c r="U440" s="76">
        <v>7</v>
      </c>
      <c r="X440" s="817">
        <v>1500</v>
      </c>
      <c r="Y440" s="1672">
        <v>0.15</v>
      </c>
      <c r="Z440" s="1672">
        <v>0.15151515151515152</v>
      </c>
      <c r="AA440" s="1694">
        <v>0.15</v>
      </c>
      <c r="AB440" s="1644">
        <v>0.15</v>
      </c>
      <c r="AC440" s="12"/>
    </row>
    <row r="441" spans="12:29">
      <c r="M441" s="68">
        <v>2</v>
      </c>
      <c r="N441" s="817">
        <v>960</v>
      </c>
      <c r="O441" s="74">
        <v>7</v>
      </c>
      <c r="P441" s="74">
        <v>7</v>
      </c>
      <c r="Q441" s="74">
        <v>7</v>
      </c>
      <c r="R441" s="75">
        <v>12</v>
      </c>
      <c r="S441" s="76">
        <v>9</v>
      </c>
      <c r="T441" s="76">
        <v>15</v>
      </c>
      <c r="U441" s="76">
        <v>18</v>
      </c>
      <c r="X441" s="817">
        <v>960</v>
      </c>
      <c r="Y441" s="1672">
        <v>0.3</v>
      </c>
      <c r="Z441" s="1672">
        <v>0.36363636363636365</v>
      </c>
      <c r="AA441" s="1694">
        <v>0.36</v>
      </c>
      <c r="AB441" s="1644">
        <v>0.4</v>
      </c>
      <c r="AC441" s="12"/>
    </row>
    <row r="442" spans="12:29">
      <c r="M442" s="70">
        <v>1</v>
      </c>
      <c r="N442" s="818">
        <v>440</v>
      </c>
      <c r="O442" s="71">
        <v>16</v>
      </c>
      <c r="P442" s="71">
        <v>22</v>
      </c>
      <c r="Q442" s="71">
        <v>28</v>
      </c>
      <c r="R442" s="77">
        <v>18</v>
      </c>
      <c r="S442" s="72">
        <v>23</v>
      </c>
      <c r="T442" s="72">
        <v>18</v>
      </c>
      <c r="U442" s="72">
        <v>22</v>
      </c>
      <c r="X442" s="818">
        <v>440</v>
      </c>
      <c r="Y442" s="1693">
        <v>0.25</v>
      </c>
      <c r="Z442" s="1674">
        <v>0.27272727272727271</v>
      </c>
      <c r="AA442" s="1695">
        <f t="shared" ref="AA442:AB442" si="470">1-SUM(AA439:AA441)</f>
        <v>0.28000000000000003</v>
      </c>
      <c r="AB442" s="1695">
        <f t="shared" si="470"/>
        <v>0.19999999999999996</v>
      </c>
      <c r="AC442" s="12"/>
    </row>
    <row r="443" spans="12:29">
      <c r="M443" s="519" t="s">
        <v>221</v>
      </c>
      <c r="N443" s="520"/>
      <c r="O443" s="527">
        <f>SUM(O439:O442)</f>
        <v>25</v>
      </c>
      <c r="P443" s="528">
        <f t="shared" ref="P443" si="471">SUM(P439:P442)</f>
        <v>40</v>
      </c>
      <c r="Q443" s="528">
        <f t="shared" ref="Q443" si="472">SUM(Q439:Q442)</f>
        <v>49</v>
      </c>
      <c r="R443" s="529">
        <f t="shared" ref="R443" si="473">SUM(R439:R442)</f>
        <v>50</v>
      </c>
      <c r="S443" s="528">
        <f t="shared" ref="S443" si="474">SUM(S439:S442)</f>
        <v>33</v>
      </c>
      <c r="T443" s="528">
        <f t="shared" ref="T443" si="475">SUM(T439:T442)</f>
        <v>45</v>
      </c>
      <c r="U443" s="528">
        <f t="shared" ref="U443" si="476">SUM(U439:U442)</f>
        <v>52</v>
      </c>
      <c r="X443" s="740"/>
      <c r="Y443" s="613"/>
      <c r="Z443" s="613"/>
      <c r="AA443" s="613"/>
      <c r="AB443" s="824"/>
      <c r="AC443" s="12"/>
    </row>
    <row r="444" spans="12:29">
      <c r="M444" s="490"/>
      <c r="N444" s="490"/>
      <c r="O444" s="81"/>
      <c r="P444" s="81"/>
      <c r="Q444" s="81"/>
      <c r="R444" s="81"/>
      <c r="S444" s="76"/>
      <c r="T444" s="76"/>
      <c r="U444" s="76"/>
    </row>
    <row r="445" spans="12:29">
      <c r="L445" s="80" t="s">
        <v>637</v>
      </c>
      <c r="M445" s="70" t="s">
        <v>20</v>
      </c>
      <c r="N445" s="78" t="s">
        <v>220</v>
      </c>
      <c r="O445" s="71" t="s">
        <v>208</v>
      </c>
      <c r="P445" s="72" t="s">
        <v>209</v>
      </c>
      <c r="Q445" s="72" t="s">
        <v>212</v>
      </c>
      <c r="R445" s="73" t="s">
        <v>211</v>
      </c>
      <c r="S445" s="71" t="s">
        <v>213</v>
      </c>
      <c r="T445" s="72" t="s">
        <v>214</v>
      </c>
      <c r="U445" s="72" t="s">
        <v>210</v>
      </c>
      <c r="W445" s="80" t="s">
        <v>219</v>
      </c>
      <c r="X445" s="78" t="s">
        <v>220</v>
      </c>
      <c r="Y445" s="71" t="s">
        <v>208</v>
      </c>
      <c r="Z445" s="72" t="s">
        <v>209</v>
      </c>
      <c r="AA445" s="72" t="s">
        <v>212</v>
      </c>
      <c r="AB445" s="72" t="s">
        <v>211</v>
      </c>
    </row>
    <row r="446" spans="12:29">
      <c r="M446" s="68">
        <v>4</v>
      </c>
      <c r="N446" s="817">
        <v>2300</v>
      </c>
      <c r="O446" s="508">
        <f>O439/O$421</f>
        <v>0</v>
      </c>
      <c r="P446" s="508">
        <f t="shared" ref="P446:U446" si="477">P439/P$421</f>
        <v>5.1020408163265307E-2</v>
      </c>
      <c r="Q446" s="508">
        <f t="shared" si="477"/>
        <v>4.9019607843137254E-2</v>
      </c>
      <c r="R446" s="509">
        <f t="shared" si="477"/>
        <v>0.1111111111111111</v>
      </c>
      <c r="S446" s="510">
        <f t="shared" si="477"/>
        <v>9.6153846153846159E-3</v>
      </c>
      <c r="T446" s="510">
        <f t="shared" si="477"/>
        <v>4.1666666666666664E-2</v>
      </c>
      <c r="U446" s="510">
        <f t="shared" si="477"/>
        <v>3.3333333333333333E-2</v>
      </c>
      <c r="X446" s="817">
        <v>2300</v>
      </c>
      <c r="Y446" s="494">
        <f>Y439*Y$434</f>
        <v>5.9650870499999984</v>
      </c>
      <c r="Z446" s="494">
        <f t="shared" ref="Z446:AB446" si="478">Z439*Z$434</f>
        <v>6.9862239999999991</v>
      </c>
      <c r="AA446" s="494">
        <f t="shared" si="478"/>
        <v>10.20529125</v>
      </c>
      <c r="AB446" s="497">
        <f t="shared" si="478"/>
        <v>13.387499999999999</v>
      </c>
    </row>
    <row r="447" spans="12:29">
      <c r="M447" s="68">
        <v>3</v>
      </c>
      <c r="N447" s="817">
        <v>1500</v>
      </c>
      <c r="O447" s="508">
        <f t="shared" ref="O447:U450" si="479">O440/O$421</f>
        <v>2.4096385542168676E-2</v>
      </c>
      <c r="P447" s="508">
        <f t="shared" si="479"/>
        <v>6.1224489795918366E-2</v>
      </c>
      <c r="Q447" s="508">
        <f t="shared" si="479"/>
        <v>8.8235294117647065E-2</v>
      </c>
      <c r="R447" s="509">
        <f t="shared" si="479"/>
        <v>9.0909090909090912E-2</v>
      </c>
      <c r="S447" s="510">
        <f t="shared" si="479"/>
        <v>0</v>
      </c>
      <c r="T447" s="510">
        <f t="shared" si="479"/>
        <v>5.8333333333333334E-2</v>
      </c>
      <c r="U447" s="510">
        <f t="shared" si="479"/>
        <v>4.6666666666666669E-2</v>
      </c>
      <c r="X447" s="817">
        <v>1500</v>
      </c>
      <c r="Y447" s="494">
        <f t="shared" ref="Y447:AB447" si="480">Y440*Y$434</f>
        <v>2.9825435249999992</v>
      </c>
      <c r="Z447" s="494">
        <f t="shared" si="480"/>
        <v>4.9901599999999995</v>
      </c>
      <c r="AA447" s="494">
        <f t="shared" si="480"/>
        <v>7.2894937500000001</v>
      </c>
      <c r="AB447" s="497">
        <f t="shared" si="480"/>
        <v>8.0324999999999989</v>
      </c>
    </row>
    <row r="448" spans="12:29">
      <c r="M448" s="68">
        <v>2</v>
      </c>
      <c r="N448" s="817">
        <v>960</v>
      </c>
      <c r="O448" s="508">
        <f t="shared" si="479"/>
        <v>8.4337349397590355E-2</v>
      </c>
      <c r="P448" s="508">
        <f t="shared" si="479"/>
        <v>7.1428571428571425E-2</v>
      </c>
      <c r="Q448" s="508">
        <f t="shared" si="479"/>
        <v>6.8627450980392163E-2</v>
      </c>
      <c r="R448" s="509">
        <f t="shared" si="479"/>
        <v>0.12121212121212122</v>
      </c>
      <c r="S448" s="510">
        <f t="shared" si="479"/>
        <v>8.6538461538461536E-2</v>
      </c>
      <c r="T448" s="510">
        <f t="shared" si="479"/>
        <v>0.125</v>
      </c>
      <c r="U448" s="510">
        <f t="shared" si="479"/>
        <v>0.12</v>
      </c>
      <c r="X448" s="817">
        <v>960</v>
      </c>
      <c r="Y448" s="494">
        <f t="shared" ref="Y448:AB448" si="481">Y441*Y$434</f>
        <v>5.9650870499999984</v>
      </c>
      <c r="Z448" s="494">
        <f t="shared" si="481"/>
        <v>11.976383999999999</v>
      </c>
      <c r="AA448" s="494">
        <f t="shared" si="481"/>
        <v>17.494785</v>
      </c>
      <c r="AB448" s="497">
        <f t="shared" si="481"/>
        <v>21.42</v>
      </c>
    </row>
    <row r="449" spans="12:31">
      <c r="M449" s="70">
        <v>1</v>
      </c>
      <c r="N449" s="818">
        <v>440</v>
      </c>
      <c r="O449" s="783">
        <f t="shared" si="479"/>
        <v>0.19277108433734941</v>
      </c>
      <c r="P449" s="530">
        <f t="shared" si="479"/>
        <v>0.22448979591836735</v>
      </c>
      <c r="Q449" s="530">
        <f t="shared" si="479"/>
        <v>0.27450980392156865</v>
      </c>
      <c r="R449" s="531">
        <f t="shared" si="479"/>
        <v>0.18181818181818182</v>
      </c>
      <c r="S449" s="532">
        <f t="shared" si="479"/>
        <v>0.22115384615384615</v>
      </c>
      <c r="T449" s="532">
        <f t="shared" si="479"/>
        <v>0.15</v>
      </c>
      <c r="U449" s="532">
        <f t="shared" si="479"/>
        <v>0.14666666666666667</v>
      </c>
      <c r="X449" s="818">
        <v>440</v>
      </c>
      <c r="Y449" s="825">
        <f t="shared" ref="Y449:AB449" si="482">Y442*Y$434</f>
        <v>4.9709058749999988</v>
      </c>
      <c r="Z449" s="524">
        <f t="shared" si="482"/>
        <v>8.9822879999999987</v>
      </c>
      <c r="AA449" s="524">
        <f t="shared" si="482"/>
        <v>13.607055000000003</v>
      </c>
      <c r="AB449" s="524">
        <f t="shared" si="482"/>
        <v>10.709999999999997</v>
      </c>
    </row>
    <row r="450" spans="12:31">
      <c r="M450" s="519" t="s">
        <v>221</v>
      </c>
      <c r="N450" s="740"/>
      <c r="O450" s="613">
        <f t="shared" si="479"/>
        <v>0.30120481927710846</v>
      </c>
      <c r="P450" s="613">
        <f t="shared" si="479"/>
        <v>0.40816326530612246</v>
      </c>
      <c r="Q450" s="613">
        <f t="shared" si="479"/>
        <v>0.48039215686274511</v>
      </c>
      <c r="R450" s="614">
        <f t="shared" si="479"/>
        <v>0.50505050505050508</v>
      </c>
      <c r="S450" s="613">
        <f t="shared" si="479"/>
        <v>0.31730769230769229</v>
      </c>
      <c r="T450" s="613">
        <f t="shared" si="479"/>
        <v>0.375</v>
      </c>
      <c r="U450" s="613">
        <f t="shared" si="479"/>
        <v>0.34666666666666668</v>
      </c>
      <c r="X450" s="740"/>
      <c r="Y450" s="568">
        <f>SUM(Y446:Y449)</f>
        <v>19.883623499999995</v>
      </c>
      <c r="Z450" s="568">
        <f t="shared" ref="Z450:AB450" si="483">SUM(Z446:Z449)</f>
        <v>32.935055999999996</v>
      </c>
      <c r="AA450" s="568">
        <f t="shared" si="483"/>
        <v>48.596625000000003</v>
      </c>
      <c r="AB450" s="826">
        <f t="shared" si="483"/>
        <v>53.55</v>
      </c>
    </row>
    <row r="451" spans="12:31"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2:31">
      <c r="L452" s="80" t="s">
        <v>667</v>
      </c>
      <c r="M452" s="70" t="s">
        <v>20</v>
      </c>
      <c r="N452" s="78" t="s">
        <v>220</v>
      </c>
      <c r="O452" s="71" t="s">
        <v>208</v>
      </c>
      <c r="P452" s="72" t="s">
        <v>209</v>
      </c>
      <c r="Q452" s="72" t="s">
        <v>212</v>
      </c>
      <c r="R452" s="73" t="s">
        <v>211</v>
      </c>
      <c r="S452" s="71" t="s">
        <v>213</v>
      </c>
      <c r="T452" s="72" t="s">
        <v>214</v>
      </c>
      <c r="U452" s="72" t="s">
        <v>210</v>
      </c>
      <c r="W452" s="80" t="s">
        <v>478</v>
      </c>
      <c r="X452" s="78" t="s">
        <v>220</v>
      </c>
      <c r="Y452" s="71" t="s">
        <v>208</v>
      </c>
      <c r="Z452" s="72" t="s">
        <v>209</v>
      </c>
      <c r="AA452" s="72" t="s">
        <v>212</v>
      </c>
      <c r="AB452" s="72" t="s">
        <v>211</v>
      </c>
    </row>
    <row r="453" spans="12:31">
      <c r="M453" s="68">
        <v>4</v>
      </c>
      <c r="N453" s="817">
        <v>2300</v>
      </c>
      <c r="O453" s="74">
        <v>0</v>
      </c>
      <c r="P453" s="74">
        <v>4</v>
      </c>
      <c r="Q453" s="74">
        <v>4</v>
      </c>
      <c r="R453" s="75">
        <v>10</v>
      </c>
      <c r="S453" s="76">
        <v>1</v>
      </c>
      <c r="T453" s="76">
        <v>5</v>
      </c>
      <c r="U453" s="76">
        <v>4</v>
      </c>
      <c r="V453" s="464"/>
      <c r="X453" s="817">
        <v>2300</v>
      </c>
      <c r="Y453" s="1692">
        <v>5626.5595000000003</v>
      </c>
      <c r="Z453" s="1692">
        <v>7324.6088571428572</v>
      </c>
      <c r="AA453" s="494">
        <f>Z453*1.04</f>
        <v>7617.5932114285715</v>
      </c>
      <c r="AB453" s="497">
        <f>AA453</f>
        <v>7617.5932114285715</v>
      </c>
      <c r="AC453" s="442"/>
      <c r="AD453" s="442"/>
      <c r="AE453" s="442"/>
    </row>
    <row r="454" spans="12:31">
      <c r="M454" s="68">
        <v>3</v>
      </c>
      <c r="N454" s="817">
        <v>1500</v>
      </c>
      <c r="O454" s="74">
        <v>1</v>
      </c>
      <c r="P454" s="74">
        <v>6</v>
      </c>
      <c r="Q454" s="74">
        <v>8</v>
      </c>
      <c r="R454" s="75">
        <v>9</v>
      </c>
      <c r="S454" s="76">
        <v>0</v>
      </c>
      <c r="T454" s="76">
        <v>6</v>
      </c>
      <c r="U454" s="76">
        <v>5</v>
      </c>
      <c r="V454" s="464"/>
      <c r="X454" s="817">
        <v>1500</v>
      </c>
      <c r="Y454" s="1692">
        <v>1628.1196666666667</v>
      </c>
      <c r="Z454" s="1692">
        <v>1923.4161999999999</v>
      </c>
      <c r="AA454" s="494">
        <f t="shared" ref="AA454:AA456" si="484">Z454*1.04</f>
        <v>2000.352848</v>
      </c>
      <c r="AB454" s="497">
        <f t="shared" ref="AB454:AB456" si="485">AA454</f>
        <v>2000.352848</v>
      </c>
      <c r="AC454" s="442"/>
      <c r="AD454" s="442"/>
      <c r="AE454" s="442"/>
    </row>
    <row r="455" spans="12:31">
      <c r="M455" s="68">
        <v>2</v>
      </c>
      <c r="N455" s="817">
        <v>960</v>
      </c>
      <c r="O455" s="74">
        <v>4</v>
      </c>
      <c r="P455" s="74">
        <v>4</v>
      </c>
      <c r="Q455" s="74">
        <v>5</v>
      </c>
      <c r="R455" s="75">
        <v>8</v>
      </c>
      <c r="S455" s="76">
        <v>2</v>
      </c>
      <c r="T455" s="76">
        <v>10</v>
      </c>
      <c r="U455" s="76">
        <v>8</v>
      </c>
      <c r="V455" s="464"/>
      <c r="X455" s="817">
        <v>960</v>
      </c>
      <c r="Y455" s="1692">
        <v>1227.8030000000001</v>
      </c>
      <c r="Z455" s="1692">
        <v>1184.3479166666668</v>
      </c>
      <c r="AA455" s="494">
        <f t="shared" si="484"/>
        <v>1231.7218333333335</v>
      </c>
      <c r="AB455" s="497">
        <f t="shared" si="485"/>
        <v>1231.7218333333335</v>
      </c>
      <c r="AC455" s="442"/>
      <c r="AD455" s="442"/>
      <c r="AE455" s="442"/>
    </row>
    <row r="456" spans="12:31">
      <c r="M456" s="70">
        <v>1</v>
      </c>
      <c r="N456" s="818">
        <v>440</v>
      </c>
      <c r="O456" s="71">
        <v>3</v>
      </c>
      <c r="P456" s="71">
        <v>11</v>
      </c>
      <c r="Q456" s="71">
        <v>18</v>
      </c>
      <c r="R456" s="77">
        <v>7</v>
      </c>
      <c r="S456" s="72">
        <v>6</v>
      </c>
      <c r="T456" s="72">
        <v>8</v>
      </c>
      <c r="U456" s="72">
        <v>9</v>
      </c>
      <c r="V456" s="464"/>
      <c r="X456" s="818">
        <v>440</v>
      </c>
      <c r="Y456" s="1632">
        <v>728.87919999999997</v>
      </c>
      <c r="Z456" s="1633">
        <v>795.93299999999999</v>
      </c>
      <c r="AA456" s="524">
        <f t="shared" si="484"/>
        <v>827.77031999999997</v>
      </c>
      <c r="AB456" s="524">
        <f t="shared" si="485"/>
        <v>827.77031999999997</v>
      </c>
      <c r="AC456" s="442"/>
      <c r="AD456" s="442"/>
      <c r="AE456" s="442"/>
    </row>
    <row r="457" spans="12:31">
      <c r="M457" s="519" t="s">
        <v>221</v>
      </c>
      <c r="N457" s="520"/>
      <c r="O457" s="527">
        <f>SUM(O453:O456)</f>
        <v>8</v>
      </c>
      <c r="P457" s="528">
        <f t="shared" ref="P457" si="486">SUM(P453:P456)</f>
        <v>25</v>
      </c>
      <c r="Q457" s="528">
        <f t="shared" ref="Q457" si="487">SUM(Q453:Q456)</f>
        <v>35</v>
      </c>
      <c r="R457" s="529">
        <f t="shared" ref="R457" si="488">SUM(R453:R456)</f>
        <v>34</v>
      </c>
      <c r="S457" s="528">
        <f t="shared" ref="S457" si="489">SUM(S453:S456)</f>
        <v>9</v>
      </c>
      <c r="T457" s="528">
        <f t="shared" ref="T457" si="490">SUM(T453:T456)</f>
        <v>29</v>
      </c>
      <c r="U457" s="528">
        <f t="shared" ref="U457" si="491">SUM(U453:U456)</f>
        <v>26</v>
      </c>
      <c r="X457" s="740"/>
      <c r="Y457" s="568"/>
      <c r="Z457" s="568"/>
      <c r="AA457" s="568"/>
      <c r="AB457" s="826"/>
    </row>
    <row r="458" spans="12:31">
      <c r="M458" s="490"/>
      <c r="N458" s="490"/>
      <c r="O458" s="81"/>
      <c r="P458" s="81"/>
      <c r="Q458" s="81"/>
      <c r="R458" s="81"/>
      <c r="S458" s="76"/>
      <c r="T458" s="76"/>
      <c r="U458" s="76"/>
    </row>
    <row r="459" spans="12:31">
      <c r="L459" s="80" t="s">
        <v>668</v>
      </c>
      <c r="M459" s="70" t="s">
        <v>20</v>
      </c>
      <c r="N459" s="78" t="s">
        <v>220</v>
      </c>
      <c r="O459" s="71" t="s">
        <v>208</v>
      </c>
      <c r="P459" s="72" t="s">
        <v>209</v>
      </c>
      <c r="Q459" s="72" t="s">
        <v>212</v>
      </c>
      <c r="R459" s="73" t="s">
        <v>211</v>
      </c>
      <c r="S459" s="71" t="s">
        <v>213</v>
      </c>
      <c r="T459" s="72" t="s">
        <v>214</v>
      </c>
      <c r="U459" s="72" t="s">
        <v>210</v>
      </c>
      <c r="W459" s="80" t="s">
        <v>206</v>
      </c>
      <c r="X459" s="78" t="s">
        <v>220</v>
      </c>
      <c r="Y459" s="71" t="s">
        <v>208</v>
      </c>
      <c r="Z459" s="72" t="s">
        <v>209</v>
      </c>
      <c r="AA459" s="72" t="s">
        <v>212</v>
      </c>
      <c r="AB459" s="72" t="s">
        <v>211</v>
      </c>
    </row>
    <row r="460" spans="12:31">
      <c r="M460" s="68">
        <v>4</v>
      </c>
      <c r="N460" s="817">
        <v>2300</v>
      </c>
      <c r="O460" s="508">
        <f>O453/O$421</f>
        <v>0</v>
      </c>
      <c r="P460" s="508">
        <f t="shared" ref="P460:U460" si="492">P453/P$421</f>
        <v>4.0816326530612242E-2</v>
      </c>
      <c r="Q460" s="508">
        <f t="shared" si="492"/>
        <v>3.9215686274509803E-2</v>
      </c>
      <c r="R460" s="509">
        <f t="shared" si="492"/>
        <v>0.10101010101010101</v>
      </c>
      <c r="S460" s="510">
        <f t="shared" si="492"/>
        <v>9.6153846153846159E-3</v>
      </c>
      <c r="T460" s="510">
        <f t="shared" si="492"/>
        <v>4.1666666666666664E-2</v>
      </c>
      <c r="U460" s="510">
        <f t="shared" si="492"/>
        <v>2.6666666666666668E-2</v>
      </c>
      <c r="X460" s="817">
        <v>2300</v>
      </c>
      <c r="Y460" s="494">
        <f>Y453*Y446</f>
        <v>33562.917209504471</v>
      </c>
      <c r="Z460" s="494">
        <f t="shared" ref="Z460:AB460" si="493">Z453*Z446</f>
        <v>51171.358188383994</v>
      </c>
      <c r="AA460" s="494">
        <f t="shared" si="493"/>
        <v>77739.7573466514</v>
      </c>
      <c r="AB460" s="497">
        <f t="shared" si="493"/>
        <v>101980.52911799999</v>
      </c>
    </row>
    <row r="461" spans="12:31">
      <c r="M461" s="68">
        <v>3</v>
      </c>
      <c r="N461" s="817">
        <v>1500</v>
      </c>
      <c r="O461" s="508">
        <f t="shared" ref="O461:U464" si="494">O454/O$421</f>
        <v>1.2048192771084338E-2</v>
      </c>
      <c r="P461" s="508">
        <f t="shared" si="494"/>
        <v>6.1224489795918366E-2</v>
      </c>
      <c r="Q461" s="508">
        <f t="shared" si="494"/>
        <v>7.8431372549019607E-2</v>
      </c>
      <c r="R461" s="509">
        <f t="shared" si="494"/>
        <v>9.0909090909090912E-2</v>
      </c>
      <c r="S461" s="510">
        <f t="shared" si="494"/>
        <v>0</v>
      </c>
      <c r="T461" s="510">
        <f t="shared" si="494"/>
        <v>0.05</v>
      </c>
      <c r="U461" s="510">
        <f t="shared" si="494"/>
        <v>3.3333333333333333E-2</v>
      </c>
      <c r="X461" s="817">
        <v>1500</v>
      </c>
      <c r="Y461" s="494">
        <f t="shared" ref="Y461:AB461" si="495">Y454*Y447</f>
        <v>4855.937769741824</v>
      </c>
      <c r="Z461" s="494">
        <f t="shared" si="495"/>
        <v>9598.1545845919991</v>
      </c>
      <c r="AA461" s="494">
        <f t="shared" si="495"/>
        <v>14581.5595832907</v>
      </c>
      <c r="AB461" s="497">
        <f t="shared" si="495"/>
        <v>16067.834251559998</v>
      </c>
    </row>
    <row r="462" spans="12:31">
      <c r="M462" s="68">
        <v>2</v>
      </c>
      <c r="N462" s="817">
        <v>960</v>
      </c>
      <c r="O462" s="508">
        <f t="shared" si="494"/>
        <v>4.8192771084337352E-2</v>
      </c>
      <c r="P462" s="508">
        <f t="shared" si="494"/>
        <v>4.0816326530612242E-2</v>
      </c>
      <c r="Q462" s="508">
        <f t="shared" si="494"/>
        <v>4.9019607843137254E-2</v>
      </c>
      <c r="R462" s="509">
        <f t="shared" si="494"/>
        <v>8.0808080808080815E-2</v>
      </c>
      <c r="S462" s="510">
        <f t="shared" si="494"/>
        <v>1.9230769230769232E-2</v>
      </c>
      <c r="T462" s="510">
        <f t="shared" si="494"/>
        <v>8.3333333333333329E-2</v>
      </c>
      <c r="U462" s="510">
        <f t="shared" si="494"/>
        <v>5.3333333333333337E-2</v>
      </c>
      <c r="X462" s="817">
        <v>960</v>
      </c>
      <c r="Y462" s="494">
        <f t="shared" ref="Y462:AB462" si="496">Y455*Y448</f>
        <v>7323.9517752511483</v>
      </c>
      <c r="Z462" s="494">
        <f t="shared" si="496"/>
        <v>14184.205439600002</v>
      </c>
      <c r="AA462" s="494">
        <f t="shared" si="496"/>
        <v>21548.708653972502</v>
      </c>
      <c r="AB462" s="497">
        <f t="shared" si="496"/>
        <v>26383.481670000005</v>
      </c>
    </row>
    <row r="463" spans="12:31">
      <c r="M463" s="70">
        <v>1</v>
      </c>
      <c r="N463" s="818">
        <v>440</v>
      </c>
      <c r="O463" s="783">
        <f t="shared" si="494"/>
        <v>3.614457831325301E-2</v>
      </c>
      <c r="P463" s="530">
        <f t="shared" si="494"/>
        <v>0.11224489795918367</v>
      </c>
      <c r="Q463" s="530">
        <f t="shared" si="494"/>
        <v>0.17647058823529413</v>
      </c>
      <c r="R463" s="531">
        <f t="shared" si="494"/>
        <v>7.0707070707070704E-2</v>
      </c>
      <c r="S463" s="532">
        <f t="shared" si="494"/>
        <v>5.7692307692307696E-2</v>
      </c>
      <c r="T463" s="532">
        <f t="shared" si="494"/>
        <v>6.6666666666666666E-2</v>
      </c>
      <c r="U463" s="532">
        <f t="shared" si="494"/>
        <v>0.06</v>
      </c>
      <c r="X463" s="818">
        <v>440</v>
      </c>
      <c r="Y463" s="825">
        <f t="shared" ref="Y463:AB463" si="497">Y456*Y449</f>
        <v>3623.1898974452988</v>
      </c>
      <c r="Z463" s="524">
        <f t="shared" si="497"/>
        <v>7149.2994347039985</v>
      </c>
      <c r="AA463" s="524">
        <f t="shared" si="497"/>
        <v>11263.516271607601</v>
      </c>
      <c r="AB463" s="524">
        <f t="shared" si="497"/>
        <v>8865.4201271999973</v>
      </c>
    </row>
    <row r="464" spans="12:31">
      <c r="M464" s="519" t="s">
        <v>221</v>
      </c>
      <c r="N464" s="740"/>
      <c r="O464" s="613">
        <f t="shared" si="494"/>
        <v>9.6385542168674704E-2</v>
      </c>
      <c r="P464" s="613">
        <f t="shared" si="494"/>
        <v>0.25510204081632654</v>
      </c>
      <c r="Q464" s="613">
        <f t="shared" si="494"/>
        <v>0.34313725490196079</v>
      </c>
      <c r="R464" s="614">
        <f t="shared" si="494"/>
        <v>0.34343434343434343</v>
      </c>
      <c r="S464" s="613">
        <f t="shared" si="494"/>
        <v>8.6538461538461536E-2</v>
      </c>
      <c r="T464" s="613">
        <f t="shared" si="494"/>
        <v>0.24166666666666667</v>
      </c>
      <c r="U464" s="613">
        <f t="shared" si="494"/>
        <v>0.17333333333333334</v>
      </c>
      <c r="X464" s="740"/>
      <c r="Y464" s="568">
        <f>SUM(Y460:Y463)</f>
        <v>49365.99665194274</v>
      </c>
      <c r="Z464" s="568">
        <f t="shared" ref="Z464:AB464" si="498">SUM(Z460:Z463)</f>
        <v>82103.017647279994</v>
      </c>
      <c r="AA464" s="568">
        <f t="shared" si="498"/>
        <v>125133.5418555222</v>
      </c>
      <c r="AB464" s="568">
        <f t="shared" si="498"/>
        <v>153297.26516675999</v>
      </c>
    </row>
    <row r="465" spans="12:29">
      <c r="L465" s="12"/>
      <c r="M465" s="490"/>
      <c r="N465" s="490"/>
      <c r="O465" s="497"/>
      <c r="P465" s="497"/>
      <c r="Q465" s="497"/>
      <c r="R465" s="497"/>
      <c r="S465" s="496"/>
      <c r="T465" s="496"/>
      <c r="U465" s="496"/>
    </row>
    <row r="466" spans="12:29">
      <c r="L466" s="12"/>
      <c r="M466" s="490"/>
      <c r="N466" s="490"/>
      <c r="O466" s="497"/>
      <c r="P466" s="497"/>
      <c r="Q466" s="497"/>
      <c r="R466" s="497"/>
      <c r="S466" s="496"/>
      <c r="T466" s="496"/>
      <c r="U466" s="496"/>
    </row>
    <row r="467" spans="12:29">
      <c r="L467" s="80" t="s">
        <v>640</v>
      </c>
      <c r="M467" s="70" t="s">
        <v>20</v>
      </c>
      <c r="N467" s="78" t="s">
        <v>220</v>
      </c>
      <c r="O467" s="71" t="s">
        <v>208</v>
      </c>
      <c r="P467" s="72" t="s">
        <v>209</v>
      </c>
      <c r="Q467" s="72" t="s">
        <v>212</v>
      </c>
      <c r="R467" s="73" t="s">
        <v>211</v>
      </c>
      <c r="S467" s="71" t="s">
        <v>213</v>
      </c>
      <c r="T467" s="72" t="s">
        <v>214</v>
      </c>
      <c r="U467" s="72" t="s">
        <v>210</v>
      </c>
      <c r="W467" s="80" t="s">
        <v>673</v>
      </c>
      <c r="X467" s="78" t="s">
        <v>220</v>
      </c>
      <c r="Y467" s="71" t="s">
        <v>208</v>
      </c>
      <c r="Z467" s="72" t="s">
        <v>209</v>
      </c>
      <c r="AA467" s="72" t="s">
        <v>212</v>
      </c>
      <c r="AB467" s="72" t="s">
        <v>211</v>
      </c>
    </row>
    <row r="468" spans="12:29">
      <c r="L468" s="12"/>
      <c r="M468" s="68">
        <v>4</v>
      </c>
      <c r="N468" s="817">
        <v>2300</v>
      </c>
      <c r="O468" s="494">
        <v>0</v>
      </c>
      <c r="P468" s="494">
        <v>13092.74</v>
      </c>
      <c r="Q468" s="494">
        <v>14892.106</v>
      </c>
      <c r="R468" s="495">
        <v>31097.4</v>
      </c>
      <c r="S468" s="496">
        <v>4138.9539999999697</v>
      </c>
      <c r="T468" s="496">
        <v>18462.946000000011</v>
      </c>
      <c r="U468" s="496">
        <v>14983.649000000009</v>
      </c>
      <c r="X468" s="817">
        <v>2300</v>
      </c>
      <c r="Y468" s="508">
        <f>Y460/Y$422</f>
        <v>0.26932833064431755</v>
      </c>
      <c r="Z468" s="508">
        <f t="shared" ref="Z468:AB468" si="499">Z460/Z$422</f>
        <v>0.31636998728713589</v>
      </c>
      <c r="AA468" s="508">
        <f t="shared" si="499"/>
        <v>0.39270437132072844</v>
      </c>
      <c r="AB468" s="511">
        <f t="shared" si="499"/>
        <v>0.43073526913718824</v>
      </c>
    </row>
    <row r="469" spans="12:29">
      <c r="L469" s="12"/>
      <c r="M469" s="68">
        <v>3</v>
      </c>
      <c r="N469" s="817">
        <v>1500</v>
      </c>
      <c r="O469" s="494">
        <v>1657.787</v>
      </c>
      <c r="P469" s="494">
        <v>10449.561000000002</v>
      </c>
      <c r="Q469" s="494">
        <v>13810.438</v>
      </c>
      <c r="R469" s="495">
        <v>16209.860000000002</v>
      </c>
      <c r="S469" s="496">
        <v>0</v>
      </c>
      <c r="T469" s="496">
        <v>10913.446000000002</v>
      </c>
      <c r="U469" s="496">
        <v>9677.8940000000002</v>
      </c>
      <c r="X469" s="817">
        <v>1500</v>
      </c>
      <c r="Y469" s="508">
        <f t="shared" ref="Y469:AB469" si="500">Y461/Y$422</f>
        <v>3.8966863490247992E-2</v>
      </c>
      <c r="Z469" s="508">
        <f t="shared" si="500"/>
        <v>5.9341165671788702E-2</v>
      </c>
      <c r="AA469" s="508">
        <f t="shared" si="500"/>
        <v>7.3659120950144985E-2</v>
      </c>
      <c r="AB469" s="511">
        <f t="shared" si="500"/>
        <v>6.7865728592065563E-2</v>
      </c>
    </row>
    <row r="470" spans="12:29">
      <c r="L470" s="12"/>
      <c r="M470" s="68">
        <v>2</v>
      </c>
      <c r="N470" s="817">
        <v>960</v>
      </c>
      <c r="O470" s="494">
        <v>4915.0540000000001</v>
      </c>
      <c r="P470" s="494">
        <v>4824.4505000000008</v>
      </c>
      <c r="Q470" s="494">
        <v>6088.9850000000006</v>
      </c>
      <c r="R470" s="495">
        <v>10440.07</v>
      </c>
      <c r="S470" s="496">
        <v>2794.5169999999998</v>
      </c>
      <c r="T470" s="496">
        <v>11647.550000000001</v>
      </c>
      <c r="U470" s="496">
        <v>9075.2240000000002</v>
      </c>
      <c r="X470" s="817">
        <v>960</v>
      </c>
      <c r="Y470" s="508">
        <f t="shared" ref="Y470:AB470" si="501">Y462/Y$422</f>
        <v>5.8771640529187506E-2</v>
      </c>
      <c r="Z470" s="508">
        <f t="shared" si="501"/>
        <v>8.7694699798353967E-2</v>
      </c>
      <c r="AA470" s="508">
        <f t="shared" si="501"/>
        <v>0.10885385256603608</v>
      </c>
      <c r="AB470" s="511">
        <f t="shared" si="501"/>
        <v>0.11143593954836305</v>
      </c>
    </row>
    <row r="471" spans="12:29">
      <c r="L471" s="780"/>
      <c r="M471" s="70">
        <v>1</v>
      </c>
      <c r="N471" s="818">
        <v>440</v>
      </c>
      <c r="O471" s="524">
        <v>1850.5749999999998</v>
      </c>
      <c r="P471" s="524">
        <v>7159.8390000000018</v>
      </c>
      <c r="Q471" s="524">
        <v>12243.683999999999</v>
      </c>
      <c r="R471" s="525">
        <v>5463.5880000000016</v>
      </c>
      <c r="S471" s="526">
        <v>4152.3389999999999</v>
      </c>
      <c r="T471" s="526">
        <v>6246.3069999999989</v>
      </c>
      <c r="U471" s="526">
        <v>5808.8910000000005</v>
      </c>
      <c r="X471" s="818">
        <v>440</v>
      </c>
      <c r="Y471" s="783">
        <f t="shared" ref="Y471:AB471" si="502">Y463/Y$422</f>
        <v>2.9074578964487625E-2</v>
      </c>
      <c r="Z471" s="530">
        <f t="shared" si="502"/>
        <v>4.4200972015291759E-2</v>
      </c>
      <c r="AA471" s="530">
        <f t="shared" si="502"/>
        <v>5.6897940349603965E-2</v>
      </c>
      <c r="AB471" s="530">
        <f t="shared" si="502"/>
        <v>3.7444884406171698E-2</v>
      </c>
    </row>
    <row r="472" spans="12:29">
      <c r="L472" s="780"/>
      <c r="M472" s="519" t="s">
        <v>221</v>
      </c>
      <c r="N472" s="520"/>
      <c r="O472" s="527">
        <f>SUM(O468:O471)</f>
        <v>8423.4160000000011</v>
      </c>
      <c r="P472" s="528">
        <f t="shared" ref="P472" si="503">SUM(P468:P471)</f>
        <v>35526.590499999998</v>
      </c>
      <c r="Q472" s="528">
        <f t="shared" ref="Q472" si="504">SUM(Q468:Q471)</f>
        <v>47035.213000000003</v>
      </c>
      <c r="R472" s="529">
        <f t="shared" ref="R472" si="505">SUM(R468:R471)</f>
        <v>63210.918000000005</v>
      </c>
      <c r="S472" s="528">
        <f t="shared" ref="S472" si="506">SUM(S468:S471)</f>
        <v>11085.809999999969</v>
      </c>
      <c r="T472" s="528">
        <f t="shared" ref="T472" si="507">SUM(T468:T471)</f>
        <v>47270.249000000018</v>
      </c>
      <c r="U472" s="528">
        <f t="shared" ref="U472" si="508">SUM(U468:U471)</f>
        <v>39545.65800000001</v>
      </c>
      <c r="X472" s="740"/>
      <c r="Y472" s="613">
        <f t="shared" ref="Y472:AB472" si="509">Y464/Y$422</f>
        <v>0.39614141362824068</v>
      </c>
      <c r="Z472" s="613">
        <f t="shared" si="509"/>
        <v>0.50760682477257035</v>
      </c>
      <c r="AA472" s="613">
        <f t="shared" si="509"/>
        <v>0.63211528518651339</v>
      </c>
      <c r="AB472" s="824">
        <f t="shared" si="509"/>
        <v>0.64748182168378854</v>
      </c>
    </row>
    <row r="473" spans="12:29">
      <c r="L473" s="780"/>
      <c r="M473" s="539"/>
      <c r="N473" s="539"/>
      <c r="O473" s="782"/>
      <c r="P473" s="782"/>
      <c r="Q473" s="782"/>
      <c r="R473" s="782"/>
      <c r="S473" s="782"/>
      <c r="T473" s="782"/>
      <c r="U473" s="782"/>
    </row>
    <row r="474" spans="12:29">
      <c r="L474" s="80" t="s">
        <v>641</v>
      </c>
      <c r="M474" s="70" t="s">
        <v>20</v>
      </c>
      <c r="N474" s="78" t="s">
        <v>220</v>
      </c>
      <c r="O474" s="71" t="s">
        <v>208</v>
      </c>
      <c r="P474" s="72" t="s">
        <v>209</v>
      </c>
      <c r="Q474" s="72" t="s">
        <v>212</v>
      </c>
      <c r="R474" s="73" t="s">
        <v>211</v>
      </c>
      <c r="S474" s="71" t="s">
        <v>213</v>
      </c>
      <c r="T474" s="72" t="s">
        <v>214</v>
      </c>
      <c r="U474" s="72" t="s">
        <v>210</v>
      </c>
      <c r="W474" s="80" t="s">
        <v>466</v>
      </c>
      <c r="X474" s="78" t="s">
        <v>220</v>
      </c>
      <c r="Y474" s="71" t="s">
        <v>208</v>
      </c>
      <c r="Z474" s="72" t="s">
        <v>209</v>
      </c>
      <c r="AA474" s="72" t="s">
        <v>212</v>
      </c>
      <c r="AB474" s="72" t="s">
        <v>211</v>
      </c>
    </row>
    <row r="475" spans="12:29">
      <c r="L475" s="12"/>
      <c r="M475" s="68">
        <v>4</v>
      </c>
      <c r="N475" s="817">
        <v>2300</v>
      </c>
      <c r="O475" s="508">
        <f>O468/O$422</f>
        <v>0</v>
      </c>
      <c r="P475" s="508">
        <f t="shared" ref="P475:U475" si="510">P468/P$422</f>
        <v>0.19492958909030092</v>
      </c>
      <c r="Q475" s="508">
        <f t="shared" si="510"/>
        <v>0.18011746206771634</v>
      </c>
      <c r="R475" s="509">
        <f t="shared" si="510"/>
        <v>0.24944623019517603</v>
      </c>
      <c r="S475" s="510">
        <f t="shared" si="510"/>
        <v>6.8213425730090357E-2</v>
      </c>
      <c r="T475" s="510">
        <f t="shared" si="510"/>
        <v>0.18543513467901565</v>
      </c>
      <c r="U475" s="510">
        <f t="shared" si="510"/>
        <v>0.1370852692636329</v>
      </c>
      <c r="X475" s="817">
        <v>2300</v>
      </c>
      <c r="Y475" s="494">
        <f>Y460*$E422*$R$22</f>
        <v>1090.7948093088953</v>
      </c>
      <c r="Z475" s="494">
        <f t="shared" ref="Z475:AB475" si="511">Z460*$E422*$R$22</f>
        <v>1663.06914112248</v>
      </c>
      <c r="AA475" s="494">
        <f t="shared" si="511"/>
        <v>2526.5421137661706</v>
      </c>
      <c r="AB475" s="497">
        <f t="shared" si="511"/>
        <v>3314.3671963349998</v>
      </c>
    </row>
    <row r="476" spans="12:29">
      <c r="L476" s="12"/>
      <c r="M476" s="68">
        <v>3</v>
      </c>
      <c r="N476" s="817">
        <v>1500</v>
      </c>
      <c r="O476" s="508">
        <f t="shared" ref="O476:U479" si="512">O469/O$422</f>
        <v>4.3860421487721818E-2</v>
      </c>
      <c r="P476" s="508">
        <f t="shared" si="512"/>
        <v>0.15557695577121627</v>
      </c>
      <c r="Q476" s="508">
        <f t="shared" si="512"/>
        <v>0.16703487355002364</v>
      </c>
      <c r="R476" s="509">
        <f t="shared" si="512"/>
        <v>0.13002657678749918</v>
      </c>
      <c r="S476" s="510">
        <f t="shared" si="512"/>
        <v>0</v>
      </c>
      <c r="T476" s="510">
        <f t="shared" si="512"/>
        <v>0.10961069424252033</v>
      </c>
      <c r="U476" s="510">
        <f t="shared" si="512"/>
        <v>8.85429647274103E-2</v>
      </c>
      <c r="X476" s="817">
        <v>1500</v>
      </c>
      <c r="Y476" s="494">
        <f t="shared" ref="Y476:AB476" si="513">Y461*$E423*$R$22</f>
        <v>126.25438201328744</v>
      </c>
      <c r="Z476" s="494">
        <f t="shared" si="513"/>
        <v>249.55201919939199</v>
      </c>
      <c r="AA476" s="494">
        <f t="shared" si="513"/>
        <v>379.12054916555826</v>
      </c>
      <c r="AB476" s="497">
        <f t="shared" si="513"/>
        <v>417.76369054055994</v>
      </c>
    </row>
    <row r="477" spans="12:29">
      <c r="L477" s="12"/>
      <c r="M477" s="68">
        <v>2</v>
      </c>
      <c r="N477" s="817">
        <v>960</v>
      </c>
      <c r="O477" s="508">
        <f t="shared" si="512"/>
        <v>0.13003862382496248</v>
      </c>
      <c r="P477" s="508">
        <f t="shared" si="512"/>
        <v>7.1828215755563543E-2</v>
      </c>
      <c r="Q477" s="508">
        <f t="shared" si="512"/>
        <v>7.3645226858336479E-2</v>
      </c>
      <c r="R477" s="509">
        <f t="shared" si="512"/>
        <v>8.3744496468314111E-2</v>
      </c>
      <c r="S477" s="510">
        <f t="shared" si="512"/>
        <v>4.6055978836917803E-2</v>
      </c>
      <c r="T477" s="510">
        <f t="shared" si="512"/>
        <v>0.11698376862124646</v>
      </c>
      <c r="U477" s="510">
        <f t="shared" si="512"/>
        <v>8.3029142344951012E-2</v>
      </c>
      <c r="X477" s="817">
        <v>960</v>
      </c>
      <c r="Y477" s="494">
        <f t="shared" ref="Y477:AB477" si="514">Y462*$E424*$R$22</f>
        <v>142.81705961739738</v>
      </c>
      <c r="Z477" s="494">
        <f t="shared" si="514"/>
        <v>276.59200607220004</v>
      </c>
      <c r="AA477" s="494">
        <f t="shared" si="514"/>
        <v>420.19981875246378</v>
      </c>
      <c r="AB477" s="497">
        <f t="shared" si="514"/>
        <v>514.47789256500005</v>
      </c>
    </row>
    <row r="478" spans="12:29">
      <c r="L478" s="780"/>
      <c r="M478" s="70">
        <v>1</v>
      </c>
      <c r="N478" s="818">
        <v>440</v>
      </c>
      <c r="O478" s="530">
        <f t="shared" si="512"/>
        <v>4.8961054402429746E-2</v>
      </c>
      <c r="P478" s="530">
        <f t="shared" si="512"/>
        <v>0.10659834948396679</v>
      </c>
      <c r="Q478" s="530">
        <f t="shared" si="512"/>
        <v>0.14808525325021896</v>
      </c>
      <c r="R478" s="531">
        <f t="shared" si="512"/>
        <v>4.3825896375246864E-2</v>
      </c>
      <c r="S478" s="532">
        <f t="shared" si="512"/>
        <v>6.8434021731736988E-2</v>
      </c>
      <c r="T478" s="532">
        <f t="shared" si="512"/>
        <v>6.2735642502094596E-2</v>
      </c>
      <c r="U478" s="532">
        <f t="shared" si="512"/>
        <v>5.3145491252370732E-2</v>
      </c>
      <c r="X478" s="818">
        <v>440</v>
      </c>
      <c r="Y478" s="825">
        <f t="shared" ref="Y478:AB478" si="515">Y463*$E425*$R$22</f>
        <v>47.10146866678889</v>
      </c>
      <c r="Z478" s="524">
        <f t="shared" si="515"/>
        <v>92.940892651151984</v>
      </c>
      <c r="AA478" s="524">
        <f t="shared" si="515"/>
        <v>146.42571153089881</v>
      </c>
      <c r="AB478" s="524">
        <f t="shared" si="515"/>
        <v>115.25046165359998</v>
      </c>
    </row>
    <row r="479" spans="12:29">
      <c r="L479" s="780"/>
      <c r="M479" s="519" t="s">
        <v>221</v>
      </c>
      <c r="N479" s="520"/>
      <c r="O479" s="784">
        <f t="shared" si="512"/>
        <v>0.22286009971511409</v>
      </c>
      <c r="P479" s="785">
        <f t="shared" si="512"/>
        <v>0.52893311010104749</v>
      </c>
      <c r="Q479" s="785">
        <f t="shared" si="512"/>
        <v>0.56888281572629551</v>
      </c>
      <c r="R479" s="786">
        <f t="shared" si="512"/>
        <v>0.50704319982623614</v>
      </c>
      <c r="S479" s="785">
        <f t="shared" si="512"/>
        <v>0.18270342629874511</v>
      </c>
      <c r="T479" s="785">
        <f t="shared" si="512"/>
        <v>0.47476524004487713</v>
      </c>
      <c r="U479" s="785">
        <f t="shared" si="512"/>
        <v>0.36180286758836494</v>
      </c>
      <c r="X479" s="740"/>
      <c r="Y479" s="827">
        <f>SUM(Y475:Y478)</f>
        <v>1406.9677196063687</v>
      </c>
      <c r="Z479" s="827">
        <f t="shared" ref="Z479:AB479" si="516">SUM(Z475:Z478)</f>
        <v>2282.1540590452237</v>
      </c>
      <c r="AA479" s="827">
        <f t="shared" si="516"/>
        <v>3472.2881932150913</v>
      </c>
      <c r="AB479" s="827">
        <f t="shared" si="516"/>
        <v>4361.8592410941592</v>
      </c>
      <c r="AC479" s="828">
        <f>SUM(Y479:AB479)</f>
        <v>11523.269212960844</v>
      </c>
    </row>
    <row r="480" spans="12:29">
      <c r="L480" s="780"/>
      <c r="M480" s="539"/>
      <c r="N480" s="539"/>
      <c r="O480" s="782"/>
      <c r="P480" s="782"/>
      <c r="Q480" s="782"/>
      <c r="R480" s="782"/>
      <c r="S480" s="782"/>
      <c r="T480" s="782"/>
      <c r="U480" s="782"/>
      <c r="Y480" s="829">
        <f>Y479/Y422</f>
        <v>1.1290325713544262E-2</v>
      </c>
      <c r="Z480" s="830">
        <f t="shared" ref="Z480:AB480" si="517">Z479/Z422</f>
        <v>1.4109554176565117E-2</v>
      </c>
      <c r="AA480" s="830">
        <f t="shared" si="517"/>
        <v>1.7540352562209999E-2</v>
      </c>
      <c r="AB480" s="830">
        <f t="shared" si="517"/>
        <v>1.842318950882563E-2</v>
      </c>
      <c r="AC480" s="831">
        <f>AC479/SUM(Y422:AB422)</f>
        <v>1.5980534585648427E-2</v>
      </c>
    </row>
    <row r="481" spans="12:21">
      <c r="L481" s="80" t="s">
        <v>648</v>
      </c>
      <c r="M481" s="70" t="s">
        <v>20</v>
      </c>
      <c r="N481" s="78" t="s">
        <v>220</v>
      </c>
      <c r="O481" s="71" t="s">
        <v>208</v>
      </c>
      <c r="P481" s="72" t="s">
        <v>209</v>
      </c>
      <c r="Q481" s="72" t="s">
        <v>212</v>
      </c>
      <c r="R481" s="73" t="s">
        <v>211</v>
      </c>
      <c r="S481" s="71" t="s">
        <v>213</v>
      </c>
      <c r="T481" s="72" t="s">
        <v>214</v>
      </c>
      <c r="U481" s="72" t="s">
        <v>210</v>
      </c>
    </row>
    <row r="482" spans="12:21">
      <c r="L482" s="12"/>
      <c r="M482" s="68">
        <v>4</v>
      </c>
      <c r="N482" s="817">
        <v>2300</v>
      </c>
      <c r="O482" s="494"/>
      <c r="P482" s="494">
        <v>437.60041600000005</v>
      </c>
      <c r="Q482" s="494">
        <v>509.77263300000004</v>
      </c>
      <c r="R482" s="495">
        <v>1011.7340229999998</v>
      </c>
      <c r="S482" s="496">
        <v>121.99102200000101</v>
      </c>
      <c r="T482" s="496">
        <v>619.42369399999984</v>
      </c>
      <c r="U482" s="496">
        <v>506.84065900000007</v>
      </c>
    </row>
    <row r="483" spans="12:21">
      <c r="L483" s="12"/>
      <c r="M483" s="68">
        <v>3</v>
      </c>
      <c r="N483" s="817">
        <v>1500</v>
      </c>
      <c r="O483" s="494">
        <v>43.463032800000001</v>
      </c>
      <c r="P483" s="494">
        <v>266.80010400000003</v>
      </c>
      <c r="Q483" s="494">
        <v>356.90522399999986</v>
      </c>
      <c r="R483" s="495">
        <v>413.15544679999965</v>
      </c>
      <c r="S483" s="496"/>
      <c r="T483" s="496">
        <v>271.53241839999993</v>
      </c>
      <c r="U483" s="496">
        <v>245.35517279999985</v>
      </c>
    </row>
    <row r="484" spans="12:21">
      <c r="L484" s="12"/>
      <c r="M484" s="68">
        <v>2</v>
      </c>
      <c r="N484" s="817">
        <v>960</v>
      </c>
      <c r="O484" s="494">
        <v>99.663900599999991</v>
      </c>
      <c r="P484" s="494">
        <v>89.68970250000001</v>
      </c>
      <c r="Q484" s="494">
        <v>115.862382</v>
      </c>
      <c r="R484" s="495">
        <v>195.01631459999993</v>
      </c>
      <c r="S484" s="496">
        <v>53.424909599999999</v>
      </c>
      <c r="T484" s="496">
        <v>214.11054119999983</v>
      </c>
      <c r="U484" s="496">
        <v>170.26322489999993</v>
      </c>
    </row>
    <row r="485" spans="12:21">
      <c r="L485" s="780"/>
      <c r="M485" s="70">
        <v>1</v>
      </c>
      <c r="N485" s="818">
        <v>440</v>
      </c>
      <c r="O485" s="524">
        <v>23.088306399999997</v>
      </c>
      <c r="P485" s="524">
        <v>88.604343999999998</v>
      </c>
      <c r="Q485" s="524">
        <v>153.30115519999998</v>
      </c>
      <c r="R485" s="525">
        <v>67.751248399999952</v>
      </c>
      <c r="S485" s="526">
        <v>50.602307799999998</v>
      </c>
      <c r="T485" s="526">
        <v>78.841914000000017</v>
      </c>
      <c r="U485" s="526">
        <v>72.443567999999999</v>
      </c>
    </row>
    <row r="486" spans="12:21">
      <c r="L486" s="780"/>
      <c r="M486" s="519" t="s">
        <v>221</v>
      </c>
      <c r="N486" s="520"/>
      <c r="O486" s="527">
        <f>SUM(O482:O485)</f>
        <v>166.21523979999998</v>
      </c>
      <c r="P486" s="528">
        <f t="shared" ref="P486" si="518">SUM(P482:P485)</f>
        <v>882.69456650000018</v>
      </c>
      <c r="Q486" s="528">
        <f t="shared" ref="Q486" si="519">SUM(Q482:Q485)</f>
        <v>1135.8413942</v>
      </c>
      <c r="R486" s="529">
        <f t="shared" ref="R486" si="520">SUM(R482:R485)</f>
        <v>1687.6570327999993</v>
      </c>
      <c r="S486" s="528">
        <f t="shared" ref="S486" si="521">SUM(S482:S485)</f>
        <v>226.01823940000102</v>
      </c>
      <c r="T486" s="528">
        <f t="shared" ref="T486" si="522">SUM(T482:T485)</f>
        <v>1183.9085675999995</v>
      </c>
      <c r="U486" s="528">
        <f t="shared" ref="U486" si="523">SUM(U482:U485)</f>
        <v>994.90262469999993</v>
      </c>
    </row>
    <row r="487" spans="12:21">
      <c r="L487" s="780"/>
      <c r="N487" s="787" t="s">
        <v>464</v>
      </c>
      <c r="O487" s="781">
        <f>O486/O422</f>
        <v>4.3975917746433973E-3</v>
      </c>
      <c r="P487" s="781">
        <f t="shared" ref="P487:U487" si="524">P486/P422</f>
        <v>1.3141885437279465E-2</v>
      </c>
      <c r="Q487" s="781">
        <f t="shared" si="524"/>
        <v>1.3737806407956037E-2</v>
      </c>
      <c r="R487" s="781">
        <f t="shared" si="524"/>
        <v>1.3537456015433328E-2</v>
      </c>
      <c r="S487" s="781">
        <f t="shared" si="524"/>
        <v>3.7249697355800195E-3</v>
      </c>
      <c r="T487" s="781">
        <f t="shared" si="524"/>
        <v>1.1890748349724161E-2</v>
      </c>
      <c r="U487" s="781">
        <f t="shared" si="524"/>
        <v>9.1023551204445947E-3</v>
      </c>
    </row>
    <row r="488" spans="12:21">
      <c r="L488" s="780"/>
      <c r="N488" s="787" t="s">
        <v>467</v>
      </c>
      <c r="O488" s="782">
        <v>199.73705799999999</v>
      </c>
      <c r="P488" s="782">
        <v>943.27814000000001</v>
      </c>
      <c r="Q488" s="782">
        <v>977.287643</v>
      </c>
      <c r="R488" s="782">
        <v>2138.3748700000001</v>
      </c>
      <c r="S488" s="782">
        <v>160.67566600000001</v>
      </c>
      <c r="T488" s="782">
        <v>1126.027922</v>
      </c>
      <c r="U488" s="782">
        <v>968.29669200000001</v>
      </c>
    </row>
    <row r="489" spans="12:21">
      <c r="L489" s="780"/>
      <c r="N489" s="787" t="s">
        <v>468</v>
      </c>
      <c r="O489" s="782">
        <f>O486-O488</f>
        <v>-33.521818200000013</v>
      </c>
      <c r="P489" s="782">
        <f t="shared" ref="P489" si="525">P486-P488</f>
        <v>-60.583573499999829</v>
      </c>
      <c r="Q489" s="782">
        <f t="shared" ref="Q489" si="526">Q486-Q488</f>
        <v>158.55375119999997</v>
      </c>
      <c r="R489" s="782">
        <f t="shared" ref="R489" si="527">R486-R488</f>
        <v>-450.71783720000076</v>
      </c>
      <c r="S489" s="782">
        <f t="shared" ref="S489" si="528">S486-S488</f>
        <v>65.342573400001015</v>
      </c>
      <c r="T489" s="782">
        <f t="shared" ref="T489" si="529">T486-T488</f>
        <v>57.880645599999525</v>
      </c>
      <c r="U489" s="782">
        <f t="shared" ref="U489" si="530">U486-U488</f>
        <v>26.605932699999926</v>
      </c>
    </row>
    <row r="490" spans="12:21">
      <c r="L490" s="780"/>
      <c r="N490" s="787" t="s">
        <v>469</v>
      </c>
      <c r="O490" s="781">
        <f>O489/O422</f>
        <v>-8.8689383816303597E-4</v>
      </c>
      <c r="P490" s="781">
        <f t="shared" ref="P490:U490" si="531">P489/P422</f>
        <v>-9.0199080467320142E-4</v>
      </c>
      <c r="Q490" s="781">
        <f t="shared" si="531"/>
        <v>1.9176803648496812E-3</v>
      </c>
      <c r="R490" s="781">
        <f t="shared" si="531"/>
        <v>-3.6154104642594962E-3</v>
      </c>
      <c r="S490" s="781">
        <f t="shared" si="531"/>
        <v>1.0769002935606387E-3</v>
      </c>
      <c r="T490" s="781">
        <f t="shared" si="531"/>
        <v>5.8133221600411341E-4</v>
      </c>
      <c r="U490" s="781">
        <f t="shared" si="531"/>
        <v>2.4341743778098269E-4</v>
      </c>
    </row>
    <row r="491" spans="12:21">
      <c r="L491" s="780"/>
      <c r="N491" s="787"/>
      <c r="O491" s="781"/>
      <c r="P491" s="781"/>
      <c r="Q491" s="781"/>
      <c r="R491" s="781"/>
      <c r="S491" s="781"/>
      <c r="T491" s="781"/>
      <c r="U491" s="781"/>
    </row>
    <row r="492" spans="12:21">
      <c r="L492" s="780"/>
      <c r="M492" s="539"/>
      <c r="N492" s="788" t="s">
        <v>632</v>
      </c>
      <c r="O492" s="816" t="str">
        <f t="shared" ref="O492:U492" si="532">O420</f>
        <v>Q1'15</v>
      </c>
      <c r="P492" s="816" t="str">
        <f t="shared" si="532"/>
        <v>Q2'15</v>
      </c>
      <c r="Q492" s="816" t="str">
        <f t="shared" si="532"/>
        <v>Q3'15</v>
      </c>
      <c r="R492" s="816" t="str">
        <f t="shared" si="532"/>
        <v>Q4'15</v>
      </c>
      <c r="S492" s="816" t="str">
        <f t="shared" si="532"/>
        <v>Q1'16</v>
      </c>
      <c r="T492" s="816" t="str">
        <f t="shared" si="532"/>
        <v>Q2'16</v>
      </c>
      <c r="U492" s="816" t="str">
        <f t="shared" si="532"/>
        <v>Q3'16</v>
      </c>
    </row>
    <row r="493" spans="12:21">
      <c r="L493" s="780"/>
      <c r="M493" s="539"/>
      <c r="N493" s="790" t="s">
        <v>642</v>
      </c>
      <c r="O493" s="789">
        <f t="shared" ref="O493:U493" si="533">O429</f>
        <v>25</v>
      </c>
      <c r="P493" s="789">
        <f t="shared" si="533"/>
        <v>40</v>
      </c>
      <c r="Q493" s="789">
        <f t="shared" si="533"/>
        <v>49</v>
      </c>
      <c r="R493" s="789">
        <f t="shared" si="533"/>
        <v>59</v>
      </c>
      <c r="S493" s="789">
        <f t="shared" si="533"/>
        <v>43</v>
      </c>
      <c r="T493" s="789">
        <f t="shared" si="533"/>
        <v>62</v>
      </c>
      <c r="U493" s="789">
        <f t="shared" si="533"/>
        <v>74</v>
      </c>
    </row>
    <row r="494" spans="12:21">
      <c r="L494" s="780"/>
      <c r="M494" s="539"/>
      <c r="N494" s="790" t="s">
        <v>643</v>
      </c>
      <c r="O494" s="791">
        <f t="shared" ref="O494:U494" si="534">O436</f>
        <v>0.30120481927710846</v>
      </c>
      <c r="P494" s="791">
        <f t="shared" si="534"/>
        <v>0.40816326530612246</v>
      </c>
      <c r="Q494" s="791">
        <f t="shared" si="534"/>
        <v>0.48039215686274511</v>
      </c>
      <c r="R494" s="791">
        <f t="shared" si="534"/>
        <v>0.59595959595959591</v>
      </c>
      <c r="S494" s="791">
        <f t="shared" si="534"/>
        <v>0.41346153846153844</v>
      </c>
      <c r="T494" s="791">
        <f t="shared" si="534"/>
        <v>0.51666666666666672</v>
      </c>
      <c r="U494" s="791">
        <f t="shared" si="534"/>
        <v>0.49333333333333335</v>
      </c>
    </row>
    <row r="495" spans="12:21">
      <c r="L495" s="780"/>
      <c r="M495" s="539"/>
      <c r="N495" s="790" t="s">
        <v>644</v>
      </c>
      <c r="O495" s="789">
        <v>12</v>
      </c>
      <c r="P495" s="789">
        <v>13</v>
      </c>
      <c r="Q495" s="789">
        <v>11</v>
      </c>
      <c r="R495" s="789">
        <v>15</v>
      </c>
      <c r="S495" s="789">
        <v>14</v>
      </c>
      <c r="T495" s="789">
        <v>17</v>
      </c>
      <c r="U495" s="789">
        <v>20</v>
      </c>
    </row>
    <row r="496" spans="12:21">
      <c r="L496" s="780"/>
      <c r="M496" s="539"/>
      <c r="N496" s="790" t="s">
        <v>669</v>
      </c>
      <c r="O496" s="793">
        <v>10</v>
      </c>
      <c r="P496" s="793">
        <v>4</v>
      </c>
      <c r="Q496" s="793">
        <v>4</v>
      </c>
      <c r="R496" s="793">
        <v>6</v>
      </c>
      <c r="S496" s="793">
        <v>29</v>
      </c>
      <c r="T496" s="793">
        <v>20</v>
      </c>
      <c r="U496" s="793">
        <v>38</v>
      </c>
    </row>
    <row r="497" spans="2:28">
      <c r="L497" s="780"/>
      <c r="M497" s="539"/>
      <c r="N497" s="790" t="s">
        <v>645</v>
      </c>
      <c r="O497" s="792">
        <v>0</v>
      </c>
      <c r="P497" s="792">
        <v>0</v>
      </c>
      <c r="Q497" s="792">
        <v>0</v>
      </c>
      <c r="R497" s="793">
        <v>9</v>
      </c>
      <c r="S497" s="793">
        <v>10</v>
      </c>
      <c r="T497" s="793">
        <v>17</v>
      </c>
      <c r="U497" s="793">
        <v>22</v>
      </c>
    </row>
    <row r="498" spans="2:28">
      <c r="L498" s="780"/>
      <c r="N498" s="790" t="s">
        <v>646</v>
      </c>
      <c r="O498" s="794">
        <f>O495/O493</f>
        <v>0.48</v>
      </c>
      <c r="P498" s="794">
        <f t="shared" ref="P498:U498" si="535">P495/P493</f>
        <v>0.32500000000000001</v>
      </c>
      <c r="Q498" s="794">
        <f t="shared" si="535"/>
        <v>0.22448979591836735</v>
      </c>
      <c r="R498" s="794">
        <f t="shared" si="535"/>
        <v>0.25423728813559321</v>
      </c>
      <c r="S498" s="794">
        <f t="shared" si="535"/>
        <v>0.32558139534883723</v>
      </c>
      <c r="T498" s="794">
        <f t="shared" si="535"/>
        <v>0.27419354838709675</v>
      </c>
      <c r="U498" s="794">
        <f t="shared" si="535"/>
        <v>0.27027027027027029</v>
      </c>
    </row>
    <row r="499" spans="2:28">
      <c r="L499" s="780"/>
      <c r="N499" s="790" t="s">
        <v>647</v>
      </c>
      <c r="O499" s="794">
        <f>O497/O493</f>
        <v>0</v>
      </c>
      <c r="P499" s="794">
        <f t="shared" ref="P499:U499" si="536">P497/P493</f>
        <v>0</v>
      </c>
      <c r="Q499" s="794">
        <f t="shared" si="536"/>
        <v>0</v>
      </c>
      <c r="R499" s="794">
        <f t="shared" si="536"/>
        <v>0.15254237288135594</v>
      </c>
      <c r="S499" s="794">
        <f t="shared" si="536"/>
        <v>0.23255813953488372</v>
      </c>
      <c r="T499" s="794">
        <f t="shared" si="536"/>
        <v>0.27419354838709675</v>
      </c>
      <c r="U499" s="794">
        <f t="shared" si="536"/>
        <v>0.29729729729729731</v>
      </c>
    </row>
    <row r="500" spans="2:28">
      <c r="L500" s="780"/>
      <c r="N500" s="790" t="s">
        <v>670</v>
      </c>
      <c r="O500" s="781">
        <f>O496/O493</f>
        <v>0.4</v>
      </c>
      <c r="P500" s="781">
        <f t="shared" ref="P500:U500" si="537">P496/P493</f>
        <v>0.1</v>
      </c>
      <c r="Q500" s="781">
        <f t="shared" si="537"/>
        <v>8.1632653061224483E-2</v>
      </c>
      <c r="R500" s="781">
        <f t="shared" si="537"/>
        <v>0.10169491525423729</v>
      </c>
      <c r="S500" s="781">
        <f t="shared" si="537"/>
        <v>0.67441860465116277</v>
      </c>
      <c r="T500" s="781">
        <f t="shared" si="537"/>
        <v>0.32258064516129031</v>
      </c>
      <c r="U500" s="781">
        <f t="shared" si="537"/>
        <v>0.51351351351351349</v>
      </c>
    </row>
    <row r="501" spans="2:28">
      <c r="L501" s="780"/>
      <c r="N501" s="787"/>
      <c r="O501" s="781"/>
      <c r="P501" s="781"/>
      <c r="Q501" s="781"/>
      <c r="R501" s="781"/>
      <c r="S501" s="781"/>
      <c r="T501" s="781"/>
      <c r="U501" s="781"/>
    </row>
    <row r="505" spans="2:28" s="45" customFormat="1">
      <c r="B505" s="44" t="s">
        <v>674</v>
      </c>
      <c r="O505" s="1118" t="s">
        <v>460</v>
      </c>
      <c r="P505" s="1118"/>
      <c r="Q505" s="1119">
        <f>AC550+AC558+AC571+AC577</f>
        <v>9707.5925852696</v>
      </c>
      <c r="R505" s="1120">
        <f>Q505/SUM($X$57:$AA$57)</f>
        <v>1.3462544021604487E-2</v>
      </c>
      <c r="W505" s="1118" t="s">
        <v>1530</v>
      </c>
      <c r="X505" s="1118"/>
      <c r="Y505" s="1119">
        <f>SUM(AA550:AB550,AA558:AB558,AC571,AC577)</f>
        <v>8563.7760897696007</v>
      </c>
    </row>
    <row r="507" spans="2:28">
      <c r="B507" s="542" t="s">
        <v>675</v>
      </c>
      <c r="L507" s="542" t="s">
        <v>470</v>
      </c>
      <c r="W507" s="543" t="s">
        <v>471</v>
      </c>
    </row>
    <row r="509" spans="2:28">
      <c r="C509" s="7" t="s">
        <v>405</v>
      </c>
      <c r="D509" s="141"/>
      <c r="E509" s="141"/>
      <c r="F509" s="141"/>
      <c r="G509" s="141"/>
      <c r="H509" s="141"/>
    </row>
    <row r="510" spans="2:28" ht="75">
      <c r="C510" s="445" t="s">
        <v>202</v>
      </c>
      <c r="D510" s="446" t="s">
        <v>398</v>
      </c>
      <c r="E510" s="446" t="s">
        <v>399</v>
      </c>
      <c r="F510" s="141"/>
      <c r="G510" s="141"/>
      <c r="H510" s="141"/>
      <c r="N510" s="505"/>
      <c r="O510" s="502" t="s">
        <v>208</v>
      </c>
      <c r="P510" s="502" t="s">
        <v>209</v>
      </c>
      <c r="Q510" s="502" t="s">
        <v>212</v>
      </c>
      <c r="R510" s="503" t="s">
        <v>211</v>
      </c>
      <c r="S510" s="82" t="s">
        <v>213</v>
      </c>
      <c r="T510" s="82" t="s">
        <v>214</v>
      </c>
      <c r="U510" s="82" t="s">
        <v>210</v>
      </c>
      <c r="X510" s="795"/>
      <c r="Y510" s="82" t="s">
        <v>691</v>
      </c>
      <c r="Z510" s="82" t="s">
        <v>688</v>
      </c>
      <c r="AA510" s="82" t="s">
        <v>689</v>
      </c>
      <c r="AB510" s="82" t="s">
        <v>690</v>
      </c>
    </row>
    <row r="511" spans="2:28">
      <c r="C511" s="447" t="s">
        <v>203</v>
      </c>
      <c r="D511" s="448">
        <v>1000</v>
      </c>
      <c r="E511" s="449">
        <v>6</v>
      </c>
      <c r="F511" s="442">
        <f>D511/6</f>
        <v>166.66666666666666</v>
      </c>
      <c r="G511" s="141"/>
      <c r="H511" s="141"/>
      <c r="N511" s="506" t="s">
        <v>632</v>
      </c>
      <c r="O511" s="499">
        <v>585</v>
      </c>
      <c r="P511" s="499">
        <v>722</v>
      </c>
      <c r="Q511" s="499">
        <v>817</v>
      </c>
      <c r="R511" s="504">
        <v>856</v>
      </c>
      <c r="S511" s="500">
        <v>885</v>
      </c>
      <c r="T511" s="500">
        <v>1124</v>
      </c>
      <c r="U511" s="500">
        <v>1341</v>
      </c>
      <c r="X511" s="75" t="s">
        <v>692</v>
      </c>
      <c r="Y511" s="725"/>
      <c r="Z511" s="1651">
        <f>'Sale Plan &amp; KPIs'!D4</f>
        <v>2116</v>
      </c>
      <c r="AA511" s="725">
        <f>'Sale Plan &amp; KPIs'!G4</f>
        <v>1972</v>
      </c>
      <c r="AB511" s="725">
        <f>'Sale Plan &amp; KPIs'!J4</f>
        <v>2331.1422846074338</v>
      </c>
    </row>
    <row r="512" spans="2:28">
      <c r="C512" s="450" t="s">
        <v>204</v>
      </c>
      <c r="D512" s="451">
        <f>100*6</f>
        <v>600</v>
      </c>
      <c r="E512" s="452">
        <v>3</v>
      </c>
      <c r="F512" s="442">
        <f t="shared" ref="F512:F513" si="538">D512/6</f>
        <v>100</v>
      </c>
      <c r="G512" s="141"/>
      <c r="H512" s="141"/>
      <c r="N512" s="506" t="s">
        <v>584</v>
      </c>
      <c r="O512" s="499">
        <v>37796.877999999997</v>
      </c>
      <c r="P512" s="499">
        <v>67166.509000000005</v>
      </c>
      <c r="Q512" s="499">
        <v>82679.967999999993</v>
      </c>
      <c r="R512" s="504">
        <v>124665.7445</v>
      </c>
      <c r="S512" s="500">
        <v>60676.530400000003</v>
      </c>
      <c r="T512" s="500">
        <v>99565.522100000002</v>
      </c>
      <c r="U512" s="500">
        <v>109301.67099999994</v>
      </c>
      <c r="X512" s="75" t="s">
        <v>13</v>
      </c>
      <c r="Y512" s="1651">
        <f t="shared" ref="Y512:AB512" si="539">Y333</f>
        <v>124617.10630000001</v>
      </c>
      <c r="Z512" s="1651">
        <f t="shared" si="539"/>
        <v>161745.299</v>
      </c>
      <c r="AA512" s="725">
        <f t="shared" si="539"/>
        <v>197960</v>
      </c>
      <c r="AB512" s="725">
        <f t="shared" si="539"/>
        <v>236759.18</v>
      </c>
    </row>
    <row r="513" spans="3:31">
      <c r="C513" s="453" t="s">
        <v>205</v>
      </c>
      <c r="D513" s="454">
        <f>50*6</f>
        <v>300</v>
      </c>
      <c r="E513" s="455">
        <v>2</v>
      </c>
      <c r="F513" s="442">
        <f t="shared" si="538"/>
        <v>50</v>
      </c>
      <c r="G513" s="1350"/>
      <c r="H513" s="141"/>
      <c r="Y513" s="832"/>
      <c r="Z513" s="832"/>
      <c r="AA513" s="832"/>
      <c r="AB513" s="832"/>
    </row>
    <row r="514" spans="3:31">
      <c r="C514" s="141"/>
      <c r="D514" s="141"/>
      <c r="E514" s="141"/>
      <c r="F514" s="141"/>
      <c r="G514" s="141"/>
      <c r="H514" s="141"/>
      <c r="Y514" s="442"/>
      <c r="Z514" s="442"/>
      <c r="AA514" s="442"/>
      <c r="AB514" s="442"/>
    </row>
    <row r="515" spans="3:31">
      <c r="C515" s="459" t="s">
        <v>403</v>
      </c>
      <c r="D515" s="141"/>
      <c r="E515" s="141"/>
      <c r="F515" s="141"/>
      <c r="G515" s="141"/>
      <c r="H515" s="141"/>
      <c r="M515" s="80" t="s">
        <v>685</v>
      </c>
      <c r="N515" s="503" t="s">
        <v>202</v>
      </c>
      <c r="O515" s="502" t="s">
        <v>208</v>
      </c>
      <c r="P515" s="502" t="s">
        <v>209</v>
      </c>
      <c r="Q515" s="502" t="s">
        <v>212</v>
      </c>
      <c r="R515" s="503" t="s">
        <v>211</v>
      </c>
      <c r="S515" s="82" t="s">
        <v>213</v>
      </c>
      <c r="T515" s="82" t="s">
        <v>214</v>
      </c>
      <c r="U515" s="82" t="s">
        <v>210</v>
      </c>
      <c r="W515" s="80" t="s">
        <v>684</v>
      </c>
      <c r="X515" s="503" t="s">
        <v>202</v>
      </c>
      <c r="Y515" s="502" t="s">
        <v>215</v>
      </c>
      <c r="Z515" s="502" t="s">
        <v>216</v>
      </c>
      <c r="AA515" s="502" t="s">
        <v>217</v>
      </c>
      <c r="AB515" s="502" t="s">
        <v>218</v>
      </c>
      <c r="AC515" s="501"/>
      <c r="AD515" s="501"/>
      <c r="AE515" s="501"/>
    </row>
    <row r="516" spans="3:31">
      <c r="C516" s="456" t="s">
        <v>400</v>
      </c>
      <c r="D516" s="141"/>
      <c r="E516" s="141"/>
      <c r="F516" s="141"/>
      <c r="G516" s="141"/>
      <c r="H516" s="141"/>
      <c r="N516" s="545" t="s">
        <v>203</v>
      </c>
      <c r="O516" s="67">
        <v>25</v>
      </c>
      <c r="P516" s="67">
        <v>6</v>
      </c>
      <c r="Q516" s="67">
        <v>5</v>
      </c>
      <c r="R516" s="506">
        <v>5</v>
      </c>
      <c r="S516" s="67">
        <v>8</v>
      </c>
      <c r="T516" s="67">
        <v>8</v>
      </c>
      <c r="U516" s="67">
        <v>9</v>
      </c>
      <c r="X516" s="545" t="s">
        <v>203</v>
      </c>
      <c r="Y516" s="474"/>
      <c r="Z516" s="1638">
        <f>Z522/Z$511</f>
        <v>2.3629489603024575E-3</v>
      </c>
      <c r="AA516" s="1638">
        <f>AA522/AA$511</f>
        <v>8.6206896551724137E-3</v>
      </c>
      <c r="AB516" s="1666">
        <f>AA516*1.3</f>
        <v>1.1206896551724138E-2</v>
      </c>
      <c r="AC516" s="539"/>
      <c r="AD516" s="539"/>
      <c r="AE516" s="539"/>
    </row>
    <row r="517" spans="3:31">
      <c r="C517" s="457" t="s">
        <v>676</v>
      </c>
      <c r="D517" s="141"/>
      <c r="E517" s="141"/>
      <c r="F517" s="141"/>
      <c r="G517" s="141"/>
      <c r="H517" s="141"/>
      <c r="N517" s="545" t="s">
        <v>204</v>
      </c>
      <c r="O517" s="67">
        <v>19</v>
      </c>
      <c r="P517" s="67">
        <v>9</v>
      </c>
      <c r="Q517" s="67">
        <v>10</v>
      </c>
      <c r="R517" s="506">
        <v>14</v>
      </c>
      <c r="S517" s="67">
        <v>32</v>
      </c>
      <c r="T517" s="67">
        <v>24</v>
      </c>
      <c r="U517" s="67">
        <v>17</v>
      </c>
      <c r="X517" s="545" t="s">
        <v>204</v>
      </c>
      <c r="Y517" s="474"/>
      <c r="Z517" s="1638">
        <f t="shared" ref="Z517:AA518" si="540">Z523/Z$511</f>
        <v>4.2533081285444233E-3</v>
      </c>
      <c r="AA517" s="1638">
        <f t="shared" si="540"/>
        <v>6.0851926977687626E-3</v>
      </c>
      <c r="AB517" s="1696">
        <f>AA517*1.3</f>
        <v>7.9107505070993914E-3</v>
      </c>
      <c r="AC517" s="539"/>
      <c r="AD517" s="539"/>
      <c r="AE517" s="539"/>
    </row>
    <row r="518" spans="3:31">
      <c r="C518" s="457" t="s">
        <v>59</v>
      </c>
      <c r="D518" s="141"/>
      <c r="E518" s="141"/>
      <c r="F518" s="141"/>
      <c r="G518" s="141"/>
      <c r="H518" s="141"/>
      <c r="N518" s="503" t="s">
        <v>205</v>
      </c>
      <c r="O518" s="117">
        <v>40</v>
      </c>
      <c r="P518" s="117">
        <v>22</v>
      </c>
      <c r="Q518" s="117">
        <v>37</v>
      </c>
      <c r="R518" s="547">
        <v>50</v>
      </c>
      <c r="S518" s="117">
        <v>63</v>
      </c>
      <c r="T518" s="117">
        <v>62</v>
      </c>
      <c r="U518" s="117">
        <v>55</v>
      </c>
      <c r="X518" s="503" t="s">
        <v>205</v>
      </c>
      <c r="Y518" s="478"/>
      <c r="Z518" s="1639">
        <f t="shared" si="540"/>
        <v>1.2287334593572778E-2</v>
      </c>
      <c r="AA518" s="1639">
        <f t="shared" si="540"/>
        <v>1.7748478701825558E-2</v>
      </c>
      <c r="AB518" s="1668">
        <f>AA518*1.3</f>
        <v>2.3073022312373227E-2</v>
      </c>
      <c r="AC518" s="539"/>
      <c r="AD518" s="539"/>
      <c r="AE518" s="539"/>
    </row>
    <row r="519" spans="3:31">
      <c r="C519" s="457" t="s">
        <v>393</v>
      </c>
      <c r="D519" s="141"/>
      <c r="E519" s="141"/>
      <c r="F519" s="141"/>
      <c r="G519" s="141"/>
      <c r="H519" s="141"/>
      <c r="N519" s="836" t="s">
        <v>254</v>
      </c>
      <c r="O519" s="93">
        <f>SUM(O516:O518)</f>
        <v>84</v>
      </c>
      <c r="P519" s="93">
        <f t="shared" ref="P519:U519" si="541">SUM(P516:P518)</f>
        <v>37</v>
      </c>
      <c r="Q519" s="93">
        <f t="shared" si="541"/>
        <v>52</v>
      </c>
      <c r="R519" s="709">
        <f t="shared" si="541"/>
        <v>69</v>
      </c>
      <c r="S519" s="93">
        <f t="shared" si="541"/>
        <v>103</v>
      </c>
      <c r="T519" s="93">
        <f t="shared" si="541"/>
        <v>94</v>
      </c>
      <c r="U519" s="93">
        <f t="shared" si="541"/>
        <v>81</v>
      </c>
      <c r="X519" s="836" t="s">
        <v>254</v>
      </c>
      <c r="Y519" s="615"/>
      <c r="Z519" s="615">
        <f t="shared" ref="Z519" si="542">SUM(Z516:Z518)</f>
        <v>1.890359168241966E-2</v>
      </c>
      <c r="AA519" s="615">
        <f t="shared" ref="AA519" si="543">SUM(AA516:AA518)</f>
        <v>3.2454361054766734E-2</v>
      </c>
      <c r="AB519" s="839">
        <f t="shared" ref="AB519" si="544">SUM(AB516:AB518)</f>
        <v>4.2190669371196754E-2</v>
      </c>
      <c r="AC519" s="592"/>
      <c r="AD519" s="592"/>
      <c r="AE519" s="592"/>
    </row>
    <row r="520" spans="3:31">
      <c r="C520" s="141"/>
      <c r="D520" s="141"/>
      <c r="E520" s="141"/>
      <c r="F520" s="141"/>
      <c r="G520" s="141"/>
      <c r="H520" s="141"/>
      <c r="N520" s="67"/>
      <c r="O520" s="67"/>
      <c r="P520" s="67"/>
      <c r="Q520" s="67"/>
      <c r="R520" s="67"/>
      <c r="S520" s="67"/>
      <c r="T520" s="67"/>
      <c r="U520" s="67"/>
      <c r="AC520" s="12"/>
      <c r="AD520" s="12"/>
      <c r="AE520" s="12"/>
    </row>
    <row r="521" spans="3:31">
      <c r="C521" s="458" t="s">
        <v>287</v>
      </c>
      <c r="D521" s="141"/>
      <c r="E521" s="141"/>
      <c r="F521" s="141"/>
      <c r="G521" s="141"/>
      <c r="H521" s="141"/>
      <c r="M521" s="80" t="s">
        <v>684</v>
      </c>
      <c r="N521" s="503" t="s">
        <v>202</v>
      </c>
      <c r="O521" s="502" t="s">
        <v>208</v>
      </c>
      <c r="P521" s="502" t="s">
        <v>209</v>
      </c>
      <c r="Q521" s="502" t="s">
        <v>212</v>
      </c>
      <c r="R521" s="503" t="s">
        <v>211</v>
      </c>
      <c r="S521" s="82" t="s">
        <v>213</v>
      </c>
      <c r="T521" s="82" t="s">
        <v>214</v>
      </c>
      <c r="U521" s="82" t="s">
        <v>210</v>
      </c>
      <c r="W521" s="80" t="s">
        <v>219</v>
      </c>
      <c r="X521" s="503" t="s">
        <v>202</v>
      </c>
      <c r="Y521" s="502" t="s">
        <v>215</v>
      </c>
      <c r="Z521" s="502" t="s">
        <v>216</v>
      </c>
      <c r="AA521" s="502" t="s">
        <v>217</v>
      </c>
      <c r="AB521" s="502" t="s">
        <v>218</v>
      </c>
      <c r="AC521" s="501"/>
      <c r="AD521" s="501"/>
      <c r="AE521" s="501"/>
    </row>
    <row r="522" spans="3:31">
      <c r="C522" s="141"/>
      <c r="D522" s="141"/>
      <c r="E522" s="141"/>
      <c r="F522" s="141"/>
      <c r="G522" s="141"/>
      <c r="H522" s="141"/>
      <c r="N522" s="545" t="s">
        <v>203</v>
      </c>
      <c r="O522" s="131">
        <f>O516/O$511</f>
        <v>4.2735042735042736E-2</v>
      </c>
      <c r="P522" s="131">
        <f t="shared" ref="P522:U522" si="545">P516/P$511</f>
        <v>8.3102493074792248E-3</v>
      </c>
      <c r="Q522" s="131">
        <f t="shared" si="545"/>
        <v>6.1199510403916772E-3</v>
      </c>
      <c r="R522" s="553">
        <f t="shared" si="545"/>
        <v>5.8411214953271026E-3</v>
      </c>
      <c r="S522" s="131">
        <f t="shared" si="545"/>
        <v>9.0395480225988704E-3</v>
      </c>
      <c r="T522" s="131">
        <f t="shared" si="545"/>
        <v>7.1174377224199285E-3</v>
      </c>
      <c r="U522" s="131">
        <f t="shared" si="545"/>
        <v>6.7114093959731542E-3</v>
      </c>
      <c r="X522" s="545" t="s">
        <v>203</v>
      </c>
      <c r="Y522" s="499"/>
      <c r="Z522" s="1614">
        <v>5</v>
      </c>
      <c r="AA522" s="1614">
        <v>17</v>
      </c>
      <c r="AB522" s="557">
        <f t="shared" ref="AB522" si="546">AB$511*AB516</f>
        <v>26.124870430945379</v>
      </c>
      <c r="AC522" s="539"/>
      <c r="AD522" s="539"/>
      <c r="AE522" s="539"/>
    </row>
    <row r="523" spans="3:31" ht="45">
      <c r="C523" s="445" t="s">
        <v>202</v>
      </c>
      <c r="D523" s="446" t="s">
        <v>706</v>
      </c>
      <c r="E523" s="446" t="s">
        <v>289</v>
      </c>
      <c r="F523" s="141"/>
      <c r="G523" s="141"/>
      <c r="H523" s="141"/>
      <c r="N523" s="545" t="s">
        <v>204</v>
      </c>
      <c r="O523" s="131">
        <f t="shared" ref="O523:U523" si="547">O517/O$511</f>
        <v>3.2478632478632481E-2</v>
      </c>
      <c r="P523" s="131">
        <f t="shared" si="547"/>
        <v>1.2465373961218837E-2</v>
      </c>
      <c r="Q523" s="131">
        <f t="shared" si="547"/>
        <v>1.2239902080783354E-2</v>
      </c>
      <c r="R523" s="553">
        <f t="shared" si="547"/>
        <v>1.6355140186915886E-2</v>
      </c>
      <c r="S523" s="131">
        <f t="shared" si="547"/>
        <v>3.6158192090395481E-2</v>
      </c>
      <c r="T523" s="131">
        <f t="shared" si="547"/>
        <v>2.1352313167259787E-2</v>
      </c>
      <c r="U523" s="131">
        <f t="shared" si="547"/>
        <v>1.267710663683818E-2</v>
      </c>
      <c r="X523" s="545" t="s">
        <v>204</v>
      </c>
      <c r="Y523" s="499"/>
      <c r="Z523" s="1614">
        <v>9</v>
      </c>
      <c r="AA523" s="1614">
        <v>12</v>
      </c>
      <c r="AB523" s="557">
        <f t="shared" ref="AB523" si="548">AB$511*AB517</f>
        <v>18.441085010079089</v>
      </c>
      <c r="AC523" s="539"/>
      <c r="AD523" s="539"/>
      <c r="AE523" s="539"/>
    </row>
    <row r="524" spans="3:31">
      <c r="C524" s="447" t="s">
        <v>203</v>
      </c>
      <c r="D524" s="833">
        <v>0.2</v>
      </c>
      <c r="E524" s="449">
        <v>4</v>
      </c>
      <c r="F524" s="141"/>
      <c r="G524" s="141"/>
      <c r="H524" s="141"/>
      <c r="N524" s="503" t="s">
        <v>205</v>
      </c>
      <c r="O524" s="705">
        <f t="shared" ref="O524:U524" si="549">O518/O$511</f>
        <v>6.8376068376068383E-2</v>
      </c>
      <c r="P524" s="705">
        <f t="shared" si="549"/>
        <v>3.0470914127423823E-2</v>
      </c>
      <c r="Q524" s="705">
        <f t="shared" si="549"/>
        <v>4.528763769889841E-2</v>
      </c>
      <c r="R524" s="706">
        <f t="shared" si="549"/>
        <v>5.8411214953271028E-2</v>
      </c>
      <c r="S524" s="705">
        <f t="shared" si="549"/>
        <v>7.1186440677966104E-2</v>
      </c>
      <c r="T524" s="705">
        <f t="shared" si="549"/>
        <v>5.5160142348754451E-2</v>
      </c>
      <c r="U524" s="705">
        <f t="shared" si="549"/>
        <v>4.1014168530947054E-2</v>
      </c>
      <c r="X524" s="503" t="s">
        <v>205</v>
      </c>
      <c r="Y524" s="611"/>
      <c r="Z524" s="1636">
        <v>26</v>
      </c>
      <c r="AA524" s="1636">
        <v>35</v>
      </c>
      <c r="AB524" s="611">
        <f t="shared" ref="AB524" si="550">AB$511*AB518</f>
        <v>53.786497946064017</v>
      </c>
      <c r="AC524" s="539"/>
      <c r="AD524" s="539"/>
      <c r="AE524" s="539"/>
    </row>
    <row r="525" spans="3:31">
      <c r="C525" s="450" t="s">
        <v>204</v>
      </c>
      <c r="D525" s="834">
        <v>0.15</v>
      </c>
      <c r="E525" s="452">
        <v>2</v>
      </c>
      <c r="F525" s="141"/>
      <c r="G525" s="141"/>
      <c r="H525" s="141"/>
      <c r="N525" s="836" t="s">
        <v>254</v>
      </c>
      <c r="O525" s="613">
        <f>SUM(O522:O524)</f>
        <v>0.14358974358974361</v>
      </c>
      <c r="P525" s="613">
        <f t="shared" ref="P525" si="551">SUM(P522:P524)</f>
        <v>5.1246537396121887E-2</v>
      </c>
      <c r="Q525" s="613">
        <f t="shared" ref="Q525" si="552">SUM(Q522:Q524)</f>
        <v>6.3647490820073441E-2</v>
      </c>
      <c r="R525" s="716">
        <f t="shared" ref="R525" si="553">SUM(R522:R524)</f>
        <v>8.0607476635514014E-2</v>
      </c>
      <c r="S525" s="613">
        <f t="shared" ref="S525" si="554">SUM(S522:S524)</f>
        <v>0.11638418079096045</v>
      </c>
      <c r="T525" s="613">
        <f t="shared" ref="T525" si="555">SUM(T522:T524)</f>
        <v>8.3629893238434172E-2</v>
      </c>
      <c r="U525" s="613">
        <f t="shared" ref="U525" si="556">SUM(U522:U524)</f>
        <v>6.0402684563758385E-2</v>
      </c>
      <c r="X525" s="836" t="s">
        <v>254</v>
      </c>
      <c r="Y525" s="568"/>
      <c r="Z525" s="568">
        <f t="shared" ref="Z525" si="557">SUM(Z522:Z524)</f>
        <v>40</v>
      </c>
      <c r="AA525" s="568">
        <f t="shared" ref="AA525" si="558">SUM(AA522:AA524)</f>
        <v>64</v>
      </c>
      <c r="AB525" s="838">
        <f t="shared" ref="AB525" si="559">SUM(AB522:AB524)</f>
        <v>98.352453387088488</v>
      </c>
      <c r="AC525" s="592"/>
      <c r="AD525" s="592"/>
      <c r="AE525" s="592"/>
    </row>
    <row r="526" spans="3:31">
      <c r="C526" s="453" t="s">
        <v>205</v>
      </c>
      <c r="D526" s="835">
        <v>0.12</v>
      </c>
      <c r="E526" s="455">
        <v>1</v>
      </c>
      <c r="F526" s="141"/>
      <c r="G526" s="141"/>
      <c r="H526" s="141"/>
      <c r="N526" s="67"/>
      <c r="O526" s="67"/>
      <c r="P526" s="67"/>
      <c r="Q526" s="67"/>
      <c r="R526" s="67"/>
      <c r="S526" s="67"/>
      <c r="T526" s="67"/>
      <c r="U526" s="67"/>
    </row>
    <row r="527" spans="3:31">
      <c r="C527" s="141"/>
      <c r="D527" s="141"/>
      <c r="E527" s="141"/>
      <c r="F527" s="141"/>
      <c r="G527" s="141"/>
      <c r="H527" s="141"/>
      <c r="M527" s="80" t="s">
        <v>206</v>
      </c>
      <c r="N527" s="503" t="s">
        <v>202</v>
      </c>
      <c r="O527" s="502" t="s">
        <v>208</v>
      </c>
      <c r="P527" s="502" t="s">
        <v>209</v>
      </c>
      <c r="Q527" s="502" t="s">
        <v>212</v>
      </c>
      <c r="R527" s="503" t="s">
        <v>211</v>
      </c>
      <c r="S527" s="82" t="s">
        <v>213</v>
      </c>
      <c r="T527" s="82" t="s">
        <v>214</v>
      </c>
      <c r="U527" s="82" t="s">
        <v>210</v>
      </c>
      <c r="W527" s="80" t="s">
        <v>687</v>
      </c>
      <c r="X527" s="503" t="s">
        <v>202</v>
      </c>
      <c r="Y527" s="502" t="s">
        <v>215</v>
      </c>
      <c r="Z527" s="502" t="s">
        <v>216</v>
      </c>
      <c r="AA527" s="502" t="s">
        <v>217</v>
      </c>
      <c r="AB527" s="502" t="s">
        <v>218</v>
      </c>
    </row>
    <row r="528" spans="3:31">
      <c r="C528" s="435" t="s">
        <v>377</v>
      </c>
      <c r="D528" s="253"/>
      <c r="E528" s="253"/>
      <c r="F528" s="253"/>
      <c r="G528" s="427" t="s">
        <v>203</v>
      </c>
      <c r="H528" s="428" t="s">
        <v>204</v>
      </c>
      <c r="I528" s="429" t="s">
        <v>205</v>
      </c>
      <c r="N528" s="545" t="s">
        <v>203</v>
      </c>
      <c r="O528" s="499">
        <v>43584.188499999997</v>
      </c>
      <c r="P528" s="499">
        <v>11290.416000000001</v>
      </c>
      <c r="Q528" s="499">
        <v>11008.891</v>
      </c>
      <c r="R528" s="504">
        <v>10348.363000000001</v>
      </c>
      <c r="S528" s="499">
        <v>11161.276</v>
      </c>
      <c r="T528" s="499">
        <v>12856.662999999999</v>
      </c>
      <c r="U528" s="499">
        <v>11791.582</v>
      </c>
      <c r="X528" s="545" t="s">
        <v>203</v>
      </c>
      <c r="Y528" s="474"/>
      <c r="Z528" s="1640">
        <f>Z534/Z522</f>
        <v>1295.4974</v>
      </c>
      <c r="AA528" s="499">
        <f>Z528*1.05</f>
        <v>1360.2722699999999</v>
      </c>
      <c r="AB528" s="499">
        <f>AA528*1.05</f>
        <v>1428.2858835</v>
      </c>
    </row>
    <row r="529" spans="3:28">
      <c r="C529" s="422"/>
      <c r="D529" s="143"/>
      <c r="E529" s="143"/>
      <c r="F529" s="143"/>
      <c r="G529" s="440"/>
      <c r="H529" s="420"/>
      <c r="I529" s="421"/>
      <c r="N529" s="545" t="s">
        <v>204</v>
      </c>
      <c r="O529" s="499">
        <v>14308.247000000001</v>
      </c>
      <c r="P529" s="499">
        <v>6992.4909999999991</v>
      </c>
      <c r="Q529" s="499">
        <v>7942.0965000000006</v>
      </c>
      <c r="R529" s="504">
        <v>9939.7934999999998</v>
      </c>
      <c r="S529" s="499">
        <v>23796.187500000004</v>
      </c>
      <c r="T529" s="499">
        <v>18606.355499999998</v>
      </c>
      <c r="U529" s="499">
        <v>13029.659</v>
      </c>
      <c r="X529" s="545" t="s">
        <v>204</v>
      </c>
      <c r="Y529" s="474"/>
      <c r="Z529" s="1640">
        <f t="shared" ref="Z529:Z530" si="560">Z535/Z523</f>
        <v>607.11755555555555</v>
      </c>
      <c r="AA529" s="499">
        <f t="shared" ref="AA529:AB529" si="561">Z529*1.05</f>
        <v>637.47343333333333</v>
      </c>
      <c r="AB529" s="557">
        <f t="shared" si="561"/>
        <v>669.34710500000006</v>
      </c>
    </row>
    <row r="530" spans="3:28">
      <c r="C530" s="422" t="s">
        <v>382</v>
      </c>
      <c r="D530" s="143"/>
      <c r="E530" s="143"/>
      <c r="F530" s="143"/>
      <c r="G530" s="695" t="s">
        <v>290</v>
      </c>
      <c r="H530" s="697"/>
      <c r="I530" s="696"/>
      <c r="N530" s="503" t="s">
        <v>205</v>
      </c>
      <c r="O530" s="611">
        <v>16164.52</v>
      </c>
      <c r="P530" s="611">
        <v>9072.0469999999987</v>
      </c>
      <c r="Q530" s="611">
        <v>15102.413999999999</v>
      </c>
      <c r="R530" s="713">
        <v>21311.544000000002</v>
      </c>
      <c r="S530" s="611">
        <v>25721.772500000003</v>
      </c>
      <c r="T530" s="611">
        <v>27478.478499999997</v>
      </c>
      <c r="U530" s="611">
        <v>22907.669000000002</v>
      </c>
      <c r="X530" s="503" t="s">
        <v>205</v>
      </c>
      <c r="Y530" s="478"/>
      <c r="Z530" s="1641">
        <f t="shared" si="560"/>
        <v>260.75642307692311</v>
      </c>
      <c r="AA530" s="611">
        <f t="shared" ref="AA530:AB530" si="562">Z530*1.05</f>
        <v>273.79424423076927</v>
      </c>
      <c r="AB530" s="611">
        <f t="shared" si="562"/>
        <v>287.48395644230771</v>
      </c>
    </row>
    <row r="531" spans="3:28">
      <c r="C531" s="422" t="s">
        <v>378</v>
      </c>
      <c r="D531" s="143"/>
      <c r="E531" s="143"/>
      <c r="F531" s="143"/>
      <c r="G531" s="695" t="s">
        <v>681</v>
      </c>
      <c r="H531" s="697" t="s">
        <v>404</v>
      </c>
      <c r="I531" s="696" t="s">
        <v>404</v>
      </c>
      <c r="N531" s="836" t="s">
        <v>254</v>
      </c>
      <c r="O531" s="568">
        <f>SUM(O528:O530)</f>
        <v>74056.955499999996</v>
      </c>
      <c r="P531" s="568">
        <f t="shared" ref="P531" si="563">SUM(P528:P530)</f>
        <v>27354.953999999998</v>
      </c>
      <c r="Q531" s="568">
        <f t="shared" ref="Q531" si="564">SUM(Q528:Q530)</f>
        <v>34053.4015</v>
      </c>
      <c r="R531" s="837">
        <f t="shared" ref="R531" si="565">SUM(R528:R530)</f>
        <v>41599.700500000006</v>
      </c>
      <c r="S531" s="568">
        <f t="shared" ref="S531" si="566">SUM(S528:S530)</f>
        <v>60679.236000000004</v>
      </c>
      <c r="T531" s="568">
        <f t="shared" ref="T531" si="567">SUM(T528:T530)</f>
        <v>58941.496999999996</v>
      </c>
      <c r="U531" s="568">
        <f t="shared" ref="U531" si="568">SUM(U528:U530)</f>
        <v>47728.91</v>
      </c>
      <c r="X531" s="836" t="s">
        <v>254</v>
      </c>
      <c r="Y531" s="615"/>
      <c r="Z531" s="568"/>
      <c r="AA531" s="568"/>
      <c r="AB531" s="838"/>
    </row>
    <row r="532" spans="3:28">
      <c r="C532" s="422"/>
      <c r="D532" s="143"/>
      <c r="E532" s="143"/>
      <c r="F532" s="143"/>
      <c r="G532" s="695"/>
      <c r="H532" s="697"/>
      <c r="I532" s="696"/>
      <c r="N532" s="67"/>
      <c r="O532" s="67"/>
      <c r="P532" s="67"/>
      <c r="Q532" s="67"/>
      <c r="R532" s="67"/>
      <c r="S532" s="67"/>
      <c r="T532" s="67"/>
      <c r="U532" s="67"/>
    </row>
    <row r="533" spans="3:28">
      <c r="C533" s="422" t="s">
        <v>380</v>
      </c>
      <c r="D533" s="143"/>
      <c r="E533" s="143"/>
      <c r="F533" s="143"/>
      <c r="G533" s="695" t="s">
        <v>290</v>
      </c>
      <c r="H533" s="697" t="s">
        <v>290</v>
      </c>
      <c r="I533" s="696"/>
      <c r="M533" s="80" t="s">
        <v>673</v>
      </c>
      <c r="N533" s="503" t="s">
        <v>202</v>
      </c>
      <c r="O533" s="502" t="s">
        <v>208</v>
      </c>
      <c r="P533" s="502" t="s">
        <v>209</v>
      </c>
      <c r="Q533" s="502" t="s">
        <v>212</v>
      </c>
      <c r="R533" s="503" t="s">
        <v>211</v>
      </c>
      <c r="S533" s="82" t="s">
        <v>213</v>
      </c>
      <c r="T533" s="82" t="s">
        <v>214</v>
      </c>
      <c r="U533" s="82" t="s">
        <v>210</v>
      </c>
      <c r="W533" s="80" t="s">
        <v>206</v>
      </c>
      <c r="X533" s="503" t="s">
        <v>202</v>
      </c>
      <c r="Y533" s="502" t="s">
        <v>215</v>
      </c>
      <c r="Z533" s="502" t="s">
        <v>216</v>
      </c>
      <c r="AA533" s="502" t="s">
        <v>217</v>
      </c>
      <c r="AB533" s="502" t="s">
        <v>218</v>
      </c>
    </row>
    <row r="534" spans="3:28">
      <c r="C534" s="422" t="s">
        <v>385</v>
      </c>
      <c r="D534" s="143"/>
      <c r="E534" s="143"/>
      <c r="F534" s="143"/>
      <c r="G534" s="695" t="s">
        <v>290</v>
      </c>
      <c r="H534" s="697" t="s">
        <v>290</v>
      </c>
      <c r="I534" s="696" t="s">
        <v>290</v>
      </c>
      <c r="N534" s="545" t="s">
        <v>203</v>
      </c>
      <c r="O534" s="131">
        <v>0.4463265097988286</v>
      </c>
      <c r="P534" s="131">
        <v>0.18439844144144291</v>
      </c>
      <c r="Q534" s="131">
        <v>0.16026784284153558</v>
      </c>
      <c r="R534" s="553">
        <v>0.12022140385803891</v>
      </c>
      <c r="S534" s="131">
        <v>0.10126768380966122</v>
      </c>
      <c r="T534" s="131">
        <v>0.11671197631435522</v>
      </c>
      <c r="U534" s="131">
        <v>0.11183856653613145</v>
      </c>
      <c r="X534" s="545" t="s">
        <v>203</v>
      </c>
      <c r="Y534" s="474"/>
      <c r="Z534" s="1614">
        <v>6477.4870000000001</v>
      </c>
      <c r="AA534" s="499">
        <f t="shared" ref="AA534:AB534" si="569">AA528*AA522</f>
        <v>23124.62859</v>
      </c>
      <c r="AB534" s="499">
        <f t="shared" si="569"/>
        <v>37313.783644785843</v>
      </c>
    </row>
    <row r="535" spans="3:28">
      <c r="C535" s="423"/>
      <c r="D535" s="424"/>
      <c r="E535" s="424"/>
      <c r="F535" s="424"/>
      <c r="G535" s="441"/>
      <c r="H535" s="698"/>
      <c r="I535" s="439"/>
      <c r="N535" s="545" t="s">
        <v>204</v>
      </c>
      <c r="O535" s="131">
        <v>0.14652446597347019</v>
      </c>
      <c r="P535" s="131">
        <v>0.11420344849944557</v>
      </c>
      <c r="Q535" s="131">
        <v>0.11562133494593688</v>
      </c>
      <c r="R535" s="553">
        <v>0.11547487545895037</v>
      </c>
      <c r="S535" s="131">
        <v>0.21590585087452485</v>
      </c>
      <c r="T535" s="131">
        <v>0.16890732240648082</v>
      </c>
      <c r="U535" s="131">
        <v>0.12358124507929502</v>
      </c>
      <c r="X535" s="545" t="s">
        <v>204</v>
      </c>
      <c r="Y535" s="474"/>
      <c r="Z535" s="1614">
        <v>5464.058</v>
      </c>
      <c r="AA535" s="499">
        <f t="shared" ref="AA535:AB535" si="570">AA529*AA523</f>
        <v>7649.6812</v>
      </c>
      <c r="AB535" s="557">
        <f t="shared" si="570"/>
        <v>12343.486864555334</v>
      </c>
    </row>
    <row r="536" spans="3:28">
      <c r="C536" s="141"/>
      <c r="D536" s="141"/>
      <c r="E536" s="141"/>
      <c r="F536" s="141"/>
      <c r="G536" s="141"/>
      <c r="H536" s="141"/>
      <c r="N536" s="503" t="s">
        <v>205</v>
      </c>
      <c r="O536" s="705">
        <v>0.16553374153503769</v>
      </c>
      <c r="P536" s="705">
        <v>0.14816737731218382</v>
      </c>
      <c r="Q536" s="705">
        <v>0.21986150226029186</v>
      </c>
      <c r="R536" s="706">
        <v>0.24758541404687542</v>
      </c>
      <c r="S536" s="705">
        <v>0.2333769297125203</v>
      </c>
      <c r="T536" s="705">
        <v>0.24944789576008325</v>
      </c>
      <c r="U536" s="705">
        <v>0.21727032586841832</v>
      </c>
      <c r="X536" s="503" t="s">
        <v>205</v>
      </c>
      <c r="Y536" s="478"/>
      <c r="Z536" s="1636">
        <v>6779.6670000000004</v>
      </c>
      <c r="AA536" s="611">
        <f t="shared" ref="AA536:AB536" si="571">AA530*AA524</f>
        <v>9582.7985480769239</v>
      </c>
      <c r="AB536" s="611">
        <f t="shared" si="571"/>
        <v>15462.75523271054</v>
      </c>
    </row>
    <row r="537" spans="3:28">
      <c r="C537" s="460" t="s">
        <v>406</v>
      </c>
      <c r="D537" s="141"/>
      <c r="E537" s="141"/>
      <c r="F537" s="141"/>
      <c r="G537" s="141"/>
      <c r="H537" s="141"/>
      <c r="N537" s="836" t="s">
        <v>254</v>
      </c>
      <c r="O537" s="613">
        <f>SUM(O534:O536)</f>
        <v>0.75838471730733659</v>
      </c>
      <c r="P537" s="613">
        <f t="shared" ref="P537" si="572">SUM(P534:P536)</f>
        <v>0.44676926725307231</v>
      </c>
      <c r="Q537" s="613">
        <f t="shared" ref="Q537" si="573">SUM(Q534:Q536)</f>
        <v>0.49575068004776435</v>
      </c>
      <c r="R537" s="716">
        <f t="shared" ref="R537" si="574">SUM(R534:R536)</f>
        <v>0.48328169336386473</v>
      </c>
      <c r="S537" s="613">
        <f t="shared" ref="S537" si="575">SUM(S534:S536)</f>
        <v>0.55055046439670641</v>
      </c>
      <c r="T537" s="613">
        <f t="shared" ref="T537" si="576">SUM(T534:T536)</f>
        <v>0.53506719448091933</v>
      </c>
      <c r="U537" s="613">
        <f t="shared" ref="U537" si="577">SUM(U534:U536)</f>
        <v>0.45269013748384479</v>
      </c>
      <c r="X537" s="836" t="s">
        <v>254</v>
      </c>
      <c r="Y537" s="615"/>
      <c r="Z537" s="568">
        <f t="shared" ref="Z537" si="578">SUM(Z534:Z536)</f>
        <v>18721.212</v>
      </c>
      <c r="AA537" s="568">
        <f t="shared" ref="AA537" si="579">SUM(AA534:AA536)</f>
        <v>40357.108338076927</v>
      </c>
      <c r="AB537" s="838">
        <f t="shared" ref="AB537" si="580">SUM(AB534:AB536)</f>
        <v>65120.025742051715</v>
      </c>
    </row>
    <row r="538" spans="3:28">
      <c r="C538" s="141"/>
      <c r="D538" s="141"/>
      <c r="E538" s="141"/>
      <c r="F538" s="141"/>
      <c r="G538" s="141"/>
      <c r="H538" s="141"/>
    </row>
    <row r="539" spans="3:28">
      <c r="C539" s="434" t="s">
        <v>407</v>
      </c>
      <c r="D539" s="141"/>
      <c r="E539" s="141"/>
      <c r="F539" s="141"/>
      <c r="G539" s="141"/>
      <c r="H539" s="141"/>
      <c r="M539" s="80" t="s">
        <v>686</v>
      </c>
      <c r="N539" s="503" t="s">
        <v>202</v>
      </c>
      <c r="O539" s="502" t="s">
        <v>208</v>
      </c>
      <c r="P539" s="502" t="s">
        <v>209</v>
      </c>
      <c r="Q539" s="502" t="s">
        <v>212</v>
      </c>
      <c r="R539" s="503" t="s">
        <v>211</v>
      </c>
      <c r="S539" s="82" t="s">
        <v>213</v>
      </c>
      <c r="T539" s="82" t="s">
        <v>214</v>
      </c>
      <c r="U539" s="82" t="s">
        <v>210</v>
      </c>
      <c r="W539" s="80" t="s">
        <v>673</v>
      </c>
      <c r="X539" s="503" t="s">
        <v>202</v>
      </c>
      <c r="Y539" s="502" t="s">
        <v>215</v>
      </c>
      <c r="Z539" s="502" t="s">
        <v>216</v>
      </c>
      <c r="AA539" s="502" t="s">
        <v>217</v>
      </c>
      <c r="AB539" s="502" t="s">
        <v>218</v>
      </c>
    </row>
    <row r="540" spans="3:28">
      <c r="C540" s="434" t="s">
        <v>682</v>
      </c>
      <c r="D540" s="141"/>
      <c r="E540" s="141"/>
      <c r="F540" s="141"/>
      <c r="G540" s="141"/>
      <c r="H540" s="141"/>
      <c r="N540" s="545" t="s">
        <v>203</v>
      </c>
      <c r="O540" s="67">
        <v>16</v>
      </c>
      <c r="P540" s="67">
        <v>4</v>
      </c>
      <c r="Q540" s="67">
        <v>1</v>
      </c>
      <c r="R540" s="506">
        <v>1</v>
      </c>
      <c r="S540" s="67">
        <v>1</v>
      </c>
      <c r="T540" s="67">
        <v>0</v>
      </c>
      <c r="U540" s="67">
        <v>1</v>
      </c>
      <c r="X540" s="545" t="s">
        <v>203</v>
      </c>
      <c r="Y540" s="474"/>
      <c r="Z540" s="474">
        <f>Z534/Z$512</f>
        <v>4.004745139455336E-2</v>
      </c>
      <c r="AA540" s="474">
        <f t="shared" ref="AA540:AB540" si="581">AA534/AA$512</f>
        <v>0.11681465240452617</v>
      </c>
      <c r="AB540" s="474">
        <f t="shared" si="581"/>
        <v>0.15760226760705051</v>
      </c>
    </row>
    <row r="541" spans="3:28">
      <c r="C541" s="434" t="s">
        <v>409</v>
      </c>
      <c r="D541" s="141"/>
      <c r="E541" s="141"/>
      <c r="F541" s="141"/>
      <c r="G541" s="141"/>
      <c r="H541" s="141"/>
      <c r="N541" s="545" t="s">
        <v>204</v>
      </c>
      <c r="O541" s="67">
        <v>16</v>
      </c>
      <c r="P541" s="67">
        <v>3</v>
      </c>
      <c r="Q541" s="67">
        <v>2</v>
      </c>
      <c r="R541" s="506">
        <v>3</v>
      </c>
      <c r="S541" s="67">
        <v>6</v>
      </c>
      <c r="T541" s="67">
        <v>8</v>
      </c>
      <c r="U541" s="67">
        <v>8</v>
      </c>
      <c r="X541" s="545" t="s">
        <v>204</v>
      </c>
      <c r="Y541" s="474"/>
      <c r="Z541" s="474">
        <f t="shared" ref="Z541:AB541" si="582">Z535/Z$512</f>
        <v>3.378186589521838E-2</v>
      </c>
      <c r="AA541" s="474">
        <f t="shared" si="582"/>
        <v>3.8642560113154173E-2</v>
      </c>
      <c r="AB541" s="591">
        <f t="shared" si="582"/>
        <v>5.2135198578383883E-2</v>
      </c>
    </row>
    <row r="542" spans="3:28">
      <c r="C542" s="434"/>
      <c r="D542" s="141"/>
      <c r="E542" s="141"/>
      <c r="F542" s="141"/>
      <c r="G542" s="141"/>
      <c r="H542" s="141"/>
      <c r="N542" s="503" t="s">
        <v>205</v>
      </c>
      <c r="O542" s="117">
        <v>26</v>
      </c>
      <c r="P542" s="117">
        <v>13</v>
      </c>
      <c r="Q542" s="117">
        <v>26</v>
      </c>
      <c r="R542" s="547">
        <v>33</v>
      </c>
      <c r="S542" s="117">
        <v>45</v>
      </c>
      <c r="T542" s="117">
        <v>29</v>
      </c>
      <c r="U542" s="117">
        <v>35</v>
      </c>
      <c r="X542" s="503" t="s">
        <v>205</v>
      </c>
      <c r="Y542" s="478"/>
      <c r="Z542" s="478">
        <f t="shared" ref="Z542:AB542" si="583">Z536/Z$512</f>
        <v>4.1915697345862278E-2</v>
      </c>
      <c r="AA542" s="478">
        <f t="shared" si="583"/>
        <v>4.8407751808834734E-2</v>
      </c>
      <c r="AB542" s="478">
        <f t="shared" si="583"/>
        <v>6.5310055697568051E-2</v>
      </c>
    </row>
    <row r="543" spans="3:28">
      <c r="C543" s="434" t="s">
        <v>410</v>
      </c>
      <c r="D543" s="141" t="s">
        <v>411</v>
      </c>
      <c r="E543" s="141" t="s">
        <v>412</v>
      </c>
      <c r="F543" s="141" t="s">
        <v>413</v>
      </c>
      <c r="G543" s="141" t="s">
        <v>414</v>
      </c>
      <c r="H543" s="141" t="s">
        <v>418</v>
      </c>
      <c r="N543" s="836" t="s">
        <v>254</v>
      </c>
      <c r="O543" s="93">
        <f>SUM(O540:O542)</f>
        <v>58</v>
      </c>
      <c r="P543" s="93">
        <f t="shared" ref="P543" si="584">SUM(P540:P542)</f>
        <v>20</v>
      </c>
      <c r="Q543" s="93">
        <f t="shared" ref="Q543" si="585">SUM(Q540:Q542)</f>
        <v>29</v>
      </c>
      <c r="R543" s="709">
        <f t="shared" ref="R543" si="586">SUM(R540:R542)</f>
        <v>37</v>
      </c>
      <c r="S543" s="93">
        <f t="shared" ref="S543" si="587">SUM(S540:S542)</f>
        <v>52</v>
      </c>
      <c r="T543" s="93">
        <f t="shared" ref="T543" si="588">SUM(T540:T542)</f>
        <v>37</v>
      </c>
      <c r="U543" s="93">
        <f t="shared" ref="U543" si="589">SUM(U540:U542)</f>
        <v>44</v>
      </c>
      <c r="X543" s="836" t="s">
        <v>254</v>
      </c>
      <c r="Y543" s="615"/>
      <c r="Z543" s="615">
        <f t="shared" ref="Z543:AB543" si="590">Z537/Z$512</f>
        <v>0.11574501463563401</v>
      </c>
      <c r="AA543" s="615">
        <f t="shared" si="590"/>
        <v>0.20386496432651507</v>
      </c>
      <c r="AB543" s="839">
        <f t="shared" si="590"/>
        <v>0.27504752188300247</v>
      </c>
    </row>
    <row r="544" spans="3:28">
      <c r="C544" s="461"/>
      <c r="D544" s="461"/>
      <c r="E544" s="461"/>
      <c r="F544" s="461"/>
      <c r="G544" s="462"/>
      <c r="H544" s="462"/>
      <c r="N544" s="67"/>
      <c r="O544" s="67"/>
      <c r="P544" s="67"/>
      <c r="Q544" s="67"/>
      <c r="R544" s="67"/>
      <c r="S544" s="67"/>
      <c r="T544" s="67"/>
      <c r="U544" s="67"/>
    </row>
    <row r="545" spans="3:29">
      <c r="C545" s="434" t="s">
        <v>415</v>
      </c>
      <c r="D545" s="141"/>
      <c r="E545" s="141" t="s">
        <v>416</v>
      </c>
      <c r="F545" s="141" t="s">
        <v>417</v>
      </c>
      <c r="G545" s="141" t="s">
        <v>417</v>
      </c>
      <c r="H545" s="141" t="s">
        <v>417</v>
      </c>
      <c r="M545" s="80" t="s">
        <v>684</v>
      </c>
      <c r="N545" s="503" t="s">
        <v>202</v>
      </c>
      <c r="O545" s="502" t="s">
        <v>208</v>
      </c>
      <c r="P545" s="502" t="s">
        <v>209</v>
      </c>
      <c r="Q545" s="502" t="s">
        <v>212</v>
      </c>
      <c r="R545" s="503" t="s">
        <v>211</v>
      </c>
      <c r="S545" s="82" t="s">
        <v>213</v>
      </c>
      <c r="T545" s="82" t="s">
        <v>214</v>
      </c>
      <c r="U545" s="82" t="s">
        <v>210</v>
      </c>
    </row>
    <row r="546" spans="3:29">
      <c r="N546" s="545" t="s">
        <v>203</v>
      </c>
      <c r="O546" s="131">
        <f>O540/O$511</f>
        <v>2.735042735042735E-2</v>
      </c>
      <c r="P546" s="131">
        <f t="shared" ref="P546:U546" si="591">P540/P$511</f>
        <v>5.5401662049861496E-3</v>
      </c>
      <c r="Q546" s="131">
        <f>Q540/Q$511</f>
        <v>1.2239902080783353E-3</v>
      </c>
      <c r="R546" s="553">
        <f t="shared" si="591"/>
        <v>1.1682242990654205E-3</v>
      </c>
      <c r="S546" s="131">
        <f t="shared" si="591"/>
        <v>1.1299435028248588E-3</v>
      </c>
      <c r="T546" s="131">
        <f t="shared" si="591"/>
        <v>0</v>
      </c>
      <c r="U546" s="131">
        <f t="shared" si="591"/>
        <v>7.4571215510812821E-4</v>
      </c>
      <c r="W546" s="80" t="s">
        <v>677</v>
      </c>
      <c r="X546" s="503" t="s">
        <v>202</v>
      </c>
      <c r="Y546" s="502" t="s">
        <v>215</v>
      </c>
      <c r="Z546" s="502" t="s">
        <v>216</v>
      </c>
      <c r="AA546" s="502" t="s">
        <v>217</v>
      </c>
      <c r="AB546" s="502" t="s">
        <v>218</v>
      </c>
    </row>
    <row r="547" spans="3:29">
      <c r="N547" s="545" t="s">
        <v>204</v>
      </c>
      <c r="O547" s="131">
        <f t="shared" ref="O547:U547" si="592">O541/O$511</f>
        <v>2.735042735042735E-2</v>
      </c>
      <c r="P547" s="131">
        <f t="shared" si="592"/>
        <v>4.1551246537396124E-3</v>
      </c>
      <c r="Q547" s="131">
        <f t="shared" si="592"/>
        <v>2.4479804161566705E-3</v>
      </c>
      <c r="R547" s="553">
        <f t="shared" si="592"/>
        <v>3.5046728971962616E-3</v>
      </c>
      <c r="S547" s="131">
        <f t="shared" si="592"/>
        <v>6.7796610169491523E-3</v>
      </c>
      <c r="T547" s="131">
        <f t="shared" si="592"/>
        <v>7.1174377224199285E-3</v>
      </c>
      <c r="U547" s="131">
        <f t="shared" si="592"/>
        <v>5.9656972408650257E-3</v>
      </c>
      <c r="X547" s="545" t="s">
        <v>203</v>
      </c>
      <c r="Y547" s="474"/>
      <c r="Z547" s="499">
        <f>Z534*$R$22*$D524</f>
        <v>421.03665500000011</v>
      </c>
      <c r="AA547" s="499">
        <f t="shared" ref="AA547:AB547" si="593">AA534*$R$22*$D524</f>
        <v>1503.1008583500002</v>
      </c>
      <c r="AB547" s="499">
        <f t="shared" si="593"/>
        <v>2425.3959369110798</v>
      </c>
    </row>
    <row r="548" spans="3:29">
      <c r="N548" s="503" t="s">
        <v>205</v>
      </c>
      <c r="O548" s="705">
        <f t="shared" ref="O548:U548" si="594">O542/O$511</f>
        <v>4.4444444444444446E-2</v>
      </c>
      <c r="P548" s="705">
        <f t="shared" si="594"/>
        <v>1.8005540166204988E-2</v>
      </c>
      <c r="Q548" s="705">
        <f t="shared" si="594"/>
        <v>3.182374541003672E-2</v>
      </c>
      <c r="R548" s="706">
        <f t="shared" si="594"/>
        <v>3.8551401869158876E-2</v>
      </c>
      <c r="S548" s="705">
        <f t="shared" si="594"/>
        <v>5.0847457627118647E-2</v>
      </c>
      <c r="T548" s="705">
        <f t="shared" si="594"/>
        <v>2.5800711743772242E-2</v>
      </c>
      <c r="U548" s="705">
        <f t="shared" si="594"/>
        <v>2.609992542878449E-2</v>
      </c>
      <c r="X548" s="545" t="s">
        <v>204</v>
      </c>
      <c r="Y548" s="474"/>
      <c r="Z548" s="499">
        <f t="shared" ref="Z548:AB548" si="595">Z535*$R$22*$D525</f>
        <v>266.37282750000003</v>
      </c>
      <c r="AA548" s="499">
        <f t="shared" si="595"/>
        <v>372.92195849999996</v>
      </c>
      <c r="AB548" s="557">
        <f t="shared" si="595"/>
        <v>601.74498464707256</v>
      </c>
    </row>
    <row r="549" spans="3:29">
      <c r="N549" s="836" t="s">
        <v>254</v>
      </c>
      <c r="O549" s="613">
        <f>SUM(O546:O548)</f>
        <v>9.9145299145299154E-2</v>
      </c>
      <c r="P549" s="613">
        <f t="shared" ref="P549" si="596">SUM(P546:P548)</f>
        <v>2.7700831024930751E-2</v>
      </c>
      <c r="Q549" s="613">
        <f t="shared" ref="Q549" si="597">SUM(Q546:Q548)</f>
        <v>3.5495716034271728E-2</v>
      </c>
      <c r="R549" s="716">
        <f t="shared" ref="R549" si="598">SUM(R546:R548)</f>
        <v>4.3224299065420559E-2</v>
      </c>
      <c r="S549" s="613">
        <f t="shared" ref="S549" si="599">SUM(S546:S548)</f>
        <v>5.8757062146892657E-2</v>
      </c>
      <c r="T549" s="613">
        <f t="shared" ref="T549" si="600">SUM(T546:T548)</f>
        <v>3.2918149466192169E-2</v>
      </c>
      <c r="U549" s="613">
        <f t="shared" ref="U549" si="601">SUM(U546:U548)</f>
        <v>3.2811334824757642E-2</v>
      </c>
      <c r="X549" s="503" t="s">
        <v>205</v>
      </c>
      <c r="Y549" s="478"/>
      <c r="Z549" s="611">
        <f t="shared" ref="Z549:AB549" si="602">Z536*$R$22*$D526</f>
        <v>264.40701300000001</v>
      </c>
      <c r="AA549" s="611">
        <f t="shared" si="602"/>
        <v>373.72914337500004</v>
      </c>
      <c r="AB549" s="611">
        <f t="shared" si="602"/>
        <v>603.04745407571102</v>
      </c>
    </row>
    <row r="550" spans="3:29">
      <c r="N550" s="67"/>
      <c r="O550" s="67"/>
      <c r="P550" s="67"/>
      <c r="Q550" s="67"/>
      <c r="R550" s="67"/>
      <c r="S550" s="67"/>
      <c r="T550" s="67"/>
      <c r="U550" s="67"/>
      <c r="X550" s="836" t="s">
        <v>254</v>
      </c>
      <c r="Y550" s="615"/>
      <c r="Z550" s="568">
        <f t="shared" ref="Z550" si="603">SUM(Z547:Z549)</f>
        <v>951.8164955000002</v>
      </c>
      <c r="AA550" s="568">
        <f t="shared" ref="AA550" si="604">SUM(AA547:AA549)</f>
        <v>2249.7519602250004</v>
      </c>
      <c r="AB550" s="838">
        <f t="shared" ref="AB550" si="605">SUM(AB547:AB549)</f>
        <v>3630.1883756338634</v>
      </c>
      <c r="AC550" s="856">
        <f>SUM(Z550:AB550)</f>
        <v>6831.7568313588636</v>
      </c>
    </row>
    <row r="551" spans="3:29">
      <c r="M551" s="80" t="s">
        <v>206</v>
      </c>
      <c r="N551" s="503" t="s">
        <v>202</v>
      </c>
      <c r="O551" s="502" t="s">
        <v>208</v>
      </c>
      <c r="P551" s="502" t="s">
        <v>209</v>
      </c>
      <c r="Q551" s="502" t="s">
        <v>212</v>
      </c>
      <c r="R551" s="503" t="s">
        <v>211</v>
      </c>
      <c r="S551" s="82" t="s">
        <v>213</v>
      </c>
      <c r="T551" s="82" t="s">
        <v>214</v>
      </c>
      <c r="U551" s="82" t="s">
        <v>210</v>
      </c>
      <c r="AC551" s="857">
        <f>AC550/SUM($Y$512:$AB$512)</f>
        <v>9.4743188158335351E-3</v>
      </c>
    </row>
    <row r="552" spans="3:29">
      <c r="N552" s="545" t="s">
        <v>203</v>
      </c>
      <c r="O552" s="499">
        <v>27808.495500000005</v>
      </c>
      <c r="P552" s="499">
        <v>8153.8859999999995</v>
      </c>
      <c r="Q552" s="499">
        <v>4204.8050000000003</v>
      </c>
      <c r="R552" s="504">
        <v>3126.7</v>
      </c>
      <c r="S552" s="499">
        <v>1332.5650000000001</v>
      </c>
      <c r="T552" s="499"/>
      <c r="U552" s="499">
        <v>1062.403</v>
      </c>
      <c r="V552" s="442"/>
      <c r="W552" s="442"/>
      <c r="X552" s="442"/>
    </row>
    <row r="553" spans="3:29">
      <c r="N553" s="545" t="s">
        <v>204</v>
      </c>
      <c r="O553" s="499">
        <v>15438.157499999998</v>
      </c>
      <c r="P553" s="499">
        <v>2295.2249999999999</v>
      </c>
      <c r="Q553" s="499">
        <v>1591.258</v>
      </c>
      <c r="R553" s="504">
        <v>1903.6299999999999</v>
      </c>
      <c r="S553" s="499">
        <v>4909.1670000000004</v>
      </c>
      <c r="T553" s="499">
        <v>8495.0450000000001</v>
      </c>
      <c r="U553" s="499">
        <v>6633.2869999999994</v>
      </c>
      <c r="V553" s="442"/>
      <c r="W553" s="442"/>
      <c r="X553" s="442"/>
    </row>
    <row r="554" spans="3:29">
      <c r="N554" s="503" t="s">
        <v>205</v>
      </c>
      <c r="O554" s="611">
        <v>14455.816499999999</v>
      </c>
      <c r="P554" s="611">
        <v>6292.9520000000002</v>
      </c>
      <c r="Q554" s="611">
        <v>11297.861499999999</v>
      </c>
      <c r="R554" s="713">
        <v>17139.0965</v>
      </c>
      <c r="S554" s="611">
        <v>23534.357000000004</v>
      </c>
      <c r="T554" s="611">
        <v>15790.998000000001</v>
      </c>
      <c r="U554" s="611">
        <v>17422.419000000002</v>
      </c>
      <c r="V554" s="442"/>
      <c r="W554" s="80" t="s">
        <v>693</v>
      </c>
      <c r="X554" s="503" t="s">
        <v>202</v>
      </c>
      <c r="Y554" s="502" t="s">
        <v>215</v>
      </c>
      <c r="Z554" s="502" t="s">
        <v>216</v>
      </c>
      <c r="AA554" s="502" t="s">
        <v>217</v>
      </c>
      <c r="AB554" s="502" t="s">
        <v>218</v>
      </c>
    </row>
    <row r="555" spans="3:29">
      <c r="N555" s="836" t="s">
        <v>254</v>
      </c>
      <c r="O555" s="568">
        <f>SUM(O552:O554)</f>
        <v>57702.469500000007</v>
      </c>
      <c r="P555" s="568">
        <f t="shared" ref="P555" si="606">SUM(P552:P554)</f>
        <v>16742.062999999998</v>
      </c>
      <c r="Q555" s="568">
        <f t="shared" ref="Q555" si="607">SUM(Q552:Q554)</f>
        <v>17093.924500000001</v>
      </c>
      <c r="R555" s="837">
        <f t="shared" ref="R555" si="608">SUM(R552:R554)</f>
        <v>22169.426500000001</v>
      </c>
      <c r="S555" s="568">
        <f t="shared" ref="S555" si="609">SUM(S552:S554)</f>
        <v>29776.089000000004</v>
      </c>
      <c r="T555" s="568">
        <f t="shared" ref="T555" si="610">SUM(T552:T554)</f>
        <v>24286.043000000001</v>
      </c>
      <c r="U555" s="568">
        <f t="shared" ref="U555" si="611">SUM(U552:U554)</f>
        <v>25118.109</v>
      </c>
      <c r="X555" s="545" t="s">
        <v>203</v>
      </c>
      <c r="Y555" s="474"/>
      <c r="Z555" s="1275">
        <f>Z522*$E524*3</f>
        <v>60</v>
      </c>
      <c r="AA555" s="1275">
        <f>AA522*$E524*3</f>
        <v>204</v>
      </c>
      <c r="AB555" s="1275">
        <f>AB522*$E524*3</f>
        <v>313.49844517134454</v>
      </c>
    </row>
    <row r="556" spans="3:29">
      <c r="N556" s="67"/>
      <c r="O556" s="67"/>
      <c r="P556" s="67"/>
      <c r="Q556" s="67"/>
      <c r="R556" s="67"/>
      <c r="S556" s="67"/>
      <c r="T556" s="67"/>
      <c r="U556" s="67"/>
      <c r="X556" s="545" t="s">
        <v>204</v>
      </c>
      <c r="Y556" s="474"/>
      <c r="Z556" s="557">
        <f t="shared" ref="Z556:AB556" si="612">Z523*$E525*3</f>
        <v>54</v>
      </c>
      <c r="AA556" s="557">
        <f t="shared" si="612"/>
        <v>72</v>
      </c>
      <c r="AB556" s="557">
        <f t="shared" si="612"/>
        <v>110.64651006047453</v>
      </c>
    </row>
    <row r="557" spans="3:29">
      <c r="M557" s="80" t="s">
        <v>673</v>
      </c>
      <c r="N557" s="503" t="s">
        <v>202</v>
      </c>
      <c r="O557" s="502" t="s">
        <v>208</v>
      </c>
      <c r="P557" s="502" t="s">
        <v>209</v>
      </c>
      <c r="Q557" s="502" t="s">
        <v>212</v>
      </c>
      <c r="R557" s="503" t="s">
        <v>211</v>
      </c>
      <c r="S557" s="82" t="s">
        <v>213</v>
      </c>
      <c r="T557" s="82" t="s">
        <v>214</v>
      </c>
      <c r="U557" s="82" t="s">
        <v>210</v>
      </c>
      <c r="X557" s="503" t="s">
        <v>205</v>
      </c>
      <c r="Y557" s="478"/>
      <c r="Z557" s="611">
        <f t="shared" ref="Z557:AB557" si="613">Z524*$E526*3</f>
        <v>78</v>
      </c>
      <c r="AA557" s="611">
        <f t="shared" si="613"/>
        <v>105</v>
      </c>
      <c r="AB557" s="611">
        <f t="shared" si="613"/>
        <v>161.35949383819207</v>
      </c>
    </row>
    <row r="558" spans="3:29">
      <c r="N558" s="545" t="s">
        <v>203</v>
      </c>
      <c r="O558" s="131">
        <v>0.28477457459765332</v>
      </c>
      <c r="P558" s="131">
        <v>0.13317169802168505</v>
      </c>
      <c r="Q558" s="131">
        <v>6.1213706895572192E-2</v>
      </c>
      <c r="R558" s="553">
        <v>3.632422475351222E-2</v>
      </c>
      <c r="S558" s="131">
        <v>1.2090532576725203E-2</v>
      </c>
      <c r="T558" s="131">
        <v>0</v>
      </c>
      <c r="U558" s="131">
        <v>1.0076479017292642E-2</v>
      </c>
      <c r="X558" s="836" t="s">
        <v>254</v>
      </c>
      <c r="Y558" s="615"/>
      <c r="Z558" s="568">
        <f t="shared" ref="Z558" si="614">SUM(Z555:Z557)</f>
        <v>192</v>
      </c>
      <c r="AA558" s="568">
        <f t="shared" ref="AA558" si="615">SUM(AA555:AA557)</f>
        <v>381</v>
      </c>
      <c r="AB558" s="838">
        <f t="shared" ref="AB558" si="616">SUM(AB555:AB557)</f>
        <v>585.50444907001111</v>
      </c>
      <c r="AC558" s="856">
        <f>SUM(Z558:AB558)</f>
        <v>1158.5044490700111</v>
      </c>
    </row>
    <row r="559" spans="3:29">
      <c r="N559" s="545" t="s">
        <v>204</v>
      </c>
      <c r="O559" s="131">
        <v>0.15809538256516142</v>
      </c>
      <c r="P559" s="131">
        <v>3.7486299243308291E-2</v>
      </c>
      <c r="Q559" s="131">
        <v>2.3165592888905528E-2</v>
      </c>
      <c r="R559" s="553">
        <v>2.2115292150679138E-2</v>
      </c>
      <c r="S559" s="131">
        <v>4.4541499692761208E-2</v>
      </c>
      <c r="T559" s="131">
        <v>7.711748303812449E-2</v>
      </c>
      <c r="U559" s="131">
        <v>6.2914145829012197E-2</v>
      </c>
      <c r="AC559" s="857">
        <f>AC558/SUM($Y$512:$AB$512)</f>
        <v>1.6066204888425006E-3</v>
      </c>
    </row>
    <row r="560" spans="3:29">
      <c r="N560" s="503" t="s">
        <v>205</v>
      </c>
      <c r="O560" s="705">
        <v>0.14803566033441962</v>
      </c>
      <c r="P560" s="705">
        <v>0.10277836891623933</v>
      </c>
      <c r="Q560" s="705">
        <v>0.16447468608122601</v>
      </c>
      <c r="R560" s="706">
        <v>0.19911228878310508</v>
      </c>
      <c r="S560" s="705">
        <v>0.21353022928020837</v>
      </c>
      <c r="T560" s="705">
        <v>0.14334968448313787</v>
      </c>
      <c r="U560" s="705">
        <v>0.16524486422193901</v>
      </c>
      <c r="W560" s="80" t="s">
        <v>694</v>
      </c>
    </row>
    <row r="561" spans="14:30">
      <c r="N561" s="836" t="s">
        <v>254</v>
      </c>
      <c r="O561" s="613">
        <f>SUM(O558:O560)</f>
        <v>0.59090561749723436</v>
      </c>
      <c r="P561" s="613">
        <f t="shared" ref="P561" si="617">SUM(P558:P560)</f>
        <v>0.27343636618123268</v>
      </c>
      <c r="Q561" s="613">
        <f t="shared" ref="Q561" si="618">SUM(Q558:Q560)</f>
        <v>0.24885398586570373</v>
      </c>
      <c r="R561" s="716">
        <f t="shared" ref="R561" si="619">SUM(R558:R560)</f>
        <v>0.25755180568729641</v>
      </c>
      <c r="S561" s="613">
        <f t="shared" ref="S561" si="620">SUM(S558:S560)</f>
        <v>0.2701622615496948</v>
      </c>
      <c r="T561" s="613">
        <f t="shared" ref="T561" si="621">SUM(T558:T560)</f>
        <v>0.22046716752126236</v>
      </c>
      <c r="U561" s="613">
        <f t="shared" ref="U561" si="622">SUM(U558:U560)</f>
        <v>0.23823548906824385</v>
      </c>
    </row>
    <row r="562" spans="14:30">
      <c r="V562" s="140" t="s">
        <v>683</v>
      </c>
      <c r="Z562" s="842">
        <f>AVERAGE(Z522:AB522)</f>
        <v>16.041623476981794</v>
      </c>
      <c r="AA562" s="842">
        <f>AVERAGE(Z523:AB523)</f>
        <v>13.147028336693031</v>
      </c>
      <c r="AB562" s="842">
        <f>AVERAGE(Z524:AB524)</f>
        <v>38.262165982021337</v>
      </c>
    </row>
    <row r="563" spans="14:30">
      <c r="V563" s="435" t="s">
        <v>377</v>
      </c>
      <c r="W563" s="253"/>
      <c r="X563" s="253"/>
      <c r="Y563" s="253"/>
      <c r="Z563" s="427" t="s">
        <v>203</v>
      </c>
      <c r="AA563" s="1272" t="s">
        <v>204</v>
      </c>
      <c r="AB563" s="1273" t="s">
        <v>205</v>
      </c>
    </row>
    <row r="564" spans="14:30">
      <c r="V564" s="422" t="s">
        <v>381</v>
      </c>
      <c r="W564" s="143"/>
      <c r="X564" s="143"/>
      <c r="Y564" s="143"/>
      <c r="Z564" s="843"/>
      <c r="AA564" s="844"/>
      <c r="AB564" s="845"/>
    </row>
    <row r="565" spans="14:30">
      <c r="V565" s="422" t="s">
        <v>382</v>
      </c>
      <c r="W565" s="143"/>
      <c r="X565" s="143"/>
      <c r="Y565" s="143"/>
      <c r="Z565" s="846"/>
      <c r="AA565" s="847"/>
      <c r="AB565" s="848"/>
    </row>
    <row r="566" spans="14:30">
      <c r="V566" s="422" t="s">
        <v>378</v>
      </c>
      <c r="W566" s="143"/>
      <c r="X566" s="143"/>
      <c r="Y566" s="143"/>
      <c r="Z566" s="846"/>
      <c r="AA566" s="847"/>
      <c r="AB566" s="848"/>
    </row>
    <row r="567" spans="14:30">
      <c r="V567" s="422"/>
      <c r="W567" s="143"/>
      <c r="X567" s="143"/>
      <c r="Y567" s="143"/>
      <c r="Z567" s="846"/>
      <c r="AA567" s="847"/>
      <c r="AB567" s="848"/>
    </row>
    <row r="568" spans="14:30">
      <c r="V568" s="850" t="s">
        <v>385</v>
      </c>
      <c r="W568" s="12"/>
      <c r="X568" s="12"/>
      <c r="Y568" s="12"/>
      <c r="Z568" s="851">
        <v>1.5</v>
      </c>
      <c r="AA568" s="852">
        <v>0.5</v>
      </c>
      <c r="AB568" s="751">
        <v>0.5</v>
      </c>
    </row>
    <row r="569" spans="14:30">
      <c r="V569" s="702"/>
      <c r="W569" s="703"/>
      <c r="X569" s="703"/>
      <c r="Y569" s="703"/>
      <c r="Z569" s="1421"/>
      <c r="AA569" s="719"/>
      <c r="AB569" s="752"/>
      <c r="AC569" s="697"/>
      <c r="AD569" s="697"/>
    </row>
    <row r="570" spans="14:30">
      <c r="V570" s="434" t="s">
        <v>695</v>
      </c>
      <c r="Z570" s="849">
        <f>SUM(Z564:Z569)</f>
        <v>1.5</v>
      </c>
      <c r="AA570" s="849">
        <f>SUM(AA564:AA569)</f>
        <v>0.5</v>
      </c>
      <c r="AB570" s="849">
        <f>SUM(AB564:AB569)</f>
        <v>0.5</v>
      </c>
      <c r="AC570" s="841"/>
      <c r="AD570" s="841"/>
    </row>
    <row r="571" spans="14:30">
      <c r="V571" s="853" t="s">
        <v>625</v>
      </c>
      <c r="W571" s="658"/>
      <c r="X571" s="658"/>
      <c r="Y571" s="658"/>
      <c r="Z571" s="854">
        <f>Z570*Z562</f>
        <v>24.062435215472689</v>
      </c>
      <c r="AA571" s="854">
        <f>AA570*AA562</f>
        <v>6.5735141683465157</v>
      </c>
      <c r="AB571" s="854">
        <f>AB570*AB562</f>
        <v>19.131082991010668</v>
      </c>
      <c r="AC571" s="855">
        <f>SUM(Z571:AB571)</f>
        <v>49.767032374829874</v>
      </c>
      <c r="AD571" s="841"/>
    </row>
    <row r="572" spans="14:30">
      <c r="X572" s="143"/>
      <c r="Y572" s="143"/>
      <c r="Z572" s="143"/>
      <c r="AA572" s="143"/>
      <c r="AB572" s="841"/>
      <c r="AC572" s="858">
        <f>AC571/SUM($Y$512:$AB$512)</f>
        <v>6.9017200535116595E-5</v>
      </c>
      <c r="AD572" s="841"/>
    </row>
    <row r="573" spans="14:30">
      <c r="X573" s="143"/>
      <c r="Y573" s="143"/>
      <c r="Z573" s="143"/>
      <c r="AA573" s="143"/>
      <c r="AB573" s="841"/>
      <c r="AC573" s="841"/>
      <c r="AD573" s="841"/>
    </row>
    <row r="574" spans="14:30">
      <c r="W574" s="80" t="s">
        <v>696</v>
      </c>
      <c r="AB574" s="74" t="s">
        <v>219</v>
      </c>
      <c r="AC574" s="725">
        <f>Z562</f>
        <v>16.041623476981794</v>
      </c>
    </row>
    <row r="575" spans="14:30">
      <c r="AB575" s="74" t="s">
        <v>697</v>
      </c>
      <c r="AC575" s="499">
        <f>AC574*2500</f>
        <v>40104.058692454484</v>
      </c>
    </row>
    <row r="576" spans="14:30">
      <c r="AB576" s="74" t="s">
        <v>561</v>
      </c>
      <c r="AC576" s="499">
        <f>AC575*$R$22*15%</f>
        <v>1955.0728612571561</v>
      </c>
    </row>
    <row r="577" spans="2:30">
      <c r="AB577" s="74" t="s">
        <v>700</v>
      </c>
      <c r="AC577" s="860">
        <f>AA582/((1+6%)^1.5)+AB582/((1+6%)^2.5)+AC582/((1+6%)^3.5)</f>
        <v>1667.5642724658956</v>
      </c>
    </row>
    <row r="578" spans="2:30">
      <c r="AC578" s="840">
        <f>AC577/SUM($Y$512:$AB$512)</f>
        <v>2.3125875163933348E-3</v>
      </c>
    </row>
    <row r="579" spans="2:30">
      <c r="AD579" s="721"/>
    </row>
    <row r="580" spans="2:30">
      <c r="X580" s="757" t="s">
        <v>698</v>
      </c>
      <c r="Y580" s="859">
        <v>2017</v>
      </c>
      <c r="Z580" s="859">
        <v>2018</v>
      </c>
      <c r="AA580" s="859">
        <v>2019</v>
      </c>
      <c r="AB580" s="859">
        <v>2020</v>
      </c>
      <c r="AC580" s="859">
        <v>2022</v>
      </c>
    </row>
    <row r="581" spans="2:30">
      <c r="X581" s="470"/>
      <c r="Y581" s="859"/>
      <c r="Z581" s="859"/>
      <c r="AA581" s="750">
        <v>0.25</v>
      </c>
      <c r="AB581" s="750">
        <v>0.25</v>
      </c>
      <c r="AC581" s="750">
        <v>0.5</v>
      </c>
    </row>
    <row r="582" spans="2:30">
      <c r="X582" s="757" t="s">
        <v>699</v>
      </c>
      <c r="Y582" s="859"/>
      <c r="Z582" s="859"/>
      <c r="AA582" s="745">
        <f>AA581*$AC$576</f>
        <v>488.76821531428902</v>
      </c>
      <c r="AB582" s="745">
        <f>AB581*$AC$576</f>
        <v>488.76821531428902</v>
      </c>
      <c r="AC582" s="745">
        <f>AC581*$AC$576</f>
        <v>977.53643062857805</v>
      </c>
    </row>
    <row r="584" spans="2:30" s="703" customFormat="1">
      <c r="O584" s="1118" t="s">
        <v>460</v>
      </c>
      <c r="P584" s="1118"/>
      <c r="Q584" s="1119">
        <f>Z591</f>
        <v>1609.1999999999998</v>
      </c>
      <c r="R584" s="1120">
        <f>Q584/SUM($X$57:$AA$57)</f>
        <v>2.2316476149234982E-3</v>
      </c>
      <c r="W584" s="1118" t="s">
        <v>1530</v>
      </c>
      <c r="X584" s="1118"/>
      <c r="Y584" s="1119">
        <f>Y591</f>
        <v>1069.1999999999998</v>
      </c>
    </row>
    <row r="586" spans="2:30">
      <c r="B586" s="542" t="s">
        <v>701</v>
      </c>
      <c r="L586" s="542" t="s">
        <v>470</v>
      </c>
      <c r="W586" s="543" t="s">
        <v>471</v>
      </c>
    </row>
    <row r="587" spans="2:30">
      <c r="N587" s="505"/>
      <c r="O587" s="502" t="s">
        <v>208</v>
      </c>
      <c r="P587" s="502" t="s">
        <v>209</v>
      </c>
      <c r="Q587" s="502" t="s">
        <v>212</v>
      </c>
      <c r="R587" s="503" t="s">
        <v>211</v>
      </c>
      <c r="S587" s="82" t="s">
        <v>213</v>
      </c>
      <c r="T587" s="82" t="s">
        <v>214</v>
      </c>
      <c r="U587" s="82" t="s">
        <v>210</v>
      </c>
    </row>
    <row r="588" spans="2:30">
      <c r="C588" s="141" t="s">
        <v>707</v>
      </c>
      <c r="D588" s="141"/>
      <c r="N588" s="75" t="s">
        <v>666</v>
      </c>
      <c r="O588" s="499">
        <v>83</v>
      </c>
      <c r="P588" s="499">
        <v>98</v>
      </c>
      <c r="Q588" s="499">
        <v>102</v>
      </c>
      <c r="R588" s="504">
        <v>99</v>
      </c>
      <c r="S588" s="500">
        <v>104</v>
      </c>
      <c r="T588" s="500">
        <v>120</v>
      </c>
      <c r="U588" s="500">
        <v>150</v>
      </c>
      <c r="W588" s="67"/>
      <c r="X588" s="74" t="s">
        <v>1421</v>
      </c>
      <c r="Y588" s="74" t="s">
        <v>1422</v>
      </c>
    </row>
    <row r="589" spans="2:30">
      <c r="C589" s="140" t="s">
        <v>421</v>
      </c>
      <c r="D589" s="141"/>
      <c r="N589" s="75" t="s">
        <v>584</v>
      </c>
      <c r="O589" s="499">
        <v>37796.877999999997</v>
      </c>
      <c r="P589" s="499">
        <v>67166.509000000005</v>
      </c>
      <c r="Q589" s="499">
        <v>82679.967999999993</v>
      </c>
      <c r="R589" s="504">
        <v>124665.7445</v>
      </c>
      <c r="S589" s="500">
        <v>60676.530400000003</v>
      </c>
      <c r="T589" s="500">
        <v>99565.522100000002</v>
      </c>
      <c r="U589" s="500">
        <v>109301.67099999994</v>
      </c>
      <c r="W589" s="67" t="s">
        <v>1423</v>
      </c>
      <c r="X589" s="1697">
        <v>195</v>
      </c>
      <c r="Y589" s="507">
        <f>Z270</f>
        <v>198</v>
      </c>
    </row>
    <row r="590" spans="2:30">
      <c r="C590" s="141" t="s">
        <v>422</v>
      </c>
      <c r="D590" s="141"/>
      <c r="W590" s="67" t="s">
        <v>219</v>
      </c>
      <c r="X590" s="1692">
        <v>6</v>
      </c>
      <c r="Y590" s="1743">
        <f>Y589*6%</f>
        <v>11.879999999999999</v>
      </c>
    </row>
    <row r="591" spans="2:30">
      <c r="C591" s="141" t="s">
        <v>303</v>
      </c>
      <c r="D591" s="141"/>
      <c r="N591" s="67" t="s">
        <v>704</v>
      </c>
      <c r="O591" s="67">
        <v>2</v>
      </c>
      <c r="P591" s="67">
        <v>5</v>
      </c>
      <c r="Q591" s="67">
        <v>6</v>
      </c>
      <c r="R591" s="67">
        <v>7</v>
      </c>
      <c r="S591" s="67">
        <v>11</v>
      </c>
      <c r="T591" s="67">
        <v>9</v>
      </c>
      <c r="U591" s="67">
        <v>10</v>
      </c>
      <c r="W591" s="67" t="s">
        <v>466</v>
      </c>
      <c r="X591" s="499">
        <f>X590*$E$598*6</f>
        <v>540</v>
      </c>
      <c r="Y591" s="499">
        <f>Y590*$E$598*6</f>
        <v>1069.1999999999998</v>
      </c>
      <c r="Z591" s="1116">
        <f>SUM(X591:Y591)</f>
        <v>1609.1999999999998</v>
      </c>
    </row>
    <row r="592" spans="2:30">
      <c r="C592" s="463" t="s">
        <v>702</v>
      </c>
      <c r="D592" s="141"/>
      <c r="N592" s="67" t="s">
        <v>705</v>
      </c>
      <c r="O592" s="474">
        <f>O591/O588</f>
        <v>2.4096385542168676E-2</v>
      </c>
      <c r="P592" s="474">
        <f t="shared" ref="P592:U592" si="623">P591/P588</f>
        <v>5.1020408163265307E-2</v>
      </c>
      <c r="Q592" s="474">
        <f t="shared" si="623"/>
        <v>5.8823529411764705E-2</v>
      </c>
      <c r="R592" s="474">
        <f t="shared" si="623"/>
        <v>7.0707070707070704E-2</v>
      </c>
      <c r="S592" s="474">
        <f t="shared" si="623"/>
        <v>0.10576923076923077</v>
      </c>
      <c r="T592" s="474">
        <f t="shared" si="623"/>
        <v>7.4999999999999997E-2</v>
      </c>
      <c r="U592" s="474">
        <f t="shared" si="623"/>
        <v>6.6666666666666666E-2</v>
      </c>
      <c r="W592" s="67"/>
      <c r="X592" s="67"/>
      <c r="Y592" s="67"/>
    </row>
    <row r="593" spans="2:30">
      <c r="C593" s="463" t="s">
        <v>703</v>
      </c>
      <c r="D593" s="141"/>
      <c r="W593" s="67"/>
      <c r="X593" s="67"/>
      <c r="Y593" s="67"/>
    </row>
    <row r="594" spans="2:30">
      <c r="C594" s="463" t="s">
        <v>424</v>
      </c>
      <c r="D594" s="141"/>
    </row>
    <row r="595" spans="2:30">
      <c r="C595" s="141"/>
      <c r="D595" s="141"/>
    </row>
    <row r="596" spans="2:30">
      <c r="C596" s="140" t="s">
        <v>287</v>
      </c>
      <c r="D596" s="141"/>
    </row>
    <row r="597" spans="2:30">
      <c r="C597" s="141"/>
      <c r="D597" s="141"/>
    </row>
    <row r="598" spans="2:30">
      <c r="C598" t="s">
        <v>1424</v>
      </c>
      <c r="E598" s="773">
        <v>15</v>
      </c>
      <c r="F598" t="s">
        <v>1418</v>
      </c>
    </row>
    <row r="599" spans="2:30">
      <c r="C599" t="s">
        <v>1425</v>
      </c>
    </row>
    <row r="603" spans="2:30" s="45" customFormat="1">
      <c r="B603" s="44" t="s">
        <v>187</v>
      </c>
      <c r="O603" s="1118" t="s">
        <v>460</v>
      </c>
      <c r="P603" s="1118"/>
      <c r="Q603" s="1119">
        <f>AD613+AD631+AD653+AD676+AD708</f>
        <v>13251.023532499999</v>
      </c>
      <c r="R603" s="1120">
        <f>Q603/SUM($X$57:$AA$57)</f>
        <v>1.8376593998010674E-2</v>
      </c>
      <c r="W603" s="1118" t="s">
        <v>1530</v>
      </c>
      <c r="X603" s="1118"/>
      <c r="Y603" s="1119">
        <f>SUM(X613:AC613,X631:AC631,X653:AC653,,X676:AC676,X708:AC708)</f>
        <v>4925.6746825000009</v>
      </c>
    </row>
    <row r="605" spans="2:30">
      <c r="C605" s="258" t="s">
        <v>75</v>
      </c>
      <c r="D605" s="224"/>
      <c r="E605" s="224"/>
      <c r="F605" s="224"/>
      <c r="G605" s="231"/>
      <c r="H605" s="231"/>
      <c r="I605" s="231"/>
      <c r="J605" s="239"/>
      <c r="K605" s="223"/>
      <c r="Q605" s="1" t="s">
        <v>549</v>
      </c>
    </row>
    <row r="606" spans="2:30">
      <c r="C606" s="1698">
        <v>8</v>
      </c>
      <c r="D606" s="329" t="s">
        <v>1488</v>
      </c>
      <c r="E606" s="231"/>
      <c r="F606" s="231"/>
      <c r="G606" s="231"/>
      <c r="H606" s="231"/>
      <c r="I606" s="231"/>
      <c r="J606" s="239"/>
      <c r="K606" s="223"/>
      <c r="O606" s="542" t="s">
        <v>1215</v>
      </c>
    </row>
    <row r="607" spans="2:30">
      <c r="C607" s="1698">
        <v>4</v>
      </c>
      <c r="D607" s="329" t="s">
        <v>1489</v>
      </c>
      <c r="E607" s="231"/>
      <c r="F607" s="231"/>
      <c r="G607" s="231"/>
      <c r="H607" s="324"/>
      <c r="I607" s="231"/>
      <c r="J607" s="239"/>
      <c r="K607" s="223"/>
      <c r="P607" s="258" t="s">
        <v>1212</v>
      </c>
    </row>
    <row r="608" spans="2:30">
      <c r="C608" s="258"/>
      <c r="D608" s="231"/>
      <c r="E608" s="231"/>
      <c r="F608" s="231"/>
      <c r="G608" s="231"/>
      <c r="H608" s="231"/>
      <c r="I608" s="231"/>
      <c r="J608" s="239"/>
      <c r="K608" s="223"/>
      <c r="Q608" s="1112" t="s">
        <v>1118</v>
      </c>
      <c r="R608" s="760" t="s">
        <v>479</v>
      </c>
      <c r="S608" s="760" t="s">
        <v>480</v>
      </c>
      <c r="T608" s="760" t="s">
        <v>481</v>
      </c>
      <c r="U608" s="760" t="s">
        <v>482</v>
      </c>
      <c r="V608" s="760" t="s">
        <v>483</v>
      </c>
      <c r="W608" s="760" t="s">
        <v>484</v>
      </c>
      <c r="X608" s="760" t="s">
        <v>485</v>
      </c>
      <c r="Y608" s="760" t="s">
        <v>486</v>
      </c>
      <c r="Z608" s="760" t="s">
        <v>487</v>
      </c>
      <c r="AA608" s="760" t="s">
        <v>488</v>
      </c>
      <c r="AB608" s="760" t="s">
        <v>489</v>
      </c>
      <c r="AC608" s="760" t="s">
        <v>490</v>
      </c>
      <c r="AD608" s="1112" t="s">
        <v>254</v>
      </c>
    </row>
    <row r="609" spans="3:30">
      <c r="C609" s="239"/>
      <c r="D609" s="239"/>
      <c r="E609" s="239"/>
      <c r="F609" s="239"/>
      <c r="G609" s="231"/>
      <c r="H609" s="231"/>
      <c r="I609" s="231"/>
      <c r="J609" s="239"/>
      <c r="K609" s="223"/>
      <c r="Q609" s="489" t="s">
        <v>1117</v>
      </c>
      <c r="R609" s="728">
        <v>13</v>
      </c>
      <c r="S609" s="728">
        <v>8</v>
      </c>
      <c r="T609" s="728">
        <v>24</v>
      </c>
      <c r="U609" s="728">
        <v>15</v>
      </c>
      <c r="V609" s="728">
        <v>19</v>
      </c>
      <c r="W609" s="728">
        <v>25</v>
      </c>
      <c r="X609" s="489">
        <f>S302</f>
        <v>27</v>
      </c>
      <c r="Y609" s="489">
        <f t="shared" ref="Y609:AC609" si="624">T302</f>
        <v>27</v>
      </c>
      <c r="Z609" s="489">
        <f t="shared" si="624"/>
        <v>28</v>
      </c>
      <c r="AA609" s="489">
        <f t="shared" si="624"/>
        <v>29</v>
      </c>
      <c r="AB609" s="489">
        <f t="shared" si="624"/>
        <v>29</v>
      </c>
      <c r="AC609" s="489">
        <f t="shared" si="624"/>
        <v>30</v>
      </c>
      <c r="AD609" s="658"/>
    </row>
    <row r="610" spans="3:30">
      <c r="C610" s="239"/>
      <c r="D610" s="239"/>
      <c r="E610" s="239"/>
      <c r="F610" s="239"/>
      <c r="G610" s="231"/>
      <c r="H610" s="231"/>
      <c r="I610" s="231"/>
      <c r="J610" s="239"/>
      <c r="K610" s="223"/>
      <c r="Q610" s="489" t="s">
        <v>1493</v>
      </c>
      <c r="R610" s="728">
        <f>R609</f>
        <v>13</v>
      </c>
      <c r="S610" s="728">
        <f>R610+S609</f>
        <v>21</v>
      </c>
      <c r="T610" s="728">
        <f t="shared" ref="T610:AC610" si="625">S610+T609</f>
        <v>45</v>
      </c>
      <c r="U610" s="728">
        <f t="shared" si="625"/>
        <v>60</v>
      </c>
      <c r="V610" s="728">
        <f t="shared" si="625"/>
        <v>79</v>
      </c>
      <c r="W610" s="728">
        <f t="shared" si="625"/>
        <v>104</v>
      </c>
      <c r="X610" s="728">
        <f t="shared" si="625"/>
        <v>131</v>
      </c>
      <c r="Y610" s="728">
        <f t="shared" si="625"/>
        <v>158</v>
      </c>
      <c r="Z610" s="728">
        <f t="shared" si="625"/>
        <v>186</v>
      </c>
      <c r="AA610" s="728">
        <f t="shared" si="625"/>
        <v>215</v>
      </c>
      <c r="AB610" s="728">
        <f t="shared" si="625"/>
        <v>244</v>
      </c>
      <c r="AC610" s="728">
        <f t="shared" si="625"/>
        <v>274</v>
      </c>
      <c r="AD610" s="658"/>
    </row>
    <row r="611" spans="3:30">
      <c r="C611" s="258" t="s">
        <v>78</v>
      </c>
      <c r="D611" s="231"/>
      <c r="E611" s="231"/>
      <c r="F611" s="231"/>
      <c r="G611" s="231"/>
      <c r="H611" s="231"/>
      <c r="I611" s="231"/>
      <c r="J611" s="239"/>
      <c r="K611" s="223"/>
      <c r="Q611" s="489" t="s">
        <v>1490</v>
      </c>
      <c r="R611" s="1699">
        <v>0.3</v>
      </c>
      <c r="S611" s="1699">
        <v>0.3</v>
      </c>
      <c r="T611" s="1699">
        <v>0.3</v>
      </c>
      <c r="U611" s="1699">
        <v>0.3</v>
      </c>
      <c r="V611" s="1699">
        <v>0.3</v>
      </c>
      <c r="W611" s="1699">
        <v>0.3</v>
      </c>
      <c r="X611" s="1699">
        <v>0.3</v>
      </c>
      <c r="Y611" s="1699">
        <v>0.3</v>
      </c>
      <c r="Z611" s="1699">
        <v>0.3</v>
      </c>
      <c r="AA611" s="1699">
        <v>0.3</v>
      </c>
      <c r="AB611" s="1699">
        <v>0.3</v>
      </c>
      <c r="AC611" s="1699">
        <v>0.3</v>
      </c>
      <c r="AD611" s="658"/>
    </row>
    <row r="612" spans="3:30">
      <c r="C612" s="325" t="s">
        <v>369</v>
      </c>
      <c r="D612" s="231"/>
      <c r="E612" s="231"/>
      <c r="F612" s="231"/>
      <c r="G612" s="231"/>
      <c r="H612" s="231"/>
      <c r="I612" s="231"/>
      <c r="J612" s="239"/>
      <c r="K612" s="1110">
        <v>0.15</v>
      </c>
      <c r="Q612" s="489" t="s">
        <v>1491</v>
      </c>
      <c r="R612" s="1699">
        <v>0.7</v>
      </c>
      <c r="S612" s="1699">
        <v>0.7</v>
      </c>
      <c r="T612" s="1699">
        <v>0.7</v>
      </c>
      <c r="U612" s="1699">
        <v>0.7</v>
      </c>
      <c r="V612" s="1699">
        <v>0.7</v>
      </c>
      <c r="W612" s="1699">
        <v>0.7</v>
      </c>
      <c r="X612" s="1699">
        <v>0.7</v>
      </c>
      <c r="Y612" s="1699">
        <v>0.7</v>
      </c>
      <c r="Z612" s="1699">
        <v>0.7</v>
      </c>
      <c r="AA612" s="1699">
        <v>0.7</v>
      </c>
      <c r="AB612" s="1699">
        <v>0.7</v>
      </c>
      <c r="AC612" s="1699">
        <v>0.7</v>
      </c>
      <c r="AD612" s="658"/>
    </row>
    <row r="613" spans="3:30">
      <c r="C613" s="325" t="s">
        <v>370</v>
      </c>
      <c r="D613" s="231"/>
      <c r="E613" s="231"/>
      <c r="F613" s="231"/>
      <c r="G613" s="231"/>
      <c r="H613" s="231"/>
      <c r="I613" s="231"/>
      <c r="J613" s="239"/>
      <c r="K613" s="1110">
        <v>7.0000000000000007E-2</v>
      </c>
      <c r="Q613" s="1266" t="s">
        <v>466</v>
      </c>
      <c r="R613" s="1266">
        <f>R609*R611*$C$606+R609*R612*$C$607</f>
        <v>67.599999999999994</v>
      </c>
      <c r="S613" s="1266">
        <f>S609*S611*$C$606+S609*S612*$C$607</f>
        <v>41.599999999999994</v>
      </c>
      <c r="T613" s="1266">
        <f t="shared" ref="T613:AC613" si="626">T609*T611*$C$606+T609*T612*$C$607</f>
        <v>124.79999999999998</v>
      </c>
      <c r="U613" s="1266">
        <f t="shared" si="626"/>
        <v>78</v>
      </c>
      <c r="V613" s="1266">
        <f t="shared" si="626"/>
        <v>98.8</v>
      </c>
      <c r="W613" s="1266">
        <f t="shared" si="626"/>
        <v>130</v>
      </c>
      <c r="X613" s="1266">
        <f t="shared" si="626"/>
        <v>140.39999999999998</v>
      </c>
      <c r="Y613" s="1266">
        <f t="shared" si="626"/>
        <v>140.39999999999998</v>
      </c>
      <c r="Z613" s="1266">
        <f t="shared" si="626"/>
        <v>145.6</v>
      </c>
      <c r="AA613" s="1266">
        <f t="shared" si="626"/>
        <v>150.79999999999998</v>
      </c>
      <c r="AB613" s="1266">
        <f t="shared" si="626"/>
        <v>150.79999999999998</v>
      </c>
      <c r="AC613" s="1266">
        <f t="shared" si="626"/>
        <v>156</v>
      </c>
      <c r="AD613" s="1113">
        <f>SUM(R613:AC613)</f>
        <v>1424.8</v>
      </c>
    </row>
    <row r="614" spans="3:30">
      <c r="C614" s="239"/>
      <c r="D614" s="239"/>
      <c r="E614" s="239"/>
      <c r="F614" s="239"/>
      <c r="G614" s="239"/>
      <c r="H614" s="239"/>
      <c r="I614" s="231"/>
      <c r="J614" s="239"/>
      <c r="K614" s="223"/>
      <c r="R614" s="489"/>
      <c r="S614" s="489"/>
      <c r="T614" s="489"/>
      <c r="U614" s="489"/>
      <c r="V614" s="489"/>
      <c r="W614" s="489"/>
      <c r="X614" s="489"/>
      <c r="Y614" s="489"/>
      <c r="Z614" s="489"/>
      <c r="AA614" s="489"/>
      <c r="AB614" s="489"/>
      <c r="AC614" s="489"/>
    </row>
    <row r="615" spans="3:30">
      <c r="C615" s="212" t="s">
        <v>79</v>
      </c>
      <c r="D615" s="239"/>
      <c r="E615" s="239"/>
      <c r="F615" s="239"/>
      <c r="G615" s="239"/>
      <c r="H615" s="239"/>
      <c r="I615" s="231"/>
      <c r="J615" s="239"/>
      <c r="K615" s="223"/>
      <c r="Q615" s="1108"/>
      <c r="R615" s="489"/>
      <c r="S615" s="489"/>
      <c r="T615" s="489"/>
      <c r="U615" s="489"/>
      <c r="V615" s="489"/>
      <c r="W615" s="489"/>
      <c r="X615" s="489"/>
      <c r="Y615" s="489"/>
      <c r="Z615" s="489"/>
      <c r="AA615" s="489"/>
      <c r="AB615" s="489"/>
      <c r="AC615" s="489"/>
    </row>
    <row r="616" spans="3:30">
      <c r="C616" s="280" t="s">
        <v>80</v>
      </c>
      <c r="D616" s="231"/>
      <c r="E616" s="231"/>
      <c r="F616" s="231"/>
      <c r="G616" s="231"/>
      <c r="H616" s="231"/>
      <c r="I616" s="231"/>
      <c r="J616" s="239"/>
      <c r="K616" s="223"/>
      <c r="Q616" s="756" t="s">
        <v>477</v>
      </c>
      <c r="R616" s="1262"/>
      <c r="S616" s="1262"/>
      <c r="T616" s="1262"/>
      <c r="U616" s="1262"/>
    </row>
    <row r="617" spans="3:30">
      <c r="C617" s="31" t="s">
        <v>81</v>
      </c>
      <c r="D617" s="262"/>
      <c r="E617" s="231"/>
      <c r="F617" s="231"/>
      <c r="G617" s="231"/>
      <c r="H617" s="231"/>
      <c r="I617" s="231"/>
      <c r="J617" s="239"/>
      <c r="K617" s="223"/>
      <c r="Q617" s="756" t="s">
        <v>1119</v>
      </c>
      <c r="R617" s="1262"/>
      <c r="S617" s="756" t="s">
        <v>202</v>
      </c>
      <c r="T617" s="1262"/>
      <c r="U617" s="1262"/>
    </row>
    <row r="618" spans="3:30">
      <c r="C618" s="31" t="s">
        <v>82</v>
      </c>
      <c r="D618" s="262"/>
      <c r="E618" s="231"/>
      <c r="F618" s="231"/>
      <c r="G618" s="231"/>
      <c r="H618" s="231"/>
      <c r="I618" s="231"/>
      <c r="J618" s="239"/>
      <c r="K618" s="223"/>
      <c r="Q618" s="1262"/>
      <c r="R618" s="1262"/>
      <c r="S618" s="756" t="s">
        <v>1120</v>
      </c>
      <c r="T618" s="1262" t="s">
        <v>662</v>
      </c>
      <c r="U618" s="1262" t="s">
        <v>1121</v>
      </c>
    </row>
    <row r="619" spans="3:30">
      <c r="C619" s="31" t="s">
        <v>83</v>
      </c>
      <c r="D619" s="262"/>
      <c r="E619" s="231"/>
      <c r="F619" s="231"/>
      <c r="G619" s="231"/>
      <c r="H619" s="231"/>
      <c r="I619" s="231"/>
      <c r="J619" s="239"/>
      <c r="K619" s="223"/>
      <c r="Q619" s="1262"/>
      <c r="R619" s="1262"/>
      <c r="S619" s="1262">
        <v>0</v>
      </c>
      <c r="T619" s="1263">
        <v>13</v>
      </c>
      <c r="U619" s="1264">
        <v>0.86</v>
      </c>
    </row>
    <row r="620" spans="3:30">
      <c r="C620" s="326"/>
      <c r="D620" s="262"/>
      <c r="E620" s="231"/>
      <c r="F620" s="231"/>
      <c r="G620" s="231"/>
      <c r="H620" s="231"/>
      <c r="I620" s="231"/>
      <c r="J620" s="239"/>
      <c r="K620" s="223"/>
      <c r="Q620" s="1262"/>
      <c r="R620" s="1262"/>
      <c r="S620" s="1262">
        <v>50</v>
      </c>
      <c r="T620" s="1263">
        <v>70</v>
      </c>
      <c r="U620" s="1264">
        <v>0.1</v>
      </c>
    </row>
    <row r="621" spans="3:30">
      <c r="C621" s="258" t="s">
        <v>84</v>
      </c>
      <c r="D621" s="231"/>
      <c r="E621" s="231"/>
      <c r="F621" s="231"/>
      <c r="G621" s="231"/>
      <c r="H621" s="231"/>
      <c r="I621" s="231"/>
      <c r="J621" s="239"/>
      <c r="K621" s="223"/>
      <c r="Q621" s="1262"/>
      <c r="R621" s="1262"/>
      <c r="S621" s="1262">
        <v>150</v>
      </c>
      <c r="T621" s="1263">
        <v>260</v>
      </c>
      <c r="U621" s="1264">
        <v>0.03</v>
      </c>
    </row>
    <row r="622" spans="3:30">
      <c r="C622" s="239"/>
      <c r="D622" s="239"/>
      <c r="E622" s="239"/>
      <c r="F622" s="231"/>
      <c r="G622" s="231"/>
      <c r="H622" s="231"/>
      <c r="I622" s="231"/>
      <c r="J622" s="239"/>
      <c r="K622" s="223"/>
      <c r="Q622" s="1262"/>
      <c r="R622" s="1262"/>
      <c r="S622" s="1262">
        <v>300</v>
      </c>
      <c r="T622" s="1263">
        <v>550</v>
      </c>
      <c r="U622" s="1264">
        <v>0.01</v>
      </c>
    </row>
    <row r="623" spans="3:30">
      <c r="C623" s="327" t="s">
        <v>85</v>
      </c>
      <c r="D623" s="328" t="s">
        <v>86</v>
      </c>
      <c r="E623" s="239"/>
      <c r="F623" s="231"/>
      <c r="G623" s="329"/>
      <c r="H623" s="231"/>
      <c r="I623" s="231"/>
      <c r="J623" s="239"/>
      <c r="K623" s="223"/>
      <c r="P623" s="1265" t="s">
        <v>1213</v>
      </c>
    </row>
    <row r="624" spans="3:30">
      <c r="C624" s="330" t="s">
        <v>87</v>
      </c>
      <c r="D624" s="331">
        <v>3.5000000000000003E-2</v>
      </c>
      <c r="E624" s="239"/>
      <c r="F624" s="231"/>
      <c r="G624" s="231"/>
      <c r="H624" s="231"/>
      <c r="I624" s="231"/>
      <c r="J624" s="239"/>
      <c r="K624" s="223"/>
      <c r="Q624" s="760" t="s">
        <v>1122</v>
      </c>
      <c r="R624" s="760" t="s">
        <v>479</v>
      </c>
      <c r="S624" s="760" t="s">
        <v>480</v>
      </c>
      <c r="T624" s="760" t="s">
        <v>481</v>
      </c>
      <c r="U624" s="760" t="s">
        <v>482</v>
      </c>
      <c r="V624" s="760" t="s">
        <v>483</v>
      </c>
      <c r="W624" s="760" t="s">
        <v>484</v>
      </c>
      <c r="X624" s="760" t="s">
        <v>485</v>
      </c>
      <c r="Y624" s="760" t="s">
        <v>486</v>
      </c>
      <c r="Z624" s="760" t="s">
        <v>487</v>
      </c>
      <c r="AA624" s="760" t="s">
        <v>488</v>
      </c>
      <c r="AB624" s="760" t="s">
        <v>489</v>
      </c>
      <c r="AC624" s="760" t="s">
        <v>490</v>
      </c>
    </row>
    <row r="625" spans="3:30">
      <c r="C625" s="330" t="s">
        <v>88</v>
      </c>
      <c r="D625" s="332">
        <v>2.5000000000000001E-2</v>
      </c>
      <c r="E625" s="239"/>
      <c r="F625" s="231"/>
      <c r="G625" s="231"/>
      <c r="H625" s="231"/>
      <c r="I625" s="231"/>
      <c r="J625" s="239"/>
      <c r="K625" s="223"/>
      <c r="Q625">
        <v>0</v>
      </c>
      <c r="R625" s="1700">
        <f>R$610*$U619*$T619</f>
        <v>145.34</v>
      </c>
      <c r="S625" s="1700">
        <f t="shared" ref="S625:AC625" si="627">S$610*$U619*$T619</f>
        <v>234.77999999999997</v>
      </c>
      <c r="T625" s="1700">
        <f t="shared" si="627"/>
        <v>503.1</v>
      </c>
      <c r="U625" s="1700">
        <f t="shared" si="627"/>
        <v>670.80000000000007</v>
      </c>
      <c r="V625" s="1700">
        <f t="shared" si="627"/>
        <v>883.22</v>
      </c>
      <c r="W625" s="1700">
        <f t="shared" si="627"/>
        <v>1162.72</v>
      </c>
      <c r="X625" s="1700">
        <f t="shared" si="627"/>
        <v>1464.58</v>
      </c>
      <c r="Y625" s="1700">
        <f t="shared" si="627"/>
        <v>1766.44</v>
      </c>
      <c r="Z625" s="1700">
        <f t="shared" si="627"/>
        <v>2079.48</v>
      </c>
      <c r="AA625" s="1700">
        <f t="shared" si="627"/>
        <v>2403.7000000000003</v>
      </c>
      <c r="AB625" s="1700">
        <f t="shared" si="627"/>
        <v>2727.92</v>
      </c>
      <c r="AC625" s="1700">
        <f t="shared" si="627"/>
        <v>3063.3199999999997</v>
      </c>
    </row>
    <row r="626" spans="3:30">
      <c r="C626" s="330" t="s">
        <v>89</v>
      </c>
      <c r="D626" s="331">
        <v>0.01</v>
      </c>
      <c r="E626" s="239"/>
      <c r="F626" s="231"/>
      <c r="G626" s="231"/>
      <c r="H626" s="231"/>
      <c r="I626" s="231"/>
      <c r="J626" s="239"/>
      <c r="K626" s="223"/>
      <c r="Q626">
        <v>50</v>
      </c>
      <c r="R626" s="1700">
        <f>R$610*$U620*$T620</f>
        <v>91</v>
      </c>
      <c r="S626" s="1700">
        <f t="shared" ref="S626:AC626" si="628">S$610*$U620*$T620</f>
        <v>147</v>
      </c>
      <c r="T626" s="1700">
        <f t="shared" si="628"/>
        <v>315</v>
      </c>
      <c r="U626" s="1700">
        <f t="shared" si="628"/>
        <v>420</v>
      </c>
      <c r="V626" s="1700">
        <f t="shared" si="628"/>
        <v>553</v>
      </c>
      <c r="W626" s="1700">
        <f t="shared" si="628"/>
        <v>728</v>
      </c>
      <c r="X626" s="1700">
        <f t="shared" si="628"/>
        <v>917.00000000000011</v>
      </c>
      <c r="Y626" s="1700">
        <f t="shared" si="628"/>
        <v>1106</v>
      </c>
      <c r="Z626" s="1700">
        <f t="shared" si="628"/>
        <v>1302</v>
      </c>
      <c r="AA626" s="1700">
        <f t="shared" si="628"/>
        <v>1505</v>
      </c>
      <c r="AB626" s="1700">
        <f t="shared" si="628"/>
        <v>1708.0000000000002</v>
      </c>
      <c r="AC626" s="1700">
        <f t="shared" si="628"/>
        <v>1918.0000000000002</v>
      </c>
    </row>
    <row r="627" spans="3:30">
      <c r="C627" s="326"/>
      <c r="D627" s="262"/>
      <c r="E627" s="231"/>
      <c r="F627" s="231"/>
      <c r="G627" s="231"/>
      <c r="H627" s="231"/>
      <c r="I627" s="231"/>
      <c r="J627" s="239"/>
      <c r="K627" s="223"/>
      <c r="Q627">
        <v>150</v>
      </c>
      <c r="R627" s="1700">
        <f>R$610*$U621*$T621</f>
        <v>101.4</v>
      </c>
      <c r="S627" s="1700">
        <f t="shared" ref="S627:AC627" si="629">S$610*$U621*$T621</f>
        <v>163.80000000000001</v>
      </c>
      <c r="T627" s="1700">
        <f t="shared" si="629"/>
        <v>350.99999999999994</v>
      </c>
      <c r="U627" s="1700">
        <f t="shared" si="629"/>
        <v>467.99999999999994</v>
      </c>
      <c r="V627" s="1700">
        <f t="shared" si="629"/>
        <v>616.20000000000005</v>
      </c>
      <c r="W627" s="1700">
        <f t="shared" si="629"/>
        <v>811.2</v>
      </c>
      <c r="X627" s="1700">
        <f t="shared" si="629"/>
        <v>1021.8</v>
      </c>
      <c r="Y627" s="1700">
        <f t="shared" si="629"/>
        <v>1232.4000000000001</v>
      </c>
      <c r="Z627" s="1700">
        <f t="shared" si="629"/>
        <v>1450.8</v>
      </c>
      <c r="AA627" s="1700">
        <f t="shared" si="629"/>
        <v>1677</v>
      </c>
      <c r="AB627" s="1700">
        <f t="shared" si="629"/>
        <v>1903.1999999999998</v>
      </c>
      <c r="AC627" s="1700">
        <f t="shared" si="629"/>
        <v>2137.1999999999998</v>
      </c>
    </row>
    <row r="628" spans="3:30">
      <c r="C628" s="31" t="s">
        <v>90</v>
      </c>
      <c r="D628" s="262"/>
      <c r="E628" s="231"/>
      <c r="F628" s="231"/>
      <c r="G628" s="231"/>
      <c r="H628" s="231"/>
      <c r="I628" s="231"/>
      <c r="J628" s="239"/>
      <c r="K628" s="223"/>
      <c r="Q628">
        <v>300</v>
      </c>
      <c r="R628" s="1700">
        <f>R$610*$U622*$T622</f>
        <v>71.5</v>
      </c>
      <c r="S628" s="1700">
        <f t="shared" ref="S628:AC628" si="630">S$610*$U622*$T622</f>
        <v>115.5</v>
      </c>
      <c r="T628" s="1700">
        <f t="shared" si="630"/>
        <v>247.5</v>
      </c>
      <c r="U628" s="1700">
        <f t="shared" si="630"/>
        <v>330</v>
      </c>
      <c r="V628" s="1700">
        <f t="shared" si="630"/>
        <v>434.5</v>
      </c>
      <c r="W628" s="1700">
        <f t="shared" si="630"/>
        <v>572</v>
      </c>
      <c r="X628" s="1700">
        <f t="shared" si="630"/>
        <v>720.5</v>
      </c>
      <c r="Y628" s="1700">
        <f t="shared" si="630"/>
        <v>869</v>
      </c>
      <c r="Z628" s="1700">
        <f t="shared" si="630"/>
        <v>1023</v>
      </c>
      <c r="AA628" s="1700">
        <f t="shared" si="630"/>
        <v>1182.5</v>
      </c>
      <c r="AB628" s="1700">
        <f t="shared" si="630"/>
        <v>1342</v>
      </c>
      <c r="AC628" s="1700">
        <f t="shared" si="630"/>
        <v>1507.0000000000002</v>
      </c>
    </row>
    <row r="629" spans="3:30">
      <c r="C629" s="280" t="s">
        <v>91</v>
      </c>
      <c r="D629" s="239"/>
      <c r="E629" s="239"/>
      <c r="F629" s="231"/>
      <c r="G629" s="231"/>
      <c r="H629" s="231"/>
      <c r="I629" s="231"/>
      <c r="J629" s="239"/>
      <c r="K629" s="223"/>
      <c r="Q629" s="1108" t="s">
        <v>254</v>
      </c>
      <c r="R629" s="755">
        <f>SUM(R625:R628)</f>
        <v>409.24</v>
      </c>
      <c r="S629" s="755">
        <f t="shared" ref="S629:AC629" si="631">SUM(S625:S628)</f>
        <v>661.07999999999993</v>
      </c>
      <c r="T629" s="755">
        <f t="shared" si="631"/>
        <v>1416.6</v>
      </c>
      <c r="U629" s="755">
        <f t="shared" si="631"/>
        <v>1888.8000000000002</v>
      </c>
      <c r="V629" s="755">
        <f t="shared" si="631"/>
        <v>2486.92</v>
      </c>
      <c r="W629" s="755">
        <f t="shared" si="631"/>
        <v>3273.92</v>
      </c>
      <c r="X629" s="755">
        <f t="shared" si="631"/>
        <v>4123.88</v>
      </c>
      <c r="Y629" s="755">
        <f t="shared" si="631"/>
        <v>4973.84</v>
      </c>
      <c r="Z629" s="755">
        <f t="shared" si="631"/>
        <v>5855.28</v>
      </c>
      <c r="AA629" s="755">
        <f t="shared" si="631"/>
        <v>6768.2000000000007</v>
      </c>
      <c r="AB629" s="755">
        <f t="shared" si="631"/>
        <v>7681.12</v>
      </c>
      <c r="AC629" s="755">
        <f t="shared" si="631"/>
        <v>8625.52</v>
      </c>
    </row>
    <row r="630" spans="3:30">
      <c r="C630" s="333" t="s">
        <v>92</v>
      </c>
      <c r="D630" s="239"/>
      <c r="E630" s="239"/>
      <c r="F630" s="231"/>
      <c r="G630" s="231"/>
      <c r="H630" s="231"/>
      <c r="I630" s="231"/>
      <c r="J630" s="239"/>
      <c r="K630" s="223"/>
      <c r="R630" s="711"/>
      <c r="S630" s="711"/>
      <c r="T630" s="711"/>
      <c r="U630" s="711"/>
      <c r="V630" s="711"/>
      <c r="W630" s="711"/>
      <c r="X630" s="711"/>
      <c r="Y630" s="711"/>
      <c r="Z630" s="711"/>
      <c r="AA630" s="711"/>
      <c r="AB630" s="711"/>
      <c r="AC630" s="711"/>
    </row>
    <row r="631" spans="3:30">
      <c r="Q631" s="1266" t="s">
        <v>1123</v>
      </c>
      <c r="R631" s="1268">
        <f>R629*$R$22*$K$612</f>
        <v>19.95045</v>
      </c>
      <c r="S631" s="1268">
        <f t="shared" ref="S631:AC631" si="632">S629*$R$22*$K$612</f>
        <v>32.227649999999997</v>
      </c>
      <c r="T631" s="1268">
        <f t="shared" si="632"/>
        <v>69.059249999999992</v>
      </c>
      <c r="U631" s="1268">
        <f t="shared" si="632"/>
        <v>92.079000000000022</v>
      </c>
      <c r="V631" s="1268">
        <f t="shared" si="632"/>
        <v>121.23734999999999</v>
      </c>
      <c r="W631" s="1268">
        <f t="shared" si="632"/>
        <v>159.6036</v>
      </c>
      <c r="X631" s="1268">
        <f t="shared" si="632"/>
        <v>201.03915000000003</v>
      </c>
      <c r="Y631" s="1268">
        <f t="shared" si="632"/>
        <v>242.47469999999998</v>
      </c>
      <c r="Z631" s="1268">
        <f t="shared" si="632"/>
        <v>285.44489999999996</v>
      </c>
      <c r="AA631" s="1268">
        <f t="shared" si="632"/>
        <v>329.94975000000005</v>
      </c>
      <c r="AB631" s="1268">
        <f t="shared" si="632"/>
        <v>374.45459999999997</v>
      </c>
      <c r="AC631" s="1268">
        <f t="shared" si="632"/>
        <v>420.49410000000006</v>
      </c>
      <c r="AD631" s="856">
        <f>SUM(R631:AC631)</f>
        <v>2348.0145000000002</v>
      </c>
    </row>
    <row r="632" spans="3:30">
      <c r="P632" s="1265" t="s">
        <v>1214</v>
      </c>
    </row>
    <row r="633" spans="3:30">
      <c r="Q633" s="1132" t="s">
        <v>1124</v>
      </c>
    </row>
    <row r="634" spans="3:30">
      <c r="Q634" s="489" t="s">
        <v>1208</v>
      </c>
      <c r="R634" s="1261">
        <v>495</v>
      </c>
      <c r="S634">
        <v>495</v>
      </c>
      <c r="T634">
        <v>485</v>
      </c>
      <c r="U634">
        <v>447</v>
      </c>
      <c r="V634">
        <v>390</v>
      </c>
      <c r="W634">
        <v>302</v>
      </c>
      <c r="X634">
        <v>257</v>
      </c>
      <c r="Y634">
        <v>200</v>
      </c>
      <c r="Z634">
        <v>99</v>
      </c>
    </row>
    <row r="635" spans="3:30">
      <c r="Q635" s="489" t="s">
        <v>1209</v>
      </c>
      <c r="R635">
        <v>630</v>
      </c>
      <c r="S635">
        <v>629</v>
      </c>
      <c r="T635">
        <v>623</v>
      </c>
      <c r="U635">
        <v>515</v>
      </c>
      <c r="V635">
        <v>403</v>
      </c>
      <c r="W635">
        <v>340</v>
      </c>
      <c r="X635">
        <v>283</v>
      </c>
      <c r="Y635">
        <v>185</v>
      </c>
      <c r="Z635">
        <v>101</v>
      </c>
      <c r="AA635">
        <v>53</v>
      </c>
      <c r="AB635">
        <v>26</v>
      </c>
      <c r="AC635">
        <v>8</v>
      </c>
    </row>
    <row r="637" spans="3:30">
      <c r="Q637" s="1131" t="s">
        <v>1210</v>
      </c>
    </row>
    <row r="638" spans="3:30">
      <c r="Q638" s="760" t="s">
        <v>1122</v>
      </c>
      <c r="R638" s="760" t="s">
        <v>479</v>
      </c>
      <c r="S638" s="760" t="s">
        <v>480</v>
      </c>
      <c r="T638" s="760" t="s">
        <v>481</v>
      </c>
      <c r="U638" s="760" t="s">
        <v>482</v>
      </c>
      <c r="V638" s="760" t="s">
        <v>483</v>
      </c>
      <c r="W638" s="760" t="s">
        <v>484</v>
      </c>
      <c r="X638" s="760" t="s">
        <v>485</v>
      </c>
      <c r="Y638" s="760" t="s">
        <v>486</v>
      </c>
      <c r="Z638" s="760" t="s">
        <v>487</v>
      </c>
      <c r="AA638" s="760" t="s">
        <v>488</v>
      </c>
      <c r="AB638" s="760" t="s">
        <v>489</v>
      </c>
      <c r="AC638" s="760" t="s">
        <v>490</v>
      </c>
    </row>
    <row r="639" spans="3:30">
      <c r="Q639">
        <v>0</v>
      </c>
      <c r="R639" s="442">
        <f>R$634*$U619*$T619</f>
        <v>5534.0999999999995</v>
      </c>
      <c r="S639" s="442">
        <f t="shared" ref="S639:AC639" si="633">S$634*$U619*$T619</f>
        <v>5534.0999999999995</v>
      </c>
      <c r="T639" s="442">
        <f t="shared" si="633"/>
        <v>5422.2999999999993</v>
      </c>
      <c r="U639" s="442">
        <f t="shared" si="633"/>
        <v>4997.46</v>
      </c>
      <c r="V639" s="442">
        <f t="shared" si="633"/>
        <v>4360.2</v>
      </c>
      <c r="W639" s="442">
        <f t="shared" si="633"/>
        <v>3376.3599999999997</v>
      </c>
      <c r="X639" s="442">
        <f t="shared" si="633"/>
        <v>2873.26</v>
      </c>
      <c r="Y639" s="442">
        <f t="shared" si="633"/>
        <v>2236</v>
      </c>
      <c r="Z639" s="442">
        <f t="shared" si="633"/>
        <v>1106.82</v>
      </c>
      <c r="AA639" s="442">
        <f t="shared" si="633"/>
        <v>0</v>
      </c>
      <c r="AB639" s="442">
        <f t="shared" si="633"/>
        <v>0</v>
      </c>
      <c r="AC639" s="442">
        <f t="shared" si="633"/>
        <v>0</v>
      </c>
    </row>
    <row r="640" spans="3:30">
      <c r="Q640">
        <v>50</v>
      </c>
      <c r="R640" s="442">
        <f>R$634*$U620*$T620</f>
        <v>3465</v>
      </c>
      <c r="S640" s="442">
        <f t="shared" ref="S640:AC640" si="634">S$634*$U620*$T620</f>
        <v>3465</v>
      </c>
      <c r="T640" s="442">
        <f t="shared" si="634"/>
        <v>3395</v>
      </c>
      <c r="U640" s="442">
        <f t="shared" si="634"/>
        <v>3129</v>
      </c>
      <c r="V640" s="442">
        <f t="shared" si="634"/>
        <v>2730</v>
      </c>
      <c r="W640" s="442">
        <f t="shared" si="634"/>
        <v>2114</v>
      </c>
      <c r="X640" s="442">
        <f t="shared" si="634"/>
        <v>1799.0000000000002</v>
      </c>
      <c r="Y640" s="442">
        <f t="shared" si="634"/>
        <v>1400</v>
      </c>
      <c r="Z640" s="442">
        <f t="shared" si="634"/>
        <v>693</v>
      </c>
      <c r="AA640" s="442">
        <f t="shared" si="634"/>
        <v>0</v>
      </c>
      <c r="AB640" s="442">
        <f t="shared" si="634"/>
        <v>0</v>
      </c>
      <c r="AC640" s="442">
        <f t="shared" si="634"/>
        <v>0</v>
      </c>
    </row>
    <row r="641" spans="15:30">
      <c r="Q641">
        <v>150</v>
      </c>
      <c r="R641" s="442">
        <f>R$634*$U621*$T621</f>
        <v>3861</v>
      </c>
      <c r="S641" s="442">
        <f t="shared" ref="S641:AC641" si="635">S$634*$U621*$T621</f>
        <v>3861</v>
      </c>
      <c r="T641" s="442">
        <f t="shared" si="635"/>
        <v>3782.9999999999995</v>
      </c>
      <c r="U641" s="442">
        <f t="shared" si="635"/>
        <v>3486.6</v>
      </c>
      <c r="V641" s="442">
        <f t="shared" si="635"/>
        <v>3042</v>
      </c>
      <c r="W641" s="442">
        <f t="shared" si="635"/>
        <v>2355.6</v>
      </c>
      <c r="X641" s="442">
        <f t="shared" si="635"/>
        <v>2004.6</v>
      </c>
      <c r="Y641" s="442">
        <f t="shared" si="635"/>
        <v>1560</v>
      </c>
      <c r="Z641" s="442">
        <f t="shared" si="635"/>
        <v>772.19999999999993</v>
      </c>
      <c r="AA641" s="442">
        <f t="shared" si="635"/>
        <v>0</v>
      </c>
      <c r="AB641" s="442">
        <f t="shared" si="635"/>
        <v>0</v>
      </c>
      <c r="AC641" s="442">
        <f t="shared" si="635"/>
        <v>0</v>
      </c>
    </row>
    <row r="642" spans="15:30">
      <c r="Q642">
        <v>300</v>
      </c>
      <c r="R642" s="442">
        <f>R$634*$U622*$T622</f>
        <v>2722.5</v>
      </c>
      <c r="S642" s="442">
        <f t="shared" ref="S642:AC642" si="636">S$634*$U622*$T622</f>
        <v>2722.5</v>
      </c>
      <c r="T642" s="442">
        <f t="shared" si="636"/>
        <v>2667.5000000000005</v>
      </c>
      <c r="U642" s="442">
        <f t="shared" si="636"/>
        <v>2458.5</v>
      </c>
      <c r="V642" s="442">
        <f t="shared" si="636"/>
        <v>2145</v>
      </c>
      <c r="W642" s="442">
        <f t="shared" si="636"/>
        <v>1661</v>
      </c>
      <c r="X642" s="442">
        <f t="shared" si="636"/>
        <v>1413.5</v>
      </c>
      <c r="Y642" s="442">
        <f t="shared" si="636"/>
        <v>1100</v>
      </c>
      <c r="Z642" s="442">
        <f t="shared" si="636"/>
        <v>544.5</v>
      </c>
      <c r="AA642" s="442">
        <f t="shared" si="636"/>
        <v>0</v>
      </c>
      <c r="AB642" s="442">
        <f t="shared" si="636"/>
        <v>0</v>
      </c>
      <c r="AC642" s="442">
        <f t="shared" si="636"/>
        <v>0</v>
      </c>
    </row>
    <row r="643" spans="15:30">
      <c r="Q643" s="1108" t="s">
        <v>254</v>
      </c>
      <c r="R643" s="755">
        <f>SUM(R639:R642)</f>
        <v>15582.599999999999</v>
      </c>
      <c r="S643" s="755">
        <f t="shared" ref="S643" si="637">SUM(S639:S642)</f>
        <v>15582.599999999999</v>
      </c>
      <c r="T643" s="755">
        <f t="shared" ref="T643" si="638">SUM(T639:T642)</f>
        <v>15267.8</v>
      </c>
      <c r="U643" s="755">
        <f t="shared" ref="U643" si="639">SUM(U639:U642)</f>
        <v>14071.56</v>
      </c>
      <c r="V643" s="755">
        <f t="shared" ref="V643" si="640">SUM(V639:V642)</f>
        <v>12277.2</v>
      </c>
      <c r="W643" s="755">
        <f t="shared" ref="W643" si="641">SUM(W639:W642)</f>
        <v>9506.9599999999991</v>
      </c>
      <c r="X643" s="755">
        <f t="shared" ref="X643" si="642">SUM(X639:X642)</f>
        <v>8090.3600000000006</v>
      </c>
      <c r="Y643" s="755">
        <f t="shared" ref="Y643" si="643">SUM(Y639:Y642)</f>
        <v>6296</v>
      </c>
      <c r="Z643" s="755">
        <f t="shared" ref="Z643" si="644">SUM(Z639:Z642)</f>
        <v>3116.52</v>
      </c>
      <c r="AA643" s="755">
        <f t="shared" ref="AA643" si="645">SUM(AA639:AA642)</f>
        <v>0</v>
      </c>
      <c r="AB643" s="755">
        <f t="shared" ref="AB643" si="646">SUM(AB639:AB642)</f>
        <v>0</v>
      </c>
      <c r="AC643" s="755">
        <f t="shared" ref="AC643" si="647">SUM(AC639:AC642)</f>
        <v>0</v>
      </c>
    </row>
    <row r="644" spans="15:30">
      <c r="R644" s="711"/>
      <c r="S644" s="711"/>
      <c r="T644" s="711"/>
      <c r="U644" s="711"/>
      <c r="V644" s="711"/>
      <c r="W644" s="711"/>
      <c r="X644" s="711"/>
      <c r="Y644" s="711"/>
      <c r="Z644" s="711"/>
    </row>
    <row r="645" spans="15:30">
      <c r="Q645" s="1131" t="s">
        <v>1211</v>
      </c>
      <c r="R645" s="711"/>
      <c r="S645" s="711"/>
      <c r="T645" s="711"/>
      <c r="U645" s="711"/>
      <c r="V645" s="711"/>
      <c r="W645" s="711"/>
      <c r="X645" s="711"/>
      <c r="Y645" s="711"/>
      <c r="Z645" s="711"/>
    </row>
    <row r="646" spans="15:30">
      <c r="Q646" s="760" t="s">
        <v>1122</v>
      </c>
      <c r="R646" s="760" t="s">
        <v>479</v>
      </c>
      <c r="S646" s="760" t="s">
        <v>480</v>
      </c>
      <c r="T646" s="760" t="s">
        <v>481</v>
      </c>
      <c r="U646" s="760" t="s">
        <v>482</v>
      </c>
      <c r="V646" s="760" t="s">
        <v>483</v>
      </c>
      <c r="W646" s="760" t="s">
        <v>484</v>
      </c>
      <c r="X646" s="760" t="s">
        <v>485</v>
      </c>
      <c r="Y646" s="760" t="s">
        <v>486</v>
      </c>
      <c r="Z646" s="760" t="s">
        <v>487</v>
      </c>
      <c r="AA646" s="760" t="s">
        <v>488</v>
      </c>
      <c r="AB646" s="760" t="s">
        <v>489</v>
      </c>
      <c r="AC646" s="760" t="s">
        <v>490</v>
      </c>
    </row>
    <row r="647" spans="15:30">
      <c r="Q647">
        <v>0</v>
      </c>
      <c r="R647" s="442">
        <f>R$635*$T619*$U619</f>
        <v>7043.4</v>
      </c>
      <c r="S647" s="442">
        <f t="shared" ref="S647:AC647" si="648">S$635*$T619*$U619</f>
        <v>7032.22</v>
      </c>
      <c r="T647" s="442">
        <f t="shared" si="648"/>
        <v>6965.14</v>
      </c>
      <c r="U647" s="442">
        <f t="shared" si="648"/>
        <v>5757.7</v>
      </c>
      <c r="V647" s="442">
        <f t="shared" si="648"/>
        <v>4505.54</v>
      </c>
      <c r="W647" s="442">
        <f t="shared" si="648"/>
        <v>3801.2</v>
      </c>
      <c r="X647" s="442">
        <f t="shared" si="648"/>
        <v>3163.94</v>
      </c>
      <c r="Y647" s="442">
        <f t="shared" si="648"/>
        <v>2068.3000000000002</v>
      </c>
      <c r="Z647" s="442">
        <f t="shared" si="648"/>
        <v>1129.18</v>
      </c>
      <c r="AA647" s="442">
        <f t="shared" si="648"/>
        <v>592.54</v>
      </c>
      <c r="AB647" s="442">
        <f t="shared" si="648"/>
        <v>290.68</v>
      </c>
      <c r="AC647" s="442">
        <f t="shared" si="648"/>
        <v>89.44</v>
      </c>
    </row>
    <row r="648" spans="15:30">
      <c r="Q648">
        <v>50</v>
      </c>
      <c r="R648" s="442">
        <f t="shared" ref="R648:AC650" si="649">R$635*$T620*$U620</f>
        <v>4410</v>
      </c>
      <c r="S648" s="442">
        <f t="shared" si="649"/>
        <v>4403</v>
      </c>
      <c r="T648" s="442">
        <f t="shared" si="649"/>
        <v>4361</v>
      </c>
      <c r="U648" s="442">
        <f t="shared" si="649"/>
        <v>3605</v>
      </c>
      <c r="V648" s="442">
        <f t="shared" si="649"/>
        <v>2821</v>
      </c>
      <c r="W648" s="442">
        <f t="shared" si="649"/>
        <v>2380</v>
      </c>
      <c r="X648" s="442">
        <f t="shared" si="649"/>
        <v>1981</v>
      </c>
      <c r="Y648" s="442">
        <f t="shared" si="649"/>
        <v>1295</v>
      </c>
      <c r="Z648" s="442">
        <f t="shared" si="649"/>
        <v>707</v>
      </c>
      <c r="AA648" s="442">
        <f t="shared" si="649"/>
        <v>371</v>
      </c>
      <c r="AB648" s="442">
        <f t="shared" si="649"/>
        <v>182</v>
      </c>
      <c r="AC648" s="442">
        <f t="shared" si="649"/>
        <v>56</v>
      </c>
    </row>
    <row r="649" spans="15:30">
      <c r="Q649">
        <v>150</v>
      </c>
      <c r="R649" s="442">
        <f t="shared" si="649"/>
        <v>4914</v>
      </c>
      <c r="S649" s="442">
        <f t="shared" si="649"/>
        <v>4906.2</v>
      </c>
      <c r="T649" s="442">
        <f t="shared" si="649"/>
        <v>4859.3999999999996</v>
      </c>
      <c r="U649" s="442">
        <f t="shared" si="649"/>
        <v>4017</v>
      </c>
      <c r="V649" s="442">
        <f t="shared" si="649"/>
        <v>3143.4</v>
      </c>
      <c r="W649" s="442">
        <f t="shared" si="649"/>
        <v>2652</v>
      </c>
      <c r="X649" s="442">
        <f t="shared" si="649"/>
        <v>2207.4</v>
      </c>
      <c r="Y649" s="442">
        <f t="shared" si="649"/>
        <v>1443</v>
      </c>
      <c r="Z649" s="442">
        <f t="shared" si="649"/>
        <v>787.8</v>
      </c>
      <c r="AA649" s="442">
        <f t="shared" si="649"/>
        <v>413.4</v>
      </c>
      <c r="AB649" s="442">
        <f t="shared" si="649"/>
        <v>202.79999999999998</v>
      </c>
      <c r="AC649" s="442">
        <f t="shared" si="649"/>
        <v>62.4</v>
      </c>
    </row>
    <row r="650" spans="15:30">
      <c r="Q650">
        <v>300</v>
      </c>
      <c r="R650" s="442">
        <f t="shared" si="649"/>
        <v>3465</v>
      </c>
      <c r="S650" s="442">
        <f t="shared" si="649"/>
        <v>3459.5</v>
      </c>
      <c r="T650" s="442">
        <f t="shared" si="649"/>
        <v>3426.5</v>
      </c>
      <c r="U650" s="442">
        <f t="shared" si="649"/>
        <v>2832.5</v>
      </c>
      <c r="V650" s="442">
        <f t="shared" si="649"/>
        <v>2216.5</v>
      </c>
      <c r="W650" s="442">
        <f t="shared" si="649"/>
        <v>1870</v>
      </c>
      <c r="X650" s="442">
        <f t="shared" si="649"/>
        <v>1556.5</v>
      </c>
      <c r="Y650" s="442">
        <f t="shared" si="649"/>
        <v>1017.5</v>
      </c>
      <c r="Z650" s="442">
        <f t="shared" si="649"/>
        <v>555.5</v>
      </c>
      <c r="AA650" s="442">
        <f t="shared" si="649"/>
        <v>291.5</v>
      </c>
      <c r="AB650" s="442">
        <f t="shared" si="649"/>
        <v>143</v>
      </c>
      <c r="AC650" s="442">
        <f t="shared" si="649"/>
        <v>44</v>
      </c>
    </row>
    <row r="651" spans="15:30">
      <c r="Q651" s="1108" t="s">
        <v>254</v>
      </c>
      <c r="R651" s="755">
        <f>SUM(R647:R650)</f>
        <v>19832.400000000001</v>
      </c>
      <c r="S651" s="755">
        <f t="shared" ref="S651" si="650">SUM(S647:S650)</f>
        <v>19800.920000000002</v>
      </c>
      <c r="T651" s="755">
        <f t="shared" ref="T651" si="651">SUM(T647:T650)</f>
        <v>19612.04</v>
      </c>
      <c r="U651" s="755">
        <f t="shared" ref="U651" si="652">SUM(U647:U650)</f>
        <v>16212.2</v>
      </c>
      <c r="V651" s="755">
        <f t="shared" ref="V651" si="653">SUM(V647:V650)</f>
        <v>12686.44</v>
      </c>
      <c r="W651" s="755">
        <f t="shared" ref="W651" si="654">SUM(W647:W650)</f>
        <v>10703.2</v>
      </c>
      <c r="X651" s="755">
        <f t="shared" ref="X651" si="655">SUM(X647:X650)</f>
        <v>8908.84</v>
      </c>
      <c r="Y651" s="755">
        <f t="shared" ref="Y651" si="656">SUM(Y647:Y650)</f>
        <v>5823.8</v>
      </c>
      <c r="Z651" s="755">
        <f t="shared" ref="Z651" si="657">SUM(Z647:Z650)</f>
        <v>3179.48</v>
      </c>
      <c r="AA651" s="755">
        <f t="shared" ref="AA651" si="658">SUM(AA647:AA650)</f>
        <v>1668.44</v>
      </c>
      <c r="AB651" s="755">
        <f t="shared" ref="AB651" si="659">SUM(AB647:AB650)</f>
        <v>818.48</v>
      </c>
      <c r="AC651" s="755">
        <f t="shared" ref="AC651" si="660">SUM(AC647:AC650)</f>
        <v>251.84</v>
      </c>
    </row>
    <row r="653" spans="15:30">
      <c r="Q653" s="1266" t="s">
        <v>466</v>
      </c>
      <c r="R653" s="1267">
        <f t="shared" ref="R653:AC653" si="661">R643*$R$22*$K$612+R651*$R$22*$K$613</f>
        <v>1210.8388500000001</v>
      </c>
      <c r="S653" s="1267">
        <f t="shared" si="661"/>
        <v>1210.1226799999999</v>
      </c>
      <c r="T653" s="1267">
        <f t="shared" si="661"/>
        <v>1190.4791600000001</v>
      </c>
      <c r="U653" s="1267">
        <f t="shared" si="661"/>
        <v>1054.8161</v>
      </c>
      <c r="V653" s="1267">
        <f t="shared" si="661"/>
        <v>887.13001000000008</v>
      </c>
      <c r="W653" s="1267">
        <f t="shared" si="661"/>
        <v>706.96209999999996</v>
      </c>
      <c r="X653" s="1267">
        <f t="shared" si="661"/>
        <v>597.08116000000007</v>
      </c>
      <c r="Y653" s="1267">
        <f t="shared" si="661"/>
        <v>439.42145000000005</v>
      </c>
      <c r="Z653" s="1267">
        <f t="shared" si="661"/>
        <v>224.26352000000003</v>
      </c>
      <c r="AA653" s="1267">
        <f t="shared" si="661"/>
        <v>37.957010000000004</v>
      </c>
      <c r="AB653" s="1267">
        <f t="shared" si="661"/>
        <v>18.620420000000003</v>
      </c>
      <c r="AC653" s="1267">
        <f t="shared" si="661"/>
        <v>5.7293600000000007</v>
      </c>
      <c r="AD653" s="856">
        <f>SUM(R653:AC653)</f>
        <v>7583.4218200000005</v>
      </c>
    </row>
    <row r="654" spans="15:30">
      <c r="R654" s="572"/>
      <c r="S654" s="572"/>
      <c r="T654" s="572"/>
      <c r="U654" s="572"/>
      <c r="V654" s="572"/>
      <c r="W654" s="572"/>
      <c r="X654" s="572"/>
    </row>
    <row r="655" spans="15:30">
      <c r="O655" s="542" t="s">
        <v>1216</v>
      </c>
      <c r="X655" s="572"/>
    </row>
    <row r="657" spans="16:29">
      <c r="Q657" s="756" t="s">
        <v>477</v>
      </c>
      <c r="R657" s="1262"/>
      <c r="S657" s="1262"/>
      <c r="T657" s="1262"/>
      <c r="U657" s="1262"/>
    </row>
    <row r="658" spans="16:29">
      <c r="Q658" s="756" t="s">
        <v>1119</v>
      </c>
      <c r="R658" s="1262"/>
      <c r="S658" s="756" t="s">
        <v>202</v>
      </c>
      <c r="T658" s="1262"/>
      <c r="U658" s="1262"/>
    </row>
    <row r="659" spans="16:29">
      <c r="Q659" s="1262"/>
      <c r="R659" s="1262"/>
      <c r="S659" s="756" t="s">
        <v>1120</v>
      </c>
      <c r="T659" s="1262" t="s">
        <v>662</v>
      </c>
      <c r="U659" s="1262" t="s">
        <v>1121</v>
      </c>
    </row>
    <row r="660" spans="16:29">
      <c r="Q660" s="1262"/>
      <c r="R660" s="1262"/>
      <c r="S660" s="1262">
        <v>0</v>
      </c>
      <c r="T660" s="1263">
        <v>60</v>
      </c>
      <c r="U660" s="1264">
        <v>0.74</v>
      </c>
    </row>
    <row r="661" spans="16:29">
      <c r="Q661" s="1262"/>
      <c r="R661" s="1262"/>
      <c r="S661" s="1262">
        <v>150</v>
      </c>
      <c r="T661" s="1263">
        <v>240</v>
      </c>
      <c r="U661" s="1264">
        <v>0.23</v>
      </c>
    </row>
    <row r="662" spans="16:29">
      <c r="Q662" s="1262"/>
      <c r="R662" s="1262"/>
      <c r="S662" s="1262">
        <v>500</v>
      </c>
      <c r="T662" s="1263">
        <v>660</v>
      </c>
      <c r="U662" s="1264">
        <v>1.4999999999999999E-2</v>
      </c>
    </row>
    <row r="663" spans="16:29">
      <c r="Q663" s="1262"/>
      <c r="R663" s="1262"/>
      <c r="S663" s="1262">
        <v>700</v>
      </c>
      <c r="T663" s="1263">
        <v>960</v>
      </c>
      <c r="U663" s="1264">
        <v>1.4999999999999999E-2</v>
      </c>
    </row>
    <row r="664" spans="16:29">
      <c r="P664" s="1265" t="s">
        <v>1217</v>
      </c>
    </row>
    <row r="665" spans="16:29">
      <c r="P665" s="1265"/>
      <c r="R665" s="760" t="s">
        <v>479</v>
      </c>
      <c r="S665" s="760" t="s">
        <v>480</v>
      </c>
      <c r="T665" s="760" t="s">
        <v>481</v>
      </c>
      <c r="U665" s="760" t="s">
        <v>482</v>
      </c>
      <c r="V665" s="760" t="s">
        <v>483</v>
      </c>
      <c r="W665" s="760" t="s">
        <v>484</v>
      </c>
      <c r="X665" s="760" t="s">
        <v>485</v>
      </c>
      <c r="Y665" s="760" t="s">
        <v>486</v>
      </c>
      <c r="Z665" s="760" t="s">
        <v>487</v>
      </c>
      <c r="AA665" s="760" t="s">
        <v>488</v>
      </c>
      <c r="AB665" s="760" t="s">
        <v>489</v>
      </c>
      <c r="AC665" s="760" t="s">
        <v>490</v>
      </c>
    </row>
    <row r="666" spans="16:29">
      <c r="P666" s="1265"/>
      <c r="Q666" s="489" t="s">
        <v>1219</v>
      </c>
      <c r="R666" s="1423">
        <v>6</v>
      </c>
      <c r="S666" s="1423">
        <v>3</v>
      </c>
      <c r="T666" s="1423">
        <v>3</v>
      </c>
      <c r="U666" s="1423">
        <v>1</v>
      </c>
      <c r="V666" s="1423">
        <v>3</v>
      </c>
      <c r="W666" s="1423">
        <v>1</v>
      </c>
      <c r="X666" s="1744">
        <v>1</v>
      </c>
      <c r="Y666" s="1744">
        <v>1</v>
      </c>
      <c r="Z666" s="1744">
        <v>1</v>
      </c>
      <c r="AA666" s="1744">
        <v>1</v>
      </c>
      <c r="AB666" s="1744">
        <v>1</v>
      </c>
      <c r="AC666" s="1744">
        <v>1</v>
      </c>
    </row>
    <row r="667" spans="16:29">
      <c r="P667" s="1265"/>
      <c r="Q667" s="489" t="s">
        <v>1492</v>
      </c>
      <c r="R667" s="1423">
        <f>R666</f>
        <v>6</v>
      </c>
      <c r="S667" s="1423">
        <f>R667+S666</f>
        <v>9</v>
      </c>
      <c r="T667" s="1423">
        <f t="shared" ref="T667:AC667" si="662">S667+T666</f>
        <v>12</v>
      </c>
      <c r="U667" s="1423">
        <f t="shared" si="662"/>
        <v>13</v>
      </c>
      <c r="V667" s="1423">
        <f t="shared" si="662"/>
        <v>16</v>
      </c>
      <c r="W667" s="1423">
        <f t="shared" si="662"/>
        <v>17</v>
      </c>
      <c r="X667" s="1423">
        <f t="shared" si="662"/>
        <v>18</v>
      </c>
      <c r="Y667" s="1423">
        <f t="shared" si="662"/>
        <v>19</v>
      </c>
      <c r="Z667" s="1423">
        <f t="shared" si="662"/>
        <v>20</v>
      </c>
      <c r="AA667" s="1423">
        <f t="shared" si="662"/>
        <v>21</v>
      </c>
      <c r="AB667" s="1423">
        <f t="shared" si="662"/>
        <v>22</v>
      </c>
      <c r="AC667" s="1423">
        <f t="shared" si="662"/>
        <v>23</v>
      </c>
    </row>
    <row r="668" spans="16:29">
      <c r="P668" s="1265"/>
    </row>
    <row r="669" spans="16:29">
      <c r="Q669" s="760" t="s">
        <v>1122</v>
      </c>
      <c r="R669" s="760" t="s">
        <v>479</v>
      </c>
      <c r="S669" s="760" t="s">
        <v>480</v>
      </c>
      <c r="T669" s="760" t="s">
        <v>481</v>
      </c>
      <c r="U669" s="760" t="s">
        <v>482</v>
      </c>
      <c r="V669" s="760" t="s">
        <v>483</v>
      </c>
      <c r="W669" s="760" t="s">
        <v>484</v>
      </c>
      <c r="X669" s="760" t="s">
        <v>485</v>
      </c>
      <c r="Y669" s="760" t="s">
        <v>486</v>
      </c>
      <c r="Z669" s="760" t="s">
        <v>487</v>
      </c>
      <c r="AA669" s="760" t="s">
        <v>488</v>
      </c>
      <c r="AB669" s="760" t="s">
        <v>489</v>
      </c>
      <c r="AC669" s="760" t="s">
        <v>490</v>
      </c>
    </row>
    <row r="670" spans="16:29">
      <c r="Q670">
        <v>0</v>
      </c>
      <c r="R670" s="442">
        <f>R$667*$U660*$T660</f>
        <v>266.39999999999998</v>
      </c>
      <c r="S670" s="442">
        <f t="shared" ref="S670:AC670" si="663">S$667*$U660*$T660</f>
        <v>399.6</v>
      </c>
      <c r="T670" s="442">
        <f t="shared" si="663"/>
        <v>532.79999999999995</v>
      </c>
      <c r="U670" s="442">
        <f t="shared" si="663"/>
        <v>577.19999999999993</v>
      </c>
      <c r="V670" s="442">
        <f t="shared" si="663"/>
        <v>710.4</v>
      </c>
      <c r="W670" s="442">
        <f t="shared" si="663"/>
        <v>754.8</v>
      </c>
      <c r="X670" s="442">
        <f t="shared" si="663"/>
        <v>799.2</v>
      </c>
      <c r="Y670" s="442">
        <f t="shared" si="663"/>
        <v>843.6</v>
      </c>
      <c r="Z670" s="442">
        <f t="shared" si="663"/>
        <v>888</v>
      </c>
      <c r="AA670" s="442">
        <f t="shared" si="663"/>
        <v>932.4</v>
      </c>
      <c r="AB670" s="442">
        <f t="shared" si="663"/>
        <v>976.80000000000007</v>
      </c>
      <c r="AC670" s="442">
        <f t="shared" si="663"/>
        <v>1021.1999999999999</v>
      </c>
    </row>
    <row r="671" spans="16:29">
      <c r="Q671">
        <v>50</v>
      </c>
      <c r="R671" s="442">
        <f>R$667*$U661*$T661</f>
        <v>331.20000000000005</v>
      </c>
      <c r="S671" s="442">
        <f t="shared" ref="S671:AC671" si="664">S$667*$U661*$T661</f>
        <v>496.80000000000007</v>
      </c>
      <c r="T671" s="442">
        <f t="shared" si="664"/>
        <v>662.40000000000009</v>
      </c>
      <c r="U671" s="442">
        <f t="shared" si="664"/>
        <v>717.6</v>
      </c>
      <c r="V671" s="442">
        <f t="shared" si="664"/>
        <v>883.2</v>
      </c>
      <c r="W671" s="442">
        <f t="shared" si="664"/>
        <v>938.40000000000009</v>
      </c>
      <c r="X671" s="442">
        <f t="shared" si="664"/>
        <v>993.60000000000014</v>
      </c>
      <c r="Y671" s="442">
        <f t="shared" si="664"/>
        <v>1048.8</v>
      </c>
      <c r="Z671" s="442">
        <f t="shared" si="664"/>
        <v>1104.0000000000002</v>
      </c>
      <c r="AA671" s="442">
        <f t="shared" si="664"/>
        <v>1159.2</v>
      </c>
      <c r="AB671" s="442">
        <f t="shared" si="664"/>
        <v>1214.4000000000001</v>
      </c>
      <c r="AC671" s="442">
        <f t="shared" si="664"/>
        <v>1269.5999999999999</v>
      </c>
    </row>
    <row r="672" spans="16:29">
      <c r="Q672">
        <v>150</v>
      </c>
      <c r="R672" s="442">
        <f>R$667*$U662*$T662</f>
        <v>59.4</v>
      </c>
      <c r="S672" s="442">
        <f t="shared" ref="S672:AC672" si="665">S$667*$U662*$T662</f>
        <v>89.100000000000009</v>
      </c>
      <c r="T672" s="442">
        <f t="shared" si="665"/>
        <v>118.8</v>
      </c>
      <c r="U672" s="442">
        <f t="shared" si="665"/>
        <v>128.70000000000002</v>
      </c>
      <c r="V672" s="442">
        <f t="shared" si="665"/>
        <v>158.4</v>
      </c>
      <c r="W672" s="442">
        <f t="shared" si="665"/>
        <v>168.3</v>
      </c>
      <c r="X672" s="442">
        <f t="shared" si="665"/>
        <v>178.20000000000002</v>
      </c>
      <c r="Y672" s="442">
        <f t="shared" si="665"/>
        <v>188.1</v>
      </c>
      <c r="Z672" s="442">
        <f t="shared" si="665"/>
        <v>198</v>
      </c>
      <c r="AA672" s="442">
        <f t="shared" si="665"/>
        <v>207.9</v>
      </c>
      <c r="AB672" s="442">
        <f t="shared" si="665"/>
        <v>217.79999999999998</v>
      </c>
      <c r="AC672" s="442">
        <f t="shared" si="665"/>
        <v>227.7</v>
      </c>
    </row>
    <row r="673" spans="16:30">
      <c r="Q673">
        <v>300</v>
      </c>
      <c r="R673" s="442">
        <f>R$667*$U663*$T663</f>
        <v>86.399999999999991</v>
      </c>
      <c r="S673" s="442">
        <f t="shared" ref="S673:AC673" si="666">S$667*$U663*$T663</f>
        <v>129.60000000000002</v>
      </c>
      <c r="T673" s="442">
        <f t="shared" si="666"/>
        <v>172.79999999999998</v>
      </c>
      <c r="U673" s="442">
        <f t="shared" si="666"/>
        <v>187.20000000000002</v>
      </c>
      <c r="V673" s="442">
        <f t="shared" si="666"/>
        <v>230.39999999999998</v>
      </c>
      <c r="W673" s="442">
        <f t="shared" si="666"/>
        <v>244.8</v>
      </c>
      <c r="X673" s="442">
        <f t="shared" si="666"/>
        <v>259.20000000000005</v>
      </c>
      <c r="Y673" s="442">
        <f t="shared" si="666"/>
        <v>273.59999999999997</v>
      </c>
      <c r="Z673" s="442">
        <f t="shared" si="666"/>
        <v>288</v>
      </c>
      <c r="AA673" s="442">
        <f t="shared" si="666"/>
        <v>302.39999999999998</v>
      </c>
      <c r="AB673" s="442">
        <f t="shared" si="666"/>
        <v>316.79999999999995</v>
      </c>
      <c r="AC673" s="442">
        <f t="shared" si="666"/>
        <v>331.2</v>
      </c>
    </row>
    <row r="674" spans="16:30">
      <c r="Q674" s="1108" t="s">
        <v>254</v>
      </c>
      <c r="R674" s="755">
        <f>SUM(R670:R673)</f>
        <v>743.4</v>
      </c>
      <c r="S674" s="755">
        <f t="shared" ref="S674" si="667">SUM(S670:S673)</f>
        <v>1115.1000000000001</v>
      </c>
      <c r="T674" s="755">
        <f t="shared" ref="T674" si="668">SUM(T670:T673)</f>
        <v>1486.8</v>
      </c>
      <c r="U674" s="755">
        <f t="shared" ref="U674" si="669">SUM(U670:U673)</f>
        <v>1610.7</v>
      </c>
      <c r="V674" s="755">
        <f t="shared" ref="V674" si="670">SUM(V670:V673)</f>
        <v>1982.4</v>
      </c>
      <c r="W674" s="755">
        <f t="shared" ref="W674" si="671">SUM(W670:W673)</f>
        <v>2106.3000000000002</v>
      </c>
      <c r="X674" s="755">
        <f t="shared" ref="X674" si="672">SUM(X670:X673)</f>
        <v>2230.2000000000003</v>
      </c>
      <c r="Y674" s="755">
        <f t="shared" ref="Y674" si="673">SUM(Y670:Y673)</f>
        <v>2354.1</v>
      </c>
      <c r="Z674" s="755">
        <f t="shared" ref="Z674" si="674">SUM(Z670:Z673)</f>
        <v>2478</v>
      </c>
      <c r="AA674" s="755">
        <f t="shared" ref="AA674" si="675">SUM(AA670:AA673)</f>
        <v>2601.9</v>
      </c>
      <c r="AB674" s="755">
        <f t="shared" ref="AB674" si="676">SUM(AB670:AB673)</f>
        <v>2725.8</v>
      </c>
      <c r="AC674" s="755">
        <f t="shared" ref="AC674" si="677">SUM(AC670:AC673)</f>
        <v>2849.6999999999994</v>
      </c>
    </row>
    <row r="676" spans="16:30">
      <c r="Q676" s="1266" t="s">
        <v>1123</v>
      </c>
      <c r="R676" s="1268">
        <f t="shared" ref="R676:AC676" si="678">R674*$R$22*$K$612</f>
        <v>36.240749999999998</v>
      </c>
      <c r="S676" s="1268">
        <f t="shared" si="678"/>
        <v>54.361125000000008</v>
      </c>
      <c r="T676" s="1268">
        <f t="shared" si="678"/>
        <v>72.481499999999997</v>
      </c>
      <c r="U676" s="1268">
        <f t="shared" si="678"/>
        <v>78.521625000000014</v>
      </c>
      <c r="V676" s="1268">
        <f t="shared" si="678"/>
        <v>96.64200000000001</v>
      </c>
      <c r="W676" s="1268">
        <f t="shared" si="678"/>
        <v>102.68212500000001</v>
      </c>
      <c r="X676" s="1268">
        <f t="shared" si="678"/>
        <v>108.72225000000002</v>
      </c>
      <c r="Y676" s="1268">
        <f t="shared" si="678"/>
        <v>114.76237499999999</v>
      </c>
      <c r="Z676" s="1268">
        <f t="shared" si="678"/>
        <v>120.80249999999999</v>
      </c>
      <c r="AA676" s="1268">
        <f t="shared" si="678"/>
        <v>126.842625</v>
      </c>
      <c r="AB676" s="1268">
        <f t="shared" si="678"/>
        <v>132.88275000000002</v>
      </c>
      <c r="AC676" s="1268">
        <f t="shared" si="678"/>
        <v>138.92287499999998</v>
      </c>
      <c r="AD676" s="856">
        <f>SUM(R676:AC676)</f>
        <v>1183.8645000000001</v>
      </c>
    </row>
    <row r="677" spans="16:30">
      <c r="P677" s="1265" t="s">
        <v>1218</v>
      </c>
    </row>
    <row r="678" spans="16:30">
      <c r="Q678" s="1132" t="s">
        <v>1124</v>
      </c>
    </row>
    <row r="679" spans="16:30">
      <c r="Q679" s="489" t="s">
        <v>1220</v>
      </c>
      <c r="R679" s="1261">
        <v>42</v>
      </c>
      <c r="S679">
        <v>41</v>
      </c>
      <c r="T679">
        <v>41</v>
      </c>
      <c r="U679">
        <v>40</v>
      </c>
      <c r="V679">
        <v>36</v>
      </c>
      <c r="W679">
        <v>29</v>
      </c>
      <c r="X679">
        <v>25</v>
      </c>
      <c r="Y679">
        <v>20</v>
      </c>
      <c r="Z679">
        <v>8</v>
      </c>
    </row>
    <row r="680" spans="16:30">
      <c r="Q680" s="489" t="s">
        <v>1221</v>
      </c>
      <c r="R680">
        <v>52</v>
      </c>
      <c r="S680">
        <v>52</v>
      </c>
      <c r="T680">
        <v>50</v>
      </c>
      <c r="U680">
        <v>40</v>
      </c>
      <c r="V680">
        <v>26</v>
      </c>
      <c r="W680">
        <v>21</v>
      </c>
      <c r="X680">
        <v>16</v>
      </c>
      <c r="Y680">
        <v>8</v>
      </c>
      <c r="Z680">
        <v>4</v>
      </c>
      <c r="AA680">
        <v>3</v>
      </c>
      <c r="AB680">
        <v>3</v>
      </c>
      <c r="AC680">
        <v>2</v>
      </c>
    </row>
    <row r="681" spans="16:30">
      <c r="Q681" s="489" t="s">
        <v>1222</v>
      </c>
      <c r="R681">
        <v>10</v>
      </c>
      <c r="S681">
        <v>10</v>
      </c>
      <c r="T681">
        <v>10</v>
      </c>
      <c r="U681">
        <v>10</v>
      </c>
      <c r="V681">
        <v>10</v>
      </c>
      <c r="W681">
        <v>9</v>
      </c>
      <c r="X681">
        <v>8</v>
      </c>
      <c r="Y681">
        <v>8</v>
      </c>
      <c r="Z681">
        <v>6</v>
      </c>
      <c r="AA681">
        <v>4</v>
      </c>
      <c r="AB681">
        <v>1</v>
      </c>
    </row>
    <row r="683" spans="16:30">
      <c r="Q683" s="1131" t="s">
        <v>1223</v>
      </c>
    </row>
    <row r="684" spans="16:30">
      <c r="Q684" s="760" t="s">
        <v>1122</v>
      </c>
      <c r="R684" s="760" t="s">
        <v>479</v>
      </c>
      <c r="S684" s="760" t="s">
        <v>480</v>
      </c>
      <c r="T684" s="760" t="s">
        <v>481</v>
      </c>
      <c r="U684" s="760" t="s">
        <v>482</v>
      </c>
      <c r="V684" s="760" t="s">
        <v>483</v>
      </c>
      <c r="W684" s="760" t="s">
        <v>484</v>
      </c>
      <c r="X684" s="760" t="s">
        <v>485</v>
      </c>
      <c r="Y684" s="760" t="s">
        <v>486</v>
      </c>
      <c r="Z684" s="760" t="s">
        <v>487</v>
      </c>
      <c r="AA684" s="760" t="s">
        <v>488</v>
      </c>
      <c r="AB684" s="760" t="s">
        <v>489</v>
      </c>
      <c r="AC684" s="760" t="s">
        <v>490</v>
      </c>
    </row>
    <row r="685" spans="16:30">
      <c r="Q685">
        <v>0</v>
      </c>
      <c r="R685" s="442">
        <f>R$679*$U660*$T660</f>
        <v>1864.8</v>
      </c>
      <c r="S685" s="442">
        <f t="shared" ref="S685:AC685" si="679">S$679*$U660*$T660</f>
        <v>1820.4</v>
      </c>
      <c r="T685" s="442">
        <f t="shared" si="679"/>
        <v>1820.4</v>
      </c>
      <c r="U685" s="442">
        <f t="shared" si="679"/>
        <v>1776</v>
      </c>
      <c r="V685" s="442">
        <f t="shared" si="679"/>
        <v>1598.4</v>
      </c>
      <c r="W685" s="442">
        <f t="shared" si="679"/>
        <v>1287.6000000000001</v>
      </c>
      <c r="X685" s="442">
        <f t="shared" si="679"/>
        <v>1110</v>
      </c>
      <c r="Y685" s="442">
        <f t="shared" si="679"/>
        <v>888</v>
      </c>
      <c r="Z685" s="442">
        <f t="shared" si="679"/>
        <v>355.2</v>
      </c>
      <c r="AA685" s="442">
        <f t="shared" si="679"/>
        <v>0</v>
      </c>
      <c r="AB685" s="442">
        <f t="shared" si="679"/>
        <v>0</v>
      </c>
      <c r="AC685" s="442">
        <f t="shared" si="679"/>
        <v>0</v>
      </c>
    </row>
    <row r="686" spans="16:30">
      <c r="Q686">
        <v>50</v>
      </c>
      <c r="R686" s="442">
        <f>R$679*$U661*$T661</f>
        <v>2318.4</v>
      </c>
      <c r="S686" s="442">
        <f t="shared" ref="S686:AC686" si="680">S$679*$U661*$T661</f>
        <v>2263.1999999999998</v>
      </c>
      <c r="T686" s="442">
        <f t="shared" si="680"/>
        <v>2263.1999999999998</v>
      </c>
      <c r="U686" s="442">
        <f t="shared" si="680"/>
        <v>2208.0000000000005</v>
      </c>
      <c r="V686" s="442">
        <f t="shared" si="680"/>
        <v>1987.2000000000003</v>
      </c>
      <c r="W686" s="442">
        <f t="shared" si="680"/>
        <v>1600.8</v>
      </c>
      <c r="X686" s="442">
        <f t="shared" si="680"/>
        <v>1380</v>
      </c>
      <c r="Y686" s="442">
        <f t="shared" si="680"/>
        <v>1104.0000000000002</v>
      </c>
      <c r="Z686" s="442">
        <f t="shared" si="680"/>
        <v>441.6</v>
      </c>
      <c r="AA686" s="442">
        <f t="shared" si="680"/>
        <v>0</v>
      </c>
      <c r="AB686" s="442">
        <f t="shared" si="680"/>
        <v>0</v>
      </c>
      <c r="AC686" s="442">
        <f t="shared" si="680"/>
        <v>0</v>
      </c>
    </row>
    <row r="687" spans="16:30">
      <c r="Q687">
        <v>150</v>
      </c>
      <c r="R687" s="442">
        <f>R$679*$U662*$T662</f>
        <v>415.8</v>
      </c>
      <c r="S687" s="442">
        <f t="shared" ref="S687:AC687" si="681">S$679*$U662*$T662</f>
        <v>405.9</v>
      </c>
      <c r="T687" s="442">
        <f t="shared" si="681"/>
        <v>405.9</v>
      </c>
      <c r="U687" s="442">
        <f t="shared" si="681"/>
        <v>396</v>
      </c>
      <c r="V687" s="442">
        <f t="shared" si="681"/>
        <v>356.40000000000003</v>
      </c>
      <c r="W687" s="442">
        <f t="shared" si="681"/>
        <v>287.10000000000002</v>
      </c>
      <c r="X687" s="442">
        <f t="shared" si="681"/>
        <v>247.5</v>
      </c>
      <c r="Y687" s="442">
        <f t="shared" si="681"/>
        <v>198</v>
      </c>
      <c r="Z687" s="442">
        <f t="shared" si="681"/>
        <v>79.2</v>
      </c>
      <c r="AA687" s="442">
        <f t="shared" si="681"/>
        <v>0</v>
      </c>
      <c r="AB687" s="442">
        <f t="shared" si="681"/>
        <v>0</v>
      </c>
      <c r="AC687" s="442">
        <f t="shared" si="681"/>
        <v>0</v>
      </c>
    </row>
    <row r="688" spans="16:30">
      <c r="Q688">
        <v>300</v>
      </c>
      <c r="R688" s="442">
        <f>R$679*$U663*$T663</f>
        <v>604.79999999999995</v>
      </c>
      <c r="S688" s="442">
        <f t="shared" ref="S688:AC688" si="682">S$679*$U663*$T663</f>
        <v>590.4</v>
      </c>
      <c r="T688" s="442">
        <f t="shared" si="682"/>
        <v>590.4</v>
      </c>
      <c r="U688" s="442">
        <f t="shared" si="682"/>
        <v>576</v>
      </c>
      <c r="V688" s="442">
        <f t="shared" si="682"/>
        <v>518.40000000000009</v>
      </c>
      <c r="W688" s="442">
        <f t="shared" si="682"/>
        <v>417.6</v>
      </c>
      <c r="X688" s="442">
        <f t="shared" si="682"/>
        <v>360</v>
      </c>
      <c r="Y688" s="442">
        <f t="shared" si="682"/>
        <v>288</v>
      </c>
      <c r="Z688" s="442">
        <f t="shared" si="682"/>
        <v>115.19999999999999</v>
      </c>
      <c r="AA688" s="442">
        <f t="shared" si="682"/>
        <v>0</v>
      </c>
      <c r="AB688" s="442">
        <f t="shared" si="682"/>
        <v>0</v>
      </c>
      <c r="AC688" s="442">
        <f t="shared" si="682"/>
        <v>0</v>
      </c>
    </row>
    <row r="689" spans="17:29">
      <c r="Q689" s="1108" t="s">
        <v>254</v>
      </c>
      <c r="R689" s="755">
        <f>SUM(R685:R688)</f>
        <v>5203.8</v>
      </c>
      <c r="S689" s="755">
        <f t="shared" ref="S689" si="683">SUM(S685:S688)</f>
        <v>5079.8999999999996</v>
      </c>
      <c r="T689" s="755">
        <f t="shared" ref="T689" si="684">SUM(T685:T688)</f>
        <v>5079.8999999999996</v>
      </c>
      <c r="U689" s="755">
        <f t="shared" ref="U689" si="685">SUM(U685:U688)</f>
        <v>4956</v>
      </c>
      <c r="V689" s="755">
        <f t="shared" ref="V689" si="686">SUM(V685:V688)</f>
        <v>4460.4000000000005</v>
      </c>
      <c r="W689" s="755">
        <f t="shared" ref="W689" si="687">SUM(W685:W688)</f>
        <v>3593.1</v>
      </c>
      <c r="X689" s="755">
        <f t="shared" ref="X689" si="688">SUM(X685:X688)</f>
        <v>3097.5</v>
      </c>
      <c r="Y689" s="755">
        <f t="shared" ref="Y689" si="689">SUM(Y685:Y688)</f>
        <v>2478</v>
      </c>
      <c r="Z689" s="755">
        <f t="shared" ref="Z689" si="690">SUM(Z685:Z688)</f>
        <v>991.2</v>
      </c>
      <c r="AA689" s="755">
        <f t="shared" ref="AA689" si="691">SUM(AA685:AA688)</f>
        <v>0</v>
      </c>
      <c r="AB689" s="755">
        <f t="shared" ref="AB689" si="692">SUM(AB685:AB688)</f>
        <v>0</v>
      </c>
      <c r="AC689" s="755">
        <f t="shared" ref="AC689" si="693">SUM(AC685:AC688)</f>
        <v>0</v>
      </c>
    </row>
    <row r="691" spans="17:29">
      <c r="Q691" s="1131" t="s">
        <v>1224</v>
      </c>
    </row>
    <row r="692" spans="17:29">
      <c r="Q692" s="760" t="s">
        <v>1122</v>
      </c>
      <c r="R692" s="760" t="s">
        <v>479</v>
      </c>
      <c r="S692" s="760" t="s">
        <v>480</v>
      </c>
      <c r="T692" s="760" t="s">
        <v>481</v>
      </c>
      <c r="U692" s="760" t="s">
        <v>482</v>
      </c>
      <c r="V692" s="760" t="s">
        <v>483</v>
      </c>
      <c r="W692" s="760" t="s">
        <v>484</v>
      </c>
      <c r="X692" s="760" t="s">
        <v>485</v>
      </c>
      <c r="Y692" s="760" t="s">
        <v>486</v>
      </c>
      <c r="Z692" s="760" t="s">
        <v>487</v>
      </c>
      <c r="AA692" s="760" t="s">
        <v>488</v>
      </c>
      <c r="AB692" s="760" t="s">
        <v>489</v>
      </c>
      <c r="AC692" s="760" t="s">
        <v>490</v>
      </c>
    </row>
    <row r="693" spans="17:29">
      <c r="Q693">
        <v>0</v>
      </c>
      <c r="R693" s="442">
        <f>R$680*$T660*$U660</f>
        <v>2308.8000000000002</v>
      </c>
      <c r="S693" s="442">
        <f t="shared" ref="S693:AC693" si="694">S$680*$T660*$U660</f>
        <v>2308.8000000000002</v>
      </c>
      <c r="T693" s="442">
        <f t="shared" si="694"/>
        <v>2220</v>
      </c>
      <c r="U693" s="442">
        <f t="shared" si="694"/>
        <v>1776</v>
      </c>
      <c r="V693" s="442">
        <f t="shared" si="694"/>
        <v>1154.4000000000001</v>
      </c>
      <c r="W693" s="442">
        <f t="shared" si="694"/>
        <v>932.4</v>
      </c>
      <c r="X693" s="442">
        <f t="shared" si="694"/>
        <v>710.4</v>
      </c>
      <c r="Y693" s="442">
        <f t="shared" si="694"/>
        <v>355.2</v>
      </c>
      <c r="Z693" s="442">
        <f t="shared" si="694"/>
        <v>177.6</v>
      </c>
      <c r="AA693" s="442">
        <f t="shared" si="694"/>
        <v>133.19999999999999</v>
      </c>
      <c r="AB693" s="442">
        <f t="shared" si="694"/>
        <v>133.19999999999999</v>
      </c>
      <c r="AC693" s="442">
        <f t="shared" si="694"/>
        <v>88.8</v>
      </c>
    </row>
    <row r="694" spans="17:29">
      <c r="Q694">
        <v>50</v>
      </c>
      <c r="R694" s="442">
        <f>R$680*$T661*$U661</f>
        <v>2870.4</v>
      </c>
      <c r="S694" s="442">
        <f t="shared" ref="S694:AC694" si="695">S$680*$T661*$U661</f>
        <v>2870.4</v>
      </c>
      <c r="T694" s="442">
        <f t="shared" si="695"/>
        <v>2760</v>
      </c>
      <c r="U694" s="442">
        <f t="shared" si="695"/>
        <v>2208</v>
      </c>
      <c r="V694" s="442">
        <f t="shared" si="695"/>
        <v>1435.2</v>
      </c>
      <c r="W694" s="442">
        <f t="shared" si="695"/>
        <v>1159.2</v>
      </c>
      <c r="X694" s="442">
        <f t="shared" si="695"/>
        <v>883.2</v>
      </c>
      <c r="Y694" s="442">
        <f t="shared" si="695"/>
        <v>441.6</v>
      </c>
      <c r="Z694" s="442">
        <f t="shared" si="695"/>
        <v>220.8</v>
      </c>
      <c r="AA694" s="442">
        <f t="shared" si="695"/>
        <v>165.6</v>
      </c>
      <c r="AB694" s="442">
        <f t="shared" si="695"/>
        <v>165.6</v>
      </c>
      <c r="AC694" s="442">
        <f t="shared" si="695"/>
        <v>110.4</v>
      </c>
    </row>
    <row r="695" spans="17:29">
      <c r="Q695">
        <v>150</v>
      </c>
      <c r="R695" s="442">
        <f>R$680*$T662*$U662</f>
        <v>514.79999999999995</v>
      </c>
      <c r="S695" s="442">
        <f t="shared" ref="S695:AC695" si="696">S$680*$T662*$U662</f>
        <v>514.79999999999995</v>
      </c>
      <c r="T695" s="442">
        <f t="shared" si="696"/>
        <v>495</v>
      </c>
      <c r="U695" s="442">
        <f t="shared" si="696"/>
        <v>396</v>
      </c>
      <c r="V695" s="442">
        <f t="shared" si="696"/>
        <v>257.39999999999998</v>
      </c>
      <c r="W695" s="442">
        <f t="shared" si="696"/>
        <v>207.9</v>
      </c>
      <c r="X695" s="442">
        <f t="shared" si="696"/>
        <v>158.4</v>
      </c>
      <c r="Y695" s="442">
        <f t="shared" si="696"/>
        <v>79.2</v>
      </c>
      <c r="Z695" s="442">
        <f t="shared" si="696"/>
        <v>39.6</v>
      </c>
      <c r="AA695" s="442">
        <f t="shared" si="696"/>
        <v>29.7</v>
      </c>
      <c r="AB695" s="442">
        <f t="shared" si="696"/>
        <v>29.7</v>
      </c>
      <c r="AC695" s="442">
        <f t="shared" si="696"/>
        <v>19.8</v>
      </c>
    </row>
    <row r="696" spans="17:29">
      <c r="Q696">
        <v>300</v>
      </c>
      <c r="R696" s="442">
        <f>R$680*$T663*$U663</f>
        <v>748.8</v>
      </c>
      <c r="S696" s="442">
        <f t="shared" ref="S696:AC696" si="697">S$680*$T663*$U663</f>
        <v>748.8</v>
      </c>
      <c r="T696" s="442">
        <f t="shared" si="697"/>
        <v>720</v>
      </c>
      <c r="U696" s="442">
        <f t="shared" si="697"/>
        <v>576</v>
      </c>
      <c r="V696" s="442">
        <f t="shared" si="697"/>
        <v>374.4</v>
      </c>
      <c r="W696" s="442">
        <f t="shared" si="697"/>
        <v>302.39999999999998</v>
      </c>
      <c r="X696" s="442">
        <f t="shared" si="697"/>
        <v>230.39999999999998</v>
      </c>
      <c r="Y696" s="442">
        <f t="shared" si="697"/>
        <v>115.19999999999999</v>
      </c>
      <c r="Z696" s="442">
        <f t="shared" si="697"/>
        <v>57.599999999999994</v>
      </c>
      <c r="AA696" s="442">
        <f t="shared" si="697"/>
        <v>43.199999999999996</v>
      </c>
      <c r="AB696" s="442">
        <f t="shared" si="697"/>
        <v>43.199999999999996</v>
      </c>
      <c r="AC696" s="442">
        <f t="shared" si="697"/>
        <v>28.799999999999997</v>
      </c>
    </row>
    <row r="697" spans="17:29">
      <c r="Q697" s="1108" t="s">
        <v>254</v>
      </c>
      <c r="R697" s="755">
        <f>SUM(R693:R696)</f>
        <v>6442.8000000000011</v>
      </c>
      <c r="S697" s="755">
        <f t="shared" ref="S697" si="698">SUM(S693:S696)</f>
        <v>6442.8000000000011</v>
      </c>
      <c r="T697" s="755">
        <f t="shared" ref="T697" si="699">SUM(T693:T696)</f>
        <v>6195</v>
      </c>
      <c r="U697" s="755">
        <f t="shared" ref="U697" si="700">SUM(U693:U696)</f>
        <v>4956</v>
      </c>
      <c r="V697" s="755">
        <f t="shared" ref="V697" si="701">SUM(V693:V696)</f>
        <v>3221.4000000000005</v>
      </c>
      <c r="W697" s="755">
        <f t="shared" ref="W697" si="702">SUM(W693:W696)</f>
        <v>2601.9</v>
      </c>
      <c r="X697" s="755">
        <f t="shared" ref="X697" si="703">SUM(X693:X696)</f>
        <v>1982.4</v>
      </c>
      <c r="Y697" s="755">
        <f t="shared" ref="Y697" si="704">SUM(Y693:Y696)</f>
        <v>991.2</v>
      </c>
      <c r="Z697" s="755">
        <f t="shared" ref="Z697" si="705">SUM(Z693:Z696)</f>
        <v>495.6</v>
      </c>
      <c r="AA697" s="755">
        <f t="shared" ref="AA697" si="706">SUM(AA693:AA696)</f>
        <v>371.69999999999993</v>
      </c>
      <c r="AB697" s="755">
        <f t="shared" ref="AB697" si="707">SUM(AB693:AB696)</f>
        <v>371.69999999999993</v>
      </c>
      <c r="AC697" s="755">
        <f t="shared" ref="AC697" si="708">SUM(AC693:AC696)</f>
        <v>247.8</v>
      </c>
    </row>
    <row r="699" spans="17:29">
      <c r="Q699" s="1131" t="s">
        <v>1225</v>
      </c>
    </row>
    <row r="700" spans="17:29">
      <c r="Q700" s="760" t="s">
        <v>1122</v>
      </c>
      <c r="R700" s="760" t="s">
        <v>479</v>
      </c>
      <c r="S700" s="760" t="s">
        <v>480</v>
      </c>
      <c r="T700" s="760" t="s">
        <v>481</v>
      </c>
      <c r="U700" s="760" t="s">
        <v>482</v>
      </c>
      <c r="V700" s="760" t="s">
        <v>483</v>
      </c>
      <c r="W700" s="760" t="s">
        <v>484</v>
      </c>
      <c r="X700" s="760" t="s">
        <v>485</v>
      </c>
      <c r="Y700" s="760" t="s">
        <v>486</v>
      </c>
      <c r="Z700" s="760" t="s">
        <v>487</v>
      </c>
      <c r="AA700" s="760" t="s">
        <v>488</v>
      </c>
      <c r="AB700" s="760" t="s">
        <v>489</v>
      </c>
      <c r="AC700" s="760" t="s">
        <v>490</v>
      </c>
    </row>
    <row r="701" spans="17:29">
      <c r="Q701">
        <v>0</v>
      </c>
      <c r="R701" s="442">
        <f>R$681*$T660*$U660</f>
        <v>444</v>
      </c>
      <c r="S701" s="442">
        <f t="shared" ref="S701:AC701" si="709">S$681*$T660*$U660</f>
        <v>444</v>
      </c>
      <c r="T701" s="442">
        <f t="shared" si="709"/>
        <v>444</v>
      </c>
      <c r="U701" s="442">
        <f t="shared" si="709"/>
        <v>444</v>
      </c>
      <c r="V701" s="442">
        <f t="shared" si="709"/>
        <v>444</v>
      </c>
      <c r="W701" s="442">
        <f t="shared" si="709"/>
        <v>399.6</v>
      </c>
      <c r="X701" s="442">
        <f t="shared" si="709"/>
        <v>355.2</v>
      </c>
      <c r="Y701" s="442">
        <f t="shared" si="709"/>
        <v>355.2</v>
      </c>
      <c r="Z701" s="442">
        <f t="shared" si="709"/>
        <v>266.39999999999998</v>
      </c>
      <c r="AA701" s="442">
        <f t="shared" si="709"/>
        <v>177.6</v>
      </c>
      <c r="AB701" s="442">
        <f t="shared" si="709"/>
        <v>44.4</v>
      </c>
      <c r="AC701" s="442">
        <f t="shared" si="709"/>
        <v>0</v>
      </c>
    </row>
    <row r="702" spans="17:29">
      <c r="Q702">
        <v>50</v>
      </c>
      <c r="R702" s="442">
        <f>R$681*$T661*$U661</f>
        <v>552</v>
      </c>
      <c r="S702" s="442">
        <f t="shared" ref="S702:AC702" si="710">S$681*$T661*$U661</f>
        <v>552</v>
      </c>
      <c r="T702" s="442">
        <f t="shared" si="710"/>
        <v>552</v>
      </c>
      <c r="U702" s="442">
        <f t="shared" si="710"/>
        <v>552</v>
      </c>
      <c r="V702" s="442">
        <f t="shared" si="710"/>
        <v>552</v>
      </c>
      <c r="W702" s="442">
        <f t="shared" si="710"/>
        <v>496.8</v>
      </c>
      <c r="X702" s="442">
        <f t="shared" si="710"/>
        <v>441.6</v>
      </c>
      <c r="Y702" s="442">
        <f t="shared" si="710"/>
        <v>441.6</v>
      </c>
      <c r="Z702" s="442">
        <f t="shared" si="710"/>
        <v>331.2</v>
      </c>
      <c r="AA702" s="442">
        <f t="shared" si="710"/>
        <v>220.8</v>
      </c>
      <c r="AB702" s="442">
        <f t="shared" si="710"/>
        <v>55.2</v>
      </c>
      <c r="AC702" s="442">
        <f t="shared" si="710"/>
        <v>0</v>
      </c>
    </row>
    <row r="703" spans="17:29">
      <c r="Q703">
        <v>150</v>
      </c>
      <c r="R703" s="442">
        <f>R$681*$T662*$U662</f>
        <v>99</v>
      </c>
      <c r="S703" s="442">
        <f t="shared" ref="S703:AC703" si="711">S$681*$T662*$U662</f>
        <v>99</v>
      </c>
      <c r="T703" s="442">
        <f t="shared" si="711"/>
        <v>99</v>
      </c>
      <c r="U703" s="442">
        <f t="shared" si="711"/>
        <v>99</v>
      </c>
      <c r="V703" s="442">
        <f t="shared" si="711"/>
        <v>99</v>
      </c>
      <c r="W703" s="442">
        <f t="shared" si="711"/>
        <v>89.1</v>
      </c>
      <c r="X703" s="442">
        <f t="shared" si="711"/>
        <v>79.2</v>
      </c>
      <c r="Y703" s="442">
        <f t="shared" si="711"/>
        <v>79.2</v>
      </c>
      <c r="Z703" s="442">
        <f t="shared" si="711"/>
        <v>59.4</v>
      </c>
      <c r="AA703" s="442">
        <f t="shared" si="711"/>
        <v>39.6</v>
      </c>
      <c r="AB703" s="442">
        <f t="shared" si="711"/>
        <v>9.9</v>
      </c>
      <c r="AC703" s="442">
        <f t="shared" si="711"/>
        <v>0</v>
      </c>
    </row>
    <row r="704" spans="17:29">
      <c r="Q704">
        <v>300</v>
      </c>
      <c r="R704" s="442">
        <f>R$681*$T663*$U663</f>
        <v>144</v>
      </c>
      <c r="S704" s="442">
        <f t="shared" ref="S704:AC704" si="712">S$681*$T663*$U663</f>
        <v>144</v>
      </c>
      <c r="T704" s="442">
        <f t="shared" si="712"/>
        <v>144</v>
      </c>
      <c r="U704" s="442">
        <f t="shared" si="712"/>
        <v>144</v>
      </c>
      <c r="V704" s="442">
        <f t="shared" si="712"/>
        <v>144</v>
      </c>
      <c r="W704" s="442">
        <f t="shared" si="712"/>
        <v>129.6</v>
      </c>
      <c r="X704" s="442">
        <f t="shared" si="712"/>
        <v>115.19999999999999</v>
      </c>
      <c r="Y704" s="442">
        <f t="shared" si="712"/>
        <v>115.19999999999999</v>
      </c>
      <c r="Z704" s="442">
        <f t="shared" si="712"/>
        <v>86.399999999999991</v>
      </c>
      <c r="AA704" s="442">
        <f t="shared" si="712"/>
        <v>57.599999999999994</v>
      </c>
      <c r="AB704" s="442">
        <f t="shared" si="712"/>
        <v>14.399999999999999</v>
      </c>
      <c r="AC704" s="442">
        <f t="shared" si="712"/>
        <v>0</v>
      </c>
    </row>
    <row r="705" spans="2:40">
      <c r="Q705" s="1108" t="s">
        <v>254</v>
      </c>
      <c r="R705" s="755">
        <f>SUM(R701:R704)</f>
        <v>1239</v>
      </c>
      <c r="S705" s="755">
        <f t="shared" ref="S705" si="713">SUM(S701:S704)</f>
        <v>1239</v>
      </c>
      <c r="T705" s="755">
        <f t="shared" ref="T705" si="714">SUM(T701:T704)</f>
        <v>1239</v>
      </c>
      <c r="U705" s="755">
        <f t="shared" ref="U705" si="715">SUM(U701:U704)</f>
        <v>1239</v>
      </c>
      <c r="V705" s="755">
        <f t="shared" ref="V705" si="716">SUM(V701:V704)</f>
        <v>1239</v>
      </c>
      <c r="W705" s="755">
        <f t="shared" ref="W705" si="717">SUM(W701:W704)</f>
        <v>1115.1000000000001</v>
      </c>
      <c r="X705" s="755">
        <f t="shared" ref="X705" si="718">SUM(X701:X704)</f>
        <v>991.2</v>
      </c>
      <c r="Y705" s="755">
        <f t="shared" ref="Y705" si="719">SUM(Y701:Y704)</f>
        <v>991.2</v>
      </c>
      <c r="Z705" s="755">
        <f t="shared" ref="Z705" si="720">SUM(Z701:Z704)</f>
        <v>743.39999999999986</v>
      </c>
      <c r="AA705" s="755">
        <f t="shared" ref="AA705" si="721">SUM(AA701:AA704)</f>
        <v>495.6</v>
      </c>
      <c r="AB705" s="755">
        <f t="shared" ref="AB705" si="722">SUM(AB701:AB704)</f>
        <v>123.9</v>
      </c>
      <c r="AC705" s="755">
        <f t="shared" ref="AC705" si="723">SUM(AC701:AC704)</f>
        <v>0</v>
      </c>
    </row>
    <row r="708" spans="2:40">
      <c r="Q708" s="1266" t="s">
        <v>466</v>
      </c>
      <c r="R708" s="1267">
        <f t="shared" ref="R708:AC708" si="724">R689*$R$22*$D$624+R697*$R$22*$D$625+$R$22*$D$626*R705</f>
        <v>115.56772500000004</v>
      </c>
      <c r="S708" s="1267">
        <f t="shared" si="724"/>
        <v>114.15836250000002</v>
      </c>
      <c r="T708" s="1267">
        <f t="shared" si="724"/>
        <v>112.14498750000001</v>
      </c>
      <c r="U708" s="1267">
        <f t="shared" si="724"/>
        <v>100.66875000000002</v>
      </c>
      <c r="V708" s="1267">
        <f t="shared" si="724"/>
        <v>80.937675000000027</v>
      </c>
      <c r="W708" s="1267">
        <f t="shared" si="724"/>
        <v>65.636025000000004</v>
      </c>
      <c r="X708" s="1267">
        <f t="shared" si="724"/>
        <v>54.562462500000009</v>
      </c>
      <c r="Y708" s="1267">
        <f t="shared" si="724"/>
        <v>39.462150000000008</v>
      </c>
      <c r="Z708" s="1267">
        <f t="shared" si="724"/>
        <v>17.717700000000001</v>
      </c>
      <c r="AA708" s="1267">
        <f t="shared" si="724"/>
        <v>4.6307625000000003</v>
      </c>
      <c r="AB708" s="1267">
        <f t="shared" si="724"/>
        <v>3.4227374999999998</v>
      </c>
      <c r="AC708" s="1267">
        <f t="shared" si="724"/>
        <v>2.0133750000000004</v>
      </c>
      <c r="AD708" s="856">
        <f>SUM(R708:AC708)</f>
        <v>710.9227125000001</v>
      </c>
    </row>
    <row r="709" spans="2:40">
      <c r="Q709" s="1266"/>
      <c r="R709" s="1267"/>
      <c r="S709" s="1267"/>
      <c r="T709" s="1267"/>
      <c r="U709" s="1267"/>
      <c r="V709" s="1267"/>
      <c r="W709" s="1267"/>
      <c r="X709" s="1267"/>
      <c r="Y709" s="1267"/>
      <c r="Z709" s="1267"/>
      <c r="AA709" s="1267"/>
      <c r="AB709" s="1267"/>
      <c r="AC709" s="1267"/>
      <c r="AD709" s="1269"/>
    </row>
    <row r="710" spans="2:40" s="41" customFormat="1" ht="16.5" customHeight="1">
      <c r="B710" s="40" t="s">
        <v>93</v>
      </c>
    </row>
    <row r="712" spans="2:40" s="47" customFormat="1">
      <c r="B712" s="46" t="s">
        <v>762</v>
      </c>
      <c r="O712" s="1118" t="s">
        <v>460</v>
      </c>
      <c r="P712" s="1118"/>
      <c r="Q712" s="1119">
        <f>AN723+AN737</f>
        <v>20090.211781765171</v>
      </c>
      <c r="R712" s="1120">
        <f>Q712/SUM($X$57:$AA$57)</f>
        <v>2.7861218746013057E-2</v>
      </c>
      <c r="W712" s="1118" t="s">
        <v>1530</v>
      </c>
      <c r="X712" s="1118"/>
      <c r="Y712" s="1119">
        <f>SUM(AH723:AM723)+SUM(AH737:AM737)*F729</f>
        <v>14074.693517786021</v>
      </c>
    </row>
    <row r="715" spans="2:40">
      <c r="B715" s="730" t="s">
        <v>426</v>
      </c>
      <c r="K715" s="542" t="s">
        <v>470</v>
      </c>
      <c r="AA715" s="542" t="s">
        <v>1144</v>
      </c>
    </row>
    <row r="717" spans="2:40">
      <c r="C717" s="140" t="s">
        <v>720</v>
      </c>
    </row>
    <row r="718" spans="2:40">
      <c r="Y718" s="1141"/>
      <c r="Z718" s="2"/>
      <c r="AA718" s="1142"/>
    </row>
    <row r="719" spans="2:40">
      <c r="C719" t="s">
        <v>716</v>
      </c>
      <c r="D719" s="1838" t="s">
        <v>357</v>
      </c>
      <c r="E719" s="1838"/>
      <c r="F719" s="8" t="s">
        <v>21</v>
      </c>
      <c r="N719" s="491"/>
      <c r="O719" s="1134" t="s">
        <v>1125</v>
      </c>
      <c r="P719" s="1134" t="s">
        <v>1126</v>
      </c>
      <c r="Q719" s="1134" t="s">
        <v>1127</v>
      </c>
      <c r="R719" s="1134" t="s">
        <v>1128</v>
      </c>
      <c r="S719" s="1134" t="s">
        <v>1129</v>
      </c>
      <c r="T719" s="1134" t="s">
        <v>1130</v>
      </c>
      <c r="U719" s="1134" t="s">
        <v>1131</v>
      </c>
      <c r="V719" s="1134" t="s">
        <v>1132</v>
      </c>
      <c r="W719" s="1134" t="s">
        <v>1133</v>
      </c>
      <c r="X719" s="1134" t="s">
        <v>1134</v>
      </c>
      <c r="Y719" s="1150" t="s">
        <v>1143</v>
      </c>
      <c r="Z719" s="1149"/>
      <c r="AA719" s="491"/>
      <c r="AB719" s="1134">
        <v>201701</v>
      </c>
      <c r="AC719" s="1134">
        <v>201702</v>
      </c>
      <c r="AD719" s="1134">
        <v>201703</v>
      </c>
      <c r="AE719" s="1134">
        <v>201704</v>
      </c>
      <c r="AF719" s="1134">
        <v>201705</v>
      </c>
      <c r="AG719" s="1134">
        <v>201706</v>
      </c>
      <c r="AH719" s="1134">
        <v>201707</v>
      </c>
      <c r="AI719" s="1154">
        <v>201708</v>
      </c>
      <c r="AJ719" s="1154">
        <v>201709</v>
      </c>
      <c r="AK719" s="1154">
        <v>201710</v>
      </c>
      <c r="AL719" s="1143">
        <v>201711</v>
      </c>
      <c r="AM719" s="1143">
        <v>201712</v>
      </c>
      <c r="AN719" s="1143" t="s">
        <v>625</v>
      </c>
    </row>
    <row r="720" spans="2:40">
      <c r="C720" s="703"/>
      <c r="D720" s="876" t="s">
        <v>207</v>
      </c>
      <c r="E720" s="876" t="s">
        <v>717</v>
      </c>
      <c r="F720" s="876" t="s">
        <v>718</v>
      </c>
      <c r="N720" s="742" t="s">
        <v>1135</v>
      </c>
      <c r="O720">
        <v>192</v>
      </c>
      <c r="P720">
        <v>187</v>
      </c>
      <c r="Q720">
        <v>620</v>
      </c>
      <c r="R720">
        <v>471</v>
      </c>
      <c r="S720">
        <v>618</v>
      </c>
      <c r="T720">
        <v>1122</v>
      </c>
      <c r="U720">
        <v>823</v>
      </c>
      <c r="V720">
        <v>943</v>
      </c>
      <c r="W720">
        <v>1076</v>
      </c>
      <c r="X720">
        <v>1011</v>
      </c>
      <c r="Y720" s="1151"/>
      <c r="Z720" s="1144"/>
      <c r="AA720" s="742" t="s">
        <v>1135</v>
      </c>
      <c r="AB720" s="1613">
        <f>'Sale Plan &amp; KPIs'!B6</f>
        <v>431</v>
      </c>
      <c r="AC720" s="1613">
        <f>'Sale Plan &amp; KPIs'!C6</f>
        <v>919</v>
      </c>
      <c r="AD720" s="1613">
        <f>'Sale Plan &amp; KPIs'!D6</f>
        <v>1151</v>
      </c>
      <c r="AE720" s="1613">
        <f>'Sale Plan &amp; KPIs'!E6</f>
        <v>905</v>
      </c>
      <c r="AF720" s="1613">
        <f>'Sale Plan &amp; KPIs'!F6</f>
        <v>899</v>
      </c>
      <c r="AG720" s="1613">
        <f>'Sale Plan &amp; KPIs'!G6</f>
        <v>1684</v>
      </c>
      <c r="AH720" s="442">
        <f>'Sale Plan &amp; KPIs'!H6</f>
        <v>1540</v>
      </c>
      <c r="AI720" s="442">
        <f>'Sale Plan &amp; KPIs'!I6</f>
        <v>1560</v>
      </c>
      <c r="AJ720" s="442">
        <f>'Sale Plan &amp; KPIs'!J6</f>
        <v>1860</v>
      </c>
      <c r="AK720" s="442">
        <f>'Sale Plan &amp; KPIs'!K6</f>
        <v>1880</v>
      </c>
      <c r="AL720" s="442">
        <f>'Sale Plan &amp; KPIs'!L6</f>
        <v>1880</v>
      </c>
      <c r="AM720" s="442">
        <f>'Sale Plan &amp; KPIs'!M6</f>
        <v>1880</v>
      </c>
    </row>
    <row r="721" spans="3:40">
      <c r="C721" t="s">
        <v>119</v>
      </c>
      <c r="D721" s="8">
        <v>1</v>
      </c>
      <c r="E721" s="8">
        <v>12</v>
      </c>
      <c r="F721" s="878">
        <v>1</v>
      </c>
      <c r="N721" s="1136">
        <v>0.6</v>
      </c>
      <c r="O721" s="721"/>
      <c r="P721" s="1137"/>
      <c r="Q721" s="1137"/>
      <c r="R721" s="1137"/>
      <c r="S721" s="1137"/>
      <c r="T721" s="1137"/>
      <c r="U721" s="1137"/>
      <c r="V721" s="1137"/>
      <c r="W721" s="1137"/>
      <c r="X721" s="1137"/>
      <c r="Y721" s="1151"/>
      <c r="Z721" s="1145"/>
      <c r="AA721" s="1136"/>
      <c r="AB721" s="721"/>
      <c r="AC721" s="1137"/>
      <c r="AD721" s="1137"/>
      <c r="AE721" s="1137"/>
      <c r="AF721" s="1137"/>
      <c r="AG721" s="1137"/>
      <c r="AH721" s="1137"/>
      <c r="AI721" s="1157"/>
      <c r="AJ721" s="1157"/>
      <c r="AK721" s="1157"/>
      <c r="AL721" s="1158"/>
      <c r="AM721" s="1158"/>
    </row>
    <row r="722" spans="3:40">
      <c r="D722" s="8"/>
      <c r="E722" s="8"/>
      <c r="F722" s="1279"/>
      <c r="L722" s="1138" t="s">
        <v>720</v>
      </c>
      <c r="N722" s="742" t="s">
        <v>1136</v>
      </c>
      <c r="O722">
        <v>369</v>
      </c>
      <c r="P722">
        <v>263</v>
      </c>
      <c r="Q722">
        <v>301</v>
      </c>
      <c r="R722">
        <v>567</v>
      </c>
      <c r="S722">
        <v>442</v>
      </c>
      <c r="T722">
        <v>742</v>
      </c>
      <c r="U722">
        <v>1045</v>
      </c>
      <c r="V722">
        <v>879</v>
      </c>
      <c r="W722">
        <v>1002</v>
      </c>
      <c r="X722">
        <v>888</v>
      </c>
      <c r="Y722" s="1151"/>
      <c r="Z722" s="1144"/>
      <c r="AA722" s="742" t="s">
        <v>1136</v>
      </c>
      <c r="AB722" s="897">
        <f>$N$645*X720+(100%-$N$645)*AB720</f>
        <v>431</v>
      </c>
      <c r="AC722" s="897">
        <f>$N$645*AB720+(100%-$N$645)*AC720</f>
        <v>919</v>
      </c>
      <c r="AD722" s="897">
        <f>$N$645*AC720+(100%-$N$645)*AD720</f>
        <v>1151</v>
      </c>
      <c r="AE722" s="897">
        <f t="shared" ref="AE722:AM722" si="725">$N$645*AD720+(100%-$N$645)*AE720</f>
        <v>905</v>
      </c>
      <c r="AF722" s="897">
        <f>$N$645*AE720+(100%-$N$645)*AF720</f>
        <v>899</v>
      </c>
      <c r="AG722" s="897">
        <f t="shared" si="725"/>
        <v>1684</v>
      </c>
      <c r="AH722" s="897">
        <f t="shared" si="725"/>
        <v>1540</v>
      </c>
      <c r="AI722" s="897">
        <f t="shared" si="725"/>
        <v>1560</v>
      </c>
      <c r="AJ722" s="897">
        <f t="shared" si="725"/>
        <v>1860</v>
      </c>
      <c r="AK722" s="897">
        <f t="shared" si="725"/>
        <v>1880</v>
      </c>
      <c r="AL722" s="897">
        <f t="shared" si="725"/>
        <v>1880</v>
      </c>
      <c r="AM722" s="897">
        <f t="shared" si="725"/>
        <v>1880</v>
      </c>
    </row>
    <row r="723" spans="3:40">
      <c r="D723" s="8"/>
      <c r="E723" s="8"/>
      <c r="F723" s="1279"/>
      <c r="N723" s="742" t="s">
        <v>1137</v>
      </c>
      <c r="O723">
        <v>105</v>
      </c>
      <c r="P723">
        <v>67</v>
      </c>
      <c r="Q723">
        <v>83</v>
      </c>
      <c r="R723">
        <v>193</v>
      </c>
      <c r="S723">
        <v>148</v>
      </c>
      <c r="T723">
        <v>260</v>
      </c>
      <c r="U723">
        <v>284</v>
      </c>
      <c r="V723">
        <v>251</v>
      </c>
      <c r="W723">
        <v>376</v>
      </c>
      <c r="X723">
        <v>376</v>
      </c>
      <c r="Y723" s="1153">
        <f>SUM(O723:X723)*$F$721</f>
        <v>2143</v>
      </c>
      <c r="Z723" s="1144"/>
      <c r="AA723" s="742" t="s">
        <v>1137</v>
      </c>
      <c r="AB723" s="1701">
        <v>159.6</v>
      </c>
      <c r="AC723" s="1701">
        <v>64.599999999999994</v>
      </c>
      <c r="AD723" s="1701">
        <v>284</v>
      </c>
      <c r="AE723" s="1701">
        <v>432</v>
      </c>
      <c r="AF723" s="1701">
        <v>365</v>
      </c>
      <c r="AG723" s="1155">
        <v>487</v>
      </c>
      <c r="AH723" s="897">
        <f t="shared" ref="AG723:AM723" si="726">AH724*AH722</f>
        <v>656.51279199110127</v>
      </c>
      <c r="AI723" s="897">
        <f t="shared" si="726"/>
        <v>704.94126807563964</v>
      </c>
      <c r="AJ723" s="897">
        <f t="shared" si="726"/>
        <v>882.53224137931045</v>
      </c>
      <c r="AK723" s="897">
        <f t="shared" si="726"/>
        <v>936.62292714126818</v>
      </c>
      <c r="AL723" s="897">
        <f t="shared" si="726"/>
        <v>983.4540734983317</v>
      </c>
      <c r="AM723" s="897">
        <f t="shared" si="726"/>
        <v>1032.6267771732485</v>
      </c>
      <c r="AN723" s="1129">
        <f>SUM(AB723:AM723)*$F$721</f>
        <v>6988.8900792589002</v>
      </c>
    </row>
    <row r="724" spans="3:40">
      <c r="D724" s="8"/>
      <c r="E724" s="8"/>
      <c r="F724" s="8"/>
      <c r="N724" s="742" t="s">
        <v>1138</v>
      </c>
      <c r="O724" s="583">
        <f>O723/O722</f>
        <v>0.28455284552845528</v>
      </c>
      <c r="P724" s="583">
        <f t="shared" ref="P724:X724" si="727">P723/P722</f>
        <v>0.25475285171102663</v>
      </c>
      <c r="Q724" s="583">
        <f t="shared" si="727"/>
        <v>0.27574750830564781</v>
      </c>
      <c r="R724" s="583">
        <f t="shared" si="727"/>
        <v>0.3403880070546737</v>
      </c>
      <c r="S724" s="583">
        <f t="shared" si="727"/>
        <v>0.33484162895927599</v>
      </c>
      <c r="T724" s="583">
        <f t="shared" si="727"/>
        <v>0.35040431266846361</v>
      </c>
      <c r="U724" s="583">
        <f t="shared" si="727"/>
        <v>0.27177033492822966</v>
      </c>
      <c r="V724" s="583">
        <f t="shared" si="727"/>
        <v>0.28555176336746302</v>
      </c>
      <c r="W724" s="583">
        <f t="shared" si="727"/>
        <v>0.37524950099800397</v>
      </c>
      <c r="X724" s="583">
        <f t="shared" si="727"/>
        <v>0.42342342342342343</v>
      </c>
      <c r="Y724" s="1151"/>
      <c r="Z724" s="1147"/>
      <c r="AA724" s="742" t="s">
        <v>1138</v>
      </c>
      <c r="AB724" s="1702">
        <f>AB723/AB722</f>
        <v>0.3703016241299304</v>
      </c>
      <c r="AC724" s="1702">
        <f t="shared" ref="AC724:AF724" si="728">AC723/AC722</f>
        <v>7.0293797606093569E-2</v>
      </c>
      <c r="AD724" s="1702">
        <f t="shared" si="728"/>
        <v>0.24674196350999131</v>
      </c>
      <c r="AE724" s="1702">
        <f t="shared" si="728"/>
        <v>0.47734806629834253</v>
      </c>
      <c r="AF724" s="1702">
        <f t="shared" si="728"/>
        <v>0.40600667408231367</v>
      </c>
      <c r="AG724" s="1703">
        <f>AF724</f>
        <v>0.40600667408231367</v>
      </c>
      <c r="AH724" s="1703">
        <f>AG724*1.05</f>
        <v>0.42630700778642938</v>
      </c>
      <c r="AI724" s="1703">
        <f t="shared" ref="AI724" si="729">AH724*1.06</f>
        <v>0.45188542825361516</v>
      </c>
      <c r="AJ724" s="1703">
        <f>AI724*1.05</f>
        <v>0.47447969966629594</v>
      </c>
      <c r="AK724" s="1703">
        <f>AJ724*1.05</f>
        <v>0.49820368464961073</v>
      </c>
      <c r="AL724" s="1703">
        <f>AK724*1.05</f>
        <v>0.52311386888209133</v>
      </c>
      <c r="AM724" s="1703">
        <f>AL724*1.05</f>
        <v>0.54926956232619595</v>
      </c>
      <c r="AN724" s="1163"/>
    </row>
    <row r="725" spans="3:40">
      <c r="C725" s="140" t="s">
        <v>721</v>
      </c>
      <c r="N725" s="742"/>
      <c r="Y725" s="1151"/>
      <c r="Z725" s="1141"/>
      <c r="AA725" s="742"/>
      <c r="AI725" s="2"/>
      <c r="AJ725" s="2"/>
      <c r="AK725" s="2"/>
      <c r="AL725" s="1160"/>
      <c r="AM725" s="1160"/>
      <c r="AN725" s="1163"/>
    </row>
    <row r="726" spans="3:40">
      <c r="N726" s="128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1151"/>
      <c r="Z726" s="1144"/>
      <c r="AA726" s="1280"/>
      <c r="AB726" s="1155"/>
      <c r="AC726" s="1155"/>
      <c r="AD726" s="1155"/>
      <c r="AE726" s="1155"/>
      <c r="AF726" s="1155"/>
      <c r="AG726" s="1155"/>
      <c r="AH726" s="1155"/>
      <c r="AI726" s="1155"/>
      <c r="AJ726" s="1155"/>
      <c r="AK726" s="1155"/>
      <c r="AL726" s="1155"/>
      <c r="AM726" s="1155"/>
      <c r="AN726" s="1163"/>
    </row>
    <row r="727" spans="3:40">
      <c r="C727" s="1838" t="s">
        <v>357</v>
      </c>
      <c r="D727" s="1838"/>
      <c r="E727" s="8" t="s">
        <v>719</v>
      </c>
      <c r="F727" t="s">
        <v>722</v>
      </c>
      <c r="N727" s="128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1152"/>
      <c r="Z727" s="1144"/>
      <c r="AA727" s="1280"/>
      <c r="AB727" s="1155"/>
      <c r="AC727" s="1155"/>
      <c r="AD727" s="1155"/>
      <c r="AE727" s="1155"/>
      <c r="AF727" s="1155"/>
      <c r="AG727" s="1155"/>
      <c r="AH727" s="1155"/>
      <c r="AI727" s="1155"/>
      <c r="AJ727" s="1155"/>
      <c r="AK727" s="1155"/>
      <c r="AL727" s="1156"/>
      <c r="AM727" s="1156"/>
      <c r="AN727" s="1163"/>
    </row>
    <row r="728" spans="3:40">
      <c r="C728" s="876" t="s">
        <v>207</v>
      </c>
      <c r="D728" s="876" t="s">
        <v>717</v>
      </c>
      <c r="E728" s="703"/>
      <c r="F728" s="703"/>
      <c r="N728" s="1280"/>
      <c r="O728" s="1148"/>
      <c r="P728" s="1148"/>
      <c r="Q728" s="1148"/>
      <c r="R728" s="1148"/>
      <c r="S728" s="1148"/>
      <c r="T728" s="1148"/>
      <c r="U728" s="1148"/>
      <c r="V728" s="1148"/>
      <c r="W728" s="1148"/>
      <c r="X728" s="1148"/>
      <c r="Y728" s="1151"/>
      <c r="Z728" s="1147"/>
      <c r="AA728" s="1280"/>
      <c r="AB728" s="1148"/>
      <c r="AC728" s="1148"/>
      <c r="AD728" s="1148"/>
      <c r="AE728" s="1148"/>
      <c r="AF728" s="1148"/>
      <c r="AG728" s="1148"/>
      <c r="AH728" s="1148"/>
      <c r="AI728" s="1148"/>
      <c r="AJ728" s="1148"/>
      <c r="AK728" s="1148"/>
      <c r="AL728" s="1159"/>
      <c r="AM728" s="1159"/>
      <c r="AN728" s="1163"/>
    </row>
    <row r="729" spans="3:40">
      <c r="C729" s="8">
        <v>5</v>
      </c>
      <c r="D729" s="8">
        <v>100</v>
      </c>
      <c r="E729" s="879" t="s">
        <v>427</v>
      </c>
      <c r="F729" s="880">
        <v>13</v>
      </c>
      <c r="N729" s="1280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151"/>
      <c r="Z729" s="1141"/>
      <c r="AA729" s="1280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1160"/>
      <c r="AM729" s="1160"/>
      <c r="AN729" s="1163"/>
    </row>
    <row r="730" spans="3:40">
      <c r="C730" s="1277"/>
      <c r="D730" s="1277"/>
      <c r="E730" s="1277"/>
      <c r="F730" s="1278"/>
      <c r="N730" s="128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151"/>
      <c r="Z730" s="1141"/>
      <c r="AA730" s="1280"/>
      <c r="AB730" s="1155"/>
      <c r="AC730" s="1155"/>
      <c r="AD730" s="1155"/>
      <c r="AE730" s="1155"/>
      <c r="AF730" s="1155"/>
      <c r="AG730" s="1155"/>
      <c r="AH730" s="1155"/>
      <c r="AI730" s="1155"/>
      <c r="AJ730" s="1155"/>
      <c r="AK730" s="1155"/>
      <c r="AL730" s="1155"/>
      <c r="AM730" s="1155"/>
      <c r="AN730" s="1163"/>
    </row>
    <row r="731" spans="3:40">
      <c r="N731" s="128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1152"/>
      <c r="Z731" s="1144"/>
      <c r="AA731" s="1280"/>
      <c r="AB731" s="1155"/>
      <c r="AC731" s="1155"/>
      <c r="AD731" s="1155"/>
      <c r="AE731" s="1155"/>
      <c r="AF731" s="1155"/>
      <c r="AG731" s="1155"/>
      <c r="AH731" s="1155"/>
      <c r="AI731" s="1155"/>
      <c r="AJ731" s="1155"/>
      <c r="AK731" s="1155"/>
      <c r="AL731" s="1155"/>
      <c r="AM731" s="1155"/>
      <c r="AN731" s="1163"/>
    </row>
    <row r="732" spans="3:40">
      <c r="N732" s="1280"/>
      <c r="O732" s="1148"/>
      <c r="P732" s="1148"/>
      <c r="Q732" s="1148"/>
      <c r="R732" s="1148"/>
      <c r="S732" s="1148"/>
      <c r="T732" s="1148"/>
      <c r="U732" s="1148"/>
      <c r="V732" s="1148"/>
      <c r="W732" s="1148"/>
      <c r="X732" s="1148"/>
      <c r="Y732" s="1151"/>
      <c r="Z732" s="1148"/>
      <c r="AA732" s="1280"/>
      <c r="AB732" s="1148"/>
      <c r="AC732" s="1148"/>
      <c r="AD732" s="1148"/>
      <c r="AE732" s="1148"/>
      <c r="AF732" s="1148"/>
      <c r="AG732" s="1148"/>
      <c r="AH732" s="1148"/>
      <c r="AI732" s="1148"/>
      <c r="AJ732" s="1148"/>
      <c r="AK732" s="1148"/>
      <c r="AL732" s="1159"/>
      <c r="AM732" s="1159"/>
      <c r="AN732" s="1163"/>
    </row>
    <row r="733" spans="3:40">
      <c r="N733" s="128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151"/>
      <c r="Z733" s="1141"/>
      <c r="AA733" s="546"/>
      <c r="AI733" s="2"/>
      <c r="AJ733" s="2"/>
      <c r="AK733" s="2"/>
      <c r="AL733" s="1160"/>
      <c r="AM733" s="1160"/>
      <c r="AN733" s="1163"/>
    </row>
    <row r="734" spans="3:40">
      <c r="N734" s="1280"/>
      <c r="O734" s="2"/>
      <c r="P734" s="2"/>
      <c r="Q734" s="2"/>
      <c r="R734" s="2"/>
      <c r="S734" s="2"/>
      <c r="T734" s="2"/>
      <c r="U734" s="2"/>
      <c r="V734" s="1144"/>
      <c r="W734" s="1144"/>
      <c r="X734" s="1144"/>
      <c r="Y734" s="1151"/>
      <c r="Z734" s="1144"/>
      <c r="AA734" s="742" t="s">
        <v>1139</v>
      </c>
      <c r="AB734" s="1156">
        <f t="shared" ref="AB734:AH734" si="730">AB735*AB720</f>
        <v>42.651041666666664</v>
      </c>
      <c r="AC734" s="1156">
        <f t="shared" si="730"/>
        <v>58.973262032085564</v>
      </c>
      <c r="AD734" s="1156">
        <f t="shared" si="730"/>
        <v>61.262903225806447</v>
      </c>
      <c r="AE734" s="1156">
        <f t="shared" si="730"/>
        <v>57.64331210191083</v>
      </c>
      <c r="AF734" s="1156">
        <f t="shared" si="730"/>
        <v>56.73300970873786</v>
      </c>
      <c r="AG734" s="1156">
        <f t="shared" si="730"/>
        <v>66.039215686274503</v>
      </c>
      <c r="AH734" s="1156">
        <f t="shared" si="730"/>
        <v>76.719319562575933</v>
      </c>
      <c r="AI734" s="1156">
        <f>AI735*AI720</f>
        <v>77.715674362089914</v>
      </c>
      <c r="AJ734" s="1156">
        <f t="shared" ref="AJ734:AM734" si="731">AJ735*AJ720</f>
        <v>92.660996354799508</v>
      </c>
      <c r="AK734" s="1156">
        <f t="shared" si="731"/>
        <v>93.657351154313488</v>
      </c>
      <c r="AL734" s="1156">
        <f t="shared" si="731"/>
        <v>93.657351154313488</v>
      </c>
      <c r="AM734" s="1156">
        <f t="shared" si="731"/>
        <v>93.657351154313488</v>
      </c>
      <c r="AN734" s="1163"/>
    </row>
    <row r="735" spans="3:40">
      <c r="N735" s="1280"/>
      <c r="O735" s="1148"/>
      <c r="P735" s="1148"/>
      <c r="Q735" s="1148"/>
      <c r="R735" s="1148"/>
      <c r="S735" s="1148"/>
      <c r="T735" s="1148"/>
      <c r="U735" s="1148"/>
      <c r="V735" s="1147"/>
      <c r="W735" s="1147"/>
      <c r="X735" s="1147"/>
      <c r="Y735" s="1151"/>
      <c r="Z735" s="1147"/>
      <c r="AA735" s="742" t="s">
        <v>705</v>
      </c>
      <c r="AB735" s="583">
        <v>9.8958333333333329E-2</v>
      </c>
      <c r="AC735" s="583">
        <v>6.4171122994652413E-2</v>
      </c>
      <c r="AD735" s="583">
        <v>5.32258064516129E-2</v>
      </c>
      <c r="AE735" s="583">
        <v>6.3694267515923567E-2</v>
      </c>
      <c r="AF735" s="583">
        <v>6.3106796116504854E-2</v>
      </c>
      <c r="AG735" s="583">
        <v>3.9215686274509803E-2</v>
      </c>
      <c r="AH735" s="583">
        <v>4.9817739975698661E-2</v>
      </c>
      <c r="AI735" s="1159">
        <v>4.9817739975698661E-2</v>
      </c>
      <c r="AJ735" s="1159">
        <v>4.9817739975698661E-2</v>
      </c>
      <c r="AK735" s="1159">
        <v>4.9817739975698661E-2</v>
      </c>
      <c r="AL735" s="1159">
        <v>4.9817739975698661E-2</v>
      </c>
      <c r="AM735" s="1159">
        <v>4.9817739975698661E-2</v>
      </c>
      <c r="AN735" s="1163"/>
    </row>
    <row r="736" spans="3:40">
      <c r="N736" s="546"/>
      <c r="Y736" s="1151"/>
      <c r="Z736" s="1141"/>
      <c r="AA736" s="546"/>
      <c r="AI736" s="2"/>
      <c r="AJ736" s="2"/>
      <c r="AK736" s="2"/>
      <c r="AL736" s="1160"/>
      <c r="AM736" s="1160"/>
      <c r="AN736" s="1163"/>
    </row>
    <row r="737" spans="2:40">
      <c r="L737" s="1138" t="s">
        <v>1140</v>
      </c>
      <c r="N737" s="742" t="s">
        <v>1141</v>
      </c>
      <c r="O737">
        <v>11</v>
      </c>
      <c r="P737">
        <v>7</v>
      </c>
      <c r="Q737">
        <v>21</v>
      </c>
      <c r="R737">
        <v>29</v>
      </c>
      <c r="S737">
        <v>33</v>
      </c>
      <c r="T737">
        <v>38</v>
      </c>
      <c r="U737">
        <v>28</v>
      </c>
      <c r="V737" s="1135">
        <f>V738*V720</f>
        <v>37.72</v>
      </c>
      <c r="W737" s="1135">
        <f t="shared" ref="W737:X737" si="732">W738*W720</f>
        <v>53.800000000000004</v>
      </c>
      <c r="X737" s="1135">
        <f t="shared" si="732"/>
        <v>40.44</v>
      </c>
      <c r="Y737" s="1153">
        <f>SUM(O737:X737)*$F$729</f>
        <v>3886.4799999999996</v>
      </c>
      <c r="Z737" s="1144"/>
      <c r="AA737" s="742" t="s">
        <v>1141</v>
      </c>
      <c r="AB737" s="1745">
        <v>14</v>
      </c>
      <c r="AC737" s="1745">
        <v>40</v>
      </c>
      <c r="AD737" s="1745">
        <v>65</v>
      </c>
      <c r="AE737" s="1161">
        <f t="shared" ref="AE737:AM737" si="733">AE738*AE720</f>
        <v>52.129887054735015</v>
      </c>
      <c r="AF737" s="1161">
        <f t="shared" si="733"/>
        <v>52.819960034752398</v>
      </c>
      <c r="AG737" s="1161">
        <f t="shared" si="733"/>
        <v>100.92078860121636</v>
      </c>
      <c r="AH737" s="1161">
        <f t="shared" si="733"/>
        <v>94.136802099044331</v>
      </c>
      <c r="AI737" s="1161">
        <f t="shared" si="733"/>
        <v>97.266545129869698</v>
      </c>
      <c r="AJ737" s="1161">
        <f t="shared" si="733"/>
        <v>118.29108296178768</v>
      </c>
      <c r="AK737" s="1161">
        <f t="shared" si="733"/>
        <v>121.95429069221724</v>
      </c>
      <c r="AL737" s="1161">
        <f t="shared" si="733"/>
        <v>124.39337650606157</v>
      </c>
      <c r="AM737" s="1161">
        <f t="shared" si="733"/>
        <v>126.88124403618281</v>
      </c>
      <c r="AN737" s="1129">
        <f>SUM(AB737:AM737)*$F$729</f>
        <v>13101.321702506271</v>
      </c>
    </row>
    <row r="738" spans="2:40">
      <c r="N738" s="742" t="s">
        <v>1142</v>
      </c>
      <c r="O738" s="583">
        <f>O737/O720</f>
        <v>5.7291666666666664E-2</v>
      </c>
      <c r="P738" s="583">
        <f t="shared" ref="P738:U738" si="734">P737/P720</f>
        <v>3.7433155080213901E-2</v>
      </c>
      <c r="Q738" s="583">
        <f t="shared" si="734"/>
        <v>3.3870967741935487E-2</v>
      </c>
      <c r="R738" s="583">
        <f t="shared" si="734"/>
        <v>6.1571125265392782E-2</v>
      </c>
      <c r="S738" s="583">
        <f t="shared" si="734"/>
        <v>5.3398058252427182E-2</v>
      </c>
      <c r="T738" s="583">
        <f t="shared" si="734"/>
        <v>3.3868092691622102E-2</v>
      </c>
      <c r="U738" s="583">
        <f t="shared" si="734"/>
        <v>3.4021871202916158E-2</v>
      </c>
      <c r="V738" s="1139">
        <v>0.04</v>
      </c>
      <c r="W738" s="1139">
        <v>0.05</v>
      </c>
      <c r="X738" s="1139">
        <v>0.04</v>
      </c>
      <c r="Y738" s="1151"/>
      <c r="Z738" s="1147"/>
      <c r="AA738" s="742" t="s">
        <v>1142</v>
      </c>
      <c r="AB738" s="1702">
        <f>AB737/AB720</f>
        <v>3.248259860788863E-2</v>
      </c>
      <c r="AC738" s="1702">
        <f t="shared" ref="AC738:AD738" si="735">AC737/AC720</f>
        <v>4.3525571273122961E-2</v>
      </c>
      <c r="AD738" s="1702">
        <f t="shared" si="735"/>
        <v>5.6472632493483929E-2</v>
      </c>
      <c r="AE738" s="1703">
        <f>AD738*1.02</f>
        <v>5.7602085143353611E-2</v>
      </c>
      <c r="AF738" s="1703">
        <f t="shared" ref="AF738:AM738" si="736">AE738*1.02</f>
        <v>5.8754126846220688E-2</v>
      </c>
      <c r="AG738" s="1703">
        <f t="shared" si="736"/>
        <v>5.9929209383145103E-2</v>
      </c>
      <c r="AH738" s="1703">
        <f t="shared" si="736"/>
        <v>6.1127793570808005E-2</v>
      </c>
      <c r="AI738" s="1703">
        <f t="shared" si="736"/>
        <v>6.2350349442224166E-2</v>
      </c>
      <c r="AJ738" s="1703">
        <f t="shared" si="736"/>
        <v>6.3597356431068647E-2</v>
      </c>
      <c r="AK738" s="1703">
        <f t="shared" si="736"/>
        <v>6.486930355969002E-2</v>
      </c>
      <c r="AL738" s="1703">
        <f t="shared" si="736"/>
        <v>6.6166689630883818E-2</v>
      </c>
      <c r="AM738" s="1703">
        <f t="shared" si="736"/>
        <v>6.7490023423501494E-2</v>
      </c>
      <c r="AN738" s="1163"/>
    </row>
    <row r="739" spans="2:40">
      <c r="M739" s="2"/>
      <c r="N739" s="1280"/>
      <c r="O739" s="2"/>
      <c r="P739" s="2"/>
      <c r="Q739" s="2"/>
      <c r="R739" s="2"/>
      <c r="S739" s="2"/>
      <c r="T739" s="2"/>
      <c r="U739" s="2"/>
      <c r="V739" s="1144"/>
      <c r="W739" s="1144"/>
      <c r="X739" s="1144"/>
      <c r="Y739" s="1152"/>
      <c r="Z739" s="1144"/>
      <c r="AA739" s="1280"/>
      <c r="AB739" s="1156"/>
      <c r="AC739" s="1156"/>
      <c r="AD739" s="1156"/>
      <c r="AE739" s="1156"/>
      <c r="AF739" s="1156"/>
      <c r="AG739" s="1156"/>
      <c r="AH739" s="1156"/>
      <c r="AI739" s="1156"/>
      <c r="AJ739" s="1156"/>
      <c r="AK739" s="1156"/>
      <c r="AL739" s="1156"/>
      <c r="AM739" s="1156"/>
      <c r="AN739" s="1163"/>
    </row>
    <row r="740" spans="2:40">
      <c r="M740" s="2"/>
      <c r="N740" s="1280"/>
      <c r="O740" s="1148"/>
      <c r="P740" s="1148"/>
      <c r="Q740" s="1148"/>
      <c r="R740" s="1148"/>
      <c r="S740" s="1148"/>
      <c r="T740" s="1148"/>
      <c r="U740" s="1148"/>
      <c r="V740" s="1147"/>
      <c r="W740" s="1147"/>
      <c r="X740" s="1147"/>
      <c r="Y740" s="1151"/>
      <c r="Z740" s="1147"/>
      <c r="AA740" s="1280"/>
      <c r="AB740" s="1156"/>
      <c r="AC740" s="1156"/>
      <c r="AD740" s="1156"/>
      <c r="AE740" s="1156"/>
      <c r="AF740" s="1156"/>
      <c r="AG740" s="1156"/>
      <c r="AH740" s="1159"/>
      <c r="AI740" s="1159"/>
      <c r="AJ740" s="1159"/>
      <c r="AK740" s="1159"/>
      <c r="AL740" s="1159"/>
      <c r="AM740" s="1159"/>
      <c r="AN740" s="1163"/>
    </row>
    <row r="741" spans="2:40">
      <c r="V741" s="1133"/>
      <c r="W741" s="1133"/>
      <c r="X741" s="1133"/>
      <c r="Y741" s="1141"/>
      <c r="Z741" s="1141"/>
      <c r="AA741" s="1146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1163"/>
    </row>
    <row r="744" spans="2:40" s="45" customFormat="1">
      <c r="B744" s="46" t="s">
        <v>763</v>
      </c>
      <c r="O744" s="1118" t="s">
        <v>460</v>
      </c>
      <c r="P744" s="1118"/>
      <c r="Q744" s="1119">
        <f>AC750+AC754+AC763</f>
        <v>8462.3122807729924</v>
      </c>
      <c r="R744" s="1120">
        <f>Q744/SUM($X$57:$AA$57)</f>
        <v>1.1735582288171065E-2</v>
      </c>
      <c r="W744" s="1118" t="s">
        <v>1530</v>
      </c>
      <c r="X744" s="1118"/>
      <c r="Y744" s="1119">
        <f>SUM(AH723:AM723)+SUM(AF758:AG758)*F750</f>
        <v>6244.7522807729929</v>
      </c>
    </row>
    <row r="746" spans="2:40">
      <c r="K746" s="542" t="s">
        <v>470</v>
      </c>
      <c r="AA746" s="542" t="s">
        <v>1144</v>
      </c>
    </row>
    <row r="747" spans="2:40">
      <c r="B747" s="1282"/>
      <c r="C747" s="2"/>
      <c r="D747" s="2"/>
      <c r="E747" s="2"/>
      <c r="F747" s="2"/>
      <c r="G747" s="2"/>
      <c r="H747" s="2"/>
    </row>
    <row r="748" spans="2:40">
      <c r="B748" s="658">
        <v>1</v>
      </c>
      <c r="C748" t="s">
        <v>1229</v>
      </c>
      <c r="N748" s="489" t="s">
        <v>1154</v>
      </c>
      <c r="AB748" s="489" t="s">
        <v>1154</v>
      </c>
    </row>
    <row r="749" spans="2:40">
      <c r="B749" s="658"/>
      <c r="C749" t="s">
        <v>1230</v>
      </c>
      <c r="F749" s="877">
        <v>1</v>
      </c>
      <c r="N749" s="489" t="s">
        <v>1155</v>
      </c>
      <c r="O749" s="442">
        <f>SUM(O723:X723)</f>
        <v>2143</v>
      </c>
      <c r="AB749" s="489" t="s">
        <v>1155</v>
      </c>
      <c r="AC749" s="442">
        <f>SUM(AB723:AM723)</f>
        <v>6988.8900792589002</v>
      </c>
    </row>
    <row r="750" spans="2:40">
      <c r="B750" s="658">
        <v>2</v>
      </c>
      <c r="C750" s="143" t="s">
        <v>723</v>
      </c>
      <c r="F750" s="773">
        <v>13</v>
      </c>
      <c r="N750" s="489" t="s">
        <v>1156</v>
      </c>
      <c r="O750" s="442">
        <f>O749*$F$747</f>
        <v>0</v>
      </c>
      <c r="AB750" s="489" t="s">
        <v>1156</v>
      </c>
      <c r="AC750" s="860">
        <f>AC749*$F$749</f>
        <v>6988.8900792589002</v>
      </c>
    </row>
    <row r="751" spans="2:40">
      <c r="C751" t="s">
        <v>724</v>
      </c>
    </row>
    <row r="752" spans="2:40">
      <c r="C752" s="881" t="s">
        <v>725</v>
      </c>
      <c r="N752" s="489"/>
      <c r="AB752" s="489"/>
    </row>
    <row r="753" spans="2:33">
      <c r="N753" s="489"/>
      <c r="O753" s="442"/>
      <c r="AB753" s="489"/>
      <c r="AC753" s="442"/>
    </row>
    <row r="754" spans="2:33">
      <c r="N754" s="489"/>
      <c r="O754" s="442"/>
      <c r="AB754" s="489"/>
      <c r="AC754" s="860"/>
    </row>
    <row r="756" spans="2:33">
      <c r="L756">
        <v>2</v>
      </c>
      <c r="N756" s="489" t="s">
        <v>1157</v>
      </c>
      <c r="Z756">
        <v>2</v>
      </c>
      <c r="AB756" s="489" t="s">
        <v>1157</v>
      </c>
    </row>
    <row r="757" spans="2:33">
      <c r="AC757" s="1164"/>
      <c r="AD757" s="1166" t="s">
        <v>1158</v>
      </c>
      <c r="AE757" s="1166" t="s">
        <v>1159</v>
      </c>
      <c r="AF757" s="1166" t="s">
        <v>1160</v>
      </c>
      <c r="AG757" s="1166" t="s">
        <v>1161</v>
      </c>
    </row>
    <row r="758" spans="2:33">
      <c r="N758" s="1164"/>
      <c r="O758" s="1165" t="s">
        <v>1145</v>
      </c>
      <c r="P758" s="1165" t="s">
        <v>1146</v>
      </c>
      <c r="Q758" s="1165" t="s">
        <v>1147</v>
      </c>
      <c r="R758" s="1165" t="s">
        <v>1148</v>
      </c>
      <c r="S758" s="1165" t="s">
        <v>1149</v>
      </c>
      <c r="T758" s="1165" t="s">
        <v>1150</v>
      </c>
      <c r="U758" s="1165" t="s">
        <v>1151</v>
      </c>
      <c r="V758" s="1165" t="s">
        <v>1152</v>
      </c>
      <c r="AC758" s="742" t="s">
        <v>1153</v>
      </c>
      <c r="AD758" s="1745">
        <v>13</v>
      </c>
      <c r="AE758" s="897">
        <f t="shared" ref="AE758:AG758" si="737">AE759*AE760</f>
        <v>19.72</v>
      </c>
      <c r="AF758" s="897">
        <f t="shared" si="737"/>
        <v>32.955644388250548</v>
      </c>
      <c r="AG758" s="897">
        <f t="shared" si="737"/>
        <v>47.664524958987379</v>
      </c>
    </row>
    <row r="759" spans="2:33">
      <c r="N759" s="742" t="s">
        <v>1153</v>
      </c>
      <c r="O759">
        <v>4</v>
      </c>
      <c r="P759">
        <v>4</v>
      </c>
      <c r="Q759">
        <v>10</v>
      </c>
      <c r="R759">
        <v>10</v>
      </c>
      <c r="S759">
        <v>6</v>
      </c>
      <c r="T759">
        <v>22</v>
      </c>
      <c r="U759">
        <v>14</v>
      </c>
      <c r="V759" s="897">
        <f>V760%</f>
        <v>18.822865947642796</v>
      </c>
      <c r="AC759" s="742" t="s">
        <v>632</v>
      </c>
      <c r="AD759" s="1745">
        <f>Y332</f>
        <v>2116</v>
      </c>
      <c r="AE759" s="897">
        <f>Z332</f>
        <v>1972</v>
      </c>
      <c r="AF759" s="897">
        <f>AA332</f>
        <v>2197.0429592167034</v>
      </c>
      <c r="AG759" s="897">
        <f>AB332</f>
        <v>2383.2262479493688</v>
      </c>
    </row>
    <row r="760" spans="2:33">
      <c r="N760" s="742" t="s">
        <v>632</v>
      </c>
      <c r="O760">
        <v>585</v>
      </c>
      <c r="P760">
        <v>722</v>
      </c>
      <c r="Q760">
        <v>817</v>
      </c>
      <c r="R760">
        <v>856</v>
      </c>
      <c r="S760">
        <v>885</v>
      </c>
      <c r="T760">
        <v>1124</v>
      </c>
      <c r="U760">
        <v>1341</v>
      </c>
      <c r="V760" s="897">
        <f>'[4]AL Promotion &amp; Recruited'!$Y$22</f>
        <v>1882.2865947642795</v>
      </c>
      <c r="AC760" s="742" t="s">
        <v>705</v>
      </c>
      <c r="AD760" s="1702">
        <f>AD758/AD759</f>
        <v>6.1436672967863891E-3</v>
      </c>
      <c r="AE760" s="1703">
        <v>0.01</v>
      </c>
      <c r="AF760" s="1703">
        <v>1.4999999999999999E-2</v>
      </c>
      <c r="AG760" s="1703">
        <v>0.02</v>
      </c>
    </row>
    <row r="761" spans="2:33">
      <c r="N761" s="742" t="s">
        <v>705</v>
      </c>
      <c r="O761" s="583">
        <f>O759/O760</f>
        <v>6.8376068376068376E-3</v>
      </c>
      <c r="P761" s="583">
        <f t="shared" ref="P761:U761" si="738">P759/P760</f>
        <v>5.5401662049861496E-3</v>
      </c>
      <c r="Q761" s="583">
        <f t="shared" si="738"/>
        <v>1.2239902080783354E-2</v>
      </c>
      <c r="R761" s="583">
        <f t="shared" si="738"/>
        <v>1.1682242990654205E-2</v>
      </c>
      <c r="S761" s="583">
        <f t="shared" si="738"/>
        <v>6.7796610169491523E-3</v>
      </c>
      <c r="T761" s="583">
        <f t="shared" si="738"/>
        <v>1.9572953736654804E-2</v>
      </c>
      <c r="U761" s="583">
        <f t="shared" si="738"/>
        <v>1.0439970171513796E-2</v>
      </c>
      <c r="V761" s="583">
        <v>0.02</v>
      </c>
    </row>
    <row r="762" spans="2:33">
      <c r="AB762" s="489" t="s">
        <v>1162</v>
      </c>
      <c r="AC762" s="897">
        <f>SUM(AD758:AG758)</f>
        <v>113.34016934723792</v>
      </c>
    </row>
    <row r="763" spans="2:33">
      <c r="AB763" s="489" t="s">
        <v>466</v>
      </c>
      <c r="AC763" s="860">
        <f>AC762*$F$750</f>
        <v>1473.4222015140929</v>
      </c>
    </row>
    <row r="766" spans="2:33" s="45" customFormat="1">
      <c r="B766" s="46" t="s">
        <v>764</v>
      </c>
      <c r="O766" s="1118" t="s">
        <v>460</v>
      </c>
      <c r="P766" s="1118"/>
      <c r="Q766" s="1119">
        <f>AD774</f>
        <v>24145.460041600658</v>
      </c>
      <c r="R766" s="1120">
        <f>Q766/SUM($X$57:$AA$57)</f>
        <v>3.3485059851521712E-2</v>
      </c>
      <c r="W766" s="1118" t="s">
        <v>1530</v>
      </c>
      <c r="X766" s="1118"/>
      <c r="Y766" s="1119">
        <f>SUM(X774:AC774)</f>
        <v>9796.4600416006524</v>
      </c>
    </row>
    <row r="768" spans="2:33">
      <c r="C768" s="258" t="s">
        <v>112</v>
      </c>
      <c r="D768" s="223"/>
      <c r="E768" s="239"/>
      <c r="F768" s="239"/>
      <c r="G768" s="239"/>
      <c r="H768" s="239"/>
      <c r="I768" s="239"/>
      <c r="Q768" s="1" t="s">
        <v>549</v>
      </c>
    </row>
    <row r="769" spans="3:30">
      <c r="C769" s="243" t="s">
        <v>113</v>
      </c>
      <c r="D769" s="343"/>
      <c r="E769" s="344"/>
      <c r="F769" s="230"/>
      <c r="G769" s="239"/>
      <c r="H769" s="239"/>
      <c r="I769" s="239"/>
      <c r="R769" s="489" t="s">
        <v>479</v>
      </c>
      <c r="S769" s="489" t="s">
        <v>480</v>
      </c>
      <c r="T769" s="489" t="s">
        <v>481</v>
      </c>
      <c r="U769" s="489" t="s">
        <v>482</v>
      </c>
      <c r="V769" s="489" t="s">
        <v>483</v>
      </c>
      <c r="W769" s="489" t="s">
        <v>484</v>
      </c>
      <c r="X769" s="489" t="s">
        <v>485</v>
      </c>
      <c r="Y769" s="489" t="s">
        <v>486</v>
      </c>
      <c r="Z769" s="489" t="s">
        <v>487</v>
      </c>
      <c r="AA769" s="489" t="s">
        <v>488</v>
      </c>
      <c r="AB769" s="489" t="s">
        <v>489</v>
      </c>
      <c r="AC769" s="489" t="s">
        <v>490</v>
      </c>
      <c r="AD769" s="1108" t="s">
        <v>254</v>
      </c>
    </row>
    <row r="770" spans="3:30">
      <c r="C770" s="882" t="s">
        <v>114</v>
      </c>
      <c r="D770" s="345" t="s">
        <v>115</v>
      </c>
      <c r="E770" s="241" t="s">
        <v>116</v>
      </c>
      <c r="F770" s="318" t="s">
        <v>117</v>
      </c>
      <c r="G770" s="242" t="s">
        <v>118</v>
      </c>
      <c r="H770" s="346"/>
      <c r="I770" s="347"/>
      <c r="Q770" t="s">
        <v>628</v>
      </c>
      <c r="R770" s="442">
        <f>'Leader RSP'!EF13</f>
        <v>1450</v>
      </c>
      <c r="S770" s="442">
        <f>'Leader RSP'!EG13</f>
        <v>1755</v>
      </c>
      <c r="T770" s="442">
        <f>'Leader RSP'!EH13</f>
        <v>1720</v>
      </c>
      <c r="U770" s="442">
        <f>'Leader RSP'!EI13</f>
        <v>1196</v>
      </c>
      <c r="V770" s="442">
        <f>'Leader RSP'!EJ13</f>
        <v>871</v>
      </c>
      <c r="W770" s="442">
        <f>'Leader RSP'!EK13</f>
        <v>965</v>
      </c>
      <c r="X770" s="442">
        <f>'Leader RSP'!EL13</f>
        <v>848.65824450000025</v>
      </c>
      <c r="Y770" s="442">
        <f>'Leader RSP'!EM13</f>
        <v>962.56595655000035</v>
      </c>
      <c r="Z770" s="442">
        <f>'Leader RSP'!EN13</f>
        <v>1078.9193012400006</v>
      </c>
      <c r="AA770" s="442">
        <f>'Leader RSP'!EO13</f>
        <v>1102.2121073700007</v>
      </c>
      <c r="AB770" s="442">
        <f>'Leader RSP'!EP13</f>
        <v>800.15209906500047</v>
      </c>
      <c r="AC770" s="442">
        <f>'Leader RSP'!EQ13</f>
        <v>855.85024263915045</v>
      </c>
      <c r="AD770" s="1129">
        <f>SUM(R770:AC770)</f>
        <v>13605.357951364153</v>
      </c>
    </row>
    <row r="771" spans="3:30">
      <c r="C771" s="243" t="s">
        <v>119</v>
      </c>
      <c r="D771" s="348">
        <v>10</v>
      </c>
      <c r="E771" s="349">
        <v>1</v>
      </c>
      <c r="F771" s="350">
        <v>3</v>
      </c>
      <c r="G771" s="351">
        <v>10</v>
      </c>
      <c r="H771" s="352"/>
      <c r="I771" s="353"/>
      <c r="Q771" t="s">
        <v>506</v>
      </c>
      <c r="R771" s="442">
        <f>'Leader RSP'!EF56</f>
        <v>659</v>
      </c>
      <c r="S771" s="442">
        <f>'Leader RSP'!EG56</f>
        <v>847</v>
      </c>
      <c r="T771" s="442">
        <f>'Leader RSP'!EH56</f>
        <v>689</v>
      </c>
      <c r="U771" s="442">
        <f>'Leader RSP'!EI56</f>
        <v>647</v>
      </c>
      <c r="V771" s="442">
        <f>'Leader RSP'!EJ56</f>
        <v>274</v>
      </c>
      <c r="W771" s="442">
        <f>'Leader RSP'!EK56</f>
        <v>338</v>
      </c>
      <c r="X771" s="442">
        <f>'Leader RSP'!EL56</f>
        <v>219.81465000000009</v>
      </c>
      <c r="Y771" s="442">
        <f>'Leader RSP'!EM56</f>
        <v>234.02174400000007</v>
      </c>
      <c r="Z771" s="442">
        <f>'Leader RSP'!EN56</f>
        <v>240.57395752500011</v>
      </c>
      <c r="AA771" s="442">
        <f>'Leader RSP'!EO56</f>
        <v>231.1887105000001</v>
      </c>
      <c r="AB771" s="442">
        <f>'Leader RSP'!EP56</f>
        <v>175.38453900000007</v>
      </c>
      <c r="AC771" s="442">
        <f>'Leader RSP'!EQ56</f>
        <v>156.70608559650009</v>
      </c>
      <c r="AD771" s="1129">
        <f>SUM(R771:AC771)</f>
        <v>4711.6896866215011</v>
      </c>
    </row>
    <row r="772" spans="3:30">
      <c r="C772" s="243" t="s">
        <v>120</v>
      </c>
      <c r="D772" s="348">
        <v>20</v>
      </c>
      <c r="E772" s="349">
        <v>1</v>
      </c>
      <c r="F772" s="354">
        <v>4</v>
      </c>
      <c r="G772" s="351">
        <v>10</v>
      </c>
      <c r="H772" s="352"/>
      <c r="I772" s="353"/>
      <c r="Q772" t="s">
        <v>629</v>
      </c>
      <c r="R772" s="442">
        <f>'Leader RSP'!EF103</f>
        <v>234</v>
      </c>
      <c r="S772" s="442">
        <f>'Leader RSP'!EG103</f>
        <v>356</v>
      </c>
      <c r="T772" s="442">
        <f>'Leader RSP'!EH103</f>
        <v>411</v>
      </c>
      <c r="U772" s="442">
        <f>'Leader RSP'!EI103</f>
        <v>317</v>
      </c>
      <c r="V772" s="442">
        <f>'Leader RSP'!EJ103</f>
        <v>350</v>
      </c>
      <c r="W772" s="442">
        <f>'Leader RSP'!EK103</f>
        <v>216</v>
      </c>
      <c r="X772" s="442">
        <f>'Leader RSP'!EL103</f>
        <v>288.466674705</v>
      </c>
      <c r="Y772" s="442">
        <f>'Leader RSP'!EM103</f>
        <v>300.24156996900001</v>
      </c>
      <c r="Z772" s="442">
        <f>'Leader RSP'!EN103</f>
        <v>294.43309552800002</v>
      </c>
      <c r="AA772" s="442">
        <f>'Leader RSP'!EO103</f>
        <v>250.89617470499999</v>
      </c>
      <c r="AB772" s="442">
        <f>'Leader RSP'!EP103</f>
        <v>204.69941276400004</v>
      </c>
      <c r="AC772" s="442">
        <f>'Leader RSP'!EQ103</f>
        <v>185.350605264</v>
      </c>
      <c r="AD772" s="1129">
        <f>SUM(R772:AC772)</f>
        <v>3408.0875329350001</v>
      </c>
    </row>
    <row r="773" spans="3:30">
      <c r="C773" s="243" t="s">
        <v>121</v>
      </c>
      <c r="D773" s="348">
        <v>25</v>
      </c>
      <c r="E773" s="349">
        <v>2</v>
      </c>
      <c r="F773" s="354">
        <v>5</v>
      </c>
      <c r="G773" s="351">
        <v>10</v>
      </c>
      <c r="H773" s="352"/>
      <c r="I773" s="355"/>
      <c r="Q773" s="703" t="s">
        <v>1116</v>
      </c>
      <c r="R773" s="720">
        <f>'Leader RSP'!EF149</f>
        <v>102</v>
      </c>
      <c r="S773" s="720">
        <f>'Leader RSP'!EG149</f>
        <v>191</v>
      </c>
      <c r="T773" s="720">
        <f>'Leader RSP'!EH149</f>
        <v>311</v>
      </c>
      <c r="U773" s="720">
        <f>'Leader RSP'!EI149</f>
        <v>182</v>
      </c>
      <c r="V773" s="720">
        <f>'Leader RSP'!EJ149</f>
        <v>155</v>
      </c>
      <c r="W773" s="720">
        <f>'Leader RSP'!EK149</f>
        <v>113</v>
      </c>
      <c r="X773" s="720">
        <f>'Leader RSP'!EL149</f>
        <v>286.82221392000002</v>
      </c>
      <c r="Y773" s="720">
        <f>'Leader RSP'!EM149</f>
        <v>264.09777213600006</v>
      </c>
      <c r="Z773" s="720">
        <f>'Leader RSP'!EN149</f>
        <v>240.80406213600003</v>
      </c>
      <c r="AA773" s="720">
        <f>'Leader RSP'!EO149</f>
        <v>212.06834035200004</v>
      </c>
      <c r="AB773" s="720">
        <f>'Leader RSP'!EP149</f>
        <v>190.283161068</v>
      </c>
      <c r="AC773" s="720">
        <f>'Leader RSP'!EQ149</f>
        <v>172.249321068</v>
      </c>
      <c r="AD773" s="1130">
        <f>SUM(R773:AC773)</f>
        <v>2420.32487068</v>
      </c>
    </row>
    <row r="774" spans="3:30">
      <c r="C774" s="243" t="s">
        <v>122</v>
      </c>
      <c r="D774" s="348">
        <v>30</v>
      </c>
      <c r="E774" s="356">
        <v>2</v>
      </c>
      <c r="F774" s="354"/>
      <c r="G774" s="351">
        <v>7</v>
      </c>
      <c r="H774" s="357"/>
      <c r="I774" s="353"/>
      <c r="Q774" s="658" t="s">
        <v>221</v>
      </c>
      <c r="R774" s="827">
        <f>SUM(R770:R773)</f>
        <v>2445</v>
      </c>
      <c r="S774" s="827">
        <f t="shared" ref="S774:AD774" si="739">SUM(S770:S773)</f>
        <v>3149</v>
      </c>
      <c r="T774" s="827">
        <f t="shared" si="739"/>
        <v>3131</v>
      </c>
      <c r="U774" s="827">
        <f t="shared" si="739"/>
        <v>2342</v>
      </c>
      <c r="V774" s="827">
        <f t="shared" si="739"/>
        <v>1650</v>
      </c>
      <c r="W774" s="827">
        <f t="shared" si="739"/>
        <v>1632</v>
      </c>
      <c r="X774" s="827">
        <f t="shared" si="739"/>
        <v>1643.7617831250004</v>
      </c>
      <c r="Y774" s="827">
        <f t="shared" si="739"/>
        <v>1760.9270426550004</v>
      </c>
      <c r="Z774" s="827">
        <f t="shared" si="739"/>
        <v>1854.7304164290008</v>
      </c>
      <c r="AA774" s="827">
        <f t="shared" si="739"/>
        <v>1796.3653329270007</v>
      </c>
      <c r="AB774" s="827">
        <f t="shared" si="739"/>
        <v>1370.5192118970006</v>
      </c>
      <c r="AC774" s="827">
        <f t="shared" si="739"/>
        <v>1370.1562545676504</v>
      </c>
      <c r="AD774" s="1129">
        <f t="shared" si="739"/>
        <v>24145.460041600658</v>
      </c>
    </row>
    <row r="775" spans="3:30">
      <c r="C775" s="243" t="s">
        <v>123</v>
      </c>
      <c r="D775" s="348">
        <v>35</v>
      </c>
      <c r="E775" s="356">
        <v>3</v>
      </c>
      <c r="F775" s="354"/>
      <c r="G775" s="351">
        <v>7</v>
      </c>
      <c r="H775" s="357"/>
      <c r="I775" s="353"/>
    </row>
    <row r="776" spans="3:30">
      <c r="C776" s="243" t="s">
        <v>124</v>
      </c>
      <c r="D776" s="348">
        <v>40</v>
      </c>
      <c r="E776" s="356">
        <v>3</v>
      </c>
      <c r="F776" s="354"/>
      <c r="G776" s="351">
        <v>7</v>
      </c>
      <c r="H776" s="357"/>
      <c r="I776" s="355"/>
      <c r="Q776" s="1" t="s">
        <v>1565</v>
      </c>
    </row>
    <row r="777" spans="3:30">
      <c r="C777" s="243" t="s">
        <v>125</v>
      </c>
      <c r="D777" s="348">
        <v>45</v>
      </c>
      <c r="E777" s="356">
        <v>4</v>
      </c>
      <c r="F777" s="354"/>
      <c r="G777" s="358">
        <v>6</v>
      </c>
      <c r="H777" s="357"/>
      <c r="I777" s="239"/>
      <c r="R777" s="489" t="s">
        <v>479</v>
      </c>
      <c r="S777" s="489" t="s">
        <v>480</v>
      </c>
      <c r="T777" s="489" t="s">
        <v>481</v>
      </c>
      <c r="U777" s="489" t="s">
        <v>482</v>
      </c>
      <c r="V777" s="489" t="s">
        <v>483</v>
      </c>
      <c r="W777" s="489" t="s">
        <v>484</v>
      </c>
      <c r="X777" s="489" t="s">
        <v>485</v>
      </c>
      <c r="Y777" s="489" t="s">
        <v>486</v>
      </c>
      <c r="Z777" s="489" t="s">
        <v>487</v>
      </c>
      <c r="AA777" s="489" t="s">
        <v>488</v>
      </c>
      <c r="AB777" s="489" t="s">
        <v>489</v>
      </c>
      <c r="AC777" s="489" t="s">
        <v>490</v>
      </c>
      <c r="AD777" s="1108" t="s">
        <v>254</v>
      </c>
    </row>
    <row r="778" spans="3:30">
      <c r="C778" s="243" t="s">
        <v>126</v>
      </c>
      <c r="D778" s="348">
        <v>45</v>
      </c>
      <c r="E778" s="356">
        <v>4</v>
      </c>
      <c r="F778" s="354"/>
      <c r="G778" s="358">
        <v>6</v>
      </c>
      <c r="H778" s="357"/>
      <c r="I778" s="239"/>
      <c r="Q778" t="s">
        <v>628</v>
      </c>
      <c r="R778" s="442">
        <f>'Leader RSP'!ES183</f>
        <v>515.25100000000009</v>
      </c>
      <c r="S778" s="442">
        <f>'Leader RSP'!ET183</f>
        <v>426.02175000000011</v>
      </c>
      <c r="T778" s="442">
        <f>'Leader RSP'!EU183</f>
        <v>443.90115000000009</v>
      </c>
      <c r="U778" s="442">
        <f>'Leader RSP'!EV183</f>
        <v>491.45580000000012</v>
      </c>
      <c r="V778" s="442">
        <f>'Leader RSP'!EW183</f>
        <v>556.21764000000007</v>
      </c>
      <c r="W778" s="442">
        <f>'Leader RSP'!EX183</f>
        <v>616.52918250000016</v>
      </c>
      <c r="X778" s="442">
        <f>'Leader RSP'!EY183</f>
        <v>623.00383200000022</v>
      </c>
      <c r="Y778" s="442">
        <f>'Leader RSP'!EZ183</f>
        <v>691.50394665000033</v>
      </c>
      <c r="Z778" s="442">
        <f>'Leader RSP'!FA183</f>
        <v>784.5124364550004</v>
      </c>
      <c r="AA778" s="442">
        <f>'Leader RSP'!FB183</f>
        <v>827.32220802000029</v>
      </c>
      <c r="AB778" s="442">
        <f>'Leader RSP'!FC183</f>
        <v>945.90462299850049</v>
      </c>
      <c r="AC778" s="442">
        <f>'Leader RSP'!FD183</f>
        <v>1047.9226205250006</v>
      </c>
      <c r="AD778" s="1129">
        <f>SUM(R778:AC778)</f>
        <v>7969.5461891485029</v>
      </c>
    </row>
    <row r="779" spans="3:30">
      <c r="C779" s="882" t="s">
        <v>127</v>
      </c>
      <c r="D779" s="359">
        <v>50</v>
      </c>
      <c r="E779" s="360">
        <v>4</v>
      </c>
      <c r="F779" s="361"/>
      <c r="G779" s="362">
        <v>6</v>
      </c>
      <c r="H779" s="363"/>
      <c r="I779" s="239"/>
      <c r="Q779" t="s">
        <v>506</v>
      </c>
      <c r="R779" s="442">
        <f>'Leader RSP'!ES184</f>
        <v>87.284999999999997</v>
      </c>
      <c r="S779" s="442">
        <f>'Leader RSP'!ET184</f>
        <v>67.96350000000001</v>
      </c>
      <c r="T779" s="442">
        <f>'Leader RSP'!EU184</f>
        <v>69.993000000000009</v>
      </c>
      <c r="U779" s="442">
        <f>'Leader RSP'!EV184</f>
        <v>80.858250000000012</v>
      </c>
      <c r="V779" s="442">
        <f>'Leader RSP'!EW184</f>
        <v>92.565000000000012</v>
      </c>
      <c r="W779" s="442">
        <f>'Leader RSP'!EX184</f>
        <v>103.76808750000002</v>
      </c>
      <c r="X779" s="442">
        <f>'Leader RSP'!EY184</f>
        <v>103.01940000000002</v>
      </c>
      <c r="Y779" s="442">
        <f>'Leader RSP'!EZ184</f>
        <v>111.87188100000003</v>
      </c>
      <c r="Z779" s="442">
        <f>'Leader RSP'!FA184</f>
        <v>125.30573055000006</v>
      </c>
      <c r="AA779" s="442">
        <f>'Leader RSP'!FB184</f>
        <v>132.40807965000008</v>
      </c>
      <c r="AB779" s="442">
        <f>'Leader RSP'!FC184</f>
        <v>156.8097219150001</v>
      </c>
      <c r="AC779" s="442">
        <f>'Leader RSP'!FD184</f>
        <v>178.6291529715001</v>
      </c>
      <c r="AD779" s="1129">
        <f>SUM(R779:AC779)</f>
        <v>1310.4768035865006</v>
      </c>
    </row>
    <row r="780" spans="3:30">
      <c r="C780" s="256" t="s">
        <v>128</v>
      </c>
      <c r="D780" s="364">
        <f t="shared" ref="D780:E780" si="740">SUM(D771:D779)</f>
        <v>300</v>
      </c>
      <c r="E780" s="365">
        <f t="shared" si="740"/>
        <v>24</v>
      </c>
      <c r="F780" s="223"/>
      <c r="G780" s="255">
        <f>SUM(G771:G779)</f>
        <v>69</v>
      </c>
      <c r="H780" s="366"/>
      <c r="I780" s="355"/>
      <c r="Q780" t="s">
        <v>629</v>
      </c>
      <c r="R780" s="442">
        <f>'Leader RSP'!ES185</f>
        <v>130.76650000000001</v>
      </c>
      <c r="S780" s="442">
        <f>'Leader RSP'!ET185</f>
        <v>103.65938999999999</v>
      </c>
      <c r="T780" s="442">
        <f>'Leader RSP'!EU185</f>
        <v>96.052139999999994</v>
      </c>
      <c r="U780" s="442">
        <f>'Leader RSP'!EV185</f>
        <v>89.931667500000003</v>
      </c>
      <c r="V780" s="442">
        <f>'Leader RSP'!EW185</f>
        <v>82.757223449999998</v>
      </c>
      <c r="W780" s="442">
        <f>'Leader RSP'!EX185</f>
        <v>84.626618249250029</v>
      </c>
      <c r="X780" s="442">
        <f>'Leader RSP'!EY185</f>
        <v>87.705000999000006</v>
      </c>
      <c r="Y780" s="442">
        <f>'Leader RSP'!EZ185</f>
        <v>89.33305599900001</v>
      </c>
      <c r="Z780" s="442">
        <f>'Leader RSP'!FA185</f>
        <v>90.710640999000006</v>
      </c>
      <c r="AA780" s="442">
        <f>'Leader RSP'!FB185</f>
        <v>92.902253499000011</v>
      </c>
      <c r="AB780" s="442">
        <f>'Leader RSP'!FC185</f>
        <v>94.373764749000003</v>
      </c>
      <c r="AC780" s="442">
        <f>'Leader RSP'!FD185</f>
        <v>94.248529749000014</v>
      </c>
      <c r="AD780" s="1129">
        <f>SUM(R780:AC780)</f>
        <v>1137.0667851932501</v>
      </c>
    </row>
    <row r="781" spans="3:30">
      <c r="C781" s="367" t="s">
        <v>371</v>
      </c>
      <c r="D781" s="31"/>
      <c r="E781" s="31"/>
      <c r="F781" s="31"/>
      <c r="G781" s="31"/>
      <c r="H781" s="368"/>
      <c r="I781" s="31"/>
      <c r="Q781" s="703" t="s">
        <v>1116</v>
      </c>
      <c r="R781" s="720">
        <f>'Leader RSP'!ES186</f>
        <v>140.03550000000001</v>
      </c>
      <c r="S781" s="720">
        <f>'Leader RSP'!ET186</f>
        <v>106.96518</v>
      </c>
      <c r="T781" s="720">
        <f>'Leader RSP'!EU186</f>
        <v>88.283429999999996</v>
      </c>
      <c r="U781" s="720">
        <f>'Leader RSP'!EV186</f>
        <v>72.992339999999999</v>
      </c>
      <c r="V781" s="720">
        <f>'Leader RSP'!EW186</f>
        <v>63.642150000000008</v>
      </c>
      <c r="W781" s="720">
        <f>'Leader RSP'!EX186</f>
        <v>63.157312944000005</v>
      </c>
      <c r="X781" s="720">
        <f>'Leader RSP'!EY186</f>
        <v>62.444775888000017</v>
      </c>
      <c r="Y781" s="720">
        <f>'Leader RSP'!EZ186</f>
        <v>59.94007588800001</v>
      </c>
      <c r="Z781" s="720">
        <f>'Leader RSP'!FA186</f>
        <v>58.68772588800001</v>
      </c>
      <c r="AA781" s="720">
        <f>'Leader RSP'!FB186</f>
        <v>58.68772588800001</v>
      </c>
      <c r="AB781" s="720">
        <f>'Leader RSP'!FC186</f>
        <v>58.812960888000006</v>
      </c>
      <c r="AC781" s="720">
        <f>'Leader RSP'!FD186</f>
        <v>60.127928388000001</v>
      </c>
      <c r="AD781" s="1130">
        <f>SUM(R781:AC781)</f>
        <v>893.77710577200014</v>
      </c>
    </row>
    <row r="782" spans="3:30">
      <c r="C782" s="367" t="s">
        <v>129</v>
      </c>
      <c r="D782" s="32"/>
      <c r="E782" s="32"/>
      <c r="F782" s="32"/>
      <c r="G782" s="32"/>
      <c r="H782" s="369"/>
      <c r="I782" s="32"/>
      <c r="Q782" s="658" t="s">
        <v>221</v>
      </c>
      <c r="R782" s="827">
        <f>SUM(R778:R781)</f>
        <v>873.33799999999997</v>
      </c>
      <c r="S782" s="827">
        <f t="shared" ref="S782:AD782" si="741">SUM(S778:S781)</f>
        <v>704.60982000000013</v>
      </c>
      <c r="T782" s="827">
        <f t="shared" si="741"/>
        <v>698.22972000000004</v>
      </c>
      <c r="U782" s="827">
        <f t="shared" si="741"/>
        <v>735.2380575000002</v>
      </c>
      <c r="V782" s="827">
        <f t="shared" si="741"/>
        <v>795.18201345000011</v>
      </c>
      <c r="W782" s="827">
        <f t="shared" si="741"/>
        <v>868.08120119325008</v>
      </c>
      <c r="X782" s="827">
        <f t="shared" si="741"/>
        <v>876.17300888700026</v>
      </c>
      <c r="Y782" s="827">
        <f t="shared" si="741"/>
        <v>952.64895953700045</v>
      </c>
      <c r="Z782" s="827">
        <f t="shared" si="741"/>
        <v>1059.2165338920004</v>
      </c>
      <c r="AA782" s="827">
        <f t="shared" si="741"/>
        <v>1111.3202670570004</v>
      </c>
      <c r="AB782" s="827">
        <f t="shared" si="741"/>
        <v>1255.9010705505004</v>
      </c>
      <c r="AC782" s="827">
        <f t="shared" si="741"/>
        <v>1380.9282316335009</v>
      </c>
      <c r="AD782" s="1129">
        <f t="shared" si="741"/>
        <v>11310.866883700253</v>
      </c>
    </row>
    <row r="783" spans="3:30">
      <c r="C783" s="370" t="s">
        <v>130</v>
      </c>
      <c r="D783" s="370"/>
      <c r="E783" s="370"/>
      <c r="F783" s="370"/>
      <c r="G783" s="370"/>
      <c r="H783" s="370"/>
      <c r="I783" s="370"/>
    </row>
    <row r="784" spans="3:30">
      <c r="C784" s="371" t="s">
        <v>131</v>
      </c>
      <c r="D784" s="370"/>
      <c r="E784" s="370"/>
      <c r="F784" s="370"/>
      <c r="G784" s="372"/>
      <c r="H784" s="370"/>
      <c r="I784" s="370"/>
      <c r="Q784" s="1" t="s">
        <v>1566</v>
      </c>
    </row>
    <row r="785" spans="3:30">
      <c r="C785" s="371" t="s">
        <v>132</v>
      </c>
      <c r="D785" s="373"/>
      <c r="E785" s="373"/>
      <c r="F785" s="373"/>
      <c r="G785" s="374"/>
      <c r="H785" s="373"/>
      <c r="I785" s="373"/>
      <c r="R785" s="489" t="s">
        <v>479</v>
      </c>
      <c r="S785" s="489" t="s">
        <v>480</v>
      </c>
      <c r="T785" s="489" t="s">
        <v>481</v>
      </c>
      <c r="U785" s="489" t="s">
        <v>482</v>
      </c>
      <c r="V785" s="489" t="s">
        <v>483</v>
      </c>
      <c r="W785" s="489" t="s">
        <v>484</v>
      </c>
      <c r="X785" s="489" t="s">
        <v>485</v>
      </c>
      <c r="Y785" s="489" t="s">
        <v>486</v>
      </c>
      <c r="Z785" s="489" t="s">
        <v>487</v>
      </c>
      <c r="AA785" s="489" t="s">
        <v>488</v>
      </c>
      <c r="AB785" s="489" t="s">
        <v>489</v>
      </c>
      <c r="AC785" s="489" t="s">
        <v>490</v>
      </c>
      <c r="AD785" s="1108" t="s">
        <v>254</v>
      </c>
    </row>
    <row r="786" spans="3:30">
      <c r="C786" s="375" t="s">
        <v>133</v>
      </c>
      <c r="D786" s="376"/>
      <c r="E786" s="376"/>
      <c r="F786" s="376"/>
      <c r="G786" s="376"/>
      <c r="H786" s="377"/>
      <c r="I786" s="376"/>
      <c r="Q786" t="s">
        <v>628</v>
      </c>
      <c r="R786" s="442">
        <f>'Leader RSP'!FF183</f>
        <v>605.7700000000001</v>
      </c>
      <c r="S786" s="442">
        <f>'Leader RSP'!FG183</f>
        <v>472.32900000000006</v>
      </c>
      <c r="T786" s="442">
        <f>'Leader RSP'!FH183</f>
        <v>471.09150000000011</v>
      </c>
      <c r="U786" s="442">
        <f>'Leader RSP'!FI183</f>
        <v>487.37700000000007</v>
      </c>
      <c r="V786" s="442">
        <f>'Leader RSP'!FJ183</f>
        <v>513.44172000000015</v>
      </c>
      <c r="W786" s="442">
        <f>'Leader RSP'!FK183</f>
        <v>548.44054650000021</v>
      </c>
      <c r="X786" s="442">
        <f>'Leader RSP'!FL183</f>
        <v>532.05926400000021</v>
      </c>
      <c r="Y786" s="442">
        <f>'Leader RSP'!FM183</f>
        <v>561.21075945000018</v>
      </c>
      <c r="Z786" s="442">
        <f>'Leader RSP'!FN183</f>
        <v>612.5486206950003</v>
      </c>
      <c r="AA786" s="442">
        <f>'Leader RSP'!FO183</f>
        <v>631.38434040000027</v>
      </c>
      <c r="AB786" s="442">
        <f>'Leader RSP'!FP183</f>
        <v>707.06276897850034</v>
      </c>
      <c r="AC786" s="442">
        <f>'Leader RSP'!FQ183</f>
        <v>770.53443364260045</v>
      </c>
      <c r="AD786" s="1129">
        <f>SUM(R786:AC786)</f>
        <v>6913.2499536661026</v>
      </c>
    </row>
    <row r="787" spans="3:30">
      <c r="C787" s="378"/>
      <c r="D787" s="379"/>
      <c r="E787" s="379"/>
      <c r="F787" s="379"/>
      <c r="G787" s="379"/>
      <c r="H787" s="379"/>
      <c r="I787" s="379"/>
      <c r="Q787" t="s">
        <v>506</v>
      </c>
      <c r="R787" s="442">
        <f>'Leader RSP'!FF184</f>
        <v>102.13500000000002</v>
      </c>
      <c r="S787" s="442">
        <f>'Leader RSP'!FG184</f>
        <v>77.814000000000021</v>
      </c>
      <c r="T787" s="442">
        <f>'Leader RSP'!FH184</f>
        <v>77.814000000000021</v>
      </c>
      <c r="U787" s="442">
        <f>'Leader RSP'!FI184</f>
        <v>81.303750000000022</v>
      </c>
      <c r="V787" s="442">
        <f>'Leader RSP'!FJ184</f>
        <v>86.902200000000022</v>
      </c>
      <c r="W787" s="442">
        <f>'Leader RSP'!FK184</f>
        <v>94.42446750000002</v>
      </c>
      <c r="X787" s="442">
        <f>'Leader RSP'!FL184</f>
        <v>90.860715000000042</v>
      </c>
      <c r="Y787" s="442">
        <f>'Leader RSP'!FM184</f>
        <v>93.687759000000042</v>
      </c>
      <c r="Z787" s="442">
        <f>'Leader RSP'!FN184</f>
        <v>98.635684950000041</v>
      </c>
      <c r="AA787" s="442">
        <f>'Leader RSP'!FO184</f>
        <v>100.37503575000004</v>
      </c>
      <c r="AB787" s="442">
        <f>'Leader RSP'!FP184</f>
        <v>117.10903990500005</v>
      </c>
      <c r="AC787" s="442">
        <f>'Leader RSP'!FQ184</f>
        <v>130.04763566850008</v>
      </c>
      <c r="AD787" s="1129">
        <f>SUM(R787:AC787)</f>
        <v>1151.1092877735002</v>
      </c>
    </row>
    <row r="788" spans="3:30">
      <c r="C788" s="378"/>
      <c r="D788" s="379"/>
      <c r="E788" s="379"/>
      <c r="F788" s="379"/>
      <c r="G788" s="379"/>
      <c r="H788" s="379"/>
      <c r="I788" s="379"/>
      <c r="Q788" t="s">
        <v>629</v>
      </c>
      <c r="R788" s="442">
        <f>'Leader RSP'!FF185</f>
        <v>87.440249999999992</v>
      </c>
      <c r="S788" s="442">
        <f>'Leader RSP'!FG185</f>
        <v>81.018764999999988</v>
      </c>
      <c r="T788" s="442">
        <f>'Leader RSP'!FH185</f>
        <v>82.338390000000004</v>
      </c>
      <c r="U788" s="442">
        <f>'Leader RSP'!FI185</f>
        <v>76.96829249999999</v>
      </c>
      <c r="V788" s="442">
        <f>'Leader RSP'!FJ185</f>
        <v>75.499285950000001</v>
      </c>
      <c r="W788" s="442">
        <f>'Leader RSP'!FK185</f>
        <v>83.02987199925002</v>
      </c>
      <c r="X788" s="442">
        <f>'Leader RSP'!FL185</f>
        <v>87.705000999000006</v>
      </c>
      <c r="Y788" s="442">
        <f>'Leader RSP'!FM185</f>
        <v>89.33305599900001</v>
      </c>
      <c r="Z788" s="442">
        <f>'Leader RSP'!FN185</f>
        <v>90.710640999000006</v>
      </c>
      <c r="AA788" s="442">
        <f>'Leader RSP'!FO185</f>
        <v>92.902253499000011</v>
      </c>
      <c r="AB788" s="442">
        <f>'Leader RSP'!FP185</f>
        <v>94.373764749000003</v>
      </c>
      <c r="AC788" s="442">
        <f>'Leader RSP'!FQ185</f>
        <v>94.248529749000014</v>
      </c>
      <c r="AD788" s="1129">
        <f>SUM(R788:AC788)</f>
        <v>1035.56810144325</v>
      </c>
    </row>
    <row r="789" spans="3:30">
      <c r="C789" s="380" t="s">
        <v>134</v>
      </c>
      <c r="D789" s="379"/>
      <c r="E789" s="379"/>
      <c r="F789" s="379"/>
      <c r="G789" s="379"/>
      <c r="H789" s="379"/>
      <c r="I789" s="379"/>
      <c r="Q789" s="703" t="s">
        <v>1116</v>
      </c>
      <c r="R789" s="720">
        <f>'Leader RSP'!FF186</f>
        <v>59.938000000000002</v>
      </c>
      <c r="S789" s="720">
        <f>'Leader RSP'!FG186</f>
        <v>59.820930000000004</v>
      </c>
      <c r="T789" s="720">
        <f>'Leader RSP'!FH186</f>
        <v>62.460180000000008</v>
      </c>
      <c r="U789" s="720">
        <f>'Leader RSP'!FI186</f>
        <v>57.053339999999992</v>
      </c>
      <c r="V789" s="720">
        <f>'Leader RSP'!FJ186</f>
        <v>53.9649</v>
      </c>
      <c r="W789" s="720">
        <f>'Leader RSP'!FK186</f>
        <v>59.963820444000007</v>
      </c>
      <c r="X789" s="720">
        <f>'Leader RSP'!FL186</f>
        <v>62.444775888000017</v>
      </c>
      <c r="Y789" s="720">
        <f>'Leader RSP'!FM186</f>
        <v>59.94007588800001</v>
      </c>
      <c r="Z789" s="720">
        <f>'Leader RSP'!FN186</f>
        <v>58.68772588800001</v>
      </c>
      <c r="AA789" s="720">
        <f>'Leader RSP'!FO186</f>
        <v>58.68772588800001</v>
      </c>
      <c r="AB789" s="720">
        <f>'Leader RSP'!FP186</f>
        <v>58.812960888000006</v>
      </c>
      <c r="AC789" s="720">
        <f>'Leader RSP'!FQ186</f>
        <v>60.127928388000001</v>
      </c>
      <c r="AD789" s="1130">
        <f>SUM(R789:AC789)</f>
        <v>711.90236327200012</v>
      </c>
    </row>
    <row r="790" spans="3:30">
      <c r="C790" s="381">
        <v>25</v>
      </c>
      <c r="D790" s="382" t="s">
        <v>372</v>
      </c>
      <c r="E790" s="379"/>
      <c r="F790" s="379"/>
      <c r="G790" s="379"/>
      <c r="H790" s="379"/>
      <c r="I790" s="379"/>
      <c r="Q790" s="658" t="s">
        <v>221</v>
      </c>
      <c r="R790" s="827">
        <f>SUM(R786:R789)</f>
        <v>855.28325000000007</v>
      </c>
      <c r="S790" s="827">
        <f t="shared" ref="S790:AD790" si="742">SUM(S786:S789)</f>
        <v>690.98269500000004</v>
      </c>
      <c r="T790" s="827">
        <f t="shared" si="742"/>
        <v>693.70407000000012</v>
      </c>
      <c r="U790" s="827">
        <f t="shared" si="742"/>
        <v>702.70238250000011</v>
      </c>
      <c r="V790" s="827">
        <f t="shared" si="742"/>
        <v>729.80810595000003</v>
      </c>
      <c r="W790" s="827">
        <f t="shared" si="742"/>
        <v>785.85870644325018</v>
      </c>
      <c r="X790" s="827">
        <f t="shared" si="742"/>
        <v>773.06975588700027</v>
      </c>
      <c r="Y790" s="827">
        <f t="shared" si="742"/>
        <v>804.17165033700019</v>
      </c>
      <c r="Z790" s="827">
        <f t="shared" si="742"/>
        <v>860.5826725320004</v>
      </c>
      <c r="AA790" s="827">
        <f t="shared" si="742"/>
        <v>883.34935553700041</v>
      </c>
      <c r="AB790" s="827">
        <f t="shared" si="742"/>
        <v>977.35853452050037</v>
      </c>
      <c r="AC790" s="827">
        <f t="shared" si="742"/>
        <v>1054.9585274481005</v>
      </c>
      <c r="AD790" s="1129">
        <f t="shared" si="742"/>
        <v>9811.8297061548528</v>
      </c>
    </row>
    <row r="791" spans="3:30">
      <c r="C791" s="383"/>
      <c r="D791" s="277" t="s">
        <v>135</v>
      </c>
      <c r="E791" s="239"/>
      <c r="F791" s="239"/>
      <c r="G791" s="239"/>
      <c r="H791" s="239"/>
      <c r="I791" s="239"/>
    </row>
    <row r="792" spans="3:30">
      <c r="C792" s="384" t="s">
        <v>136</v>
      </c>
      <c r="D792" s="385"/>
      <c r="E792" s="239"/>
      <c r="F792" s="239"/>
      <c r="G792" s="319"/>
      <c r="H792" s="239"/>
      <c r="I792" s="239"/>
      <c r="Q792" s="1" t="s">
        <v>1567</v>
      </c>
    </row>
    <row r="793" spans="3:30">
      <c r="C793" s="220" t="s">
        <v>137</v>
      </c>
      <c r="D793" s="386">
        <f>ROUND(D794*D795*D796,0)</f>
        <v>11</v>
      </c>
      <c r="E793" s="239"/>
      <c r="F793" s="239"/>
      <c r="G793" s="239"/>
      <c r="H793" s="239"/>
      <c r="I793" s="239"/>
      <c r="R793" s="489" t="s">
        <v>479</v>
      </c>
      <c r="S793" s="489" t="s">
        <v>480</v>
      </c>
      <c r="T793" s="489" t="s">
        <v>481</v>
      </c>
      <c r="U793" s="489" t="s">
        <v>482</v>
      </c>
      <c r="V793" s="489" t="s">
        <v>483</v>
      </c>
      <c r="W793" s="489" t="s">
        <v>484</v>
      </c>
      <c r="X793" s="489" t="s">
        <v>485</v>
      </c>
      <c r="Y793" s="489" t="s">
        <v>486</v>
      </c>
      <c r="Z793" s="489" t="s">
        <v>487</v>
      </c>
      <c r="AA793" s="489" t="s">
        <v>488</v>
      </c>
      <c r="AB793" s="489" t="s">
        <v>489</v>
      </c>
      <c r="AC793" s="489" t="s">
        <v>490</v>
      </c>
      <c r="AD793" s="1108" t="s">
        <v>254</v>
      </c>
    </row>
    <row r="794" spans="3:30">
      <c r="C794" s="220" t="s">
        <v>138</v>
      </c>
      <c r="D794" s="239">
        <v>1.3</v>
      </c>
      <c r="E794" s="239"/>
      <c r="F794" s="239"/>
      <c r="G794" s="239"/>
      <c r="H794" s="239"/>
      <c r="I794" s="239"/>
      <c r="Q794" t="s">
        <v>628</v>
      </c>
      <c r="R794" s="442">
        <f>'Leader RSP'!FS183</f>
        <v>450.38400000000001</v>
      </c>
      <c r="S794" s="442">
        <f>'Leader RSP'!FT183</f>
        <v>363.2706</v>
      </c>
      <c r="T794" s="442">
        <f>'Leader RSP'!FU183</f>
        <v>333.81810000000002</v>
      </c>
      <c r="U794" s="442">
        <f>'Leader RSP'!FV183</f>
        <v>309.41460000000001</v>
      </c>
      <c r="V794" s="442">
        <f>'Leader RSP'!FW183</f>
        <v>315.73377000000005</v>
      </c>
      <c r="W794" s="442">
        <f>'Leader RSP'!FX183</f>
        <v>323.78638050000006</v>
      </c>
      <c r="X794" s="442">
        <f>'Leader RSP'!FY183</f>
        <v>299.65468500000009</v>
      </c>
      <c r="Y794" s="442">
        <f>'Leader RSP'!FZ183</f>
        <v>302.51527020000009</v>
      </c>
      <c r="Z794" s="442">
        <f>'Leader RSP'!GA183</f>
        <v>312.43813474500013</v>
      </c>
      <c r="AA794" s="442">
        <f>'Leader RSP'!GB183</f>
        <v>305.66191392000019</v>
      </c>
      <c r="AB794" s="442">
        <f>'Leader RSP'!GC183</f>
        <v>336.2281053120002</v>
      </c>
      <c r="AC794" s="442">
        <f>'Leader RSP'!GD183</f>
        <v>369.85091584320026</v>
      </c>
      <c r="AD794" s="1129">
        <f>SUM(R794:AC794)</f>
        <v>4022.7564755202011</v>
      </c>
    </row>
    <row r="795" spans="3:30">
      <c r="C795" s="311" t="s">
        <v>139</v>
      </c>
      <c r="D795" s="239">
        <v>11</v>
      </c>
      <c r="E795" s="239"/>
      <c r="F795" s="239"/>
      <c r="G795" s="239"/>
      <c r="H795" s="239"/>
      <c r="I795" s="239"/>
      <c r="Q795" t="s">
        <v>506</v>
      </c>
      <c r="R795" s="442">
        <f>'Leader RSP'!FS184</f>
        <v>74.084999999999994</v>
      </c>
      <c r="S795" s="442">
        <f>'Leader RSP'!FT184</f>
        <v>58.212000000000003</v>
      </c>
      <c r="T795" s="442">
        <f>'Leader RSP'!FU184</f>
        <v>52.866000000000007</v>
      </c>
      <c r="U795" s="442">
        <f>'Leader RSP'!FV184</f>
        <v>48.633750000000013</v>
      </c>
      <c r="V795" s="442">
        <f>'Leader RSP'!FW184</f>
        <v>49.821750000000016</v>
      </c>
      <c r="W795" s="442">
        <f>'Leader RSP'!FX184</f>
        <v>51.569595000000014</v>
      </c>
      <c r="X795" s="442">
        <f>'Leader RSP'!FY184</f>
        <v>47.436840000000011</v>
      </c>
      <c r="Y795" s="442">
        <f>'Leader RSP'!FZ184</f>
        <v>46.64622600000002</v>
      </c>
      <c r="Z795" s="442">
        <f>'Leader RSP'!GA184</f>
        <v>45.223120800000025</v>
      </c>
      <c r="AA795" s="442">
        <f>'Leader RSP'!GB184</f>
        <v>42.17925690000002</v>
      </c>
      <c r="AB795" s="442">
        <f>'Leader RSP'!GC184</f>
        <v>46.397182590000028</v>
      </c>
      <c r="AC795" s="442">
        <f>'Leader RSP'!GD184</f>
        <v>51.036900849000034</v>
      </c>
      <c r="AD795" s="1129">
        <f>SUM(R795:AC795)</f>
        <v>614.10762213900023</v>
      </c>
    </row>
    <row r="796" spans="3:30">
      <c r="C796" s="311" t="s">
        <v>140</v>
      </c>
      <c r="D796" s="319">
        <v>0.75</v>
      </c>
      <c r="E796" s="239"/>
      <c r="F796" s="239"/>
      <c r="G796" s="239"/>
      <c r="H796" s="239"/>
      <c r="I796" s="239"/>
      <c r="Q796" t="s">
        <v>629</v>
      </c>
      <c r="R796" s="442">
        <f>'Leader RSP'!FS185</f>
        <v>87.440249999999992</v>
      </c>
      <c r="S796" s="442">
        <f>'Leader RSP'!FT185</f>
        <v>81.018764999999988</v>
      </c>
      <c r="T796" s="442">
        <f>'Leader RSP'!FU185</f>
        <v>82.338390000000004</v>
      </c>
      <c r="U796" s="442">
        <f>'Leader RSP'!FV185</f>
        <v>76.96829249999999</v>
      </c>
      <c r="V796" s="442">
        <f>'Leader RSP'!FW185</f>
        <v>75.499285950000001</v>
      </c>
      <c r="W796" s="442">
        <f>'Leader RSP'!FX185</f>
        <v>76.350982999500005</v>
      </c>
      <c r="X796" s="442">
        <f>'Leader RSP'!FY185</f>
        <v>70.590172999500012</v>
      </c>
      <c r="Y796" s="442">
        <f>'Leader RSP'!FZ185</f>
        <v>65.330302999500006</v>
      </c>
      <c r="Z796" s="442">
        <f>'Leader RSP'!GA185</f>
        <v>60.94707799950001</v>
      </c>
      <c r="AA796" s="442">
        <f>'Leader RSP'!GB185</f>
        <v>57.878820499500009</v>
      </c>
      <c r="AB796" s="442">
        <f>'Leader RSP'!GC185</f>
        <v>54.967106749500005</v>
      </c>
      <c r="AC796" s="442">
        <f>'Leader RSP'!GD185</f>
        <v>51.773614249500007</v>
      </c>
      <c r="AD796" s="1129">
        <f>SUM(R796:AC796)</f>
        <v>841.10306194650002</v>
      </c>
    </row>
    <row r="797" spans="3:30">
      <c r="C797" s="239"/>
      <c r="D797" s="239"/>
      <c r="E797" s="239"/>
      <c r="F797" s="239"/>
      <c r="G797" s="239"/>
      <c r="H797" s="239"/>
      <c r="I797" s="239"/>
      <c r="Q797" s="703" t="s">
        <v>1116</v>
      </c>
      <c r="R797" s="720">
        <f>'Leader RSP'!FS186</f>
        <v>59.938000000000002</v>
      </c>
      <c r="S797" s="720">
        <f>'Leader RSP'!FT186</f>
        <v>59.820930000000004</v>
      </c>
      <c r="T797" s="720">
        <f>'Leader RSP'!FU186</f>
        <v>62.460180000000008</v>
      </c>
      <c r="U797" s="720">
        <f>'Leader RSP'!FV186</f>
        <v>57.053339999999992</v>
      </c>
      <c r="V797" s="720">
        <f>'Leader RSP'!FW186</f>
        <v>53.9649</v>
      </c>
      <c r="W797" s="720">
        <f>'Leader RSP'!FX186</f>
        <v>53.099640000000008</v>
      </c>
      <c r="X797" s="720">
        <f>'Leader RSP'!FY186</f>
        <v>45.585540000000002</v>
      </c>
      <c r="Y797" s="720">
        <f>'Leader RSP'!FZ186</f>
        <v>36.819090000000003</v>
      </c>
      <c r="Z797" s="720">
        <f>'Leader RSP'!GA186</f>
        <v>28.052640000000004</v>
      </c>
      <c r="AA797" s="720">
        <f>'Leader RSP'!GB186</f>
        <v>19.286190000000001</v>
      </c>
      <c r="AB797" s="720">
        <f>'Leader RSP'!GC186</f>
        <v>10.644975000000001</v>
      </c>
      <c r="AC797" s="720">
        <f>'Leader RSP'!GD186</f>
        <v>3.1934925000000001</v>
      </c>
      <c r="AD797" s="1130">
        <f>SUM(R797:AC797)</f>
        <v>489.91891749999996</v>
      </c>
    </row>
    <row r="798" spans="3:30">
      <c r="C798" s="258" t="s">
        <v>141</v>
      </c>
      <c r="D798" s="223"/>
      <c r="E798" s="239"/>
      <c r="F798" s="239"/>
      <c r="G798" s="239"/>
      <c r="H798" s="239"/>
      <c r="I798" s="387"/>
      <c r="Q798" s="658" t="s">
        <v>221</v>
      </c>
      <c r="R798" s="827">
        <f>SUM(R794:R797)</f>
        <v>671.84725000000003</v>
      </c>
      <c r="S798" s="827">
        <f t="shared" ref="S798:AD798" si="743">SUM(S794:S797)</f>
        <v>562.32229499999994</v>
      </c>
      <c r="T798" s="827">
        <f t="shared" si="743"/>
        <v>531.48266999999998</v>
      </c>
      <c r="U798" s="827">
        <f t="shared" si="743"/>
        <v>492.06998249999998</v>
      </c>
      <c r="V798" s="827">
        <f t="shared" si="743"/>
        <v>495.01970595000006</v>
      </c>
      <c r="W798" s="827">
        <f t="shared" si="743"/>
        <v>504.80659849950007</v>
      </c>
      <c r="X798" s="827">
        <f t="shared" si="743"/>
        <v>463.26723799950008</v>
      </c>
      <c r="Y798" s="827">
        <f t="shared" si="743"/>
        <v>451.31088919950014</v>
      </c>
      <c r="Z798" s="827">
        <f t="shared" si="743"/>
        <v>446.66097354450017</v>
      </c>
      <c r="AA798" s="827">
        <f t="shared" si="743"/>
        <v>425.00618131950023</v>
      </c>
      <c r="AB798" s="827">
        <f t="shared" si="743"/>
        <v>448.23736965150016</v>
      </c>
      <c r="AC798" s="827">
        <f t="shared" si="743"/>
        <v>475.85492344170029</v>
      </c>
      <c r="AD798" s="1129">
        <f t="shared" si="743"/>
        <v>5967.8860771057016</v>
      </c>
    </row>
    <row r="799" spans="3:30" ht="28.5">
      <c r="C799" s="388" t="s">
        <v>114</v>
      </c>
      <c r="D799" s="389" t="s">
        <v>142</v>
      </c>
      <c r="E799" s="390" t="s">
        <v>143</v>
      </c>
      <c r="F799" s="391" t="s">
        <v>144</v>
      </c>
      <c r="G799" s="391" t="s">
        <v>145</v>
      </c>
      <c r="H799" s="390" t="s">
        <v>118</v>
      </c>
      <c r="I799" s="392"/>
    </row>
    <row r="800" spans="3:30">
      <c r="C800" s="243" t="s">
        <v>119</v>
      </c>
      <c r="D800" s="393">
        <v>15</v>
      </c>
      <c r="E800" s="349">
        <v>1</v>
      </c>
      <c r="F800" s="350">
        <v>1</v>
      </c>
      <c r="G800" s="350">
        <v>5</v>
      </c>
      <c r="H800" s="351">
        <v>13</v>
      </c>
      <c r="I800" s="352"/>
      <c r="Q800" s="1" t="s">
        <v>1568</v>
      </c>
    </row>
    <row r="801" spans="3:30">
      <c r="C801" s="243" t="s">
        <v>120</v>
      </c>
      <c r="D801" s="393">
        <v>30</v>
      </c>
      <c r="E801" s="349">
        <v>2</v>
      </c>
      <c r="F801" s="354">
        <v>1</v>
      </c>
      <c r="G801" s="354">
        <v>6</v>
      </c>
      <c r="H801" s="351">
        <v>13</v>
      </c>
      <c r="I801" s="352"/>
      <c r="R801" s="489" t="s">
        <v>479</v>
      </c>
      <c r="S801" s="489" t="s">
        <v>480</v>
      </c>
      <c r="T801" s="489" t="s">
        <v>481</v>
      </c>
      <c r="U801" s="489" t="s">
        <v>482</v>
      </c>
      <c r="V801" s="489" t="s">
        <v>483</v>
      </c>
      <c r="W801" s="489" t="s">
        <v>484</v>
      </c>
      <c r="X801" s="489" t="s">
        <v>485</v>
      </c>
      <c r="Y801" s="489" t="s">
        <v>486</v>
      </c>
      <c r="Z801" s="489" t="s">
        <v>487</v>
      </c>
      <c r="AA801" s="489" t="s">
        <v>488</v>
      </c>
      <c r="AB801" s="489" t="s">
        <v>489</v>
      </c>
      <c r="AC801" s="489" t="s">
        <v>490</v>
      </c>
      <c r="AD801" s="1108" t="s">
        <v>254</v>
      </c>
    </row>
    <row r="802" spans="3:30">
      <c r="C802" s="243" t="s">
        <v>121</v>
      </c>
      <c r="D802" s="393">
        <v>35</v>
      </c>
      <c r="E802" s="349">
        <v>3</v>
      </c>
      <c r="F802" s="354">
        <v>2</v>
      </c>
      <c r="G802" s="354">
        <v>9</v>
      </c>
      <c r="H802" s="351">
        <v>13</v>
      </c>
      <c r="I802" s="352"/>
      <c r="Q802" t="s">
        <v>628</v>
      </c>
      <c r="R802" s="442">
        <f>'Leader RSP'!GF183</f>
        <v>231.96800000000005</v>
      </c>
      <c r="S802" s="442">
        <f>'Leader RSP'!GG183</f>
        <v>208.77120000000002</v>
      </c>
      <c r="T802" s="442">
        <f>'Leader RSP'!GH183</f>
        <v>208.77120000000002</v>
      </c>
      <c r="U802" s="442">
        <f>'Leader RSP'!GI183</f>
        <v>208.77120000000002</v>
      </c>
      <c r="V802" s="442">
        <f>'Leader RSP'!GJ183</f>
        <v>229.6483200000001</v>
      </c>
      <c r="W802" s="442">
        <f>'Leader RSP'!GK183</f>
        <v>252.61315200000004</v>
      </c>
      <c r="X802" s="442">
        <f>'Leader RSP'!GL183</f>
        <v>252.61315200000004</v>
      </c>
      <c r="Y802" s="442">
        <f>'Leader RSP'!GM183</f>
        <v>277.87446720000008</v>
      </c>
      <c r="Z802" s="442">
        <f>'Leader RSP'!GN183</f>
        <v>305.66191392000019</v>
      </c>
      <c r="AA802" s="442">
        <f>'Leader RSP'!GO183</f>
        <v>305.66191392000019</v>
      </c>
      <c r="AB802" s="442">
        <f>'Leader RSP'!GP183</f>
        <v>336.2281053120002</v>
      </c>
      <c r="AC802" s="442">
        <f>'Leader RSP'!GQ183</f>
        <v>369.85091584320026</v>
      </c>
      <c r="AD802" s="1129">
        <f>SUM(R802:AC802)</f>
        <v>3188.4335401952012</v>
      </c>
    </row>
    <row r="803" spans="3:30">
      <c r="C803" s="243" t="s">
        <v>122</v>
      </c>
      <c r="D803" s="393">
        <v>45</v>
      </c>
      <c r="E803" s="356">
        <v>5</v>
      </c>
      <c r="F803" s="354">
        <v>2</v>
      </c>
      <c r="G803" s="354"/>
      <c r="H803" s="351">
        <v>9</v>
      </c>
      <c r="I803" s="357"/>
      <c r="Q803" t="s">
        <v>506</v>
      </c>
      <c r="R803" s="442">
        <f>'Leader RSP'!GF184</f>
        <v>32.010000000000005</v>
      </c>
      <c r="S803" s="442">
        <f>'Leader RSP'!GG184</f>
        <v>28.809000000000008</v>
      </c>
      <c r="T803" s="442">
        <f>'Leader RSP'!GH184</f>
        <v>28.809000000000008</v>
      </c>
      <c r="U803" s="442">
        <f>'Leader RSP'!GI184</f>
        <v>28.809000000000008</v>
      </c>
      <c r="V803" s="442">
        <f>'Leader RSP'!GJ184</f>
        <v>31.689900000000009</v>
      </c>
      <c r="W803" s="442">
        <f>'Leader RSP'!GK184</f>
        <v>34.858890000000009</v>
      </c>
      <c r="X803" s="442">
        <f>'Leader RSP'!GL184</f>
        <v>34.858890000000009</v>
      </c>
      <c r="Y803" s="442">
        <f>'Leader RSP'!GM184</f>
        <v>38.344779000000003</v>
      </c>
      <c r="Z803" s="442">
        <f>'Leader RSP'!GN184</f>
        <v>42.17925690000002</v>
      </c>
      <c r="AA803" s="442">
        <f>'Leader RSP'!GO184</f>
        <v>42.17925690000002</v>
      </c>
      <c r="AB803" s="442">
        <f>'Leader RSP'!GP184</f>
        <v>46.397182590000028</v>
      </c>
      <c r="AC803" s="442">
        <f>'Leader RSP'!GQ184</f>
        <v>51.036900849000034</v>
      </c>
      <c r="AD803" s="1129">
        <f>SUM(R803:AC803)</f>
        <v>439.98205623900026</v>
      </c>
    </row>
    <row r="804" spans="3:30">
      <c r="C804" s="243" t="s">
        <v>123</v>
      </c>
      <c r="D804" s="393">
        <v>55</v>
      </c>
      <c r="E804" s="356">
        <v>6</v>
      </c>
      <c r="F804" s="354">
        <v>2</v>
      </c>
      <c r="G804" s="354"/>
      <c r="H804" s="351">
        <v>9</v>
      </c>
      <c r="I804" s="357"/>
      <c r="Q804" t="s">
        <v>629</v>
      </c>
      <c r="R804" s="442">
        <f>'Leader RSP'!GF185</f>
        <v>45.919499999999999</v>
      </c>
      <c r="S804" s="442">
        <f>'Leader RSP'!GG185</f>
        <v>41.169195000000002</v>
      </c>
      <c r="T804" s="442">
        <f>'Leader RSP'!GH185</f>
        <v>41.169195000000002</v>
      </c>
      <c r="U804" s="442">
        <f>'Leader RSP'!GI185</f>
        <v>41.169195000000002</v>
      </c>
      <c r="V804" s="442">
        <f>'Leader RSP'!GJ185</f>
        <v>45.442885950000004</v>
      </c>
      <c r="W804" s="442">
        <f>'Leader RSP'!GK185</f>
        <v>50.176867999500004</v>
      </c>
      <c r="X804" s="442">
        <f>'Leader RSP'!GL185</f>
        <v>50.176867999500004</v>
      </c>
      <c r="Y804" s="442">
        <f>'Leader RSP'!GM185</f>
        <v>50.176867999500004</v>
      </c>
      <c r="Z804" s="442">
        <f>'Leader RSP'!GN185</f>
        <v>50.176867999500004</v>
      </c>
      <c r="AA804" s="442">
        <f>'Leader RSP'!GO185</f>
        <v>50.176867999500004</v>
      </c>
      <c r="AB804" s="442">
        <f>'Leader RSP'!GP185</f>
        <v>50.176867999500004</v>
      </c>
      <c r="AC804" s="442">
        <f>'Leader RSP'!GQ185</f>
        <v>50.176867999500004</v>
      </c>
      <c r="AD804" s="1129">
        <f>SUM(R804:AC804)</f>
        <v>566.10804694650005</v>
      </c>
    </row>
    <row r="805" spans="3:30">
      <c r="C805" s="243" t="s">
        <v>124</v>
      </c>
      <c r="D805" s="393">
        <v>65</v>
      </c>
      <c r="E805" s="356">
        <v>8</v>
      </c>
      <c r="F805" s="354">
        <v>2</v>
      </c>
      <c r="G805" s="354"/>
      <c r="H805" s="351">
        <v>9</v>
      </c>
      <c r="I805" s="357"/>
      <c r="Q805" s="703" t="s">
        <v>1116</v>
      </c>
      <c r="R805" s="720">
        <f>'Leader RSP'!GF186</f>
        <v>0</v>
      </c>
      <c r="S805" s="720">
        <f>'Leader RSP'!GG186</f>
        <v>0</v>
      </c>
      <c r="T805" s="720">
        <f>'Leader RSP'!GH186</f>
        <v>0</v>
      </c>
      <c r="U805" s="720">
        <f>'Leader RSP'!GI186</f>
        <v>0</v>
      </c>
      <c r="V805" s="720">
        <f>'Leader RSP'!GJ186</f>
        <v>0</v>
      </c>
      <c r="W805" s="720">
        <f>'Leader RSP'!GK186</f>
        <v>0</v>
      </c>
      <c r="X805" s="720">
        <f>'Leader RSP'!GL186</f>
        <v>0</v>
      </c>
      <c r="Y805" s="720">
        <f>'Leader RSP'!GM186</f>
        <v>0</v>
      </c>
      <c r="Z805" s="720">
        <f>'Leader RSP'!GN186</f>
        <v>0</v>
      </c>
      <c r="AA805" s="720">
        <f>'Leader RSP'!GO186</f>
        <v>0</v>
      </c>
      <c r="AB805" s="720">
        <f>'Leader RSP'!GP186</f>
        <v>0</v>
      </c>
      <c r="AC805" s="720">
        <f>'Leader RSP'!GQ186</f>
        <v>0</v>
      </c>
      <c r="AD805" s="1130">
        <f>SUM(R805:AC805)</f>
        <v>0</v>
      </c>
    </row>
    <row r="806" spans="3:30">
      <c r="C806" s="243" t="s">
        <v>125</v>
      </c>
      <c r="D806" s="393">
        <v>75</v>
      </c>
      <c r="E806" s="356">
        <v>9</v>
      </c>
      <c r="F806" s="354">
        <v>2</v>
      </c>
      <c r="G806" s="354"/>
      <c r="H806" s="351">
        <v>7</v>
      </c>
      <c r="I806" s="357"/>
      <c r="Q806" s="658" t="s">
        <v>221</v>
      </c>
      <c r="R806" s="827">
        <f>SUM(R802:R805)</f>
        <v>309.89750000000004</v>
      </c>
      <c r="S806" s="827">
        <f t="shared" ref="S806:AD806" si="744">SUM(S802:S805)</f>
        <v>278.74939500000005</v>
      </c>
      <c r="T806" s="827">
        <f t="shared" si="744"/>
        <v>278.74939500000005</v>
      </c>
      <c r="U806" s="827">
        <f t="shared" si="744"/>
        <v>278.74939500000005</v>
      </c>
      <c r="V806" s="827">
        <f t="shared" si="744"/>
        <v>306.7811059500001</v>
      </c>
      <c r="W806" s="827">
        <f t="shared" si="744"/>
        <v>337.64890999950006</v>
      </c>
      <c r="X806" s="827">
        <f t="shared" si="744"/>
        <v>337.64890999950006</v>
      </c>
      <c r="Y806" s="827">
        <f t="shared" si="744"/>
        <v>366.39611419950012</v>
      </c>
      <c r="Z806" s="827">
        <f t="shared" si="744"/>
        <v>398.01803881950025</v>
      </c>
      <c r="AA806" s="827">
        <f t="shared" si="744"/>
        <v>398.01803881950025</v>
      </c>
      <c r="AB806" s="827">
        <f t="shared" si="744"/>
        <v>432.80215590150021</v>
      </c>
      <c r="AC806" s="827">
        <f t="shared" si="744"/>
        <v>471.06468469170034</v>
      </c>
      <c r="AD806" s="1129">
        <f t="shared" si="744"/>
        <v>4194.5236433807022</v>
      </c>
    </row>
    <row r="807" spans="3:30">
      <c r="C807" s="243" t="s">
        <v>126</v>
      </c>
      <c r="D807" s="393">
        <v>80</v>
      </c>
      <c r="E807" s="356">
        <v>10</v>
      </c>
      <c r="F807" s="354">
        <v>2</v>
      </c>
      <c r="G807" s="354"/>
      <c r="H807" s="351">
        <v>7</v>
      </c>
      <c r="I807" s="357"/>
    </row>
    <row r="808" spans="3:30">
      <c r="C808" s="882" t="s">
        <v>127</v>
      </c>
      <c r="D808" s="394">
        <v>85</v>
      </c>
      <c r="E808" s="360">
        <v>10</v>
      </c>
      <c r="F808" s="361">
        <v>2</v>
      </c>
      <c r="G808" s="361"/>
      <c r="H808" s="395">
        <v>7</v>
      </c>
      <c r="I808" s="363"/>
    </row>
    <row r="809" spans="3:30">
      <c r="C809" s="256" t="s">
        <v>146</v>
      </c>
      <c r="D809" s="396">
        <f>SUM(D800:D808)</f>
        <v>485</v>
      </c>
      <c r="E809" s="397">
        <f>SUM(E800:E808)</f>
        <v>54</v>
      </c>
      <c r="F809" s="318">
        <v>2</v>
      </c>
      <c r="G809" s="318"/>
      <c r="H809" s="255">
        <f>SUM(H800:H808)</f>
        <v>87</v>
      </c>
      <c r="I809" s="366"/>
      <c r="Q809" s="1" t="s">
        <v>1569</v>
      </c>
    </row>
    <row r="810" spans="3:30">
      <c r="C810" s="239"/>
      <c r="D810" s="212" t="s">
        <v>147</v>
      </c>
      <c r="E810" s="239"/>
      <c r="F810" s="239"/>
      <c r="G810" s="239"/>
      <c r="H810" s="239"/>
      <c r="I810" s="239"/>
      <c r="R810" s="489" t="s">
        <v>479</v>
      </c>
      <c r="S810" s="489" t="s">
        <v>480</v>
      </c>
      <c r="T810" s="489" t="s">
        <v>481</v>
      </c>
      <c r="U810" s="489" t="s">
        <v>482</v>
      </c>
      <c r="V810" s="489" t="s">
        <v>483</v>
      </c>
      <c r="W810" s="489" t="s">
        <v>484</v>
      </c>
      <c r="X810" s="489" t="s">
        <v>485</v>
      </c>
      <c r="Y810" s="489" t="s">
        <v>486</v>
      </c>
      <c r="Z810" s="489" t="s">
        <v>487</v>
      </c>
      <c r="AA810" s="489" t="s">
        <v>488</v>
      </c>
      <c r="AB810" s="489" t="s">
        <v>489</v>
      </c>
      <c r="AC810" s="489" t="s">
        <v>490</v>
      </c>
      <c r="AD810" s="1108" t="s">
        <v>254</v>
      </c>
    </row>
    <row r="811" spans="3:30">
      <c r="C811" s="239"/>
      <c r="D811" s="212" t="s">
        <v>148</v>
      </c>
      <c r="E811" s="239"/>
      <c r="F811" s="239"/>
      <c r="G811" s="239"/>
      <c r="H811" s="239"/>
      <c r="I811" s="239"/>
      <c r="Q811" t="s">
        <v>628</v>
      </c>
      <c r="R811" s="442">
        <f>'Leader RSP'!GS183</f>
        <v>231.96800000000005</v>
      </c>
      <c r="S811" s="442">
        <f>'Leader RSP'!GT183</f>
        <v>208.77120000000002</v>
      </c>
      <c r="T811" s="442">
        <f>'Leader RSP'!GU183</f>
        <v>208.77120000000002</v>
      </c>
      <c r="U811" s="442">
        <f>'Leader RSP'!GV183</f>
        <v>208.77120000000002</v>
      </c>
      <c r="V811" s="442">
        <f>'Leader RSP'!GW183</f>
        <v>229.6483200000001</v>
      </c>
      <c r="W811" s="442">
        <f>'Leader RSP'!GX183</f>
        <v>252.61315200000004</v>
      </c>
      <c r="X811" s="442">
        <f>'Leader RSP'!GY183</f>
        <v>252.61315200000004</v>
      </c>
      <c r="Y811" s="442">
        <f>'Leader RSP'!GZ183</f>
        <v>277.87446720000008</v>
      </c>
      <c r="Z811" s="442">
        <f>'Leader RSP'!HA183</f>
        <v>305.66191392000019</v>
      </c>
      <c r="AA811" s="442">
        <f>'Leader RSP'!HB183</f>
        <v>305.66191392000019</v>
      </c>
      <c r="AB811" s="442">
        <f>'Leader RSP'!HC183</f>
        <v>336.2281053120002</v>
      </c>
      <c r="AC811" s="442">
        <f>'Leader RSP'!HD183</f>
        <v>369.85091584320026</v>
      </c>
      <c r="AD811" s="1129">
        <f>SUM(R811:AC811)</f>
        <v>3188.4335401952012</v>
      </c>
    </row>
    <row r="812" spans="3:30">
      <c r="C812" s="220"/>
      <c r="D812" s="212" t="s">
        <v>149</v>
      </c>
      <c r="E812" s="239"/>
      <c r="F812" s="239"/>
      <c r="G812" s="239"/>
      <c r="H812" s="239"/>
      <c r="I812" s="239"/>
      <c r="Q812" t="s">
        <v>506</v>
      </c>
      <c r="R812" s="442">
        <f>'Leader RSP'!GS184</f>
        <v>45.870000000000005</v>
      </c>
      <c r="S812" s="442">
        <f>'Leader RSP'!GT184</f>
        <v>41.283000000000001</v>
      </c>
      <c r="T812" s="442">
        <f>'Leader RSP'!GU184</f>
        <v>41.283000000000001</v>
      </c>
      <c r="U812" s="442">
        <f>'Leader RSP'!GV184</f>
        <v>41.283000000000001</v>
      </c>
      <c r="V812" s="442">
        <f>'Leader RSP'!GW184</f>
        <v>45.411300000000011</v>
      </c>
      <c r="W812" s="442">
        <f>'Leader RSP'!GX184</f>
        <v>49.952430000000007</v>
      </c>
      <c r="X812" s="442">
        <f>'Leader RSP'!GY184</f>
        <v>49.952430000000007</v>
      </c>
      <c r="Y812" s="442">
        <f>'Leader RSP'!GZ184</f>
        <v>54.947673000000009</v>
      </c>
      <c r="Z812" s="442">
        <f>'Leader RSP'!HA184</f>
        <v>60.442440300000023</v>
      </c>
      <c r="AA812" s="442">
        <f>'Leader RSP'!HB184</f>
        <v>60.442440300000023</v>
      </c>
      <c r="AB812" s="442">
        <f>'Leader RSP'!HC184</f>
        <v>66.486684330000031</v>
      </c>
      <c r="AC812" s="442">
        <f>'Leader RSP'!HD184</f>
        <v>73.135352763000043</v>
      </c>
      <c r="AD812" s="1129">
        <f>SUM(R812:AC812)</f>
        <v>630.48975069300013</v>
      </c>
    </row>
    <row r="813" spans="3:30">
      <c r="C813" s="256"/>
      <c r="D813" s="367" t="s">
        <v>150</v>
      </c>
      <c r="E813" s="239"/>
      <c r="F813" s="239"/>
      <c r="G813" s="239"/>
      <c r="H813" s="239"/>
      <c r="I813" s="239"/>
      <c r="Q813" t="s">
        <v>629</v>
      </c>
      <c r="R813" s="442">
        <f>'Leader RSP'!GS185</f>
        <v>45.919499999999999</v>
      </c>
      <c r="S813" s="442">
        <f>'Leader RSP'!GT185</f>
        <v>41.169195000000002</v>
      </c>
      <c r="T813" s="442">
        <f>'Leader RSP'!GU185</f>
        <v>41.169195000000002</v>
      </c>
      <c r="U813" s="442">
        <f>'Leader RSP'!GV185</f>
        <v>41.169195000000002</v>
      </c>
      <c r="V813" s="442">
        <f>'Leader RSP'!GW185</f>
        <v>45.442885950000004</v>
      </c>
      <c r="W813" s="442">
        <f>'Leader RSP'!GX185</f>
        <v>50.176867999500004</v>
      </c>
      <c r="X813" s="442">
        <f>'Leader RSP'!GY185</f>
        <v>50.176867999500004</v>
      </c>
      <c r="Y813" s="442">
        <f>'Leader RSP'!GZ185</f>
        <v>50.176867999500004</v>
      </c>
      <c r="Z813" s="442">
        <f>'Leader RSP'!HA185</f>
        <v>50.176867999500004</v>
      </c>
      <c r="AA813" s="442">
        <f>'Leader RSP'!HB185</f>
        <v>50.176867999500004</v>
      </c>
      <c r="AB813" s="442">
        <f>'Leader RSP'!HC185</f>
        <v>50.176867999500004</v>
      </c>
      <c r="AC813" s="442">
        <f>'Leader RSP'!HD185</f>
        <v>50.176867999500004</v>
      </c>
      <c r="AD813" s="1129">
        <f>SUM(R813:AC813)</f>
        <v>566.10804694650005</v>
      </c>
    </row>
    <row r="814" spans="3:30">
      <c r="C814" s="212" t="s">
        <v>151</v>
      </c>
      <c r="D814" s="220"/>
      <c r="E814" s="239"/>
      <c r="F814" s="239"/>
      <c r="G814" s="239"/>
      <c r="H814" s="239"/>
      <c r="I814" s="398"/>
      <c r="Q814" s="703" t="s">
        <v>1116</v>
      </c>
      <c r="R814" s="720">
        <f>'Leader RSP'!GS186</f>
        <v>0</v>
      </c>
      <c r="S814" s="720">
        <f>'Leader RSP'!GT186</f>
        <v>0</v>
      </c>
      <c r="T814" s="720">
        <f>'Leader RSP'!GU186</f>
        <v>0</v>
      </c>
      <c r="U814" s="720">
        <f>'Leader RSP'!GV186</f>
        <v>0</v>
      </c>
      <c r="V814" s="720">
        <f>'Leader RSP'!GW186</f>
        <v>0</v>
      </c>
      <c r="W814" s="720">
        <f>'Leader RSP'!GX186</f>
        <v>0</v>
      </c>
      <c r="X814" s="720">
        <f>'Leader RSP'!GY186</f>
        <v>0</v>
      </c>
      <c r="Y814" s="720">
        <f>'Leader RSP'!GZ186</f>
        <v>0</v>
      </c>
      <c r="Z814" s="720">
        <f>'Leader RSP'!HA186</f>
        <v>0</v>
      </c>
      <c r="AA814" s="720">
        <f>'Leader RSP'!HB186</f>
        <v>0</v>
      </c>
      <c r="AB814" s="720">
        <f>'Leader RSP'!HC186</f>
        <v>0</v>
      </c>
      <c r="AC814" s="720">
        <f>'Leader RSP'!HD186</f>
        <v>0</v>
      </c>
      <c r="AD814" s="1130">
        <f>SUM(R814:AC814)</f>
        <v>0</v>
      </c>
    </row>
    <row r="815" spans="3:30">
      <c r="C815" s="399" t="s">
        <v>152</v>
      </c>
      <c r="D815" s="220" t="s">
        <v>153</v>
      </c>
      <c r="E815" s="239"/>
      <c r="F815" s="385"/>
      <c r="G815" s="385"/>
      <c r="H815" s="385"/>
      <c r="I815" s="385"/>
      <c r="Q815" s="658" t="s">
        <v>221</v>
      </c>
      <c r="R815" s="827">
        <f>SUM(R811:R814)</f>
        <v>323.75750000000005</v>
      </c>
      <c r="S815" s="827">
        <f t="shared" ref="S815:AD815" si="745">SUM(S811:S814)</f>
        <v>291.22339500000004</v>
      </c>
      <c r="T815" s="827">
        <f t="shared" si="745"/>
        <v>291.22339500000004</v>
      </c>
      <c r="U815" s="827">
        <f t="shared" si="745"/>
        <v>291.22339500000004</v>
      </c>
      <c r="V815" s="827">
        <f t="shared" si="745"/>
        <v>320.50250595000011</v>
      </c>
      <c r="W815" s="827">
        <f t="shared" si="745"/>
        <v>352.74244999950008</v>
      </c>
      <c r="X815" s="827">
        <f t="shared" si="745"/>
        <v>352.74244999950008</v>
      </c>
      <c r="Y815" s="827">
        <f t="shared" si="745"/>
        <v>382.99900819950011</v>
      </c>
      <c r="Z815" s="827">
        <f t="shared" si="745"/>
        <v>416.28122221950025</v>
      </c>
      <c r="AA815" s="827">
        <f t="shared" si="745"/>
        <v>416.28122221950025</v>
      </c>
      <c r="AB815" s="827">
        <f t="shared" si="745"/>
        <v>452.89165764150027</v>
      </c>
      <c r="AC815" s="827">
        <f t="shared" si="745"/>
        <v>493.16313660570029</v>
      </c>
      <c r="AD815" s="1129">
        <f t="shared" si="745"/>
        <v>4385.0313378347018</v>
      </c>
    </row>
    <row r="816" spans="3:30">
      <c r="C816" s="399" t="s">
        <v>373</v>
      </c>
      <c r="D816" s="239"/>
      <c r="E816" s="256"/>
      <c r="F816" s="239"/>
      <c r="G816" s="239"/>
      <c r="H816" s="239"/>
      <c r="I816" s="239"/>
    </row>
    <row r="817" spans="3:9">
      <c r="C817" s="367" t="s">
        <v>154</v>
      </c>
      <c r="D817" s="239"/>
      <c r="E817" s="256"/>
      <c r="F817" s="239"/>
      <c r="G817" s="239"/>
      <c r="H817" s="239"/>
      <c r="I817" s="239"/>
    </row>
    <row r="818" spans="3:9">
      <c r="C818" s="280" t="s">
        <v>155</v>
      </c>
      <c r="D818" s="239"/>
      <c r="E818" s="256"/>
      <c r="F818" s="239"/>
      <c r="G818" s="239"/>
      <c r="H818" s="239"/>
      <c r="I818" s="239"/>
    </row>
    <row r="819" spans="3:9">
      <c r="C819" s="239"/>
      <c r="D819" s="239"/>
      <c r="E819" s="239"/>
      <c r="F819" s="239"/>
      <c r="G819" s="239"/>
      <c r="H819" s="239"/>
      <c r="I819" s="239"/>
    </row>
    <row r="820" spans="3:9">
      <c r="C820" s="380" t="s">
        <v>134</v>
      </c>
      <c r="D820" s="400"/>
      <c r="E820" s="400"/>
      <c r="F820" s="401"/>
      <c r="G820" s="401"/>
      <c r="H820" s="402"/>
      <c r="I820" s="401"/>
    </row>
    <row r="821" spans="3:9">
      <c r="C821" s="381">
        <v>30</v>
      </c>
      <c r="D821" s="382" t="s">
        <v>374</v>
      </c>
      <c r="E821" s="382"/>
      <c r="F821" s="382"/>
      <c r="G821" s="382"/>
      <c r="H821" s="382"/>
      <c r="I821" s="382"/>
    </row>
    <row r="822" spans="3:9">
      <c r="C822" s="383"/>
      <c r="D822" s="277" t="s">
        <v>156</v>
      </c>
      <c r="E822" s="31"/>
      <c r="F822" s="403"/>
      <c r="G822" s="404"/>
      <c r="H822" s="405"/>
      <c r="I822" s="31"/>
    </row>
    <row r="823" spans="3:9">
      <c r="C823" s="380"/>
      <c r="D823" s="400"/>
      <c r="E823" s="400"/>
      <c r="F823" s="401"/>
      <c r="G823" s="401"/>
      <c r="H823" s="402"/>
      <c r="I823" s="401"/>
    </row>
    <row r="824" spans="3:9">
      <c r="C824" s="378"/>
      <c r="D824" s="379"/>
      <c r="E824" s="379"/>
      <c r="F824" s="379"/>
      <c r="G824" s="379"/>
      <c r="H824" s="379"/>
      <c r="I824" s="379"/>
    </row>
    <row r="825" spans="3:9">
      <c r="C825" s="239"/>
      <c r="D825" s="239"/>
      <c r="E825" s="239"/>
      <c r="F825" s="239"/>
      <c r="G825" s="239"/>
      <c r="H825" s="239"/>
      <c r="I825" s="239"/>
    </row>
    <row r="826" spans="3:9">
      <c r="C826" s="239"/>
      <c r="D826" s="239"/>
      <c r="E826" s="239"/>
      <c r="F826" s="239"/>
      <c r="G826" s="239"/>
      <c r="H826" s="239"/>
      <c r="I826" s="239"/>
    </row>
    <row r="827" spans="3:9">
      <c r="C827" s="258" t="s">
        <v>157</v>
      </c>
      <c r="D827" s="223"/>
      <c r="E827" s="239"/>
      <c r="F827" s="239"/>
      <c r="G827" s="239"/>
      <c r="H827" s="239"/>
      <c r="I827" s="239"/>
    </row>
    <row r="828" spans="3:9" ht="43.5">
      <c r="C828" s="882" t="s">
        <v>114</v>
      </c>
      <c r="D828" s="263" t="s">
        <v>158</v>
      </c>
      <c r="E828" s="406" t="s">
        <v>159</v>
      </c>
      <c r="F828" s="407" t="s">
        <v>160</v>
      </c>
      <c r="G828" s="406" t="s">
        <v>161</v>
      </c>
      <c r="H828" s="318" t="s">
        <v>162</v>
      </c>
      <c r="I828" s="408" t="s">
        <v>118</v>
      </c>
    </row>
    <row r="829" spans="3:9">
      <c r="C829" s="243" t="s">
        <v>119</v>
      </c>
      <c r="D829" s="393">
        <v>20</v>
      </c>
      <c r="E829" s="350">
        <v>10</v>
      </c>
      <c r="F829" s="349">
        <v>2</v>
      </c>
      <c r="G829" s="350">
        <v>1</v>
      </c>
      <c r="H829" s="350">
        <v>5</v>
      </c>
      <c r="I829" s="409">
        <v>18</v>
      </c>
    </row>
    <row r="830" spans="3:9">
      <c r="C830" s="243" t="s">
        <v>120</v>
      </c>
      <c r="D830" s="393">
        <v>40</v>
      </c>
      <c r="E830" s="354">
        <v>10</v>
      </c>
      <c r="F830" s="349">
        <v>3</v>
      </c>
      <c r="G830" s="354">
        <v>2</v>
      </c>
      <c r="H830" s="354">
        <v>9</v>
      </c>
      <c r="I830" s="409">
        <v>18</v>
      </c>
    </row>
    <row r="831" spans="3:9">
      <c r="C831" s="243" t="s">
        <v>121</v>
      </c>
      <c r="D831" s="393">
        <v>60</v>
      </c>
      <c r="E831" s="354">
        <v>10</v>
      </c>
      <c r="F831" s="349">
        <v>4</v>
      </c>
      <c r="G831" s="354">
        <v>2</v>
      </c>
      <c r="H831" s="354">
        <v>10</v>
      </c>
      <c r="I831" s="409">
        <v>18</v>
      </c>
    </row>
    <row r="832" spans="3:9">
      <c r="C832" s="243" t="s">
        <v>122</v>
      </c>
      <c r="D832" s="393">
        <v>90</v>
      </c>
      <c r="E832" s="354">
        <v>20</v>
      </c>
      <c r="F832" s="356">
        <v>6</v>
      </c>
      <c r="G832" s="354">
        <v>2</v>
      </c>
      <c r="H832" s="354"/>
      <c r="I832" s="409">
        <v>15</v>
      </c>
    </row>
    <row r="833" spans="3:9">
      <c r="C833" s="243" t="s">
        <v>123</v>
      </c>
      <c r="D833" s="393">
        <v>100</v>
      </c>
      <c r="E833" s="354">
        <v>20</v>
      </c>
      <c r="F833" s="356">
        <v>8</v>
      </c>
      <c r="G833" s="354">
        <v>3</v>
      </c>
      <c r="H833" s="354"/>
      <c r="I833" s="409">
        <v>15</v>
      </c>
    </row>
    <row r="834" spans="3:9">
      <c r="C834" s="243" t="s">
        <v>124</v>
      </c>
      <c r="D834" s="393">
        <v>100</v>
      </c>
      <c r="E834" s="354">
        <v>20</v>
      </c>
      <c r="F834" s="356">
        <v>8</v>
      </c>
      <c r="G834" s="354">
        <v>3</v>
      </c>
      <c r="H834" s="354"/>
      <c r="I834" s="409">
        <v>15</v>
      </c>
    </row>
    <row r="835" spans="3:9">
      <c r="C835" s="243" t="s">
        <v>125</v>
      </c>
      <c r="D835" s="393">
        <v>125</v>
      </c>
      <c r="E835" s="354">
        <v>20</v>
      </c>
      <c r="F835" s="356">
        <v>10</v>
      </c>
      <c r="G835" s="354">
        <v>4</v>
      </c>
      <c r="H835" s="354"/>
      <c r="I835" s="409">
        <v>12</v>
      </c>
    </row>
    <row r="836" spans="3:9">
      <c r="C836" s="243" t="s">
        <v>126</v>
      </c>
      <c r="D836" s="393">
        <v>125</v>
      </c>
      <c r="E836" s="354">
        <v>20</v>
      </c>
      <c r="F836" s="356">
        <v>10</v>
      </c>
      <c r="G836" s="354">
        <v>4</v>
      </c>
      <c r="H836" s="354"/>
      <c r="I836" s="409">
        <v>12</v>
      </c>
    </row>
    <row r="837" spans="3:9">
      <c r="C837" s="243" t="s">
        <v>127</v>
      </c>
      <c r="D837" s="393">
        <v>150</v>
      </c>
      <c r="E837" s="354">
        <v>20</v>
      </c>
      <c r="F837" s="356">
        <v>12</v>
      </c>
      <c r="G837" s="354">
        <v>5</v>
      </c>
      <c r="H837" s="354"/>
      <c r="I837" s="409">
        <v>12</v>
      </c>
    </row>
    <row r="838" spans="3:9">
      <c r="C838" s="243" t="s">
        <v>163</v>
      </c>
      <c r="D838" s="393">
        <v>150</v>
      </c>
      <c r="E838" s="354">
        <v>20</v>
      </c>
      <c r="F838" s="356">
        <v>12</v>
      </c>
      <c r="G838" s="354">
        <v>5</v>
      </c>
      <c r="H838" s="354"/>
      <c r="I838" s="409">
        <v>12</v>
      </c>
    </row>
    <row r="839" spans="3:9">
      <c r="C839" s="243" t="s">
        <v>164</v>
      </c>
      <c r="D839" s="393">
        <v>170</v>
      </c>
      <c r="E839" s="410">
        <v>20</v>
      </c>
      <c r="F839" s="356">
        <v>12</v>
      </c>
      <c r="G839" s="354" t="s">
        <v>165</v>
      </c>
      <c r="H839" s="354"/>
      <c r="I839" s="409">
        <v>12</v>
      </c>
    </row>
    <row r="840" spans="3:9">
      <c r="C840" s="882" t="s">
        <v>166</v>
      </c>
      <c r="D840" s="394">
        <v>170</v>
      </c>
      <c r="E840" s="361">
        <v>20</v>
      </c>
      <c r="F840" s="360">
        <v>12</v>
      </c>
      <c r="G840" s="361" t="s">
        <v>165</v>
      </c>
      <c r="H840" s="361"/>
      <c r="I840" s="411">
        <v>12</v>
      </c>
    </row>
    <row r="841" spans="3:9">
      <c r="C841" s="256" t="s">
        <v>167</v>
      </c>
      <c r="D841" s="396">
        <f>SUM(D829:D840)</f>
        <v>1300</v>
      </c>
      <c r="E841" s="412">
        <f>SUM(E829:E840)</f>
        <v>210</v>
      </c>
      <c r="F841" s="397">
        <f>SUM(F829:F840)</f>
        <v>99</v>
      </c>
      <c r="G841" s="413">
        <v>6</v>
      </c>
      <c r="H841" s="318"/>
      <c r="I841" s="414">
        <f>SUM(I829:I840)</f>
        <v>171</v>
      </c>
    </row>
    <row r="842" spans="3:9">
      <c r="C842" s="239"/>
      <c r="D842" s="239" t="s">
        <v>168</v>
      </c>
      <c r="E842" s="239"/>
      <c r="F842" s="239" t="s">
        <v>169</v>
      </c>
      <c r="G842" s="239"/>
      <c r="H842" s="318"/>
      <c r="I842" s="239"/>
    </row>
    <row r="843" spans="3:9">
      <c r="C843" s="220" t="s">
        <v>170</v>
      </c>
      <c r="D843" s="239"/>
      <c r="E843" s="239"/>
      <c r="F843" s="239"/>
      <c r="G843" s="239"/>
      <c r="H843" s="318"/>
      <c r="I843" s="239"/>
    </row>
    <row r="844" spans="3:9">
      <c r="C844" s="256" t="s">
        <v>171</v>
      </c>
      <c r="D844" s="220" t="s">
        <v>172</v>
      </c>
      <c r="E844" s="239"/>
      <c r="F844" s="239"/>
      <c r="G844" s="239"/>
      <c r="H844" s="318"/>
      <c r="I844" s="239"/>
    </row>
    <row r="845" spans="3:9">
      <c r="C845" s="239"/>
      <c r="D845" s="220" t="s">
        <v>173</v>
      </c>
      <c r="E845" s="239"/>
      <c r="F845" s="239"/>
      <c r="G845" s="239"/>
      <c r="H845" s="318"/>
      <c r="I845" s="398"/>
    </row>
    <row r="846" spans="3:9">
      <c r="C846" s="239"/>
      <c r="D846" s="220" t="s">
        <v>174</v>
      </c>
      <c r="E846" s="239"/>
      <c r="F846" s="239"/>
      <c r="G846" s="239"/>
      <c r="H846" s="239"/>
      <c r="I846" s="239"/>
    </row>
    <row r="847" spans="3:9">
      <c r="C847" s="220" t="s">
        <v>175</v>
      </c>
      <c r="D847" s="239"/>
      <c r="E847" s="231"/>
      <c r="F847" s="231"/>
      <c r="G847" s="231"/>
      <c r="H847" s="231"/>
      <c r="I847" s="231"/>
    </row>
    <row r="848" spans="3:9">
      <c r="C848" s="220"/>
      <c r="D848" s="239"/>
      <c r="E848" s="231"/>
      <c r="F848" s="231"/>
      <c r="G848" s="231"/>
      <c r="H848" s="231"/>
      <c r="I848" s="231"/>
    </row>
    <row r="849" spans="3:9">
      <c r="C849" s="380" t="s">
        <v>134</v>
      </c>
      <c r="D849" s="400"/>
      <c r="E849" s="400"/>
      <c r="F849" s="401"/>
      <c r="G849" s="401"/>
      <c r="H849" s="402"/>
      <c r="I849" s="401"/>
    </row>
    <row r="850" spans="3:9">
      <c r="C850" s="381">
        <v>30</v>
      </c>
      <c r="D850" s="382" t="s">
        <v>374</v>
      </c>
      <c r="E850" s="379"/>
      <c r="F850" s="379"/>
      <c r="G850" s="379"/>
      <c r="H850" s="379"/>
      <c r="I850" s="379"/>
    </row>
    <row r="851" spans="3:9">
      <c r="C851" s="383"/>
      <c r="D851" s="277" t="s">
        <v>156</v>
      </c>
      <c r="E851" s="210"/>
      <c r="F851" s="210"/>
      <c r="G851" s="210"/>
      <c r="H851" s="210"/>
      <c r="I851" s="210"/>
    </row>
  </sheetData>
  <mergeCells count="33">
    <mergeCell ref="D45:E45"/>
    <mergeCell ref="D46:E46"/>
    <mergeCell ref="D47:E47"/>
    <mergeCell ref="D51:E51"/>
    <mergeCell ref="D52:E52"/>
    <mergeCell ref="D48:E48"/>
    <mergeCell ref="D49:E49"/>
    <mergeCell ref="D50:E50"/>
    <mergeCell ref="AA71:AC71"/>
    <mergeCell ref="AD71:AF71"/>
    <mergeCell ref="AG71:AI71"/>
    <mergeCell ref="F45:H45"/>
    <mergeCell ref="X45:Z45"/>
    <mergeCell ref="AA45:AC45"/>
    <mergeCell ref="AD45:AF45"/>
    <mergeCell ref="AA103:AC103"/>
    <mergeCell ref="AD103:AF103"/>
    <mergeCell ref="AG103:AI103"/>
    <mergeCell ref="E180:G180"/>
    <mergeCell ref="AA81:AC81"/>
    <mergeCell ref="X81:Z81"/>
    <mergeCell ref="AD81:AF81"/>
    <mergeCell ref="AG81:AI81"/>
    <mergeCell ref="X92:Z92"/>
    <mergeCell ref="AA92:AC92"/>
    <mergeCell ref="AD92:AF92"/>
    <mergeCell ref="AG92:AI92"/>
    <mergeCell ref="C727:D727"/>
    <mergeCell ref="C334:D334"/>
    <mergeCell ref="E334:H334"/>
    <mergeCell ref="D719:E719"/>
    <mergeCell ref="X103:Z103"/>
    <mergeCell ref="D134:E134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V356"/>
  <sheetViews>
    <sheetView showGridLines="0" zoomScale="80" zoomScaleNormal="80" workbookViewId="0">
      <selection activeCell="J31" sqref="J31"/>
    </sheetView>
  </sheetViews>
  <sheetFormatPr defaultRowHeight="15"/>
  <cols>
    <col min="1" max="1" width="2.140625" customWidth="1"/>
    <col min="4" max="4" width="11.42578125" customWidth="1"/>
    <col min="5" max="9" width="12.5703125" customWidth="1"/>
    <col min="10" max="10" width="12.5703125" style="489" customWidth="1"/>
    <col min="11" max="12" width="12.5703125" customWidth="1"/>
    <col min="13" max="14" width="15.85546875" bestFit="1" customWidth="1"/>
    <col min="15" max="15" width="12" bestFit="1" customWidth="1"/>
    <col min="25" max="25" width="9.85546875" bestFit="1" customWidth="1"/>
    <col min="26" max="29" width="10.85546875" bestFit="1" customWidth="1"/>
  </cols>
  <sheetData>
    <row r="2" spans="2:14" ht="21">
      <c r="B2" s="1432" t="s">
        <v>1435</v>
      </c>
      <c r="G2" s="464"/>
      <c r="H2" s="464"/>
      <c r="I2" s="464"/>
      <c r="J2" s="1508"/>
      <c r="K2" s="464"/>
      <c r="L2" s="464"/>
    </row>
    <row r="3" spans="2:14">
      <c r="G3" s="442"/>
      <c r="H3" s="442"/>
      <c r="I3" s="442"/>
      <c r="J3" s="904"/>
      <c r="K3" s="442"/>
      <c r="L3" s="442"/>
    </row>
    <row r="4" spans="2:14" ht="18" customHeight="1">
      <c r="B4" s="1433" t="s">
        <v>1436</v>
      </c>
      <c r="C4" s="1434"/>
      <c r="D4" s="1435"/>
      <c r="E4" s="1436">
        <v>2015</v>
      </c>
      <c r="F4" s="1436">
        <v>2016</v>
      </c>
      <c r="G4" s="1436">
        <v>2017</v>
      </c>
      <c r="H4" s="1436">
        <v>2018</v>
      </c>
      <c r="I4" s="1436">
        <v>2019</v>
      </c>
      <c r="J4" s="1509">
        <v>2020</v>
      </c>
      <c r="K4" s="1436">
        <v>2021</v>
      </c>
      <c r="L4" s="1436">
        <v>2022</v>
      </c>
    </row>
    <row r="5" spans="2:14" ht="18" customHeight="1">
      <c r="B5" s="1438" t="s">
        <v>1437</v>
      </c>
      <c r="C5" s="1437"/>
      <c r="D5" s="1437"/>
      <c r="E5" s="1437"/>
      <c r="F5" s="1437"/>
      <c r="G5" s="1437"/>
      <c r="H5" s="1437"/>
      <c r="I5" s="1437"/>
      <c r="J5" s="1510"/>
      <c r="K5" s="1437"/>
      <c r="L5" s="1439"/>
    </row>
    <row r="6" spans="2:14" ht="18" customHeight="1">
      <c r="B6" s="1440" t="s">
        <v>1438</v>
      </c>
      <c r="C6" s="1441"/>
      <c r="D6" s="1442"/>
      <c r="E6" s="1443">
        <f>[1]Summary!E8</f>
        <v>994</v>
      </c>
      <c r="F6" s="1443">
        <f>[1]Summary!F8</f>
        <v>1902.2251123898</v>
      </c>
      <c r="G6" s="1443">
        <f>[1]Summary!G8</f>
        <v>2508.4328014594726</v>
      </c>
      <c r="H6" s="1443">
        <f>[1]Summary!H8</f>
        <v>2964.6959881171629</v>
      </c>
      <c r="I6" s="1443">
        <f>[1]Summary!I8</f>
        <v>3592.8349340910254</v>
      </c>
      <c r="J6" s="1511">
        <f>[1]Summary!J8</f>
        <v>3905.0757369174785</v>
      </c>
      <c r="K6" s="1443">
        <f>[1]Summary!K8</f>
        <v>4497.143389184972</v>
      </c>
      <c r="L6" s="1443">
        <f>[1]Summary!L8</f>
        <v>5133.8735087424111</v>
      </c>
    </row>
    <row r="7" spans="2:14" ht="18" customHeight="1">
      <c r="B7" s="1440" t="s">
        <v>1451</v>
      </c>
      <c r="C7" s="1441"/>
      <c r="D7" s="1442"/>
      <c r="E7" s="1443"/>
      <c r="F7" s="1443"/>
      <c r="G7" s="1443">
        <f>AVERAGE('[1]Total Agency'!$Z$11:$AK$11)</f>
        <v>2120.5628273667303</v>
      </c>
      <c r="H7" s="1443">
        <f>AVERAGE('[1]Total Agency'!$AL$11:$AW$11)</f>
        <v>2610.0499949200407</v>
      </c>
      <c r="I7" s="1443">
        <f>AVERAGE('[1]Total Agency'!$AX$11:$BI$11)</f>
        <v>3205.6014055160836</v>
      </c>
      <c r="J7" s="1511">
        <f>AVERAGE('[1]Total Agency'!$BJ$11:$BU$11)</f>
        <v>3644.0068615851724</v>
      </c>
      <c r="K7" s="1443">
        <f>AVERAGE('[1]Total Agency'!$BV$11:$CG$11)</f>
        <v>4127.3138784894873</v>
      </c>
      <c r="L7" s="1443">
        <f>AVERAGE('[1]Total Agency'!$CH$11:$CS$11)</f>
        <v>4723.025846135346</v>
      </c>
    </row>
    <row r="8" spans="2:14" ht="18" customHeight="1">
      <c r="B8" s="1444" t="s">
        <v>1439</v>
      </c>
      <c r="C8" s="1441"/>
      <c r="D8" s="1442"/>
      <c r="E8" s="1445">
        <f>[1]Summary!E9</f>
        <v>0.30862733471686926</v>
      </c>
      <c r="F8" s="1445">
        <f>[1]Summary!F9</f>
        <v>0.31722040253240313</v>
      </c>
      <c r="G8" s="1445">
        <f>[1]Summary!G9</f>
        <v>0.29497624576059656</v>
      </c>
      <c r="H8" s="1445">
        <f>[1]Summary!H9</f>
        <v>0.30384004518452984</v>
      </c>
      <c r="I8" s="1445">
        <f>[1]Summary!I9</f>
        <v>0.30148766316149822</v>
      </c>
      <c r="J8" s="1512">
        <f>[1]Summary!J9</f>
        <v>0.30036127927385681</v>
      </c>
      <c r="K8" s="1445">
        <f>[1]Summary!K9</f>
        <v>0.30131126640023598</v>
      </c>
      <c r="L8" s="1445">
        <f>[1]Summary!L9</f>
        <v>0.30150427477770436</v>
      </c>
    </row>
    <row r="9" spans="2:14" ht="18" customHeight="1">
      <c r="B9" s="1444" t="s">
        <v>1440</v>
      </c>
      <c r="C9" s="1441"/>
      <c r="D9" s="1442"/>
      <c r="E9" s="1446">
        <f>[1]Summary!E10</f>
        <v>1.6916426512968299</v>
      </c>
      <c r="F9" s="1446">
        <f>[1]Summary!F10</f>
        <v>1.99432892483585</v>
      </c>
      <c r="G9" s="1446">
        <f>[1]Summary!G10</f>
        <v>1.9760936497463046</v>
      </c>
      <c r="H9" s="1446">
        <f>[1]Summary!H10</f>
        <v>1.9631488654199447</v>
      </c>
      <c r="I9" s="1446">
        <f>[1]Summary!I10</f>
        <v>1.9840097674105779</v>
      </c>
      <c r="J9" s="1513">
        <f>[1]Summary!J10</f>
        <v>1.9709361185818006</v>
      </c>
      <c r="K9" s="1446">
        <f>[1]Summary!K10</f>
        <v>1.9739040756997071</v>
      </c>
      <c r="L9" s="1446">
        <f>[1]Summary!L10</f>
        <v>1.9751923780079468</v>
      </c>
    </row>
    <row r="10" spans="2:14" ht="18" customHeight="1">
      <c r="B10" s="1444" t="s">
        <v>1441</v>
      </c>
      <c r="C10" s="1441"/>
      <c r="D10" s="1442"/>
      <c r="E10" s="1443">
        <f>[1]Summary!E11</f>
        <v>807</v>
      </c>
      <c r="F10" s="1443">
        <f>[1]Summary!F11</f>
        <v>1061</v>
      </c>
      <c r="G10" s="1443">
        <f>[1]Summary!G11</f>
        <v>550</v>
      </c>
      <c r="H10" s="1443">
        <f>[1]Summary!H11</f>
        <v>600</v>
      </c>
      <c r="I10" s="1443">
        <f>[1]Summary!I11</f>
        <v>460</v>
      </c>
      <c r="J10" s="1511">
        <f>[1]Summary!J11</f>
        <v>240</v>
      </c>
      <c r="K10" s="1443">
        <f>[1]Summary!K11</f>
        <v>240</v>
      </c>
      <c r="L10" s="1443">
        <f>[1]Summary!L11</f>
        <v>240</v>
      </c>
    </row>
    <row r="11" spans="2:14" ht="18" customHeight="1">
      <c r="B11" s="1444" t="s">
        <v>1442</v>
      </c>
      <c r="C11" s="1441"/>
      <c r="D11" s="1442"/>
      <c r="E11" s="1443">
        <f>[1]Summary!E12</f>
        <v>7797</v>
      </c>
      <c r="F11" s="1443">
        <f>[1]Summary!F12</f>
        <v>11124.831529778599</v>
      </c>
      <c r="G11" s="1443">
        <f>[1]Summary!G12</f>
        <v>15382.93032320885</v>
      </c>
      <c r="H11" s="1443">
        <f>[1]Summary!H12</f>
        <v>19282.212929541856</v>
      </c>
      <c r="I11" s="1443">
        <f>[1]Summary!I12</f>
        <v>23469.337657971824</v>
      </c>
      <c r="J11" s="1511">
        <f>[1]Summary!J12</f>
        <v>26126.714010511419</v>
      </c>
      <c r="K11" s="1443">
        <f>[1]Summary!K12</f>
        <v>29697.111487265938</v>
      </c>
      <c r="L11" s="1443">
        <f>[1]Summary!L12</f>
        <v>33992.383219356852</v>
      </c>
      <c r="M11" s="711"/>
    </row>
    <row r="12" spans="2:14" ht="18" customHeight="1">
      <c r="B12" s="1444" t="s">
        <v>1443</v>
      </c>
      <c r="C12" s="1441"/>
      <c r="D12" s="1442"/>
      <c r="E12" s="1443">
        <f>[1]Summary!E13</f>
        <v>4117</v>
      </c>
      <c r="F12" s="1443">
        <f>[1]Summary!F13</f>
        <v>10244.923698985</v>
      </c>
      <c r="G12" s="1443">
        <f>[1]Summary!G13</f>
        <v>14741.670769023571</v>
      </c>
      <c r="H12" s="1443">
        <f>[1]Summary!H13</f>
        <v>17485.917328914958</v>
      </c>
      <c r="I12" s="1443">
        <f>[1]Summary!I13</f>
        <v>21566.585749495702</v>
      </c>
      <c r="J12" s="1511">
        <f>[1]Summary!J13</f>
        <v>24339.48890427122</v>
      </c>
      <c r="K12" s="1443">
        <f>[1]Summary!K13</f>
        <v>27603.838470002378</v>
      </c>
      <c r="L12" s="1443">
        <f>[1]Summary!L13</f>
        <v>31669.217270708541</v>
      </c>
      <c r="M12" s="572"/>
      <c r="N12" s="711"/>
    </row>
    <row r="13" spans="2:14" ht="18" customHeight="1">
      <c r="B13" s="1444" t="s">
        <v>465</v>
      </c>
      <c r="C13" s="1441"/>
      <c r="D13" s="1442"/>
      <c r="E13" s="1446"/>
      <c r="F13" s="1446"/>
      <c r="G13" s="1446"/>
      <c r="H13" s="1443">
        <f>AVERAGE('[1]Total Agency'!$AL$40:$AW$40)</f>
        <v>14945.314522993167</v>
      </c>
      <c r="I13" s="1443">
        <f>AVERAGE('[1]Total Agency'!$AX$40:$BI$40)</f>
        <v>18145.368976538026</v>
      </c>
      <c r="J13" s="1511">
        <f>AVERAGE('[1]Total Agency'!$BJ$40:$BU$40)</f>
        <v>21536.576060762931</v>
      </c>
      <c r="K13" s="1443">
        <f>AVERAGE('[1]Total Agency'!$BV$40:$CG$40)</f>
        <v>24271.281372679456</v>
      </c>
      <c r="L13" s="1443">
        <f>AVERAGE('[1]Total Agency'!$CH$40:$CS$40)</f>
        <v>27745.195182167652</v>
      </c>
    </row>
    <row r="14" spans="2:14" ht="18" customHeight="1">
      <c r="B14" s="1447" t="s">
        <v>1444</v>
      </c>
      <c r="C14" s="1441"/>
      <c r="D14" s="1442"/>
      <c r="E14" s="1443"/>
      <c r="F14" s="1443"/>
      <c r="G14" s="1443"/>
      <c r="H14" s="1443"/>
      <c r="I14" s="1443"/>
      <c r="J14" s="1511"/>
      <c r="K14" s="1443"/>
      <c r="L14" s="1443"/>
    </row>
    <row r="15" spans="2:14" ht="18" customHeight="1">
      <c r="B15" s="1444" t="s">
        <v>635</v>
      </c>
      <c r="C15" s="1441"/>
      <c r="D15" s="1442"/>
      <c r="E15" s="1443">
        <f>[1]Summary!E16</f>
        <v>5648</v>
      </c>
      <c r="F15" s="1443">
        <f>[1]Summary!F16</f>
        <v>18091.673146246114</v>
      </c>
      <c r="G15" s="1443">
        <f>[1]Summary!G16</f>
        <v>29395.952996976965</v>
      </c>
      <c r="H15" s="1443">
        <f>[1]Summary!H16</f>
        <v>37486.632650057356</v>
      </c>
      <c r="I15" s="1443">
        <f>[1]Summary!I16</f>
        <v>47707.734746382368</v>
      </c>
      <c r="J15" s="1511">
        <f>[1]Summary!J16</f>
        <v>56924.891314878638</v>
      </c>
      <c r="K15" s="1443">
        <f>[1]Summary!K16</f>
        <v>65976.24960569384</v>
      </c>
      <c r="L15" s="1443">
        <f>[1]Summary!L16</f>
        <v>75887.789556690652</v>
      </c>
    </row>
    <row r="16" spans="2:14" ht="18" customHeight="1">
      <c r="B16" s="1444" t="s">
        <v>495</v>
      </c>
      <c r="C16" s="1441"/>
      <c r="D16" s="1442"/>
      <c r="E16" s="1445">
        <f>[1]Summary!E17</f>
        <v>0.29070695112849682</v>
      </c>
      <c r="F16" s="1445">
        <f>[1]Summary!F17</f>
        <v>0.23578557538102102</v>
      </c>
      <c r="G16" s="1445">
        <f>[1]Summary!G17</f>
        <v>0.20909422924719515</v>
      </c>
      <c r="H16" s="1445">
        <f>[1]Summary!H17</f>
        <v>0.20902109817531037</v>
      </c>
      <c r="I16" s="1445">
        <f>[1]Summary!I17</f>
        <v>0.21909968143050945</v>
      </c>
      <c r="J16" s="1512">
        <f>[1]Summary!J17</f>
        <v>0.22026439715963406</v>
      </c>
      <c r="K16" s="1445">
        <f>[1]Summary!K17</f>
        <v>0.22652371401632046</v>
      </c>
      <c r="L16" s="1445">
        <f>[1]Summary!L17</f>
        <v>0.22793072535752404</v>
      </c>
    </row>
    <row r="17" spans="2:15" ht="18" customHeight="1">
      <c r="B17" s="1444" t="s">
        <v>1445</v>
      </c>
      <c r="C17" s="1441"/>
      <c r="D17" s="1442"/>
      <c r="E17" s="1446">
        <f>[1]Summary!E18</f>
        <v>1.6303116147308783</v>
      </c>
      <c r="F17" s="1446">
        <f>[1]Summary!F18</f>
        <v>1.5309299103746168</v>
      </c>
      <c r="G17" s="1446">
        <f>[1]Summary!G18</f>
        <v>1.4838163748627737</v>
      </c>
      <c r="H17" s="1446">
        <f>[1]Summary!H18</f>
        <v>1.555326142749482</v>
      </c>
      <c r="I17" s="1446">
        <f>[1]Summary!I18</f>
        <v>1.6247991659089773</v>
      </c>
      <c r="J17" s="1513">
        <f>[1]Summary!J18</f>
        <v>1.6582521884854549</v>
      </c>
      <c r="K17" s="1446">
        <f>[1]Summary!K18</f>
        <v>1.7155983365421703</v>
      </c>
      <c r="L17" s="1446">
        <f>[1]Summary!L18</f>
        <v>1.78003860080581</v>
      </c>
    </row>
    <row r="18" spans="2:15" ht="18" customHeight="1">
      <c r="B18" s="1444" t="s">
        <v>497</v>
      </c>
      <c r="C18" s="1441"/>
      <c r="D18" s="1442"/>
      <c r="E18" s="1446">
        <f>[1]Summary!E19</f>
        <v>19.940748262380538</v>
      </c>
      <c r="F18" s="1446">
        <f>[1]Summary!F19</f>
        <v>17.022629359639133</v>
      </c>
      <c r="G18" s="1446">
        <f>[1]Summary!G19</f>
        <v>16.051940334403685</v>
      </c>
      <c r="H18" s="1446">
        <f>[1]Summary!H19</f>
        <v>16.601734372738939</v>
      </c>
      <c r="I18" s="1446">
        <f>[1]Summary!I19</f>
        <v>17.424411684862505</v>
      </c>
      <c r="J18" s="1513">
        <f>[1]Summary!J19</f>
        <v>18.574387948417524</v>
      </c>
      <c r="K18" s="1446">
        <f>[1]Summary!K19</f>
        <v>20.115166719366094</v>
      </c>
      <c r="L18" s="1446">
        <f>[1]Summary!L19</f>
        <v>21.897961607341092</v>
      </c>
    </row>
    <row r="19" spans="2:15" ht="18" customHeight="1">
      <c r="B19" s="1444" t="s">
        <v>1446</v>
      </c>
      <c r="C19" s="1441"/>
      <c r="D19" s="1442"/>
      <c r="E19" s="1446">
        <f>[1]Summary!E20</f>
        <v>32.509633498583568</v>
      </c>
      <c r="F19" s="1446">
        <f>[1]Summary!F20</f>
        <v>26.060452439892657</v>
      </c>
      <c r="G19" s="1446">
        <f>[1]Summary!G20</f>
        <v>23.81813191650842</v>
      </c>
      <c r="H19" s="1446">
        <f>[1]Summary!H20</f>
        <v>25.821111484903543</v>
      </c>
      <c r="I19" s="1446">
        <f>[1]Summary!I20</f>
        <v>28.311169572019239</v>
      </c>
      <c r="J19" s="1513">
        <f>[1]Summary!J20</f>
        <v>30.801019465241218</v>
      </c>
      <c r="K19" s="1446">
        <f>[1]Summary!K20</f>
        <v>34.509546563012897</v>
      </c>
      <c r="L19" s="1446">
        <f>[1]Summary!L20</f>
        <v>38.979216940030781</v>
      </c>
    </row>
    <row r="20" spans="2:15" ht="18" customHeight="1">
      <c r="B20" s="1444" t="s">
        <v>1447</v>
      </c>
      <c r="C20" s="1441"/>
      <c r="D20" s="1442"/>
      <c r="E20" s="1446">
        <f>[1]Summary!E21</f>
        <v>9.4507764366780762</v>
      </c>
      <c r="F20" s="1446">
        <f>[1]Summary!F21</f>
        <v>6.1446787732298231</v>
      </c>
      <c r="G20" s="1446">
        <f>[1]Summary!G21</f>
        <v>4.9802339351903466</v>
      </c>
      <c r="H20" s="1446">
        <f>[1]Summary!H21</f>
        <v>5.3971570786816576</v>
      </c>
      <c r="I20" s="1446">
        <f>[1]Summary!I21</f>
        <v>6.2029682341545476</v>
      </c>
      <c r="J20" s="1513">
        <f>[1]Summary!J21</f>
        <v>6.7843679844135112</v>
      </c>
      <c r="K20" s="1446">
        <f>[1]Summary!K21</f>
        <v>7.8172306564728284</v>
      </c>
      <c r="L20" s="1446">
        <f>[1]Summary!L21</f>
        <v>8.884561191009503</v>
      </c>
    </row>
    <row r="21" spans="2:15" ht="18" customHeight="1">
      <c r="B21" s="1448" t="s">
        <v>499</v>
      </c>
      <c r="C21" s="1449"/>
      <c r="D21" s="1450"/>
      <c r="E21" s="1453">
        <f>[1]Summary!E22</f>
        <v>319929.83399999997</v>
      </c>
      <c r="F21" s="1453">
        <f>[1]Summary!F22</f>
        <v>471477.18758582999</v>
      </c>
      <c r="G21" s="1453">
        <f>[1]Summary!G22</f>
        <v>700156.68629347836</v>
      </c>
      <c r="H21" s="1453">
        <f>[1]Summary!H22</f>
        <v>967946.52085075621</v>
      </c>
      <c r="I21" s="1453">
        <f>[1]Summary!I22</f>
        <v>1350661.7683017454</v>
      </c>
      <c r="J21" s="1514">
        <f>[1]Summary!J22</f>
        <v>1753344.6854463178</v>
      </c>
      <c r="K21" s="1453">
        <f>[1]Summary!K22</f>
        <v>2276810.457820653</v>
      </c>
      <c r="L21" s="1453">
        <f>[1]Summary!L22</f>
        <v>2958046.6122296471</v>
      </c>
    </row>
    <row r="22" spans="2:15" ht="18" customHeight="1">
      <c r="B22" s="1448" t="s">
        <v>1448</v>
      </c>
      <c r="C22" s="1449"/>
      <c r="D22" s="1450"/>
      <c r="E22" s="1445">
        <f>[1]Summary!E23</f>
        <v>0</v>
      </c>
      <c r="F22" s="1445">
        <f>[1]Summary!F23</f>
        <v>0.47368934522633488</v>
      </c>
      <c r="G22" s="1445">
        <f>[1]Summary!G23</f>
        <v>0.48502770596089229</v>
      </c>
      <c r="H22" s="1445">
        <f>[1]Summary!H23</f>
        <v>0.38247129506813105</v>
      </c>
      <c r="I22" s="1445">
        <f>[1]Summary!I23</f>
        <v>0.39538883523710555</v>
      </c>
      <c r="J22" s="1512">
        <f>[1]Summary!J23</f>
        <v>0.29813749570396575</v>
      </c>
      <c r="K22" s="1445">
        <f>[1]Summary!K23</f>
        <v>0.29855269002117857</v>
      </c>
      <c r="L22" s="1445">
        <f>[1]Summary!L23</f>
        <v>0.29920635337430257</v>
      </c>
    </row>
    <row r="23" spans="2:15" ht="18" customHeight="1">
      <c r="B23" s="1444" t="s">
        <v>1449</v>
      </c>
      <c r="C23" s="1441"/>
      <c r="D23" s="1442"/>
      <c r="E23" s="1445">
        <f>[1]Summary!E24</f>
        <v>0.16912469626074336</v>
      </c>
      <c r="F23" s="1445">
        <f>[1]Summary!F24</f>
        <v>0.24037440507521143</v>
      </c>
      <c r="G23" s="1445">
        <f>[1]Summary!G24</f>
        <v>0.15981919412265855</v>
      </c>
      <c r="H23" s="1445">
        <f>[1]Summary!H24</f>
        <v>0.15266265563396306</v>
      </c>
      <c r="I23" s="1445">
        <f>[1]Summary!I24</f>
        <v>0.1523044294537324</v>
      </c>
      <c r="J23" s="1512">
        <f>[1]Summary!J24</f>
        <v>0.14329601880081852</v>
      </c>
      <c r="K23" s="1445">
        <f>[1]Summary!K24</f>
        <v>0.14403723413868064</v>
      </c>
      <c r="L23" s="1445">
        <f>[1]Summary!L24</f>
        <v>0.14411165345053914</v>
      </c>
    </row>
    <row r="24" spans="2:15">
      <c r="B24" s="1448" t="s">
        <v>206</v>
      </c>
      <c r="C24" s="1441"/>
      <c r="D24" s="1442"/>
      <c r="E24" s="1451"/>
      <c r="F24" s="1451"/>
      <c r="G24" s="1452">
        <f>G21*98%</f>
        <v>686153.55256760877</v>
      </c>
      <c r="H24" s="1452">
        <v>966153.14998061094</v>
      </c>
      <c r="I24" s="1452">
        <v>1351788.1862255593</v>
      </c>
      <c r="J24" s="1515">
        <v>1762533.0784256798</v>
      </c>
      <c r="K24" s="1452">
        <v>2290631.0416128035</v>
      </c>
      <c r="L24" s="1452">
        <v>2977820.3540966678</v>
      </c>
    </row>
    <row r="25" spans="2:15">
      <c r="H25" s="1122">
        <f>H20/G20-1</f>
        <v>8.3715574191270514E-2</v>
      </c>
      <c r="I25" s="1122">
        <f t="shared" ref="I25:K25" si="0">I20/H20-1</f>
        <v>0.14930289108237749</v>
      </c>
      <c r="J25" s="1516">
        <f t="shared" si="0"/>
        <v>9.3729280614026411E-2</v>
      </c>
      <c r="K25" s="1122">
        <f t="shared" si="0"/>
        <v>0.15224154621804553</v>
      </c>
      <c r="L25" s="1122">
        <f>L20/K20-1</f>
        <v>0.13653563281427594</v>
      </c>
    </row>
    <row r="26" spans="2:15">
      <c r="H26" s="1122"/>
      <c r="I26" s="1122"/>
      <c r="J26" s="1516"/>
      <c r="K26" s="1122"/>
      <c r="L26" s="1122"/>
    </row>
    <row r="27" spans="2:15" ht="19.5">
      <c r="B27" s="33" t="s">
        <v>1426</v>
      </c>
      <c r="H27" s="464"/>
      <c r="I27" s="464"/>
      <c r="J27" s="1508"/>
      <c r="K27" s="464"/>
      <c r="L27" s="464"/>
    </row>
    <row r="28" spans="2:15" ht="19.5">
      <c r="B28" s="33"/>
      <c r="H28" s="464"/>
      <c r="I28" s="464"/>
      <c r="J28" s="1508"/>
      <c r="K28" s="464"/>
      <c r="L28" s="464"/>
    </row>
    <row r="29" spans="2:15">
      <c r="B29" s="86" t="s">
        <v>1478</v>
      </c>
      <c r="H29" s="464"/>
      <c r="I29" s="464"/>
      <c r="J29" s="1508"/>
      <c r="K29" s="464"/>
      <c r="L29" s="464"/>
    </row>
    <row r="30" spans="2:15" ht="19.5">
      <c r="B30" s="33"/>
      <c r="I30" s="703"/>
      <c r="J30" s="760">
        <v>2018</v>
      </c>
      <c r="K30" s="703">
        <v>2019</v>
      </c>
      <c r="L30" s="703">
        <v>2020</v>
      </c>
      <c r="M30" s="703">
        <v>2021</v>
      </c>
      <c r="N30" s="703">
        <v>2022</v>
      </c>
    </row>
    <row r="31" spans="2:15" ht="19.5">
      <c r="B31" s="33"/>
      <c r="I31" s="1571" t="s">
        <v>728</v>
      </c>
      <c r="J31" s="1582">
        <v>301352.16735766613</v>
      </c>
      <c r="K31" s="1572">
        <v>420937.84090831759</v>
      </c>
      <c r="L31" s="1572">
        <v>542783.81664517662</v>
      </c>
      <c r="M31" s="1572">
        <v>705502.83938576467</v>
      </c>
      <c r="N31" s="1572">
        <v>917153.6912014971</v>
      </c>
      <c r="O31" s="470" t="s">
        <v>1480</v>
      </c>
    </row>
    <row r="32" spans="2:15" ht="19.5">
      <c r="B32" s="33"/>
      <c r="I32" s="489" t="s">
        <v>464</v>
      </c>
      <c r="J32" s="1517">
        <f>J31/H24</f>
        <v>0.31190931516780107</v>
      </c>
      <c r="K32" s="583">
        <f>K31/I24</f>
        <v>0.31139334194335083</v>
      </c>
      <c r="L32" s="583">
        <f>L31/J24</f>
        <v>0.30795666946006994</v>
      </c>
      <c r="M32" s="583">
        <f t="shared" ref="M32:N32" si="1">M31/K24</f>
        <v>0.30799497019346656</v>
      </c>
      <c r="N32" s="583">
        <f t="shared" si="1"/>
        <v>0.30799497019346517</v>
      </c>
    </row>
    <row r="33" spans="2:15" ht="19.5">
      <c r="B33" s="33"/>
      <c r="J33" s="1518"/>
      <c r="K33" s="711"/>
      <c r="L33" s="711"/>
      <c r="M33" s="711"/>
      <c r="N33" s="711"/>
    </row>
    <row r="34" spans="2:15" ht="19.5">
      <c r="B34" s="33"/>
    </row>
    <row r="36" spans="2:15">
      <c r="B36" s="11"/>
      <c r="C36" s="4"/>
      <c r="D36" s="4"/>
      <c r="E36" s="4"/>
      <c r="F36" s="4"/>
      <c r="G36" s="4"/>
      <c r="H36" s="4"/>
      <c r="I36" s="4"/>
      <c r="J36" s="76"/>
      <c r="K36" s="4"/>
    </row>
    <row r="37" spans="2:15" s="42" customFormat="1">
      <c r="B37" s="1584" t="s">
        <v>1479</v>
      </c>
      <c r="C37" s="43"/>
      <c r="D37" s="43"/>
      <c r="E37" s="43"/>
      <c r="F37" s="43"/>
      <c r="G37" s="43"/>
      <c r="H37" s="43"/>
      <c r="I37" s="43"/>
      <c r="J37" s="1519"/>
      <c r="K37" s="43"/>
    </row>
    <row r="38" spans="2:15" s="2" customFormat="1">
      <c r="B38" s="83"/>
      <c r="C38" s="84"/>
      <c r="D38" s="84"/>
      <c r="E38" s="84"/>
      <c r="F38" s="84"/>
      <c r="G38" s="84"/>
      <c r="H38" s="84"/>
      <c r="I38" s="84"/>
      <c r="J38" s="501"/>
      <c r="K38" s="84"/>
    </row>
    <row r="39" spans="2:15" s="2" customFormat="1">
      <c r="B39" s="86"/>
      <c r="C39" s="84"/>
      <c r="D39" s="84"/>
      <c r="E39" s="84"/>
      <c r="F39" s="84"/>
      <c r="G39" s="84"/>
      <c r="H39" s="84"/>
      <c r="I39" s="84"/>
      <c r="J39" s="1520"/>
      <c r="K39" s="1507">
        <v>2018</v>
      </c>
      <c r="L39" s="1507">
        <v>2019</v>
      </c>
      <c r="M39" s="1506">
        <v>2020</v>
      </c>
      <c r="N39" s="1507">
        <v>2021</v>
      </c>
      <c r="O39" s="1507">
        <v>2022</v>
      </c>
    </row>
    <row r="40" spans="2:15" s="2" customFormat="1">
      <c r="B40" s="86"/>
      <c r="C40" s="84"/>
      <c r="D40" s="84"/>
      <c r="E40" s="84"/>
      <c r="F40" s="84"/>
      <c r="G40" s="84"/>
      <c r="H40" s="84"/>
      <c r="I40" s="84"/>
      <c r="J40" s="1491" t="s">
        <v>206</v>
      </c>
      <c r="K40" s="1538">
        <f>H24</f>
        <v>966153.14998061094</v>
      </c>
      <c r="L40" s="1538">
        <f t="shared" ref="L40:O40" si="2">I24</f>
        <v>1351788.1862255593</v>
      </c>
      <c r="M40" s="1538">
        <f t="shared" si="2"/>
        <v>1762533.0784256798</v>
      </c>
      <c r="N40" s="1538">
        <f t="shared" si="2"/>
        <v>2290631.0416128035</v>
      </c>
      <c r="O40" s="1538">
        <f t="shared" si="2"/>
        <v>2977820.3540966678</v>
      </c>
    </row>
    <row r="41" spans="2:15" s="2" customFormat="1">
      <c r="B41" s="83"/>
      <c r="C41" s="84"/>
      <c r="D41" s="84"/>
      <c r="E41" s="84"/>
      <c r="F41" s="84"/>
      <c r="G41" s="84"/>
      <c r="H41" s="84"/>
      <c r="I41" s="84"/>
      <c r="J41" s="501" t="s">
        <v>465</v>
      </c>
      <c r="K41" s="1538">
        <f>H13</f>
        <v>14945.314522993167</v>
      </c>
      <c r="L41" s="1538">
        <f t="shared" ref="L41:O41" si="3">I13</f>
        <v>18145.368976538026</v>
      </c>
      <c r="M41" s="1538">
        <f t="shared" si="3"/>
        <v>21536.576060762931</v>
      </c>
      <c r="N41" s="1538">
        <f t="shared" si="3"/>
        <v>24271.281372679456</v>
      </c>
      <c r="O41" s="1538">
        <f t="shared" si="3"/>
        <v>27745.195182167652</v>
      </c>
    </row>
    <row r="42" spans="2:15" s="2" customFormat="1">
      <c r="B42" s="83"/>
      <c r="C42" s="84"/>
      <c r="D42" s="84"/>
      <c r="E42" s="84"/>
      <c r="F42" s="84"/>
      <c r="G42" s="84"/>
      <c r="H42" s="84"/>
      <c r="I42" s="84"/>
      <c r="J42" s="501"/>
      <c r="K42" s="84"/>
    </row>
    <row r="43" spans="2:15" s="2" customFormat="1">
      <c r="B43" s="83"/>
      <c r="C43" s="84"/>
      <c r="D43" s="84"/>
      <c r="E43" s="84"/>
      <c r="F43" s="84"/>
      <c r="G43" s="84"/>
      <c r="H43" s="84"/>
      <c r="I43" s="84"/>
      <c r="J43" s="1478" t="s">
        <v>1476</v>
      </c>
      <c r="K43" s="1543">
        <v>2018</v>
      </c>
      <c r="L43" s="1543">
        <v>2019</v>
      </c>
      <c r="M43" s="1544">
        <v>2020</v>
      </c>
      <c r="N43" s="1543">
        <v>2021</v>
      </c>
      <c r="O43" s="1543">
        <v>2022</v>
      </c>
    </row>
    <row r="44" spans="2:15">
      <c r="B44" s="10" t="s">
        <v>5</v>
      </c>
      <c r="C44" s="4"/>
      <c r="D44" s="4"/>
      <c r="E44" s="4"/>
      <c r="F44" s="4"/>
      <c r="G44" s="4"/>
      <c r="H44" s="4"/>
      <c r="I44" s="4"/>
      <c r="J44" s="1545">
        <v>180</v>
      </c>
      <c r="K44" s="1546">
        <v>8.0000000000000002E-3</v>
      </c>
      <c r="L44" s="1587">
        <f>K44</f>
        <v>8.0000000000000002E-3</v>
      </c>
      <c r="M44" s="1587">
        <f t="shared" ref="M44:O44" si="4">L44</f>
        <v>8.0000000000000002E-3</v>
      </c>
      <c r="N44" s="1587">
        <f t="shared" si="4"/>
        <v>8.0000000000000002E-3</v>
      </c>
      <c r="O44" s="1587">
        <f t="shared" si="4"/>
        <v>8.0000000000000002E-3</v>
      </c>
    </row>
    <row r="45" spans="2:15">
      <c r="B45" s="11" t="s">
        <v>22</v>
      </c>
      <c r="C45" s="4"/>
      <c r="D45" s="4"/>
      <c r="E45" s="4"/>
      <c r="F45" s="4"/>
      <c r="G45" s="4"/>
      <c r="H45" s="4"/>
      <c r="I45" s="4"/>
      <c r="J45" s="1545">
        <v>130</v>
      </c>
      <c r="K45" s="1546">
        <v>0.01</v>
      </c>
      <c r="L45" s="1588">
        <f t="shared" ref="L45:O45" si="5">K45</f>
        <v>0.01</v>
      </c>
      <c r="M45" s="1588">
        <f t="shared" si="5"/>
        <v>0.01</v>
      </c>
      <c r="N45" s="1588">
        <f t="shared" si="5"/>
        <v>0.01</v>
      </c>
      <c r="O45" s="1588">
        <f t="shared" si="5"/>
        <v>0.01</v>
      </c>
    </row>
    <row r="46" spans="2:15">
      <c r="B46" s="4"/>
      <c r="C46" s="1409" t="s">
        <v>20</v>
      </c>
      <c r="D46" s="1871" t="s">
        <v>13</v>
      </c>
      <c r="E46" s="1872"/>
      <c r="F46" s="1858" t="s">
        <v>354</v>
      </c>
      <c r="G46" s="1859"/>
      <c r="H46" s="1860"/>
      <c r="I46" s="4"/>
      <c r="J46" s="1545">
        <v>90</v>
      </c>
      <c r="K46" s="1546">
        <v>0.02</v>
      </c>
      <c r="L46" s="1588">
        <f t="shared" ref="L46:O46" si="6">K46</f>
        <v>0.02</v>
      </c>
      <c r="M46" s="1588">
        <f t="shared" si="6"/>
        <v>0.02</v>
      </c>
      <c r="N46" s="1588">
        <f t="shared" si="6"/>
        <v>0.02</v>
      </c>
      <c r="O46" s="1588">
        <f t="shared" si="6"/>
        <v>0.02</v>
      </c>
    </row>
    <row r="47" spans="2:15" ht="29.25">
      <c r="B47" s="4"/>
      <c r="C47" s="5"/>
      <c r="D47" s="1869" t="s">
        <v>16</v>
      </c>
      <c r="E47" s="1870"/>
      <c r="F47" s="168" t="s">
        <v>461</v>
      </c>
      <c r="G47" s="488" t="s">
        <v>462</v>
      </c>
      <c r="H47" s="488" t="s">
        <v>463</v>
      </c>
      <c r="I47" s="4"/>
      <c r="J47" s="1545">
        <v>50</v>
      </c>
      <c r="K47" s="1546">
        <v>0.05</v>
      </c>
      <c r="L47" s="1588">
        <f t="shared" ref="L47:O47" si="7">K47</f>
        <v>0.05</v>
      </c>
      <c r="M47" s="1588">
        <f t="shared" si="7"/>
        <v>0.05</v>
      </c>
      <c r="N47" s="1588">
        <f t="shared" si="7"/>
        <v>0.05</v>
      </c>
      <c r="O47" s="1588">
        <f t="shared" si="7"/>
        <v>0.05</v>
      </c>
    </row>
    <row r="48" spans="2:15">
      <c r="B48" s="4"/>
      <c r="C48" s="1410">
        <v>6</v>
      </c>
      <c r="D48" s="1871">
        <v>180</v>
      </c>
      <c r="E48" s="1872"/>
      <c r="F48" s="171">
        <v>0.45</v>
      </c>
      <c r="G48" s="172">
        <v>0.5</v>
      </c>
      <c r="H48" s="172">
        <v>0.55000000000000004</v>
      </c>
      <c r="I48" s="4"/>
      <c r="J48" s="1545">
        <v>30</v>
      </c>
      <c r="K48" s="1546">
        <v>0.06</v>
      </c>
      <c r="L48" s="1588">
        <f t="shared" ref="L48:O48" si="8">K48</f>
        <v>0.06</v>
      </c>
      <c r="M48" s="1588">
        <f t="shared" si="8"/>
        <v>0.06</v>
      </c>
      <c r="N48" s="1588">
        <f t="shared" si="8"/>
        <v>0.06</v>
      </c>
      <c r="O48" s="1588">
        <f t="shared" si="8"/>
        <v>0.06</v>
      </c>
    </row>
    <row r="49" spans="2:15">
      <c r="B49" s="4"/>
      <c r="C49" s="1410">
        <v>5</v>
      </c>
      <c r="D49" s="1880">
        <v>130</v>
      </c>
      <c r="E49" s="1881"/>
      <c r="F49" s="171">
        <v>0.35</v>
      </c>
      <c r="G49" s="172">
        <v>0.4</v>
      </c>
      <c r="H49" s="172">
        <v>0.45</v>
      </c>
      <c r="I49" s="4"/>
      <c r="J49" s="1547">
        <v>15</v>
      </c>
      <c r="K49" s="1548">
        <v>0.12</v>
      </c>
      <c r="L49" s="1549">
        <f t="shared" ref="L49:O49" si="9">K49</f>
        <v>0.12</v>
      </c>
      <c r="M49" s="1549">
        <f t="shared" si="9"/>
        <v>0.12</v>
      </c>
      <c r="N49" s="1549">
        <f t="shared" si="9"/>
        <v>0.12</v>
      </c>
      <c r="O49" s="1549">
        <f t="shared" si="9"/>
        <v>0.12</v>
      </c>
    </row>
    <row r="50" spans="2:15">
      <c r="B50" s="4"/>
      <c r="C50" s="1410">
        <v>4</v>
      </c>
      <c r="D50" s="1880">
        <v>90</v>
      </c>
      <c r="E50" s="1881"/>
      <c r="F50" s="171">
        <v>0.25</v>
      </c>
      <c r="G50" s="172">
        <v>0.3</v>
      </c>
      <c r="H50" s="172">
        <v>0.35</v>
      </c>
      <c r="I50" s="4"/>
      <c r="J50" s="1545"/>
      <c r="K50" s="1550">
        <f>SUM(K44:K49)</f>
        <v>0.26800000000000002</v>
      </c>
      <c r="L50" s="1550">
        <f t="shared" ref="L50:O50" si="10">SUM(L44:L49)</f>
        <v>0.26800000000000002</v>
      </c>
      <c r="M50" s="1550">
        <f t="shared" si="10"/>
        <v>0.26800000000000002</v>
      </c>
      <c r="N50" s="1550">
        <f t="shared" si="10"/>
        <v>0.26800000000000002</v>
      </c>
      <c r="O50" s="1550">
        <f t="shared" si="10"/>
        <v>0.26800000000000002</v>
      </c>
    </row>
    <row r="51" spans="2:15">
      <c r="B51" s="4"/>
      <c r="C51" s="1410">
        <v>3</v>
      </c>
      <c r="D51" s="1880">
        <v>50</v>
      </c>
      <c r="E51" s="1881"/>
      <c r="F51" s="171">
        <v>0.15</v>
      </c>
      <c r="G51" s="172">
        <v>0.2</v>
      </c>
      <c r="H51" s="172">
        <v>0.25</v>
      </c>
      <c r="I51" s="4"/>
    </row>
    <row r="52" spans="2:15">
      <c r="B52" s="12"/>
      <c r="C52" s="1411">
        <v>2</v>
      </c>
      <c r="D52" s="1882">
        <v>30</v>
      </c>
      <c r="E52" s="1883"/>
      <c r="F52" s="171">
        <v>0.1</v>
      </c>
      <c r="G52" s="174">
        <v>0.15</v>
      </c>
      <c r="H52" s="174">
        <v>0.2</v>
      </c>
      <c r="I52" s="12"/>
      <c r="J52" s="1478" t="s">
        <v>478</v>
      </c>
      <c r="K52" s="1543">
        <v>2018</v>
      </c>
      <c r="L52" s="1543">
        <v>2019</v>
      </c>
      <c r="M52" s="1544">
        <v>2020</v>
      </c>
      <c r="N52" s="1543">
        <v>2021</v>
      </c>
      <c r="O52" s="1543">
        <v>2022</v>
      </c>
    </row>
    <row r="53" spans="2:15">
      <c r="B53" s="4"/>
      <c r="C53" s="1408">
        <v>1</v>
      </c>
      <c r="D53" s="1869">
        <v>15</v>
      </c>
      <c r="E53" s="1870"/>
      <c r="F53" s="176">
        <v>0.08</v>
      </c>
      <c r="G53" s="177">
        <v>0.1</v>
      </c>
      <c r="H53" s="177">
        <v>0.12</v>
      </c>
      <c r="I53" s="4"/>
      <c r="J53" s="1545">
        <v>180</v>
      </c>
      <c r="K53" s="1554">
        <v>349.25</v>
      </c>
      <c r="L53" s="1161">
        <f>K53*1.1</f>
        <v>384.17500000000001</v>
      </c>
      <c r="M53" s="1161">
        <f t="shared" ref="M53:O53" si="11">L53*1.1</f>
        <v>422.59250000000003</v>
      </c>
      <c r="N53" s="1161">
        <f t="shared" si="11"/>
        <v>464.8517500000001</v>
      </c>
      <c r="O53" s="1161">
        <f t="shared" si="11"/>
        <v>511.33692500000012</v>
      </c>
    </row>
    <row r="54" spans="2:15">
      <c r="B54" s="4"/>
      <c r="C54" s="6" t="s">
        <v>23</v>
      </c>
      <c r="D54" s="4"/>
      <c r="E54" s="4"/>
      <c r="F54" s="4"/>
      <c r="G54" s="4"/>
      <c r="H54" s="4"/>
      <c r="I54" s="4"/>
      <c r="J54" s="1545">
        <v>130</v>
      </c>
      <c r="K54" s="1554">
        <v>162.25</v>
      </c>
      <c r="L54" s="1161">
        <f t="shared" ref="L54:O54" si="12">K54*1.1</f>
        <v>178.47500000000002</v>
      </c>
      <c r="M54" s="1161">
        <f t="shared" si="12"/>
        <v>196.32250000000005</v>
      </c>
      <c r="N54" s="1161">
        <f t="shared" si="12"/>
        <v>215.95475000000008</v>
      </c>
      <c r="O54" s="1161">
        <f t="shared" si="12"/>
        <v>237.5502250000001</v>
      </c>
    </row>
    <row r="55" spans="2:15">
      <c r="B55" s="4"/>
      <c r="C55" s="6" t="s">
        <v>24</v>
      </c>
      <c r="D55" s="4"/>
      <c r="E55" s="4"/>
      <c r="F55" s="4"/>
      <c r="G55" s="4"/>
      <c r="H55" s="4"/>
      <c r="I55" s="4"/>
      <c r="J55" s="1545">
        <v>90</v>
      </c>
      <c r="K55" s="1554">
        <v>118.25000000000001</v>
      </c>
      <c r="L55" s="1161">
        <f t="shared" ref="L55:O55" si="13">K55*1.1</f>
        <v>130.07500000000002</v>
      </c>
      <c r="M55" s="1161">
        <f t="shared" si="13"/>
        <v>143.08250000000004</v>
      </c>
      <c r="N55" s="1161">
        <f t="shared" si="13"/>
        <v>157.39075000000005</v>
      </c>
      <c r="O55" s="1161">
        <f t="shared" si="13"/>
        <v>173.12982500000007</v>
      </c>
    </row>
    <row r="56" spans="2:15">
      <c r="B56" s="4"/>
      <c r="C56" s="6"/>
      <c r="D56" s="4"/>
      <c r="E56" s="4"/>
      <c r="F56" s="4"/>
      <c r="G56" s="4"/>
      <c r="H56" s="4"/>
      <c r="I56" s="4"/>
      <c r="J56" s="1545">
        <v>50</v>
      </c>
      <c r="K56" s="1554">
        <v>72.875</v>
      </c>
      <c r="L56" s="1161">
        <f t="shared" ref="L56:O56" si="14">K56*1.1</f>
        <v>80.162500000000009</v>
      </c>
      <c r="M56" s="1161">
        <f t="shared" si="14"/>
        <v>88.178750000000022</v>
      </c>
      <c r="N56" s="1161">
        <f t="shared" si="14"/>
        <v>96.996625000000037</v>
      </c>
      <c r="O56" s="1161">
        <f t="shared" si="14"/>
        <v>106.69628750000005</v>
      </c>
    </row>
    <row r="57" spans="2:15">
      <c r="B57" s="4"/>
      <c r="C57" s="6"/>
      <c r="D57" s="4"/>
      <c r="E57" s="4"/>
      <c r="F57" s="4"/>
      <c r="G57" s="4"/>
      <c r="H57" s="4"/>
      <c r="I57" s="4"/>
      <c r="J57" s="1545">
        <v>30</v>
      </c>
      <c r="K57" s="1554">
        <v>40.150000000000006</v>
      </c>
      <c r="L57" s="1161">
        <f t="shared" ref="L57:O57" si="15">K57*1.1</f>
        <v>44.165000000000013</v>
      </c>
      <c r="M57" s="1161">
        <f t="shared" si="15"/>
        <v>48.58150000000002</v>
      </c>
      <c r="N57" s="1161">
        <f t="shared" si="15"/>
        <v>53.439650000000029</v>
      </c>
      <c r="O57" s="1161">
        <f t="shared" si="15"/>
        <v>58.783615000000033</v>
      </c>
    </row>
    <row r="58" spans="2:15">
      <c r="B58" s="4"/>
      <c r="C58" s="6"/>
      <c r="D58" s="4"/>
      <c r="E58" s="4"/>
      <c r="F58" s="4"/>
      <c r="G58" s="4"/>
      <c r="H58" s="4"/>
      <c r="I58" s="4"/>
      <c r="J58" s="1545">
        <v>15</v>
      </c>
      <c r="K58" s="1554">
        <v>21.450000000000003</v>
      </c>
      <c r="L58" s="1161">
        <f t="shared" ref="L58:O58" si="16">K58*1.1</f>
        <v>23.595000000000006</v>
      </c>
      <c r="M58" s="1161">
        <f t="shared" si="16"/>
        <v>25.95450000000001</v>
      </c>
      <c r="N58" s="1161">
        <f t="shared" si="16"/>
        <v>28.549950000000013</v>
      </c>
      <c r="O58" s="1161">
        <f t="shared" si="16"/>
        <v>31.404945000000016</v>
      </c>
    </row>
    <row r="59" spans="2:15">
      <c r="B59" s="4"/>
      <c r="C59" s="6"/>
      <c r="D59" s="4"/>
      <c r="E59" s="4"/>
      <c r="F59" s="4"/>
      <c r="G59" s="4"/>
      <c r="H59" s="4"/>
      <c r="I59" s="4"/>
      <c r="J59" s="76"/>
      <c r="K59" s="4"/>
    </row>
    <row r="60" spans="2:15">
      <c r="B60" s="4"/>
      <c r="C60" s="6"/>
      <c r="D60" s="4"/>
      <c r="E60" s="4"/>
      <c r="F60" s="4"/>
      <c r="G60" s="4"/>
      <c r="H60" s="4"/>
      <c r="I60" s="4"/>
      <c r="J60" s="1540" t="s">
        <v>673</v>
      </c>
      <c r="K60" s="1557">
        <v>2018</v>
      </c>
      <c r="L60" s="1557">
        <v>2019</v>
      </c>
      <c r="M60" s="1541">
        <v>2020</v>
      </c>
      <c r="N60" s="1557">
        <v>2021</v>
      </c>
      <c r="O60" s="1557">
        <v>2022</v>
      </c>
    </row>
    <row r="61" spans="2:15">
      <c r="B61" s="4"/>
      <c r="C61" s="6"/>
      <c r="D61" s="4"/>
      <c r="E61" s="4"/>
      <c r="F61" s="4"/>
      <c r="G61" s="4"/>
      <c r="H61" s="4"/>
      <c r="I61" s="4"/>
      <c r="J61" s="1555">
        <v>180</v>
      </c>
      <c r="K61" s="1558">
        <f t="shared" ref="K61:O66" si="17">K$41*K44*K53*4</f>
        <v>167028.83510897163</v>
      </c>
      <c r="L61" s="1558">
        <f t="shared" si="17"/>
        <v>223071.9080499679</v>
      </c>
      <c r="M61" s="1558">
        <f t="shared" si="17"/>
        <v>291238.25660665473</v>
      </c>
      <c r="N61" s="1558">
        <f t="shared" si="17"/>
        <v>361041.52386663842</v>
      </c>
      <c r="O61" s="1558">
        <f t="shared" si="17"/>
        <v>453988.56921518163</v>
      </c>
    </row>
    <row r="62" spans="2:15">
      <c r="B62" s="4"/>
      <c r="C62" s="6"/>
      <c r="D62" s="4"/>
      <c r="E62" s="4"/>
      <c r="F62" s="4"/>
      <c r="G62" s="4"/>
      <c r="H62" s="4"/>
      <c r="I62" s="4"/>
      <c r="J62" s="1555">
        <v>130</v>
      </c>
      <c r="K62" s="1558">
        <f t="shared" si="17"/>
        <v>96995.091254225656</v>
      </c>
      <c r="L62" s="1559">
        <f t="shared" si="17"/>
        <v>129539.78912350499</v>
      </c>
      <c r="M62" s="1559">
        <f t="shared" si="17"/>
        <v>169124.57814756528</v>
      </c>
      <c r="N62" s="1559">
        <f t="shared" si="17"/>
        <v>209659.94004066603</v>
      </c>
      <c r="O62" s="1559">
        <f t="shared" si="17"/>
        <v>263635.09432771377</v>
      </c>
    </row>
    <row r="63" spans="2:15">
      <c r="B63" s="4"/>
      <c r="C63" s="6"/>
      <c r="D63" s="4"/>
      <c r="E63" s="4"/>
      <c r="F63" s="4"/>
      <c r="G63" s="4"/>
      <c r="H63" s="4"/>
      <c r="I63" s="4"/>
      <c r="J63" s="1555">
        <v>90</v>
      </c>
      <c r="K63" s="1558">
        <f t="shared" si="17"/>
        <v>141382.67538751537</v>
      </c>
      <c r="L63" s="1559">
        <f t="shared" si="17"/>
        <v>188820.70956985472</v>
      </c>
      <c r="M63" s="1559">
        <f t="shared" si="17"/>
        <v>246520.57153712903</v>
      </c>
      <c r="N63" s="1559">
        <f t="shared" si="17"/>
        <v>305606.01429656404</v>
      </c>
      <c r="O63" s="1559">
        <f t="shared" si="17"/>
        <v>384281.66291836242</v>
      </c>
    </row>
    <row r="64" spans="2:15">
      <c r="B64" s="4"/>
      <c r="C64" s="6"/>
      <c r="D64" s="4"/>
      <c r="E64" s="4"/>
      <c r="F64" s="4"/>
      <c r="G64" s="4"/>
      <c r="H64" s="4"/>
      <c r="I64" s="4"/>
      <c r="J64" s="1555">
        <v>50</v>
      </c>
      <c r="K64" s="1558">
        <f t="shared" si="17"/>
        <v>217827.95917262541</v>
      </c>
      <c r="L64" s="1559">
        <f t="shared" si="17"/>
        <v>290915.62811634596</v>
      </c>
      <c r="M64" s="1559">
        <f t="shared" si="17"/>
        <v>379813.67126359994</v>
      </c>
      <c r="N64" s="1559">
        <f t="shared" si="17"/>
        <v>470846.47551505506</v>
      </c>
      <c r="O64" s="1559">
        <f t="shared" si="17"/>
        <v>592061.86438003532</v>
      </c>
    </row>
    <row r="65" spans="2:15">
      <c r="B65" s="4"/>
      <c r="C65" s="6"/>
      <c r="D65" s="4"/>
      <c r="E65" s="4"/>
      <c r="F65" s="4"/>
      <c r="G65" s="4"/>
      <c r="H65" s="4"/>
      <c r="I65" s="4"/>
      <c r="J65" s="1555">
        <v>30</v>
      </c>
      <c r="K65" s="1558">
        <f t="shared" si="17"/>
        <v>144013.05074356217</v>
      </c>
      <c r="L65" s="1560">
        <f t="shared" si="17"/>
        <v>192333.6530037125</v>
      </c>
      <c r="M65" s="1560">
        <f t="shared" si="17"/>
        <v>251107.00077502913</v>
      </c>
      <c r="N65" s="1560">
        <f t="shared" si="17"/>
        <v>311291.70758580248</v>
      </c>
      <c r="O65" s="1560">
        <f t="shared" si="17"/>
        <v>391431.08920521574</v>
      </c>
    </row>
    <row r="66" spans="2:15">
      <c r="B66" s="4"/>
      <c r="C66" s="6"/>
      <c r="D66" s="4"/>
      <c r="E66" s="4"/>
      <c r="F66" s="4"/>
      <c r="G66" s="4"/>
      <c r="H66" s="4"/>
      <c r="I66" s="4"/>
      <c r="J66" s="1556">
        <v>15</v>
      </c>
      <c r="K66" s="1561">
        <f t="shared" si="17"/>
        <v>153876.95832873767</v>
      </c>
      <c r="L66" s="1562">
        <f t="shared" si="17"/>
        <v>205507.19088067909</v>
      </c>
      <c r="M66" s="1562">
        <f t="shared" si="17"/>
        <v>268306.11041715438</v>
      </c>
      <c r="N66" s="1562">
        <f t="shared" si="17"/>
        <v>332613.05742044648</v>
      </c>
      <c r="O66" s="1562">
        <f t="shared" si="17"/>
        <v>418241.43778091547</v>
      </c>
    </row>
    <row r="67" spans="2:15">
      <c r="B67" s="4"/>
      <c r="C67" s="6"/>
      <c r="D67" s="4"/>
      <c r="E67" s="4"/>
      <c r="F67" s="4"/>
      <c r="G67" s="4"/>
      <c r="H67" s="4"/>
      <c r="I67" s="4"/>
      <c r="J67" s="1555"/>
      <c r="K67" s="1558">
        <f>SUM(K61:K66)</f>
        <v>921124.56999563787</v>
      </c>
      <c r="L67" s="1558">
        <f t="shared" ref="L67:O67" si="18">SUM(L61:L66)</f>
        <v>1230188.8787440653</v>
      </c>
      <c r="M67" s="1558">
        <f t="shared" si="18"/>
        <v>1606110.1887471324</v>
      </c>
      <c r="N67" s="1558">
        <f t="shared" si="18"/>
        <v>1991058.7187251726</v>
      </c>
      <c r="O67" s="1558">
        <f t="shared" si="18"/>
        <v>2503639.7178274244</v>
      </c>
    </row>
    <row r="68" spans="2:15">
      <c r="B68" s="4"/>
      <c r="C68" s="6"/>
      <c r="D68" s="4"/>
      <c r="E68" s="4"/>
      <c r="F68" s="4"/>
      <c r="G68" s="4"/>
      <c r="H68" s="4"/>
      <c r="I68" s="4"/>
      <c r="J68" s="76"/>
      <c r="K68" s="1542">
        <f>K67/K40</f>
        <v>0.95339395210182076</v>
      </c>
      <c r="L68" s="1542">
        <f>L67/L40</f>
        <v>0.91004559092869308</v>
      </c>
      <c r="M68" s="1542">
        <f>M67/M40</f>
        <v>0.91125108992662618</v>
      </c>
      <c r="N68" s="1542">
        <f>N67/N40</f>
        <v>0.86921843044757396</v>
      </c>
      <c r="O68" s="1542">
        <f>O67/O40</f>
        <v>0.84076251086909914</v>
      </c>
    </row>
    <row r="69" spans="2:15">
      <c r="B69" s="4"/>
      <c r="C69" s="6"/>
      <c r="D69" s="4"/>
      <c r="E69" s="4"/>
      <c r="F69" s="4"/>
      <c r="G69" s="4"/>
      <c r="H69" s="4"/>
      <c r="I69" s="4"/>
      <c r="J69" s="76"/>
      <c r="K69" s="4"/>
    </row>
    <row r="70" spans="2:15">
      <c r="B70" s="4"/>
      <c r="C70" s="6"/>
      <c r="D70" s="4"/>
      <c r="E70" s="4"/>
      <c r="F70" s="4"/>
      <c r="G70" s="4"/>
      <c r="H70" s="4"/>
      <c r="I70" s="4"/>
      <c r="J70" s="76"/>
      <c r="K70" s="4"/>
    </row>
    <row r="71" spans="2:15">
      <c r="B71" s="4"/>
      <c r="C71" s="6"/>
      <c r="D71" s="4"/>
      <c r="E71" s="4"/>
      <c r="F71" s="4"/>
      <c r="G71" s="4"/>
      <c r="H71" s="4"/>
      <c r="I71" s="4"/>
      <c r="J71" s="1540" t="s">
        <v>466</v>
      </c>
      <c r="K71" s="1557">
        <v>2018</v>
      </c>
      <c r="L71" s="1557">
        <v>2019</v>
      </c>
      <c r="M71" s="1541">
        <v>2020</v>
      </c>
      <c r="N71" s="1557">
        <v>2021</v>
      </c>
      <c r="O71" s="1557">
        <v>2022</v>
      </c>
    </row>
    <row r="72" spans="2:15">
      <c r="B72" s="4"/>
      <c r="C72" s="6"/>
      <c r="D72" s="4"/>
      <c r="E72" s="4"/>
      <c r="F72" s="4"/>
      <c r="G72" s="4"/>
      <c r="H72" s="4"/>
      <c r="I72" s="4"/>
      <c r="J72" s="1555">
        <v>180</v>
      </c>
      <c r="K72" s="1558">
        <f>(K61*30%*$F48+K61*35%*$G48+K61*35%*$H48)*J$32</f>
        <v>26179.169409987739</v>
      </c>
      <c r="L72" s="1558">
        <f t="shared" ref="L72:N72" si="19">(L61*30%*$F48+L61*35%*$G48+L61*35%*$H48)*K$32</f>
        <v>34905.211238033087</v>
      </c>
      <c r="M72" s="1558">
        <f t="shared" si="19"/>
        <v>45068.603670781151</v>
      </c>
      <c r="N72" s="1558">
        <f t="shared" si="19"/>
        <v>55877.48412440929</v>
      </c>
      <c r="O72" s="1558">
        <f>(O61*30%*$F48+O61*35%*$G48+O61*35%*$H48)*N$32</f>
        <v>70262.663411410889</v>
      </c>
    </row>
    <row r="73" spans="2:15">
      <c r="B73" s="4"/>
      <c r="C73" s="6"/>
      <c r="D73" s="4"/>
      <c r="E73" s="4"/>
      <c r="F73" s="4"/>
      <c r="G73" s="4"/>
      <c r="H73" s="4"/>
      <c r="I73" s="4"/>
      <c r="J73" s="1555">
        <v>130</v>
      </c>
      <c r="K73" s="1558">
        <f t="shared" ref="K73:O73" si="20">(K62*30%*$F49+K62*35%*$G49+K62*35%*$H49)*J$32</f>
        <v>12177.103176316918</v>
      </c>
      <c r="L73" s="1559">
        <f t="shared" si="20"/>
        <v>16235.975709546572</v>
      </c>
      <c r="M73" s="1559">
        <f t="shared" si="20"/>
        <v>20963.42432859082</v>
      </c>
      <c r="N73" s="1559">
        <f t="shared" si="20"/>
        <v>25991.118310894537</v>
      </c>
      <c r="O73" s="1559">
        <f t="shared" si="20"/>
        <v>32682.308915314767</v>
      </c>
    </row>
    <row r="74" spans="2:15">
      <c r="B74" s="4"/>
      <c r="C74" s="6"/>
      <c r="D74" s="4"/>
      <c r="E74" s="4"/>
      <c r="F74" s="4"/>
      <c r="G74" s="4"/>
      <c r="H74" s="4"/>
      <c r="I74" s="4"/>
      <c r="J74" s="1555">
        <v>90</v>
      </c>
      <c r="K74" s="1558">
        <f t="shared" ref="K74:O74" si="21">(K63*30%*$F50+K63*35%*$G50+K63*35%*$H50)*J$32</f>
        <v>13339.818470655211</v>
      </c>
      <c r="L74" s="1559">
        <f t="shared" si="21"/>
        <v>17786.247313774253</v>
      </c>
      <c r="M74" s="1559">
        <f t="shared" si="21"/>
        <v>22965.090384600066</v>
      </c>
      <c r="N74" s="1559">
        <f t="shared" si="21"/>
        <v>28472.847367424838</v>
      </c>
      <c r="O74" s="1559">
        <f t="shared" si="21"/>
        <v>35802.937843221967</v>
      </c>
    </row>
    <row r="75" spans="2:15">
      <c r="B75" s="4"/>
      <c r="C75" s="6"/>
      <c r="D75" s="4"/>
      <c r="E75" s="4"/>
      <c r="F75" s="4"/>
      <c r="G75" s="4"/>
      <c r="H75" s="4"/>
      <c r="I75" s="4"/>
      <c r="J75" s="1555">
        <v>50</v>
      </c>
      <c r="K75" s="1558">
        <f t="shared" ref="K75:O75" si="22">(K64*30%*$F51+K64*35%*$G51+K64*35%*$H51)*J$32</f>
        <v>13758.370337911498</v>
      </c>
      <c r="L75" s="1559">
        <f t="shared" si="22"/>
        <v>18344.310906696348</v>
      </c>
      <c r="M75" s="1559">
        <f t="shared" si="22"/>
        <v>23685.646026592374</v>
      </c>
      <c r="N75" s="1559">
        <f t="shared" si="22"/>
        <v>29366.215103871524</v>
      </c>
      <c r="O75" s="1559">
        <f t="shared" si="22"/>
        <v>36926.295445164316</v>
      </c>
    </row>
    <row r="76" spans="2:15">
      <c r="B76" s="4"/>
      <c r="C76" s="6"/>
      <c r="D76" s="4"/>
      <c r="E76" s="4"/>
      <c r="F76" s="4"/>
      <c r="G76" s="4"/>
      <c r="H76" s="4"/>
      <c r="I76" s="4"/>
      <c r="J76" s="1555">
        <v>30</v>
      </c>
      <c r="K76" s="1558">
        <f t="shared" ref="K76:O76" si="23">(K65*30%*$F52+K65*35%*$G52+K65*35%*$H52)*J$32</f>
        <v>6850.1493349791635</v>
      </c>
      <c r="L76" s="1560">
        <f t="shared" si="23"/>
        <v>9133.4413939923215</v>
      </c>
      <c r="M76" s="1560">
        <f t="shared" si="23"/>
        <v>11792.836534609738</v>
      </c>
      <c r="N76" s="1560">
        <f t="shared" si="23"/>
        <v>14621.132730402787</v>
      </c>
      <c r="O76" s="1560">
        <f t="shared" si="23"/>
        <v>18385.21801451479</v>
      </c>
    </row>
    <row r="77" spans="2:15">
      <c r="B77" s="4"/>
      <c r="C77" s="6"/>
      <c r="D77" s="4"/>
      <c r="E77" s="4"/>
      <c r="F77" s="4"/>
      <c r="G77" s="4"/>
      <c r="H77" s="4"/>
      <c r="I77" s="4"/>
      <c r="J77" s="1556">
        <v>15</v>
      </c>
      <c r="K77" s="1561">
        <f t="shared" ref="K77:O77" si="24">(K66*30%*$F53+K66*35%*$G53+K66*35%*$H53)*J$32</f>
        <v>4847.5613259345046</v>
      </c>
      <c r="L77" s="1562">
        <f t="shared" si="24"/>
        <v>6463.350667134202</v>
      </c>
      <c r="M77" s="1562">
        <f t="shared" si="24"/>
        <v>8345.2922721451159</v>
      </c>
      <c r="N77" s="1562">
        <f t="shared" si="24"/>
        <v>10346.758019322988</v>
      </c>
      <c r="O77" s="1562">
        <f t="shared" si="24"/>
        <v>13010.442175463513</v>
      </c>
    </row>
    <row r="78" spans="2:15">
      <c r="B78" s="4"/>
      <c r="C78" s="6"/>
      <c r="D78" s="4"/>
      <c r="E78" s="4"/>
      <c r="F78" s="4"/>
      <c r="G78" s="4"/>
      <c r="H78" s="4"/>
      <c r="I78" s="4"/>
      <c r="J78" s="1580"/>
      <c r="K78" s="1581">
        <f>SUM(K72:K77)</f>
        <v>77152.172055785049</v>
      </c>
      <c r="L78" s="1581">
        <f t="shared" ref="L78" si="25">SUM(L72:L77)</f>
        <v>102868.53722917679</v>
      </c>
      <c r="M78" s="1581">
        <f t="shared" ref="M78" si="26">SUM(M72:M77)</f>
        <v>132820.89321731927</v>
      </c>
      <c r="N78" s="1581">
        <f t="shared" ref="N78" si="27">SUM(N72:N77)</f>
        <v>164675.55565632597</v>
      </c>
      <c r="O78" s="1581">
        <f>SUM(O72:O77)</f>
        <v>207069.86580509026</v>
      </c>
    </row>
    <row r="79" spans="2:15">
      <c r="B79" s="4"/>
      <c r="C79" s="6"/>
      <c r="D79" s="4"/>
      <c r="E79" s="4"/>
      <c r="F79" s="4"/>
      <c r="G79" s="4"/>
      <c r="H79" s="4"/>
      <c r="I79" s="4"/>
      <c r="J79" s="76"/>
      <c r="K79" s="1563">
        <f>K78/K40</f>
        <v>7.985501269372601E-2</v>
      </c>
      <c r="L79" s="1563">
        <f t="shared" ref="L79:N79" si="28">L78/L40</f>
        <v>7.6098118238778684E-2</v>
      </c>
      <c r="M79" s="1563">
        <f t="shared" si="28"/>
        <v>7.5357957727497982E-2</v>
      </c>
      <c r="N79" s="1563">
        <f t="shared" si="28"/>
        <v>7.1890912444974142E-2</v>
      </c>
      <c r="O79" s="1563">
        <f>O78/O40</f>
        <v>6.9537393523494001E-2</v>
      </c>
    </row>
    <row r="80" spans="2:15">
      <c r="B80" s="4"/>
      <c r="C80" s="6"/>
      <c r="D80" s="4"/>
      <c r="E80" s="4"/>
      <c r="F80" s="4"/>
      <c r="G80" s="4"/>
      <c r="H80" s="4"/>
      <c r="I80" s="4"/>
      <c r="J80" s="76"/>
      <c r="K80" s="4"/>
    </row>
    <row r="81" spans="2:22" s="42" customFormat="1">
      <c r="B81" s="53" t="s">
        <v>201</v>
      </c>
      <c r="J81" s="1521"/>
    </row>
    <row r="83" spans="2:22">
      <c r="B83" s="86" t="s">
        <v>224</v>
      </c>
      <c r="J83" s="760"/>
      <c r="K83" s="703">
        <v>2018</v>
      </c>
      <c r="L83" s="703">
        <v>2019</v>
      </c>
      <c r="M83" s="703">
        <v>2020</v>
      </c>
      <c r="N83" s="703">
        <v>2021</v>
      </c>
      <c r="O83" s="703">
        <v>2022</v>
      </c>
    </row>
    <row r="84" spans="2:22">
      <c r="J84" s="489" t="s">
        <v>206</v>
      </c>
      <c r="K84" s="572">
        <f>H24</f>
        <v>966153.14998061094</v>
      </c>
      <c r="L84" s="572">
        <f>I24</f>
        <v>1351788.1862255593</v>
      </c>
      <c r="M84" s="572">
        <f>J24</f>
        <v>1762533.0784256798</v>
      </c>
      <c r="N84" s="572">
        <f>K24</f>
        <v>2290631.0416128035</v>
      </c>
      <c r="O84" s="572">
        <f>L24</f>
        <v>2977820.3540966678</v>
      </c>
    </row>
    <row r="85" spans="2:22">
      <c r="J85" s="489" t="s">
        <v>465</v>
      </c>
      <c r="K85" s="572">
        <f>H13</f>
        <v>14945.314522993167</v>
      </c>
      <c r="L85" s="572">
        <f>I13</f>
        <v>18145.368976538026</v>
      </c>
      <c r="M85" s="572">
        <f>J13</f>
        <v>21536.576060762931</v>
      </c>
      <c r="N85" s="572">
        <f>K13</f>
        <v>24271.281372679456</v>
      </c>
      <c r="O85" s="572">
        <f>L13</f>
        <v>27745.195182167652</v>
      </c>
    </row>
    <row r="86" spans="2:22">
      <c r="C86" s="629" t="s">
        <v>357</v>
      </c>
      <c r="D86" s="67"/>
      <c r="E86" s="67"/>
      <c r="F86" s="67"/>
      <c r="G86" s="67"/>
      <c r="H86" s="67"/>
      <c r="I86" s="67"/>
      <c r="J86" s="74"/>
    </row>
    <row r="87" spans="2:22">
      <c r="C87" s="629"/>
      <c r="D87" s="67"/>
      <c r="E87" s="67"/>
      <c r="F87" s="67"/>
      <c r="G87" s="67"/>
      <c r="H87" s="67"/>
      <c r="I87" s="67"/>
      <c r="J87" s="1131" t="s">
        <v>522</v>
      </c>
      <c r="Q87" s="140" t="s">
        <v>523</v>
      </c>
    </row>
    <row r="88" spans="2:22" ht="41.25" customHeight="1">
      <c r="C88" s="630" t="s">
        <v>202</v>
      </c>
      <c r="D88" s="631" t="s">
        <v>342</v>
      </c>
      <c r="E88" s="630" t="s">
        <v>229</v>
      </c>
      <c r="F88" s="632"/>
      <c r="G88" s="633"/>
      <c r="H88" s="634"/>
      <c r="I88" s="634"/>
      <c r="J88" s="1567" t="s">
        <v>1477</v>
      </c>
      <c r="K88" s="703">
        <v>2018</v>
      </c>
      <c r="L88" s="703">
        <v>2019</v>
      </c>
      <c r="M88" s="703">
        <v>2020</v>
      </c>
      <c r="N88" s="703">
        <v>2021</v>
      </c>
      <c r="O88" s="703">
        <v>2022</v>
      </c>
      <c r="Q88" s="1468" t="s">
        <v>222</v>
      </c>
      <c r="R88" s="703">
        <v>2018</v>
      </c>
      <c r="S88" s="703">
        <v>2019</v>
      </c>
      <c r="T88" s="703">
        <v>2020</v>
      </c>
      <c r="U88" s="703">
        <v>2021</v>
      </c>
      <c r="V88" s="703">
        <v>2022</v>
      </c>
    </row>
    <row r="89" spans="2:22">
      <c r="C89" s="635" t="s">
        <v>203</v>
      </c>
      <c r="D89" s="636">
        <v>300</v>
      </c>
      <c r="E89" s="636">
        <v>6</v>
      </c>
      <c r="F89" s="637"/>
      <c r="G89" s="1271"/>
      <c r="H89" s="638"/>
      <c r="I89" s="638"/>
      <c r="J89" s="1568" t="s">
        <v>203</v>
      </c>
      <c r="K89" s="1464">
        <v>1.2E-2</v>
      </c>
      <c r="L89" s="1464">
        <f>K89</f>
        <v>1.2E-2</v>
      </c>
      <c r="M89" s="1464">
        <f t="shared" ref="M89:O89" si="29">L89</f>
        <v>1.2E-2</v>
      </c>
      <c r="N89" s="1464">
        <f t="shared" si="29"/>
        <v>1.2E-2</v>
      </c>
      <c r="O89" s="1464">
        <f t="shared" si="29"/>
        <v>1.2E-2</v>
      </c>
      <c r="Q89" s="1460" t="s">
        <v>203</v>
      </c>
      <c r="R89" s="1463">
        <v>0.6</v>
      </c>
      <c r="S89" s="1463">
        <f>R89*1.05</f>
        <v>0.63</v>
      </c>
      <c r="T89" s="1463">
        <f t="shared" ref="T89:V89" si="30">S89*1.05</f>
        <v>0.66150000000000009</v>
      </c>
      <c r="U89" s="1463">
        <f t="shared" si="30"/>
        <v>0.69457500000000016</v>
      </c>
      <c r="V89" s="1463">
        <f t="shared" si="30"/>
        <v>0.72930375000000025</v>
      </c>
    </row>
    <row r="90" spans="2:22">
      <c r="C90" s="635" t="s">
        <v>204</v>
      </c>
      <c r="D90" s="636">
        <v>150</v>
      </c>
      <c r="E90" s="636">
        <v>6</v>
      </c>
      <c r="F90" s="637"/>
      <c r="G90" s="1271"/>
      <c r="H90" s="638"/>
      <c r="I90" s="638"/>
      <c r="J90" s="1568" t="s">
        <v>204</v>
      </c>
      <c r="K90" s="1464">
        <v>1.4999999999999999E-2</v>
      </c>
      <c r="L90" s="1464">
        <f t="shared" ref="L90:O91" si="31">K90</f>
        <v>1.4999999999999999E-2</v>
      </c>
      <c r="M90" s="1464">
        <f t="shared" si="31"/>
        <v>1.4999999999999999E-2</v>
      </c>
      <c r="N90" s="1464">
        <f t="shared" si="31"/>
        <v>1.4999999999999999E-2</v>
      </c>
      <c r="O90" s="1464">
        <f t="shared" si="31"/>
        <v>1.4999999999999999E-2</v>
      </c>
      <c r="Q90" s="1460" t="s">
        <v>204</v>
      </c>
      <c r="R90" s="1463">
        <v>0.35</v>
      </c>
      <c r="S90" s="1463">
        <f t="shared" ref="S90:V91" si="32">R90*1.05</f>
        <v>0.36749999999999999</v>
      </c>
      <c r="T90" s="1463">
        <f t="shared" si="32"/>
        <v>0.38587500000000002</v>
      </c>
      <c r="U90" s="1463">
        <f t="shared" si="32"/>
        <v>0.40516875000000002</v>
      </c>
      <c r="V90" s="1463">
        <f t="shared" si="32"/>
        <v>0.42542718750000003</v>
      </c>
    </row>
    <row r="91" spans="2:22">
      <c r="C91" s="639" t="s">
        <v>205</v>
      </c>
      <c r="D91" s="99">
        <v>75</v>
      </c>
      <c r="E91" s="99">
        <v>6</v>
      </c>
      <c r="F91" s="637"/>
      <c r="G91" s="1271"/>
      <c r="H91" s="638"/>
      <c r="I91" s="638"/>
      <c r="J91" s="1569" t="s">
        <v>205</v>
      </c>
      <c r="K91" s="1466">
        <v>8.5000000000000006E-2</v>
      </c>
      <c r="L91" s="1466">
        <f t="shared" si="31"/>
        <v>8.5000000000000006E-2</v>
      </c>
      <c r="M91" s="1466">
        <f t="shared" si="31"/>
        <v>8.5000000000000006E-2</v>
      </c>
      <c r="N91" s="1466">
        <f t="shared" si="31"/>
        <v>8.5000000000000006E-2</v>
      </c>
      <c r="O91" s="1466">
        <f t="shared" si="31"/>
        <v>8.5000000000000006E-2</v>
      </c>
      <c r="Q91" s="1460" t="s">
        <v>205</v>
      </c>
      <c r="R91" s="1463">
        <v>0.18</v>
      </c>
      <c r="S91" s="1463">
        <f t="shared" si="32"/>
        <v>0.189</v>
      </c>
      <c r="T91" s="1463">
        <f t="shared" si="32"/>
        <v>0.19845000000000002</v>
      </c>
      <c r="U91" s="1463">
        <f t="shared" si="32"/>
        <v>0.20837250000000002</v>
      </c>
      <c r="V91" s="1463">
        <f t="shared" si="32"/>
        <v>0.21879112500000003</v>
      </c>
    </row>
    <row r="92" spans="2:22">
      <c r="C92" s="67"/>
      <c r="D92" s="67"/>
      <c r="E92" s="67"/>
      <c r="F92" s="67"/>
      <c r="G92" s="67"/>
      <c r="H92" s="67"/>
      <c r="I92" s="67"/>
      <c r="J92" s="1461"/>
      <c r="K92" s="1467">
        <f>SUM(K89:K91)</f>
        <v>0.112</v>
      </c>
      <c r="L92" s="1467">
        <f t="shared" ref="L92:O92" si="33">SUM(L89:L91)</f>
        <v>0.112</v>
      </c>
      <c r="M92" s="1467">
        <f t="shared" si="33"/>
        <v>0.112</v>
      </c>
      <c r="N92" s="1467">
        <f t="shared" si="33"/>
        <v>0.112</v>
      </c>
      <c r="O92" s="1467">
        <f t="shared" si="33"/>
        <v>0.112</v>
      </c>
    </row>
    <row r="93" spans="2:22">
      <c r="C93" s="67" t="s">
        <v>23</v>
      </c>
      <c r="D93" s="67"/>
      <c r="E93" s="67"/>
      <c r="F93" s="67"/>
      <c r="G93" s="67"/>
      <c r="H93" s="67"/>
      <c r="I93" s="67"/>
    </row>
    <row r="94" spans="2:22" ht="45">
      <c r="C94" s="67" t="s">
        <v>24</v>
      </c>
      <c r="D94" s="67"/>
      <c r="E94" s="67"/>
      <c r="F94" s="67"/>
      <c r="G94" s="67"/>
      <c r="H94" s="67"/>
      <c r="I94" s="67"/>
      <c r="J94" s="1570" t="s">
        <v>1454</v>
      </c>
      <c r="K94" s="703">
        <v>2018</v>
      </c>
      <c r="L94" s="703">
        <v>2019</v>
      </c>
      <c r="M94" s="703">
        <v>2020</v>
      </c>
      <c r="N94" s="703">
        <v>2021</v>
      </c>
      <c r="O94" s="703">
        <v>2022</v>
      </c>
    </row>
    <row r="95" spans="2:22">
      <c r="C95" s="130"/>
      <c r="D95" s="67"/>
      <c r="E95" s="67"/>
      <c r="F95" s="67"/>
      <c r="G95" s="67"/>
      <c r="H95" s="67"/>
      <c r="I95" s="67"/>
      <c r="J95" s="1568" t="s">
        <v>203</v>
      </c>
      <c r="K95" s="1261">
        <v>200</v>
      </c>
      <c r="L95" s="1469">
        <f>K95*1.1</f>
        <v>220.00000000000003</v>
      </c>
      <c r="M95" s="1469">
        <f t="shared" ref="M95:O95" si="34">L95*1.1</f>
        <v>242.00000000000006</v>
      </c>
      <c r="N95" s="1469">
        <f t="shared" si="34"/>
        <v>266.2000000000001</v>
      </c>
      <c r="O95" s="1469">
        <f t="shared" si="34"/>
        <v>292.82000000000016</v>
      </c>
    </row>
    <row r="96" spans="2:22">
      <c r="C96" s="67"/>
      <c r="D96" s="67"/>
      <c r="E96" s="67"/>
      <c r="F96" s="67"/>
      <c r="G96" s="67"/>
      <c r="H96" s="67"/>
      <c r="I96" s="67"/>
      <c r="J96" s="1568" t="s">
        <v>204</v>
      </c>
      <c r="K96" s="1261">
        <v>80</v>
      </c>
      <c r="L96" s="1469">
        <f t="shared" ref="L96:O97" si="35">K96*1.1</f>
        <v>88</v>
      </c>
      <c r="M96" s="1469">
        <f t="shared" si="35"/>
        <v>96.800000000000011</v>
      </c>
      <c r="N96" s="1469">
        <f t="shared" si="35"/>
        <v>106.48000000000002</v>
      </c>
      <c r="O96" s="1469">
        <f t="shared" si="35"/>
        <v>117.12800000000003</v>
      </c>
    </row>
    <row r="97" spans="2:22">
      <c r="C97" s="640" t="s">
        <v>358</v>
      </c>
      <c r="D97" s="67"/>
      <c r="E97" s="67"/>
      <c r="F97" s="67"/>
      <c r="G97" s="67"/>
      <c r="H97" s="67"/>
      <c r="I97" s="67"/>
      <c r="J97" s="1568" t="s">
        <v>205</v>
      </c>
      <c r="K97" s="1261">
        <v>35</v>
      </c>
      <c r="L97" s="1469">
        <f t="shared" si="35"/>
        <v>38.5</v>
      </c>
      <c r="M97" s="1469">
        <f t="shared" si="35"/>
        <v>42.35</v>
      </c>
      <c r="N97" s="1469">
        <f t="shared" si="35"/>
        <v>46.585000000000008</v>
      </c>
      <c r="O97" s="1469">
        <f t="shared" si="35"/>
        <v>51.243500000000012</v>
      </c>
    </row>
    <row r="98" spans="2:22">
      <c r="C98" s="67"/>
      <c r="D98" s="67"/>
      <c r="E98" s="1888" t="s">
        <v>521</v>
      </c>
      <c r="F98" s="1889"/>
      <c r="G98" s="1890"/>
      <c r="H98" s="67"/>
      <c r="I98" s="67"/>
      <c r="J98" s="1461"/>
      <c r="K98" s="1261"/>
      <c r="L98" s="1261"/>
      <c r="M98" s="1261"/>
      <c r="N98" s="1261"/>
      <c r="O98" s="1261"/>
    </row>
    <row r="99" spans="2:22">
      <c r="C99" s="115"/>
      <c r="D99" s="116"/>
      <c r="E99" s="1413" t="s">
        <v>203</v>
      </c>
      <c r="F99" s="1414" t="s">
        <v>204</v>
      </c>
      <c r="G99" s="1415" t="s">
        <v>205</v>
      </c>
      <c r="H99" s="67"/>
      <c r="I99" s="67"/>
    </row>
    <row r="100" spans="2:22">
      <c r="C100" s="549" t="s">
        <v>606</v>
      </c>
      <c r="D100" s="539"/>
      <c r="E100" s="644">
        <v>0.2</v>
      </c>
      <c r="F100" s="645">
        <v>0.15</v>
      </c>
      <c r="G100" s="646">
        <v>0.1</v>
      </c>
      <c r="H100" s="67"/>
      <c r="I100" s="1257"/>
      <c r="J100" s="1570" t="s">
        <v>605</v>
      </c>
      <c r="K100" s="703">
        <v>2018</v>
      </c>
      <c r="L100" s="703">
        <v>2019</v>
      </c>
      <c r="M100" s="703">
        <v>2020</v>
      </c>
      <c r="N100" s="703">
        <v>2021</v>
      </c>
      <c r="O100" s="703">
        <v>2022</v>
      </c>
      <c r="Q100" s="1462" t="s">
        <v>605</v>
      </c>
      <c r="R100" s="703">
        <v>2018</v>
      </c>
      <c r="S100" s="703">
        <v>2019</v>
      </c>
      <c r="T100" s="703">
        <v>2020</v>
      </c>
      <c r="U100" s="703">
        <v>2021</v>
      </c>
      <c r="V100" s="703">
        <v>2022</v>
      </c>
    </row>
    <row r="101" spans="2:22">
      <c r="C101" s="107" t="s">
        <v>375</v>
      </c>
      <c r="D101" s="117"/>
      <c r="E101" s="647">
        <v>0.1</v>
      </c>
      <c r="F101" s="648">
        <v>0.1</v>
      </c>
      <c r="G101" s="649">
        <v>0.1</v>
      </c>
      <c r="H101" s="67"/>
      <c r="I101" s="67"/>
      <c r="J101" s="1568" t="s">
        <v>203</v>
      </c>
      <c r="K101" s="1469">
        <f>K$85*K89*K95*4</f>
        <v>143475.0194207344</v>
      </c>
      <c r="L101" s="1469">
        <f t="shared" ref="L101:N101" si="36">L$85*L89*L95*4</f>
        <v>191615.09639224157</v>
      </c>
      <c r="M101" s="1469">
        <f t="shared" si="36"/>
        <v>250168.86752182225</v>
      </c>
      <c r="N101" s="1469">
        <f t="shared" si="36"/>
        <v>310128.72486754914</v>
      </c>
      <c r="O101" s="1469">
        <f>O$85*O89*O95*4</f>
        <v>389968.70655563218</v>
      </c>
      <c r="Q101" s="1460" t="s">
        <v>203</v>
      </c>
      <c r="R101" s="1469">
        <f>K$85*K89*R89*K95*4</f>
        <v>86085.011652440648</v>
      </c>
      <c r="S101" s="1469">
        <f t="shared" ref="S101:V101" si="37">L$85*L89*S89*L95*4</f>
        <v>120717.5107271122</v>
      </c>
      <c r="T101" s="1469">
        <f t="shared" si="37"/>
        <v>165486.70586568545</v>
      </c>
      <c r="U101" s="1469">
        <f t="shared" si="37"/>
        <v>215407.65907487803</v>
      </c>
      <c r="V101" s="1469">
        <f t="shared" si="37"/>
        <v>284405.64007367223</v>
      </c>
    </row>
    <row r="102" spans="2:22">
      <c r="C102" s="67"/>
      <c r="D102" s="67"/>
      <c r="E102" s="67"/>
      <c r="F102" s="67"/>
      <c r="G102" s="67"/>
      <c r="H102" s="67"/>
      <c r="I102" s="67"/>
      <c r="J102" s="1568" t="s">
        <v>204</v>
      </c>
      <c r="K102" s="1469">
        <f t="shared" ref="K102:N102" si="38">K$85*K90*K96*4</f>
        <v>71737.509710367201</v>
      </c>
      <c r="L102" s="1469">
        <f t="shared" si="38"/>
        <v>95807.54819612077</v>
      </c>
      <c r="M102" s="1469">
        <f t="shared" si="38"/>
        <v>125084.43376091111</v>
      </c>
      <c r="N102" s="1469">
        <f t="shared" si="38"/>
        <v>155064.36243377454</v>
      </c>
      <c r="O102" s="1469">
        <f>O$85*O90*O96*4</f>
        <v>194984.353277816</v>
      </c>
      <c r="Q102" s="1460" t="s">
        <v>204</v>
      </c>
      <c r="R102" s="1469">
        <f t="shared" ref="R102:R103" si="39">K$85*K90*R90*K96*4</f>
        <v>25108.12839862852</v>
      </c>
      <c r="S102" s="1469">
        <f t="shared" ref="S102:S103" si="40">L$85*L90*S90*L96*4</f>
        <v>35209.273962074381</v>
      </c>
      <c r="T102" s="1469">
        <f t="shared" ref="T102:T103" si="41">M$85*M90*T90*M96*4</f>
        <v>48266.955877491579</v>
      </c>
      <c r="U102" s="1469">
        <f t="shared" ref="U102:U103" si="42">N$85*N90*U90*N96*4</f>
        <v>62827.233896839396</v>
      </c>
      <c r="V102" s="1469">
        <f t="shared" ref="V102:V103" si="43">O$85*O90*V90*O96*4</f>
        <v>82951.645021487682</v>
      </c>
    </row>
    <row r="103" spans="2:22">
      <c r="C103" s="67" t="s">
        <v>376</v>
      </c>
      <c r="D103" s="67"/>
      <c r="E103" s="67"/>
      <c r="F103" s="67"/>
      <c r="G103" s="67"/>
      <c r="H103" s="67"/>
      <c r="I103" s="67"/>
      <c r="J103" s="1569" t="s">
        <v>205</v>
      </c>
      <c r="K103" s="1470">
        <f t="shared" ref="K103:N103" si="44">K$85*K91*K97*4</f>
        <v>177849.2428236187</v>
      </c>
      <c r="L103" s="1470">
        <f t="shared" si="44"/>
        <v>237522.87990288279</v>
      </c>
      <c r="M103" s="1470">
        <f t="shared" si="44"/>
        <v>310105.15869892546</v>
      </c>
      <c r="N103" s="1470">
        <f t="shared" si="44"/>
        <v>384430.39853373275</v>
      </c>
      <c r="O103" s="1470">
        <f>O$85*O91*O97*4</f>
        <v>483398.70916791889</v>
      </c>
      <c r="Q103" s="1465" t="s">
        <v>205</v>
      </c>
      <c r="R103" s="1470">
        <f t="shared" si="39"/>
        <v>32012.863708251363</v>
      </c>
      <c r="S103" s="1470">
        <f t="shared" si="40"/>
        <v>44891.824301644854</v>
      </c>
      <c r="T103" s="1470">
        <f t="shared" si="41"/>
        <v>61540.368743801766</v>
      </c>
      <c r="U103" s="1470">
        <f t="shared" si="42"/>
        <v>80104.723218470244</v>
      </c>
      <c r="V103" s="1470">
        <f t="shared" si="43"/>
        <v>105763.3474023968</v>
      </c>
    </row>
    <row r="104" spans="2:22">
      <c r="C104" s="67" t="s">
        <v>231</v>
      </c>
      <c r="D104" s="67"/>
      <c r="E104" s="67"/>
      <c r="F104" s="67"/>
      <c r="G104" s="67"/>
      <c r="H104" s="67"/>
      <c r="I104" s="67"/>
      <c r="J104" s="74"/>
      <c r="K104" s="572">
        <f>SUM(K101:K103)</f>
        <v>393061.77195472032</v>
      </c>
      <c r="L104" s="572">
        <f t="shared" ref="L104:O104" si="45">SUM(L101:L103)</f>
        <v>524945.52449124516</v>
      </c>
      <c r="M104" s="572">
        <f t="shared" si="45"/>
        <v>685358.45998165873</v>
      </c>
      <c r="N104" s="572">
        <f t="shared" si="45"/>
        <v>849623.4858350564</v>
      </c>
      <c r="O104" s="572">
        <f t="shared" si="45"/>
        <v>1068351.769001367</v>
      </c>
      <c r="Q104" s="67"/>
      <c r="R104" s="572">
        <f>SUM(R101:R103)</f>
        <v>143206.00375932053</v>
      </c>
      <c r="S104" s="572">
        <f t="shared" ref="S104" si="46">SUM(S101:S103)</f>
        <v>200818.60899083142</v>
      </c>
      <c r="T104" s="572">
        <f t="shared" ref="T104" si="47">SUM(T101:T103)</f>
        <v>275294.03048697882</v>
      </c>
      <c r="U104" s="572">
        <f t="shared" ref="U104" si="48">SUM(U101:U103)</f>
        <v>358339.61619018763</v>
      </c>
      <c r="V104" s="572">
        <f t="shared" ref="V104" si="49">SUM(V101:V103)</f>
        <v>473120.63249755668</v>
      </c>
    </row>
    <row r="105" spans="2:22">
      <c r="C105" s="67"/>
      <c r="D105" s="67"/>
      <c r="E105" s="67"/>
      <c r="F105" s="67"/>
      <c r="G105" s="67"/>
      <c r="H105" s="67"/>
      <c r="I105" s="67"/>
      <c r="K105" s="1471">
        <f>K104/K84</f>
        <v>0.40683174501124214</v>
      </c>
      <c r="L105" s="1471">
        <f t="shared" ref="L105:O105" si="50">L104/L84</f>
        <v>0.38833415607587857</v>
      </c>
      <c r="M105" s="1471">
        <f t="shared" si="50"/>
        <v>0.38884856594795419</v>
      </c>
      <c r="N105" s="1471">
        <f t="shared" si="50"/>
        <v>0.37091241251879986</v>
      </c>
      <c r="O105" s="1471">
        <f t="shared" si="50"/>
        <v>0.35876971810324509</v>
      </c>
    </row>
    <row r="106" spans="2:22">
      <c r="C106" s="650" t="s">
        <v>377</v>
      </c>
      <c r="D106" s="116"/>
      <c r="E106" s="116"/>
      <c r="F106" s="651" t="s">
        <v>203</v>
      </c>
      <c r="G106" s="652" t="s">
        <v>204</v>
      </c>
      <c r="H106" s="653" t="s">
        <v>205</v>
      </c>
    </row>
    <row r="107" spans="2:22" ht="25.5">
      <c r="C107" s="549" t="s">
        <v>381</v>
      </c>
      <c r="D107" s="539"/>
      <c r="E107" s="539"/>
      <c r="F107" s="654" t="s">
        <v>290</v>
      </c>
      <c r="G107" s="655" t="s">
        <v>290</v>
      </c>
      <c r="H107" s="656"/>
      <c r="J107" s="1570" t="s">
        <v>522</v>
      </c>
      <c r="K107" s="703">
        <v>2018</v>
      </c>
      <c r="L107" s="703">
        <v>2019</v>
      </c>
      <c r="M107" s="703">
        <v>2020</v>
      </c>
      <c r="N107" s="703">
        <v>2021</v>
      </c>
      <c r="O107" s="703">
        <v>2022</v>
      </c>
      <c r="Q107" s="1462" t="s">
        <v>523</v>
      </c>
      <c r="R107" s="703">
        <v>2018</v>
      </c>
      <c r="S107" s="703">
        <v>2019</v>
      </c>
      <c r="T107" s="703">
        <v>2020</v>
      </c>
      <c r="U107" s="703">
        <v>2021</v>
      </c>
      <c r="V107" s="703">
        <v>2022</v>
      </c>
    </row>
    <row r="108" spans="2:22">
      <c r="C108" s="549"/>
      <c r="D108" s="539"/>
      <c r="E108" s="539"/>
      <c r="F108" s="1411" t="s">
        <v>290</v>
      </c>
      <c r="G108" s="490"/>
      <c r="H108" s="1412"/>
      <c r="I108" s="1474">
        <v>0.2</v>
      </c>
      <c r="J108" s="1568" t="s">
        <v>203</v>
      </c>
      <c r="K108" s="1472">
        <f>K101*$I108*J$32</f>
        <v>8950.2390102416448</v>
      </c>
      <c r="L108" s="1472">
        <f t="shared" ref="L108:O108" si="51">L101*$I108*K$32</f>
        <v>11933.533046475482</v>
      </c>
      <c r="M108" s="1472">
        <f t="shared" si="51"/>
        <v>15408.234248923569</v>
      </c>
      <c r="N108" s="1472">
        <f t="shared" si="51"/>
        <v>19103.617474343719</v>
      </c>
      <c r="O108" s="1472">
        <f t="shared" si="51"/>
        <v>24021.68003039722</v>
      </c>
      <c r="P108" s="1474">
        <v>0.1</v>
      </c>
      <c r="Q108" s="1460" t="s">
        <v>203</v>
      </c>
      <c r="R108" s="1472">
        <f>R101*$P108*J$32</f>
        <v>2685.0717030724936</v>
      </c>
      <c r="S108" s="1472">
        <f t="shared" ref="S108:V108" si="52">S101*$P108*K$32</f>
        <v>3759.0629096397774</v>
      </c>
      <c r="T108" s="1472">
        <f t="shared" si="52"/>
        <v>5096.2734778314716</v>
      </c>
      <c r="U108" s="1472">
        <f t="shared" si="52"/>
        <v>6634.4475536211467</v>
      </c>
      <c r="V108" s="1472">
        <f t="shared" si="52"/>
        <v>8759.550663734406</v>
      </c>
    </row>
    <row r="109" spans="2:22">
      <c r="C109" s="549" t="s">
        <v>378</v>
      </c>
      <c r="D109" s="539"/>
      <c r="E109" s="539"/>
      <c r="F109" s="1411" t="s">
        <v>404</v>
      </c>
      <c r="G109" s="490" t="s">
        <v>404</v>
      </c>
      <c r="H109" s="1412" t="s">
        <v>404</v>
      </c>
      <c r="I109" s="1474">
        <v>0.15</v>
      </c>
      <c r="J109" s="1568" t="s">
        <v>204</v>
      </c>
      <c r="K109" s="1472">
        <f t="shared" ref="K109:O109" si="53">K102*$I109*J$32</f>
        <v>3356.3396288406166</v>
      </c>
      <c r="L109" s="1472">
        <f t="shared" si="53"/>
        <v>4475.0748924283052</v>
      </c>
      <c r="M109" s="1472">
        <f t="shared" si="53"/>
        <v>5778.0878433463367</v>
      </c>
      <c r="N109" s="1472">
        <f t="shared" si="53"/>
        <v>7163.8565528788922</v>
      </c>
      <c r="O109" s="1472">
        <f t="shared" si="53"/>
        <v>9008.1300113989528</v>
      </c>
      <c r="P109" s="1474">
        <v>0.1</v>
      </c>
      <c r="Q109" s="1460" t="s">
        <v>204</v>
      </c>
      <c r="R109" s="1472">
        <f t="shared" ref="R109:R110" si="54">R102*$P109*J$32</f>
        <v>783.14591339614401</v>
      </c>
      <c r="S109" s="1472">
        <f t="shared" ref="S109:S110" si="55">S102*$P109*K$32</f>
        <v>1096.3933486449348</v>
      </c>
      <c r="T109" s="1472">
        <f t="shared" ref="T109:T110" si="56">T102*$P109*L$32</f>
        <v>1486.4130977008456</v>
      </c>
      <c r="U109" s="1472">
        <f t="shared" ref="U109:U110" si="57">U102*$P109*M$32</f>
        <v>1935.0472031395002</v>
      </c>
      <c r="V109" s="1472">
        <f t="shared" ref="V109:V110" si="58">V102*$P109*N$32</f>
        <v>2554.8689435892006</v>
      </c>
    </row>
    <row r="110" spans="2:22">
      <c r="C110" s="549"/>
      <c r="D110" s="539"/>
      <c r="E110" s="539"/>
      <c r="F110" s="1411" t="s">
        <v>290</v>
      </c>
      <c r="G110" s="490" t="s">
        <v>290</v>
      </c>
      <c r="H110" s="1412"/>
      <c r="I110" s="1474">
        <v>0.1</v>
      </c>
      <c r="J110" s="1569" t="s">
        <v>205</v>
      </c>
      <c r="K110" s="1473">
        <f t="shared" ref="K110:O110" si="59">K103*$I110*J$32</f>
        <v>5547.2835532226864</v>
      </c>
      <c r="L110" s="1473">
        <f t="shared" si="59"/>
        <v>7396.304336096784</v>
      </c>
      <c r="M110" s="1473">
        <f t="shared" si="59"/>
        <v>9549.8951855307532</v>
      </c>
      <c r="N110" s="1473">
        <f t="shared" si="59"/>
        <v>11840.262913785948</v>
      </c>
      <c r="O110" s="1473">
        <f t="shared" si="59"/>
        <v>14888.437102173273</v>
      </c>
      <c r="P110" s="1474">
        <v>0.1</v>
      </c>
      <c r="Q110" s="1465" t="s">
        <v>205</v>
      </c>
      <c r="R110" s="1473">
        <f t="shared" si="54"/>
        <v>998.51103958008366</v>
      </c>
      <c r="S110" s="1473">
        <f t="shared" si="55"/>
        <v>1397.9015195222923</v>
      </c>
      <c r="T110" s="1473">
        <f t="shared" si="56"/>
        <v>1895.1766995685782</v>
      </c>
      <c r="U110" s="1473">
        <f t="shared" si="57"/>
        <v>2467.185184002863</v>
      </c>
      <c r="V110" s="1473">
        <f t="shared" si="58"/>
        <v>3257.4579030762307</v>
      </c>
    </row>
    <row r="111" spans="2:22">
      <c r="B111" s="57"/>
      <c r="C111" s="549" t="s">
        <v>380</v>
      </c>
      <c r="D111" s="539"/>
      <c r="E111" s="539"/>
      <c r="F111" s="1411" t="s">
        <v>290</v>
      </c>
      <c r="G111" s="490" t="s">
        <v>290</v>
      </c>
      <c r="H111" s="1412"/>
      <c r="J111" s="74"/>
      <c r="K111" s="572">
        <f>SUM(K108:K110)</f>
        <v>17853.862192304947</v>
      </c>
      <c r="L111" s="572">
        <f t="shared" ref="L111:O111" si="60">SUM(L108:L110)</f>
        <v>23804.91227500057</v>
      </c>
      <c r="M111" s="572">
        <f t="shared" si="60"/>
        <v>30736.217277800657</v>
      </c>
      <c r="N111" s="572">
        <f t="shared" si="60"/>
        <v>38107.736941008559</v>
      </c>
      <c r="O111" s="572">
        <f t="shared" si="60"/>
        <v>47918.247143969442</v>
      </c>
      <c r="Q111" s="67"/>
      <c r="R111" s="572">
        <f>SUM(R108:R110)</f>
        <v>4466.7286560487209</v>
      </c>
      <c r="S111" s="572">
        <f t="shared" ref="S111" si="61">SUM(S108:S110)</f>
        <v>6253.3577778070048</v>
      </c>
      <c r="T111" s="572">
        <f t="shared" ref="T111" si="62">SUM(T108:T110)</f>
        <v>8477.8632751008954</v>
      </c>
      <c r="U111" s="572">
        <f t="shared" ref="U111" si="63">SUM(U108:U110)</f>
        <v>11036.67994076351</v>
      </c>
      <c r="V111" s="572">
        <f t="shared" ref="V111" si="64">SUM(V108:V110)</f>
        <v>14571.877510399838</v>
      </c>
    </row>
    <row r="112" spans="2:22">
      <c r="C112" s="549" t="s">
        <v>385</v>
      </c>
      <c r="D112" s="539"/>
      <c r="E112" s="539"/>
      <c r="F112" s="1411" t="s">
        <v>290</v>
      </c>
      <c r="G112" s="490" t="s">
        <v>290</v>
      </c>
      <c r="H112" s="1412" t="s">
        <v>290</v>
      </c>
      <c r="J112" s="74"/>
      <c r="K112" s="1122">
        <f>K111/K84</f>
        <v>1.8479329278865617E-2</v>
      </c>
      <c r="L112" s="1122">
        <f t="shared" ref="L112:O112" si="65">L111/L84</f>
        <v>1.7609942532097616E-2</v>
      </c>
      <c r="M112" s="1122">
        <f t="shared" si="65"/>
        <v>1.7438661239342353E-2</v>
      </c>
      <c r="N112" s="1122">
        <f t="shared" si="65"/>
        <v>1.6636348782812879E-2</v>
      </c>
      <c r="O112" s="1122">
        <f t="shared" si="65"/>
        <v>1.6091718588076349E-2</v>
      </c>
      <c r="R112" s="583">
        <f>R111/K84</f>
        <v>4.6232097428222027E-3</v>
      </c>
      <c r="S112" s="583">
        <f t="shared" ref="S112:V112" si="66">S111/L84</f>
        <v>4.6259893683991476E-3</v>
      </c>
      <c r="T112" s="583">
        <f t="shared" si="66"/>
        <v>4.8100449170993412E-3</v>
      </c>
      <c r="U112" s="583">
        <f t="shared" si="66"/>
        <v>4.8181831732240594E-3</v>
      </c>
      <c r="V112" s="583">
        <f t="shared" si="66"/>
        <v>4.893470988051013E-3</v>
      </c>
    </row>
    <row r="113" spans="3:15">
      <c r="C113" s="107" t="s">
        <v>383</v>
      </c>
      <c r="D113" s="117"/>
      <c r="E113" s="117"/>
      <c r="F113" s="548" t="s">
        <v>290</v>
      </c>
      <c r="G113" s="70" t="s">
        <v>290</v>
      </c>
      <c r="H113" s="78" t="s">
        <v>290</v>
      </c>
      <c r="J113" s="74"/>
    </row>
    <row r="114" spans="3:15">
      <c r="D114" s="1407"/>
      <c r="E114" s="1407"/>
      <c r="F114" s="1407"/>
    </row>
    <row r="115" spans="3:15">
      <c r="D115" s="1407"/>
      <c r="E115" s="1407"/>
      <c r="F115" s="1407"/>
      <c r="J115" s="1522" t="s">
        <v>377</v>
      </c>
      <c r="K115" s="1455"/>
      <c r="L115" s="1455"/>
      <c r="M115" s="1455"/>
      <c r="N115" s="1455"/>
      <c r="O115" s="1455"/>
    </row>
    <row r="116" spans="3:15">
      <c r="D116" s="1407"/>
      <c r="E116" s="1407"/>
      <c r="F116" s="1407"/>
      <c r="I116" s="624" t="s">
        <v>695</v>
      </c>
      <c r="J116" s="1523"/>
      <c r="K116" s="703">
        <v>2018</v>
      </c>
      <c r="L116" s="703">
        <v>2019</v>
      </c>
      <c r="M116" s="703">
        <v>2020</v>
      </c>
      <c r="N116" s="703">
        <v>2021</v>
      </c>
      <c r="O116" s="703">
        <v>2022</v>
      </c>
    </row>
    <row r="117" spans="3:15">
      <c r="I117" s="624">
        <v>6</v>
      </c>
      <c r="J117" s="1475" t="s">
        <v>203</v>
      </c>
      <c r="K117" s="1481">
        <f>K$85*K89*70%*$I117</f>
        <v>753.24385195885566</v>
      </c>
      <c r="L117" s="1481">
        <f>L$85*L89*70%*$I117*1.15</f>
        <v>1051.7055858801439</v>
      </c>
      <c r="M117" s="1481">
        <f t="shared" ref="M117:N117" si="67">M$85*M89*70%*$I117*1.15</f>
        <v>1248.2599484818193</v>
      </c>
      <c r="N117" s="1481">
        <f t="shared" si="67"/>
        <v>1406.7634683605013</v>
      </c>
      <c r="O117" s="1481">
        <f>O$85*O89*70%*$I117*1.15</f>
        <v>1608.1115127584369</v>
      </c>
    </row>
    <row r="118" spans="3:15">
      <c r="I118" s="624">
        <v>5</v>
      </c>
      <c r="J118" s="1475" t="s">
        <v>204</v>
      </c>
      <c r="K118" s="1456">
        <f t="shared" ref="K118" si="68">K$85*K90*70%*$I118</f>
        <v>784.62901245714124</v>
      </c>
      <c r="L118" s="1456">
        <f t="shared" ref="L118:O118" si="69">L$85*L90*70%*$I118*1.15</f>
        <v>1095.5266519584829</v>
      </c>
      <c r="M118" s="1456">
        <f t="shared" si="69"/>
        <v>1300.2707796685618</v>
      </c>
      <c r="N118" s="1456">
        <f t="shared" si="69"/>
        <v>1465.3786128755221</v>
      </c>
      <c r="O118" s="1456">
        <f t="shared" si="69"/>
        <v>1675.116159123372</v>
      </c>
    </row>
    <row r="119" spans="3:15">
      <c r="I119" s="624">
        <v>1.5</v>
      </c>
      <c r="J119" s="1478" t="s">
        <v>205</v>
      </c>
      <c r="K119" s="1480">
        <f t="shared" ref="K119" si="70">K$85*K91*70%*$I119</f>
        <v>1333.8693211771401</v>
      </c>
      <c r="L119" s="1480">
        <f t="shared" ref="L119:O119" si="71">L$85*L91*70%*$I119*1.15</f>
        <v>1862.3953083294216</v>
      </c>
      <c r="M119" s="1480">
        <f t="shared" si="71"/>
        <v>2210.4603254365552</v>
      </c>
      <c r="N119" s="1480">
        <f t="shared" si="71"/>
        <v>2491.1436418883873</v>
      </c>
      <c r="O119" s="1480">
        <f t="shared" si="71"/>
        <v>2847.6974705097323</v>
      </c>
    </row>
    <row r="120" spans="3:15">
      <c r="J120" s="1475" t="s">
        <v>254</v>
      </c>
      <c r="K120" s="1456">
        <f>SUM(K117:K119)</f>
        <v>2871.742185593137</v>
      </c>
      <c r="L120" s="1456">
        <f t="shared" ref="L120:O120" si="72">SUM(L117:L119)</f>
        <v>4009.6275461680489</v>
      </c>
      <c r="M120" s="1456">
        <f t="shared" si="72"/>
        <v>4758.9910535869367</v>
      </c>
      <c r="N120" s="1456">
        <f t="shared" si="72"/>
        <v>5363.2857231244107</v>
      </c>
      <c r="O120" s="1456">
        <f t="shared" si="72"/>
        <v>6130.9251423915412</v>
      </c>
    </row>
    <row r="121" spans="3:15">
      <c r="J121" s="1475"/>
      <c r="K121" s="1482">
        <f>K120/K84</f>
        <v>2.9723467606049495E-3</v>
      </c>
      <c r="L121" s="1482">
        <f t="shared" ref="L121:O121" si="73">L120/L84</f>
        <v>2.966165547994368E-3</v>
      </c>
      <c r="M121" s="1482">
        <f t="shared" si="73"/>
        <v>2.700086093043846E-3</v>
      </c>
      <c r="N121" s="1482">
        <f t="shared" si="73"/>
        <v>2.3414009614347105E-3</v>
      </c>
      <c r="O121" s="1482">
        <f t="shared" si="73"/>
        <v>2.058863334034594E-3</v>
      </c>
    </row>
    <row r="122" spans="3:15">
      <c r="J122" s="1491"/>
      <c r="K122" s="1455"/>
      <c r="L122" s="852"/>
      <c r="M122" s="852"/>
      <c r="N122" s="1458"/>
      <c r="O122" s="1455"/>
    </row>
    <row r="123" spans="3:15">
      <c r="J123" s="1475" t="s">
        <v>1455</v>
      </c>
      <c r="K123" s="703">
        <v>2018</v>
      </c>
      <c r="L123" s="703">
        <v>2019</v>
      </c>
      <c r="M123" s="703">
        <v>2020</v>
      </c>
      <c r="N123" s="703">
        <v>2021</v>
      </c>
      <c r="O123" s="703">
        <v>2022</v>
      </c>
    </row>
    <row r="124" spans="3:15">
      <c r="J124" s="1578"/>
      <c r="K124" s="1579">
        <f>K111+R111+K120</f>
        <v>25192.333033946808</v>
      </c>
      <c r="L124" s="1579">
        <f t="shared" ref="L124:O124" si="74">L111+S111+L120</f>
        <v>34067.897598975622</v>
      </c>
      <c r="M124" s="1579">
        <f t="shared" si="74"/>
        <v>43973.071606488484</v>
      </c>
      <c r="N124" s="1579">
        <f t="shared" si="74"/>
        <v>54507.702604896484</v>
      </c>
      <c r="O124" s="1579">
        <f t="shared" si="74"/>
        <v>68621.049796760824</v>
      </c>
    </row>
    <row r="125" spans="3:15">
      <c r="J125" s="1524"/>
      <c r="K125" s="1483">
        <f>K124/K84</f>
        <v>2.6074885782292771E-2</v>
      </c>
      <c r="L125" s="1483">
        <f t="shared" ref="L125:O125" si="75">L124/L84</f>
        <v>2.5202097448491129E-2</v>
      </c>
      <c r="M125" s="1483">
        <f t="shared" si="75"/>
        <v>2.4948792249485537E-2</v>
      </c>
      <c r="N125" s="1483">
        <f t="shared" si="75"/>
        <v>2.379593291747165E-2</v>
      </c>
      <c r="O125" s="1483">
        <f t="shared" si="75"/>
        <v>2.3044052910161955E-2</v>
      </c>
    </row>
    <row r="126" spans="3:15">
      <c r="J126" s="1491"/>
      <c r="K126" s="1455"/>
      <c r="L126" s="434"/>
      <c r="M126" s="434"/>
      <c r="N126" s="1476"/>
      <c r="O126" s="1477"/>
    </row>
    <row r="128" spans="3:15" s="9" customFormat="1" ht="15.75" thickBot="1">
      <c r="J128" s="1525"/>
    </row>
    <row r="129" spans="2:14" ht="15.75" thickTop="1"/>
    <row r="130" spans="2:14" s="41" customFormat="1" ht="18.75" customHeight="1">
      <c r="B130" s="40" t="s">
        <v>32</v>
      </c>
      <c r="J130" s="1526"/>
    </row>
    <row r="132" spans="2:14" s="45" customFormat="1" ht="12.75">
      <c r="B132" s="44" t="s">
        <v>33</v>
      </c>
      <c r="J132" s="1527"/>
    </row>
    <row r="134" spans="2:14">
      <c r="B134" s="542" t="s">
        <v>710</v>
      </c>
      <c r="J134" s="760">
        <v>2018</v>
      </c>
      <c r="K134" s="703">
        <v>2019</v>
      </c>
      <c r="L134" s="703">
        <v>2020</v>
      </c>
      <c r="M134" s="703">
        <v>2021</v>
      </c>
      <c r="N134" s="703">
        <v>2022</v>
      </c>
    </row>
    <row r="135" spans="2:14">
      <c r="I135" t="s">
        <v>509</v>
      </c>
      <c r="J135" s="1528">
        <f>H24</f>
        <v>966153.14998061094</v>
      </c>
      <c r="K135" s="754">
        <f>I24</f>
        <v>1351788.1862255593</v>
      </c>
      <c r="L135" s="754">
        <f>J24</f>
        <v>1762533.0784256798</v>
      </c>
      <c r="M135" s="754">
        <f>K24</f>
        <v>2290631.0416128035</v>
      </c>
      <c r="N135" s="754">
        <f>L24</f>
        <v>2977820.3540966678</v>
      </c>
    </row>
    <row r="136" spans="2:14">
      <c r="I136" t="s">
        <v>1450</v>
      </c>
      <c r="J136" s="1529">
        <f>H7</f>
        <v>2610.0499949200407</v>
      </c>
      <c r="K136" s="1223">
        <f>I7</f>
        <v>3205.6014055160836</v>
      </c>
      <c r="L136" s="1223">
        <f>J7</f>
        <v>3644.0068615851724</v>
      </c>
      <c r="M136" s="1223">
        <f>K7</f>
        <v>4127.3138784894873</v>
      </c>
      <c r="N136" s="1223">
        <f>L7</f>
        <v>4723.025846135346</v>
      </c>
    </row>
    <row r="137" spans="2:14">
      <c r="J137" s="1529"/>
      <c r="K137" s="1223"/>
      <c r="L137" s="1223"/>
      <c r="M137" s="1223"/>
      <c r="N137" s="1223"/>
    </row>
    <row r="139" spans="2:14">
      <c r="C139" s="731" t="s">
        <v>616</v>
      </c>
      <c r="D139" s="734" t="s">
        <v>271</v>
      </c>
      <c r="I139" s="760" t="s">
        <v>1475</v>
      </c>
      <c r="J139" s="760">
        <v>2018</v>
      </c>
      <c r="K139" s="703">
        <v>2019</v>
      </c>
      <c r="L139" s="703">
        <v>2020</v>
      </c>
      <c r="M139" s="703">
        <v>2021</v>
      </c>
      <c r="N139" s="703">
        <v>2022</v>
      </c>
    </row>
    <row r="140" spans="2:14">
      <c r="C140" s="738" t="s">
        <v>16</v>
      </c>
      <c r="D140" s="735"/>
      <c r="H140" s="583"/>
      <c r="I140">
        <v>0</v>
      </c>
      <c r="J140" s="1517">
        <f>1-SUM(J141:J143)</f>
        <v>0.86599999999999999</v>
      </c>
      <c r="K140" s="1517">
        <f t="shared" ref="K140:N140" si="76">1-SUM(K141:K143)</f>
        <v>0.86599999999999999</v>
      </c>
      <c r="L140" s="1517">
        <f t="shared" si="76"/>
        <v>0.86599999999999999</v>
      </c>
      <c r="M140" s="1517">
        <f t="shared" si="76"/>
        <v>0.86599999999999999</v>
      </c>
      <c r="N140" s="1517">
        <f t="shared" si="76"/>
        <v>0.86599999999999999</v>
      </c>
    </row>
    <row r="141" spans="2:14">
      <c r="C141" s="732">
        <v>0</v>
      </c>
      <c r="D141" s="736">
        <v>0.12</v>
      </c>
      <c r="H141" s="583"/>
      <c r="I141">
        <v>50</v>
      </c>
      <c r="J141" s="1517">
        <v>9.1999999999999998E-2</v>
      </c>
      <c r="K141" s="1517">
        <v>9.1999999999999998E-2</v>
      </c>
      <c r="L141" s="1517">
        <v>9.1999999999999998E-2</v>
      </c>
      <c r="M141" s="1517">
        <v>9.1999999999999998E-2</v>
      </c>
      <c r="N141" s="1517">
        <v>9.1999999999999998E-2</v>
      </c>
    </row>
    <row r="142" spans="2:14">
      <c r="C142" s="732">
        <v>50</v>
      </c>
      <c r="D142" s="736">
        <v>0.15</v>
      </c>
      <c r="H142" s="583"/>
      <c r="I142">
        <v>150</v>
      </c>
      <c r="J142" s="1517">
        <v>0.03</v>
      </c>
      <c r="K142" s="1517">
        <v>0.03</v>
      </c>
      <c r="L142" s="1517">
        <v>0.03</v>
      </c>
      <c r="M142" s="1517">
        <v>0.03</v>
      </c>
      <c r="N142" s="1517">
        <v>0.03</v>
      </c>
    </row>
    <row r="143" spans="2:14">
      <c r="C143" s="732">
        <v>150</v>
      </c>
      <c r="D143" s="736">
        <v>0.17</v>
      </c>
      <c r="H143" s="583"/>
      <c r="I143" s="703">
        <v>300</v>
      </c>
      <c r="J143" s="1530">
        <v>1.2E-2</v>
      </c>
      <c r="K143" s="1530">
        <v>1.2E-2</v>
      </c>
      <c r="L143" s="1530">
        <v>1.2E-2</v>
      </c>
      <c r="M143" s="1530">
        <v>1.2E-2</v>
      </c>
      <c r="N143" s="1530">
        <v>1.2E-2</v>
      </c>
    </row>
    <row r="144" spans="2:14">
      <c r="C144" s="733">
        <v>300</v>
      </c>
      <c r="D144" s="737">
        <v>0.2</v>
      </c>
    </row>
    <row r="146" spans="8:14">
      <c r="I146" s="760" t="s">
        <v>1434</v>
      </c>
      <c r="J146" s="760">
        <v>2018</v>
      </c>
      <c r="K146" s="703">
        <v>2019</v>
      </c>
      <c r="L146" s="703">
        <v>2020</v>
      </c>
      <c r="M146" s="703">
        <v>2021</v>
      </c>
      <c r="N146" s="703">
        <v>2022</v>
      </c>
    </row>
    <row r="147" spans="8:14">
      <c r="H147" s="1454"/>
      <c r="I147">
        <v>0</v>
      </c>
      <c r="J147" s="1491">
        <v>10</v>
      </c>
      <c r="K147" s="1586">
        <f>J147*1.1</f>
        <v>11</v>
      </c>
      <c r="L147" s="1586">
        <f t="shared" ref="L147:N147" si="77">K147*1.1</f>
        <v>12.100000000000001</v>
      </c>
      <c r="M147" s="1586">
        <f t="shared" si="77"/>
        <v>13.310000000000002</v>
      </c>
      <c r="N147" s="1586">
        <f t="shared" si="77"/>
        <v>14.641000000000004</v>
      </c>
    </row>
    <row r="148" spans="8:14">
      <c r="H148" s="1454"/>
      <c r="I148">
        <v>50</v>
      </c>
      <c r="J148" s="1491">
        <v>90</v>
      </c>
      <c r="K148" s="754">
        <f t="shared" ref="K148:N148" si="78">J148*1.1</f>
        <v>99.000000000000014</v>
      </c>
      <c r="L148" s="754">
        <f t="shared" si="78"/>
        <v>108.90000000000002</v>
      </c>
      <c r="M148" s="754">
        <f t="shared" si="78"/>
        <v>119.79000000000003</v>
      </c>
      <c r="N148" s="754">
        <f t="shared" si="78"/>
        <v>131.76900000000006</v>
      </c>
    </row>
    <row r="149" spans="8:14">
      <c r="H149" s="1454"/>
      <c r="I149">
        <v>150</v>
      </c>
      <c r="J149" s="1491">
        <v>230</v>
      </c>
      <c r="K149" s="754">
        <f t="shared" ref="K149:N149" si="79">J149*1.1</f>
        <v>253.00000000000003</v>
      </c>
      <c r="L149" s="754">
        <f t="shared" si="79"/>
        <v>278.30000000000007</v>
      </c>
      <c r="M149" s="754">
        <f t="shared" si="79"/>
        <v>306.13000000000011</v>
      </c>
      <c r="N149" s="754">
        <f t="shared" si="79"/>
        <v>336.74300000000017</v>
      </c>
    </row>
    <row r="150" spans="8:14">
      <c r="H150" s="1454"/>
      <c r="I150" s="703">
        <v>300</v>
      </c>
      <c r="J150" s="760">
        <v>420</v>
      </c>
      <c r="K150" s="720">
        <f t="shared" ref="K150:N150" si="80">J150*1.1</f>
        <v>462.00000000000006</v>
      </c>
      <c r="L150" s="720">
        <f t="shared" si="80"/>
        <v>508.2000000000001</v>
      </c>
      <c r="M150" s="720">
        <f t="shared" si="80"/>
        <v>559.02000000000021</v>
      </c>
      <c r="N150" s="720">
        <f t="shared" si="80"/>
        <v>614.92200000000025</v>
      </c>
    </row>
    <row r="151" spans="8:14">
      <c r="K151" s="693"/>
      <c r="L151" s="693"/>
      <c r="M151" s="693"/>
      <c r="N151" s="693"/>
    </row>
    <row r="153" spans="8:14">
      <c r="I153" s="760" t="s">
        <v>673</v>
      </c>
      <c r="J153" s="760">
        <v>2018</v>
      </c>
      <c r="K153" s="703">
        <v>2019</v>
      </c>
      <c r="L153" s="703">
        <v>2020</v>
      </c>
      <c r="M153" s="703">
        <v>2021</v>
      </c>
      <c r="N153" s="703">
        <v>2022</v>
      </c>
    </row>
    <row r="154" spans="8:14">
      <c r="I154">
        <v>0</v>
      </c>
      <c r="J154" s="904">
        <f>J140*J$136*J147*12</f>
        <v>271236.39547209063</v>
      </c>
      <c r="K154" s="442">
        <f t="shared" ref="K154:N154" si="81">K140*K$136*K147*12</f>
        <v>366438.70786735456</v>
      </c>
      <c r="L154" s="442">
        <f t="shared" si="81"/>
        <v>458209.08359767671</v>
      </c>
      <c r="M154" s="442">
        <f t="shared" si="81"/>
        <v>570879.81993424729</v>
      </c>
      <c r="N154" s="442">
        <f t="shared" si="81"/>
        <v>718604.94412667712</v>
      </c>
    </row>
    <row r="155" spans="8:14">
      <c r="I155">
        <v>50</v>
      </c>
      <c r="J155" s="904">
        <f t="shared" ref="J155:N155" si="82">J141*J$136*J148*12</f>
        <v>259334.56749525524</v>
      </c>
      <c r="K155" s="442">
        <f t="shared" si="82"/>
        <v>350359.4112172859</v>
      </c>
      <c r="L155" s="442">
        <f t="shared" si="82"/>
        <v>438102.91133819439</v>
      </c>
      <c r="M155" s="442">
        <f t="shared" si="82"/>
        <v>545829.66617269837</v>
      </c>
      <c r="N155" s="442">
        <f t="shared" si="82"/>
        <v>687072.62556222721</v>
      </c>
    </row>
    <row r="156" spans="8:14">
      <c r="I156">
        <v>150</v>
      </c>
      <c r="J156" s="904">
        <f t="shared" ref="J156:N156" si="83">J142*J$136*J149*12</f>
        <v>216112.13957937935</v>
      </c>
      <c r="K156" s="442">
        <f t="shared" si="83"/>
        <v>291966.17601440492</v>
      </c>
      <c r="L156" s="442">
        <f t="shared" si="83"/>
        <v>365085.75944849534</v>
      </c>
      <c r="M156" s="442">
        <f t="shared" si="83"/>
        <v>454858.05514391541</v>
      </c>
      <c r="N156" s="442">
        <f t="shared" si="83"/>
        <v>572560.52130185603</v>
      </c>
    </row>
    <row r="157" spans="8:14">
      <c r="I157" s="703">
        <v>300</v>
      </c>
      <c r="J157" s="1420">
        <f t="shared" ref="J157:N157" si="84">J143*J$136*J150*12</f>
        <v>157855.82369276407</v>
      </c>
      <c r="K157" s="720">
        <f t="shared" si="84"/>
        <v>213262.25030617404</v>
      </c>
      <c r="L157" s="720">
        <f t="shared" si="84"/>
        <v>266671.3373362922</v>
      </c>
      <c r="M157" s="720">
        <f t="shared" si="84"/>
        <v>332244.14462685992</v>
      </c>
      <c r="N157" s="720">
        <f t="shared" si="84"/>
        <v>418218.1199074426</v>
      </c>
    </row>
    <row r="158" spans="8:14">
      <c r="J158" s="1531">
        <f>SUM(J154:J157)</f>
        <v>904538.92623948923</v>
      </c>
      <c r="K158" s="1456">
        <f t="shared" ref="K158:N158" si="85">SUM(K154:K157)</f>
        <v>1222026.5454052193</v>
      </c>
      <c r="L158" s="1456">
        <f t="shared" si="85"/>
        <v>1528069.0917206586</v>
      </c>
      <c r="M158" s="1456">
        <f t="shared" si="85"/>
        <v>1903811.6858777208</v>
      </c>
      <c r="N158" s="1456">
        <f t="shared" si="85"/>
        <v>2396456.2108982028</v>
      </c>
    </row>
    <row r="159" spans="8:14">
      <c r="J159" s="1532">
        <f>J158/J135</f>
        <v>0.93622727023934227</v>
      </c>
      <c r="K159" s="1457">
        <f t="shared" ref="K159:N159" si="86">K158/K135</f>
        <v>0.90400741614508529</v>
      </c>
      <c r="L159" s="1457">
        <f t="shared" si="86"/>
        <v>0.86697328431733722</v>
      </c>
      <c r="M159" s="1457">
        <f t="shared" si="86"/>
        <v>0.83112978532643644</v>
      </c>
      <c r="N159" s="1457">
        <f t="shared" si="86"/>
        <v>0.80476856422897824</v>
      </c>
    </row>
    <row r="161" spans="2:14">
      <c r="I161" s="760" t="s">
        <v>466</v>
      </c>
      <c r="J161" s="760">
        <v>2018</v>
      </c>
      <c r="K161" s="703">
        <v>2019</v>
      </c>
      <c r="L161" s="703">
        <v>2020</v>
      </c>
      <c r="M161" s="703">
        <v>2021</v>
      </c>
      <c r="N161" s="703">
        <v>2022</v>
      </c>
    </row>
    <row r="162" spans="2:14">
      <c r="I162">
        <v>0</v>
      </c>
      <c r="J162" s="904">
        <f>J154*$D141*J$32</f>
        <v>10152.139003233917</v>
      </c>
      <c r="K162" s="442">
        <f t="shared" ref="K162:N162" si="87">K154*$D141*K$32</f>
        <v>13692.788863226253</v>
      </c>
      <c r="L162" s="442">
        <f t="shared" si="87"/>
        <v>16933.025196130951</v>
      </c>
      <c r="M162" s="442">
        <f t="shared" si="87"/>
        <v>21099.373574964004</v>
      </c>
      <c r="N162" s="442">
        <f t="shared" si="87"/>
        <v>26559.205001660714</v>
      </c>
    </row>
    <row r="163" spans="2:14">
      <c r="I163">
        <v>50</v>
      </c>
      <c r="J163" s="904">
        <f t="shared" ref="J163:N165" si="88">J155*$D142*J$32</f>
        <v>12133.33010201744</v>
      </c>
      <c r="K163" s="442">
        <f t="shared" si="88"/>
        <v>16364.938191038307</v>
      </c>
      <c r="L163" s="442">
        <f t="shared" si="88"/>
        <v>20237.507018470598</v>
      </c>
      <c r="M163" s="442">
        <f t="shared" si="88"/>
        <v>25216.918764535505</v>
      </c>
      <c r="N163" s="442">
        <f t="shared" si="88"/>
        <v>31742.236924617606</v>
      </c>
    </row>
    <row r="164" spans="2:14">
      <c r="I164">
        <v>150</v>
      </c>
      <c r="J164" s="904">
        <f t="shared" si="88"/>
        <v>11459.256207460916</v>
      </c>
      <c r="K164" s="442">
        <f t="shared" si="88"/>
        <v>15455.774958202846</v>
      </c>
      <c r="L164" s="442">
        <f t="shared" si="88"/>
        <v>19113.201073000011</v>
      </c>
      <c r="M164" s="442">
        <f t="shared" si="88"/>
        <v>23815.978833172427</v>
      </c>
      <c r="N164" s="442">
        <f t="shared" si="88"/>
        <v>29978.779317694407</v>
      </c>
    </row>
    <row r="165" spans="2:14">
      <c r="I165" s="703">
        <v>300</v>
      </c>
      <c r="J165" s="1420">
        <f t="shared" si="88"/>
        <v>9847.3403726518372</v>
      </c>
      <c r="K165" s="720">
        <f t="shared" si="88"/>
        <v>13281.688966639787</v>
      </c>
      <c r="L165" s="720">
        <f t="shared" si="88"/>
        <v>16424.643377309469</v>
      </c>
      <c r="M165" s="720">
        <f t="shared" si="88"/>
        <v>20465.905084260703</v>
      </c>
      <c r="N165" s="720">
        <f t="shared" si="88"/>
        <v>25761.815475051964</v>
      </c>
    </row>
    <row r="166" spans="2:14">
      <c r="I166" s="1575"/>
      <c r="J166" s="1576">
        <f>SUM(J162:J165)</f>
        <v>43592.065685364112</v>
      </c>
      <c r="K166" s="1577">
        <f t="shared" ref="K166:N166" si="89">SUM(K162:K165)</f>
        <v>58795.190979107196</v>
      </c>
      <c r="L166" s="1577">
        <f t="shared" si="89"/>
        <v>72708.376664911033</v>
      </c>
      <c r="M166" s="1577">
        <f t="shared" si="89"/>
        <v>90598.176256932638</v>
      </c>
      <c r="N166" s="1577">
        <f t="shared" si="89"/>
        <v>114042.03671902469</v>
      </c>
    </row>
    <row r="167" spans="2:14">
      <c r="J167" s="1533">
        <f>J166/J135</f>
        <v>4.5119208777861908E-2</v>
      </c>
      <c r="K167" s="660">
        <f t="shared" ref="K167:N167" si="90">K166/K135</f>
        <v>4.3494381426186418E-2</v>
      </c>
      <c r="L167" s="660">
        <f t="shared" si="90"/>
        <v>4.1252205450722779E-2</v>
      </c>
      <c r="M167" s="660">
        <f t="shared" si="90"/>
        <v>3.9551623378483357E-2</v>
      </c>
      <c r="N167" s="660">
        <f t="shared" si="90"/>
        <v>3.8297151324838644E-2</v>
      </c>
    </row>
    <row r="168" spans="2:14" s="703" customFormat="1">
      <c r="J168" s="760"/>
    </row>
    <row r="170" spans="2:14">
      <c r="B170" s="542" t="s">
        <v>36</v>
      </c>
      <c r="J170" s="760">
        <v>2018</v>
      </c>
      <c r="K170" s="703">
        <v>2019</v>
      </c>
      <c r="L170" s="703">
        <v>2020</v>
      </c>
      <c r="M170" s="703">
        <v>2021</v>
      </c>
      <c r="N170" s="703">
        <v>2022</v>
      </c>
    </row>
    <row r="171" spans="2:14">
      <c r="I171" t="s">
        <v>509</v>
      </c>
      <c r="J171" s="1528">
        <f>J135</f>
        <v>966153.14998061094</v>
      </c>
      <c r="K171" s="754">
        <f t="shared" ref="K171:N171" si="91">K135</f>
        <v>1351788.1862255593</v>
      </c>
      <c r="L171" s="754">
        <f t="shared" si="91"/>
        <v>1762533.0784256798</v>
      </c>
      <c r="M171" s="754">
        <f t="shared" si="91"/>
        <v>2290631.0416128035</v>
      </c>
      <c r="N171" s="754">
        <f t="shared" si="91"/>
        <v>2977820.3540966678</v>
      </c>
    </row>
    <row r="172" spans="2:14">
      <c r="C172" s="731" t="s">
        <v>616</v>
      </c>
      <c r="D172" s="734" t="s">
        <v>271</v>
      </c>
      <c r="I172" t="s">
        <v>1452</v>
      </c>
      <c r="J172" s="1529">
        <f>AVERAGE('[1]AL Promotion &amp; Recruited'!$AL$26:$AW$26)</f>
        <v>209.66666666666666</v>
      </c>
      <c r="K172" s="1223">
        <f>AVERAGE('[1]AL Promotion &amp; Recruited'!$AX$26:$BI$26)</f>
        <v>249.66666666666666</v>
      </c>
      <c r="L172" s="1223">
        <f>AVERAGE('[1]AL Promotion &amp; Recruited'!$BJ$26:$BU$26)</f>
        <v>265.5</v>
      </c>
      <c r="M172" s="1223">
        <f>AVERAGE('[1]AL Promotion &amp; Recruited'!$BV$26:$CG$26)</f>
        <v>299.5</v>
      </c>
      <c r="N172" s="1223">
        <f>AVERAGE('[1]AL Promotion &amp; Recruited'!$CH$26:$CS$26)</f>
        <v>334.5</v>
      </c>
    </row>
    <row r="173" spans="2:14">
      <c r="C173" s="738" t="s">
        <v>16</v>
      </c>
      <c r="D173" s="735"/>
      <c r="J173" s="1529"/>
      <c r="K173" s="1223"/>
      <c r="L173" s="1223"/>
      <c r="M173" s="1223"/>
      <c r="N173" s="1223"/>
    </row>
    <row r="174" spans="2:14">
      <c r="C174" s="734">
        <v>0</v>
      </c>
      <c r="D174" s="776">
        <v>0.04</v>
      </c>
    </row>
    <row r="175" spans="2:14">
      <c r="C175" s="774">
        <v>150</v>
      </c>
      <c r="D175" s="736">
        <v>0.05</v>
      </c>
      <c r="I175" s="760" t="s">
        <v>1475</v>
      </c>
      <c r="J175" s="760">
        <v>2018</v>
      </c>
      <c r="K175" s="703">
        <v>2019</v>
      </c>
      <c r="L175" s="703">
        <v>2020</v>
      </c>
      <c r="M175" s="703">
        <v>2021</v>
      </c>
      <c r="N175" s="703">
        <v>2022</v>
      </c>
    </row>
    <row r="176" spans="2:14">
      <c r="C176" s="774">
        <v>500</v>
      </c>
      <c r="D176" s="736">
        <v>0.06</v>
      </c>
      <c r="H176" s="442"/>
      <c r="I176">
        <v>0</v>
      </c>
      <c r="J176" s="1517">
        <f>1-SUM(J177:J179)</f>
        <v>0.377</v>
      </c>
      <c r="K176" s="1517">
        <f t="shared" ref="K176:N176" si="92">1-SUM(K177:K179)</f>
        <v>0.377</v>
      </c>
      <c r="L176" s="1517">
        <f t="shared" si="92"/>
        <v>0.377</v>
      </c>
      <c r="M176" s="1517">
        <f t="shared" si="92"/>
        <v>0.377</v>
      </c>
      <c r="N176" s="1517">
        <f t="shared" si="92"/>
        <v>0.377</v>
      </c>
    </row>
    <row r="177" spans="3:14">
      <c r="C177" s="775">
        <v>700</v>
      </c>
      <c r="D177" s="737">
        <v>7.0000000000000007E-2</v>
      </c>
      <c r="H177" s="442"/>
      <c r="I177">
        <v>150</v>
      </c>
      <c r="J177" s="1517">
        <v>0.48</v>
      </c>
      <c r="K177" s="1517">
        <v>0.48</v>
      </c>
      <c r="L177" s="1517">
        <v>0.48</v>
      </c>
      <c r="M177" s="1517">
        <v>0.48</v>
      </c>
      <c r="N177" s="1517">
        <v>0.48</v>
      </c>
    </row>
    <row r="178" spans="3:14">
      <c r="H178" s="442"/>
      <c r="I178">
        <v>500</v>
      </c>
      <c r="J178" s="1517">
        <v>7.4999999999999997E-2</v>
      </c>
      <c r="K178" s="1517">
        <v>7.4999999999999997E-2</v>
      </c>
      <c r="L178" s="1517">
        <v>7.4999999999999997E-2</v>
      </c>
      <c r="M178" s="1517">
        <v>7.4999999999999997E-2</v>
      </c>
      <c r="N178" s="1517">
        <v>7.4999999999999997E-2</v>
      </c>
    </row>
    <row r="179" spans="3:14">
      <c r="C179" s="744" t="s">
        <v>1453</v>
      </c>
      <c r="H179" s="442"/>
      <c r="I179" s="703">
        <v>700</v>
      </c>
      <c r="J179" s="1530">
        <v>6.8000000000000005E-2</v>
      </c>
      <c r="K179" s="1530">
        <v>6.8000000000000005E-2</v>
      </c>
      <c r="L179" s="1530">
        <v>6.8000000000000005E-2</v>
      </c>
      <c r="M179" s="1530">
        <v>6.8000000000000005E-2</v>
      </c>
      <c r="N179" s="1530">
        <v>6.8000000000000005E-2</v>
      </c>
    </row>
    <row r="180" spans="3:14">
      <c r="N180" s="711"/>
    </row>
    <row r="182" spans="3:14">
      <c r="I182" s="760" t="s">
        <v>1434</v>
      </c>
      <c r="J182" s="760">
        <v>2018</v>
      </c>
      <c r="K182" s="703">
        <v>2019</v>
      </c>
      <c r="L182" s="703">
        <v>2020</v>
      </c>
      <c r="M182" s="703">
        <v>2021</v>
      </c>
      <c r="N182" s="703">
        <v>2022</v>
      </c>
    </row>
    <row r="183" spans="3:14">
      <c r="I183">
        <v>0</v>
      </c>
      <c r="J183" s="1491">
        <v>80</v>
      </c>
      <c r="K183" s="1586">
        <f>J183*1.15</f>
        <v>92</v>
      </c>
      <c r="L183" s="1586">
        <f t="shared" ref="L183:N183" si="93">K183*1.15</f>
        <v>105.8</v>
      </c>
      <c r="M183" s="1586">
        <f t="shared" si="93"/>
        <v>121.66999999999999</v>
      </c>
      <c r="N183" s="1586">
        <f t="shared" si="93"/>
        <v>139.92049999999998</v>
      </c>
    </row>
    <row r="184" spans="3:14">
      <c r="I184">
        <v>150</v>
      </c>
      <c r="J184" s="1491">
        <v>320</v>
      </c>
      <c r="K184" s="754">
        <f t="shared" ref="K184:N184" si="94">J184*1.15</f>
        <v>368</v>
      </c>
      <c r="L184" s="754">
        <f t="shared" si="94"/>
        <v>423.2</v>
      </c>
      <c r="M184" s="754">
        <f t="shared" si="94"/>
        <v>486.67999999999995</v>
      </c>
      <c r="N184" s="754">
        <f t="shared" si="94"/>
        <v>559.6819999999999</v>
      </c>
    </row>
    <row r="185" spans="3:14">
      <c r="I185">
        <v>500</v>
      </c>
      <c r="J185" s="1491">
        <v>630</v>
      </c>
      <c r="K185" s="754">
        <f t="shared" ref="K185:N185" si="95">J185*1.15</f>
        <v>724.5</v>
      </c>
      <c r="L185" s="754">
        <f t="shared" si="95"/>
        <v>833.17499999999995</v>
      </c>
      <c r="M185" s="754">
        <f t="shared" si="95"/>
        <v>958.15124999999989</v>
      </c>
      <c r="N185" s="754">
        <f t="shared" si="95"/>
        <v>1101.8739374999998</v>
      </c>
    </row>
    <row r="186" spans="3:14">
      <c r="I186" s="703">
        <v>700</v>
      </c>
      <c r="J186" s="760">
        <v>1200</v>
      </c>
      <c r="K186" s="720">
        <f t="shared" ref="K186:N186" si="96">J186*1.15</f>
        <v>1380</v>
      </c>
      <c r="L186" s="720">
        <f t="shared" si="96"/>
        <v>1586.9999999999998</v>
      </c>
      <c r="M186" s="720">
        <f t="shared" si="96"/>
        <v>1825.0499999999995</v>
      </c>
      <c r="N186" s="720">
        <f t="shared" si="96"/>
        <v>2098.8074999999994</v>
      </c>
    </row>
    <row r="187" spans="3:14">
      <c r="J187" s="1534">
        <f>SUMPRODUCT(J183:J186,J176:J179)</f>
        <v>312.61</v>
      </c>
      <c r="K187" s="1459">
        <f t="shared" ref="K187:N187" si="97">SUMPRODUCT(K183:K186,K176:K179)</f>
        <v>359.50149999999996</v>
      </c>
      <c r="L187" s="1459">
        <f t="shared" si="97"/>
        <v>413.42672499999998</v>
      </c>
      <c r="M187" s="1459">
        <f t="shared" si="97"/>
        <v>475.44073374999994</v>
      </c>
      <c r="N187" s="1459">
        <f t="shared" si="97"/>
        <v>546.75684381249982</v>
      </c>
    </row>
    <row r="189" spans="3:14">
      <c r="I189" s="760" t="s">
        <v>673</v>
      </c>
      <c r="J189" s="760">
        <v>2018</v>
      </c>
      <c r="K189" s="703">
        <v>2019</v>
      </c>
      <c r="L189" s="703">
        <v>2020</v>
      </c>
      <c r="M189" s="703">
        <v>2021</v>
      </c>
      <c r="N189" s="703">
        <v>2022</v>
      </c>
    </row>
    <row r="190" spans="3:14">
      <c r="I190">
        <v>0</v>
      </c>
      <c r="J190" s="904">
        <f>J176*J$172*J183*12</f>
        <v>75882.559999999998</v>
      </c>
      <c r="K190" s="442">
        <f t="shared" ref="K190:M190" si="98">K176*K$172*K183*12</f>
        <v>103913.26399999998</v>
      </c>
      <c r="L190" s="442">
        <f t="shared" si="98"/>
        <v>127078.70759999999</v>
      </c>
      <c r="M190" s="442">
        <f t="shared" si="98"/>
        <v>164855.30645999999</v>
      </c>
      <c r="N190" s="442">
        <f>N176*N$172*N183*12</f>
        <v>211738.61439899995</v>
      </c>
    </row>
    <row r="191" spans="3:14">
      <c r="I191">
        <v>150</v>
      </c>
      <c r="J191" s="904">
        <f t="shared" ref="J191:N191" si="99">J177*J$172*J184*12</f>
        <v>386457.59999999998</v>
      </c>
      <c r="K191" s="442">
        <f t="shared" si="99"/>
        <v>529213.43999999994</v>
      </c>
      <c r="L191" s="442">
        <f t="shared" si="99"/>
        <v>647191.29599999997</v>
      </c>
      <c r="M191" s="442">
        <f t="shared" si="99"/>
        <v>839581.40159999987</v>
      </c>
      <c r="N191" s="442">
        <f t="shared" si="99"/>
        <v>1078350.5030399999</v>
      </c>
    </row>
    <row r="192" spans="3:14">
      <c r="I192">
        <v>500</v>
      </c>
      <c r="J192" s="904">
        <f t="shared" ref="J192:N192" si="100">J178*J$172*J185*12</f>
        <v>118880.99999999997</v>
      </c>
      <c r="K192" s="442">
        <f t="shared" si="100"/>
        <v>162795.15</v>
      </c>
      <c r="L192" s="442">
        <f t="shared" si="100"/>
        <v>199087.16624999995</v>
      </c>
      <c r="M192" s="442">
        <f t="shared" si="100"/>
        <v>258269.66943749995</v>
      </c>
      <c r="N192" s="442">
        <f t="shared" si="100"/>
        <v>331719.14888437488</v>
      </c>
    </row>
    <row r="193" spans="2:14">
      <c r="I193" s="703">
        <v>700</v>
      </c>
      <c r="J193" s="1420">
        <f t="shared" ref="J193:N193" si="101">J179*J$172*J186*12</f>
        <v>205305.59999999998</v>
      </c>
      <c r="K193" s="720">
        <f t="shared" si="101"/>
        <v>281144.64</v>
      </c>
      <c r="L193" s="720">
        <f t="shared" si="101"/>
        <v>343820.37599999999</v>
      </c>
      <c r="M193" s="720">
        <f t="shared" si="101"/>
        <v>446027.61959999992</v>
      </c>
      <c r="N193" s="720">
        <f t="shared" si="101"/>
        <v>572873.70473999996</v>
      </c>
    </row>
    <row r="194" spans="2:14">
      <c r="J194" s="1531">
        <f>SUM(J190:J193)</f>
        <v>786526.75999999989</v>
      </c>
      <c r="K194" s="1456">
        <f t="shared" ref="K194" si="102">SUM(K190:K193)</f>
        <v>1077066.4939999999</v>
      </c>
      <c r="L194" s="1456">
        <f t="shared" ref="L194" si="103">SUM(L190:L193)</f>
        <v>1317177.5458499999</v>
      </c>
      <c r="M194" s="1456">
        <f t="shared" ref="M194" si="104">SUM(M190:M193)</f>
        <v>1708733.9970974997</v>
      </c>
      <c r="N194" s="1456">
        <f t="shared" ref="N194" si="105">SUM(N190:N193)</f>
        <v>2194681.9710633745</v>
      </c>
    </row>
    <row r="195" spans="2:14">
      <c r="J195" s="1532">
        <f>J194/J171</f>
        <v>0.81408083181821034</v>
      </c>
      <c r="K195" s="1457">
        <f t="shared" ref="K195" si="106">K194/K171</f>
        <v>0.79677164290610292</v>
      </c>
      <c r="L195" s="1457">
        <f t="shared" ref="L195" si="107">L194/L171</f>
        <v>0.74732075214527149</v>
      </c>
      <c r="M195" s="1457">
        <f t="shared" ref="M195" si="108">M194/M171</f>
        <v>0.74596648960733647</v>
      </c>
      <c r="N195" s="1457">
        <f>N194/N171</f>
        <v>0.73700952713419776</v>
      </c>
    </row>
    <row r="197" spans="2:14">
      <c r="I197" s="760" t="s">
        <v>466</v>
      </c>
      <c r="J197" s="760">
        <v>2018</v>
      </c>
      <c r="K197" s="703">
        <v>2019</v>
      </c>
      <c r="L197" s="703">
        <v>2020</v>
      </c>
      <c r="M197" s="703">
        <v>2021</v>
      </c>
      <c r="N197" s="703">
        <v>2022</v>
      </c>
    </row>
    <row r="198" spans="2:14">
      <c r="I198">
        <v>0</v>
      </c>
      <c r="J198" s="904">
        <f>J190*$D174*J$32</f>
        <v>946.73909291118298</v>
      </c>
      <c r="K198" s="442">
        <f t="shared" ref="K198:N198" si="109">K190*$D174*K$32</f>
        <v>1294.3159419680674</v>
      </c>
      <c r="L198" s="442">
        <f t="shared" si="109"/>
        <v>1565.3894220714433</v>
      </c>
      <c r="M198" s="442">
        <f t="shared" si="109"/>
        <v>2030.9842079752998</v>
      </c>
      <c r="N198" s="442">
        <f t="shared" si="109"/>
        <v>2608.5771292250242</v>
      </c>
    </row>
    <row r="199" spans="2:14">
      <c r="I199">
        <v>150</v>
      </c>
      <c r="J199" s="904">
        <f t="shared" ref="J199:N199" si="110">J191*$D175*J$32</f>
        <v>6026.9862678695999</v>
      </c>
      <c r="K199" s="442">
        <f t="shared" si="110"/>
        <v>8239.6770841468478</v>
      </c>
      <c r="L199" s="442">
        <f t="shared" si="110"/>
        <v>9965.3438009853144</v>
      </c>
      <c r="M199" s="442">
        <f t="shared" si="110"/>
        <v>12929.342438039042</v>
      </c>
      <c r="N199" s="442">
        <f t="shared" si="110"/>
        <v>16606.326552095648</v>
      </c>
    </row>
    <row r="200" spans="2:14">
      <c r="I200">
        <v>500</v>
      </c>
      <c r="J200" s="904">
        <f t="shared" ref="J200:N200" si="111">J192*$D176*J$32</f>
        <v>2224.805477787801</v>
      </c>
      <c r="K200" s="442">
        <f t="shared" si="111"/>
        <v>3041.5995486401453</v>
      </c>
      <c r="L200" s="442">
        <f t="shared" si="111"/>
        <v>3678.6132390355933</v>
      </c>
      <c r="M200" s="442">
        <f t="shared" si="111"/>
        <v>4772.7455484167549</v>
      </c>
      <c r="N200" s="442">
        <f t="shared" si="111"/>
        <v>6130.0697623946808</v>
      </c>
    </row>
    <row r="201" spans="2:14">
      <c r="I201" s="703">
        <v>700</v>
      </c>
      <c r="J201" s="1420">
        <f t="shared" ref="J201:N201" si="112">J193*$D177*J$32</f>
        <v>4482.5710367280153</v>
      </c>
      <c r="K201" s="720">
        <f t="shared" si="112"/>
        <v>6128.2598313342196</v>
      </c>
      <c r="L201" s="720">
        <f t="shared" si="112"/>
        <v>7411.7244519828282</v>
      </c>
      <c r="M201" s="720">
        <f t="shared" si="112"/>
        <v>9616.198438291538</v>
      </c>
      <c r="N201" s="720">
        <f t="shared" si="112"/>
        <v>12350.955373121138</v>
      </c>
    </row>
    <row r="202" spans="2:14">
      <c r="I202" s="1575"/>
      <c r="J202" s="1576">
        <f>SUM(J198:J201)</f>
        <v>13681.101875296599</v>
      </c>
      <c r="K202" s="1577">
        <f t="shared" ref="K202" si="113">SUM(K198:K201)</f>
        <v>18703.852406089281</v>
      </c>
      <c r="L202" s="1577">
        <f t="shared" ref="L202" si="114">SUM(L198:L201)</f>
        <v>22621.070914075179</v>
      </c>
      <c r="M202" s="1577">
        <f t="shared" ref="M202" si="115">SUM(M198:M201)</f>
        <v>29349.270632722633</v>
      </c>
      <c r="N202" s="1577">
        <f t="shared" ref="N202" si="116">SUM(N198:N201)</f>
        <v>37695.928816836487</v>
      </c>
    </row>
    <row r="203" spans="2:14">
      <c r="J203" s="1533">
        <f>J202/J171</f>
        <v>1.4160386348242156E-2</v>
      </c>
      <c r="K203" s="660">
        <f t="shared" ref="K203" si="117">K202/K171</f>
        <v>1.3836378063277701E-2</v>
      </c>
      <c r="L203" s="660">
        <f t="shared" ref="L203" si="118">L202/L171</f>
        <v>1.2834409289090137E-2</v>
      </c>
      <c r="M203" s="660">
        <f t="shared" ref="M203" si="119">M202/M171</f>
        <v>1.2812744654005122E-2</v>
      </c>
      <c r="N203" s="660">
        <f t="shared" ref="N203" si="120">N202/N171</f>
        <v>1.2658899575650083E-2</v>
      </c>
    </row>
    <row r="207" spans="2:14" s="45" customFormat="1" ht="12.75">
      <c r="B207" s="1585" t="s">
        <v>186</v>
      </c>
      <c r="J207" s="1527"/>
    </row>
    <row r="209" spans="3:16">
      <c r="C209" s="1" t="s">
        <v>389</v>
      </c>
      <c r="D209" s="141"/>
      <c r="E209" s="141"/>
      <c r="F209" s="141"/>
      <c r="G209" s="141"/>
      <c r="J209" s="1564"/>
      <c r="K209" s="424">
        <v>2018</v>
      </c>
      <c r="L209" s="424">
        <v>2019</v>
      </c>
      <c r="M209" s="424">
        <v>2020</v>
      </c>
      <c r="N209" s="424">
        <v>2021</v>
      </c>
      <c r="O209" s="424">
        <v>2022</v>
      </c>
    </row>
    <row r="210" spans="3:16">
      <c r="C210" s="141"/>
      <c r="D210" s="141"/>
      <c r="E210" s="141"/>
      <c r="F210" s="141"/>
      <c r="G210" s="141"/>
      <c r="J210" s="628" t="s">
        <v>711</v>
      </c>
      <c r="K210" s="141">
        <f>SUM('[1]AL Promotion &amp; Recruited'!$AL$38:$AW$38)</f>
        <v>593</v>
      </c>
      <c r="L210" s="141">
        <f>SUM('[1]AL Promotion &amp; Recruited'!$AX$38:$BI$38)</f>
        <v>733</v>
      </c>
      <c r="M210" s="141">
        <f>SUM('[1]AL Promotion &amp; Recruited'!$BJ$38:$BU$38)</f>
        <v>877</v>
      </c>
      <c r="N210" s="141"/>
      <c r="O210" s="141"/>
    </row>
    <row r="211" spans="3:16">
      <c r="C211" s="140" t="s">
        <v>391</v>
      </c>
      <c r="D211" s="141"/>
      <c r="E211" s="141"/>
      <c r="F211" s="874">
        <v>1</v>
      </c>
      <c r="G211" s="141" t="s">
        <v>713</v>
      </c>
      <c r="J211" s="628" t="s">
        <v>712</v>
      </c>
      <c r="K211" s="141">
        <f>SUM('[1]AL Promotion &amp; Recruited'!$AL$40:$AW$40)</f>
        <v>143</v>
      </c>
      <c r="L211" s="141">
        <f>SUM('[1]AL Promotion &amp; Recruited'!$AX$40:$BI$40)</f>
        <v>245</v>
      </c>
      <c r="M211" s="141">
        <f>SUM('[1]AL Promotion &amp; Recruited'!$BJ$40:$BU$40)</f>
        <v>206</v>
      </c>
      <c r="N211" s="141"/>
      <c r="O211" s="141"/>
    </row>
    <row r="212" spans="3:16">
      <c r="C212" s="140"/>
      <c r="D212" s="141"/>
      <c r="E212" s="141"/>
      <c r="F212" s="141"/>
      <c r="G212" s="141"/>
      <c r="J212" s="628" t="s">
        <v>554</v>
      </c>
      <c r="K212" s="1565">
        <f>K210*$F$211</f>
        <v>593</v>
      </c>
      <c r="L212" s="1565">
        <f t="shared" ref="L212:M212" si="121">L210*$F$211</f>
        <v>733</v>
      </c>
      <c r="M212" s="1565">
        <f t="shared" si="121"/>
        <v>877</v>
      </c>
      <c r="N212" s="1565"/>
      <c r="O212" s="1565"/>
    </row>
    <row r="213" spans="3:16">
      <c r="C213" s="140" t="s">
        <v>390</v>
      </c>
      <c r="D213" s="141"/>
      <c r="E213" s="141"/>
      <c r="F213" s="141"/>
      <c r="G213" s="141"/>
      <c r="J213" s="628" t="s">
        <v>715</v>
      </c>
      <c r="K213" s="1566">
        <f>K210*30%*3*$F$215</f>
        <v>800.55000000000007</v>
      </c>
      <c r="L213" s="1566">
        <f>L210*30%*3*$F$215</f>
        <v>989.55000000000007</v>
      </c>
      <c r="M213" s="1566">
        <f>M210*30%*3*$F$215</f>
        <v>1183.9499999999998</v>
      </c>
      <c r="N213" s="1566"/>
      <c r="O213" s="1566"/>
      <c r="P213" s="711"/>
    </row>
    <row r="214" spans="3:16">
      <c r="C214" s="243"/>
      <c r="D214" s="243"/>
      <c r="E214" s="867"/>
      <c r="F214" s="868"/>
      <c r="G214" s="869"/>
      <c r="J214" s="628"/>
      <c r="K214" s="141"/>
      <c r="L214" s="141"/>
      <c r="M214" s="141"/>
      <c r="N214" s="141"/>
      <c r="O214" s="141"/>
    </row>
    <row r="215" spans="3:16">
      <c r="C215" s="243"/>
      <c r="D215" s="143" t="s">
        <v>708</v>
      </c>
      <c r="E215" s="870"/>
      <c r="F215" s="875">
        <v>1.5</v>
      </c>
      <c r="G215" s="873" t="s">
        <v>714</v>
      </c>
      <c r="J215" s="628"/>
      <c r="K215" s="141"/>
      <c r="L215" s="141"/>
      <c r="M215" s="141"/>
      <c r="N215" s="141"/>
      <c r="O215" s="141"/>
    </row>
    <row r="216" spans="3:16">
      <c r="C216" s="243"/>
      <c r="D216" s="143"/>
      <c r="E216" s="870"/>
      <c r="F216" s="870"/>
      <c r="G216" s="871"/>
      <c r="J216" s="628"/>
      <c r="K216" s="141"/>
      <c r="L216" s="141"/>
      <c r="M216" s="141"/>
      <c r="N216" s="141"/>
      <c r="O216" s="141"/>
    </row>
    <row r="217" spans="3:16">
      <c r="C217" s="243"/>
      <c r="D217" s="143" t="s">
        <v>709</v>
      </c>
      <c r="E217" s="870"/>
      <c r="F217" s="870"/>
      <c r="G217" s="871"/>
      <c r="J217" s="628" t="s">
        <v>1419</v>
      </c>
      <c r="K217" s="1161">
        <f>K211*20%</f>
        <v>28.6</v>
      </c>
      <c r="L217" s="1161">
        <f t="shared" ref="L217:M217" si="122">L211*20%</f>
        <v>49</v>
      </c>
      <c r="M217" s="1161">
        <f t="shared" si="122"/>
        <v>41.2</v>
      </c>
      <c r="N217" s="1161"/>
      <c r="O217" s="1161"/>
    </row>
    <row r="218" spans="3:16">
      <c r="C218" s="243"/>
      <c r="D218" s="143"/>
      <c r="E218" s="870"/>
      <c r="F218" s="870"/>
      <c r="G218" s="871"/>
      <c r="J218" s="628" t="s">
        <v>1420</v>
      </c>
      <c r="K218" s="1161">
        <f>K211*50%</f>
        <v>71.5</v>
      </c>
      <c r="L218" s="1161">
        <f t="shared" ref="L218:M218" si="123">L211*50%</f>
        <v>122.5</v>
      </c>
      <c r="M218" s="1161">
        <f t="shared" si="123"/>
        <v>103</v>
      </c>
      <c r="N218" s="1161"/>
      <c r="O218" s="1161"/>
    </row>
    <row r="219" spans="3:16">
      <c r="C219" s="243"/>
      <c r="D219" s="143"/>
      <c r="E219" s="870"/>
      <c r="F219" s="870"/>
      <c r="G219" s="871"/>
      <c r="J219" s="628" t="s">
        <v>531</v>
      </c>
      <c r="K219" s="1161">
        <f>K217*$F$222+K218*$F$223</f>
        <v>772.2</v>
      </c>
      <c r="L219" s="1161">
        <f t="shared" ref="L219:M219" si="124">L217*$F$222+L218*$F$223</f>
        <v>1323</v>
      </c>
      <c r="M219" s="1161">
        <f t="shared" si="124"/>
        <v>1112.4000000000001</v>
      </c>
      <c r="N219" s="1161"/>
      <c r="O219" s="1161"/>
    </row>
    <row r="220" spans="3:16">
      <c r="C220" s="140" t="s">
        <v>531</v>
      </c>
      <c r="D220" s="141"/>
      <c r="E220" s="141"/>
      <c r="F220" s="141"/>
      <c r="G220" s="871"/>
      <c r="J220" s="628"/>
      <c r="K220" s="141"/>
      <c r="L220" s="141"/>
      <c r="M220" s="141"/>
      <c r="N220" s="141"/>
      <c r="O220" s="141"/>
    </row>
    <row r="221" spans="3:16">
      <c r="C221" s="141"/>
      <c r="D221" s="141"/>
      <c r="E221" s="141"/>
      <c r="F221" s="141"/>
      <c r="G221" s="872"/>
      <c r="J221" s="1573" t="s">
        <v>1455</v>
      </c>
      <c r="K221" s="1574">
        <f>K213+K219</f>
        <v>1572.75</v>
      </c>
      <c r="L221" s="1574">
        <f t="shared" ref="L221:M221" si="125">L213+L219</f>
        <v>2312.5500000000002</v>
      </c>
      <c r="M221" s="1574">
        <f t="shared" si="125"/>
        <v>2296.35</v>
      </c>
      <c r="N221" s="1574"/>
      <c r="O221" s="1574"/>
    </row>
    <row r="222" spans="3:16">
      <c r="C222" s="141" t="s">
        <v>532</v>
      </c>
      <c r="D222" s="141"/>
      <c r="E222" s="141"/>
      <c r="F222" s="1419">
        <v>12</v>
      </c>
      <c r="G222" s="219" t="s">
        <v>1418</v>
      </c>
      <c r="J222" s="628"/>
      <c r="K222" s="141"/>
      <c r="L222" s="141"/>
      <c r="M222" s="141"/>
      <c r="N222" s="141"/>
      <c r="O222" s="141"/>
    </row>
    <row r="223" spans="3:16">
      <c r="C223" s="141" t="s">
        <v>533</v>
      </c>
      <c r="D223" s="141"/>
      <c r="E223" s="141"/>
      <c r="F223" s="1419">
        <v>6</v>
      </c>
      <c r="G223" s="141" t="s">
        <v>1418</v>
      </c>
    </row>
    <row r="224" spans="3:16">
      <c r="G224" s="141"/>
    </row>
    <row r="225" spans="2:15">
      <c r="G225" s="141"/>
    </row>
    <row r="226" spans="2:15">
      <c r="G226" s="141"/>
    </row>
    <row r="227" spans="2:15">
      <c r="G227" s="141"/>
    </row>
    <row r="228" spans="2:15" s="45" customFormat="1" ht="12.75">
      <c r="B228" s="1585" t="s">
        <v>1433</v>
      </c>
      <c r="J228" s="1527"/>
    </row>
    <row r="230" spans="2:15">
      <c r="C230" t="s">
        <v>1233</v>
      </c>
      <c r="J230" s="71"/>
      <c r="K230" s="117">
        <v>2018</v>
      </c>
      <c r="L230" s="117">
        <v>2019</v>
      </c>
      <c r="M230" s="117">
        <v>2020</v>
      </c>
      <c r="N230" s="117">
        <v>2021</v>
      </c>
      <c r="O230" s="117">
        <v>2022</v>
      </c>
    </row>
    <row r="231" spans="2:15">
      <c r="C231" t="s">
        <v>1234</v>
      </c>
      <c r="J231" s="489" t="s">
        <v>1473</v>
      </c>
      <c r="K231">
        <v>150</v>
      </c>
      <c r="L231" s="442">
        <f>K231*1.1</f>
        <v>165</v>
      </c>
      <c r="M231" s="442">
        <f t="shared" ref="M231:O231" si="126">L231*1.1</f>
        <v>181.50000000000003</v>
      </c>
      <c r="N231" s="442">
        <f t="shared" si="126"/>
        <v>199.65000000000003</v>
      </c>
      <c r="O231" s="442">
        <f t="shared" si="126"/>
        <v>219.61500000000007</v>
      </c>
    </row>
    <row r="232" spans="2:15">
      <c r="C232" t="s">
        <v>1235</v>
      </c>
      <c r="J232" s="489" t="s">
        <v>1472</v>
      </c>
      <c r="K232" s="572">
        <f>J172</f>
        <v>209.66666666666666</v>
      </c>
      <c r="L232" s="572">
        <f t="shared" ref="L232:O232" si="127">K172</f>
        <v>249.66666666666666</v>
      </c>
      <c r="M232" s="572">
        <f t="shared" si="127"/>
        <v>265.5</v>
      </c>
      <c r="N232" s="572">
        <f t="shared" si="127"/>
        <v>299.5</v>
      </c>
      <c r="O232" s="572">
        <f t="shared" si="127"/>
        <v>334.5</v>
      </c>
    </row>
    <row r="233" spans="2:15">
      <c r="J233" s="489" t="s">
        <v>695</v>
      </c>
      <c r="K233">
        <v>3.5</v>
      </c>
    </row>
    <row r="234" spans="2:15">
      <c r="J234" s="1571" t="s">
        <v>1474</v>
      </c>
      <c r="K234" s="1572">
        <f>K232*$K$233</f>
        <v>733.83333333333326</v>
      </c>
      <c r="L234" s="1572">
        <f t="shared" ref="L234:O234" si="128">L232*$K$233</f>
        <v>873.83333333333326</v>
      </c>
      <c r="M234" s="1572">
        <f t="shared" si="128"/>
        <v>929.25</v>
      </c>
      <c r="N234" s="1572">
        <f t="shared" si="128"/>
        <v>1048.25</v>
      </c>
      <c r="O234" s="1572">
        <f t="shared" si="128"/>
        <v>1170.75</v>
      </c>
    </row>
    <row r="237" spans="2:15">
      <c r="I237" s="12"/>
      <c r="J237" s="1583"/>
      <c r="K237" s="497"/>
      <c r="L237" s="497"/>
      <c r="M237" s="497"/>
      <c r="N237" s="497"/>
      <c r="O237" s="12"/>
    </row>
    <row r="239" spans="2:15" s="45" customFormat="1" ht="12.75">
      <c r="B239" s="44" t="s">
        <v>674</v>
      </c>
      <c r="J239" s="1527"/>
    </row>
    <row r="241" spans="2:15">
      <c r="B241" s="542" t="s">
        <v>675</v>
      </c>
      <c r="J241" s="760"/>
      <c r="K241" s="703">
        <v>2018</v>
      </c>
      <c r="L241" s="703">
        <v>2019</v>
      </c>
      <c r="M241" s="703">
        <v>2020</v>
      </c>
      <c r="N241" s="703">
        <v>2021</v>
      </c>
      <c r="O241" s="703">
        <v>2022</v>
      </c>
    </row>
    <row r="242" spans="2:15">
      <c r="J242" s="489" t="s">
        <v>206</v>
      </c>
      <c r="K242" s="572">
        <f>J135</f>
        <v>966153.14998061094</v>
      </c>
      <c r="L242" s="572">
        <f>K135</f>
        <v>1351788.1862255593</v>
      </c>
      <c r="M242" s="572">
        <f>L135</f>
        <v>1762533.0784256798</v>
      </c>
      <c r="N242" s="572">
        <f>M135</f>
        <v>2290631.0416128035</v>
      </c>
      <c r="O242" s="572">
        <f>N135</f>
        <v>2977820.3540966678</v>
      </c>
    </row>
    <row r="243" spans="2:15">
      <c r="C243" s="7" t="s">
        <v>405</v>
      </c>
      <c r="D243" s="141"/>
      <c r="E243" s="141"/>
      <c r="F243" s="141"/>
      <c r="G243" s="141"/>
      <c r="H243" s="141"/>
      <c r="J243" s="489" t="s">
        <v>632</v>
      </c>
      <c r="K243" s="572">
        <f>J136-K210</f>
        <v>2017.0499949200407</v>
      </c>
      <c r="L243" s="572">
        <f>K136-L210</f>
        <v>2472.6014055160836</v>
      </c>
      <c r="M243" s="572">
        <f>L136-M210</f>
        <v>2767.0068615851724</v>
      </c>
      <c r="N243" s="572">
        <f>M136-N210</f>
        <v>4127.3138784894873</v>
      </c>
      <c r="O243" s="572">
        <f>N136-O210</f>
        <v>4723.025846135346</v>
      </c>
    </row>
    <row r="244" spans="2:15" ht="60">
      <c r="C244" s="445" t="s">
        <v>202</v>
      </c>
      <c r="D244" s="446" t="s">
        <v>398</v>
      </c>
      <c r="E244" s="446" t="s">
        <v>399</v>
      </c>
      <c r="F244" s="141"/>
      <c r="G244" s="141"/>
      <c r="H244" s="141"/>
    </row>
    <row r="245" spans="2:15">
      <c r="C245" s="447" t="s">
        <v>203</v>
      </c>
      <c r="D245" s="448">
        <v>1000</v>
      </c>
      <c r="E245" s="449">
        <v>6</v>
      </c>
      <c r="F245" s="442"/>
      <c r="G245" s="141"/>
      <c r="H245" s="141"/>
      <c r="J245" s="74"/>
    </row>
    <row r="246" spans="2:15">
      <c r="C246" s="450" t="s">
        <v>204</v>
      </c>
      <c r="D246" s="451">
        <f>100*6</f>
        <v>600</v>
      </c>
      <c r="E246" s="452">
        <v>3</v>
      </c>
      <c r="F246" s="442"/>
      <c r="G246" s="141"/>
      <c r="H246" s="141"/>
      <c r="J246" s="1131"/>
    </row>
    <row r="247" spans="2:15">
      <c r="C247" s="453" t="s">
        <v>205</v>
      </c>
      <c r="D247" s="454">
        <f>50*6</f>
        <v>300</v>
      </c>
      <c r="E247" s="455">
        <v>2</v>
      </c>
      <c r="F247" s="442"/>
      <c r="G247" s="1350"/>
      <c r="H247" s="141"/>
      <c r="J247" s="1468" t="s">
        <v>222</v>
      </c>
      <c r="K247" s="703">
        <v>2018</v>
      </c>
      <c r="L247" s="703">
        <v>2019</v>
      </c>
      <c r="M247" s="703">
        <v>2020</v>
      </c>
      <c r="N247" s="703">
        <v>2021</v>
      </c>
      <c r="O247" s="703">
        <v>2022</v>
      </c>
    </row>
    <row r="248" spans="2:15">
      <c r="C248" s="141"/>
      <c r="D248" s="141"/>
      <c r="E248" s="141"/>
      <c r="F248" s="141"/>
      <c r="G248" s="141"/>
      <c r="H248" s="141"/>
      <c r="J248" s="1460" t="s">
        <v>203</v>
      </c>
      <c r="K248" s="1464">
        <v>0.02</v>
      </c>
      <c r="L248" s="1464">
        <v>1.4999999999999999E-2</v>
      </c>
      <c r="M248" s="1464">
        <v>1.4999999999999999E-2</v>
      </c>
      <c r="N248" s="1464">
        <v>1.4999999999999999E-2</v>
      </c>
      <c r="O248" s="1464">
        <v>1.4999999999999999E-2</v>
      </c>
    </row>
    <row r="249" spans="2:15">
      <c r="C249" s="459" t="s">
        <v>403</v>
      </c>
      <c r="D249" s="141"/>
      <c r="E249" s="141"/>
      <c r="F249" s="141"/>
      <c r="G249" s="141"/>
      <c r="H249" s="141"/>
      <c r="J249" s="1460" t="s">
        <v>204</v>
      </c>
      <c r="K249" s="1464">
        <v>0.03</v>
      </c>
      <c r="L249" s="1464">
        <v>2.5000000000000001E-2</v>
      </c>
      <c r="M249" s="1464">
        <v>2.5000000000000001E-2</v>
      </c>
      <c r="N249" s="1464">
        <v>2.5000000000000001E-2</v>
      </c>
      <c r="O249" s="1464">
        <v>2.5000000000000001E-2</v>
      </c>
    </row>
    <row r="250" spans="2:15">
      <c r="C250" s="456" t="s">
        <v>400</v>
      </c>
      <c r="D250" s="141"/>
      <c r="E250" s="141"/>
      <c r="F250" s="141"/>
      <c r="G250" s="141"/>
      <c r="H250" s="141"/>
      <c r="J250" s="1465" t="s">
        <v>205</v>
      </c>
      <c r="K250" s="1466">
        <v>8.5000000000000006E-2</v>
      </c>
      <c r="L250" s="1466">
        <v>0.08</v>
      </c>
      <c r="M250" s="1466">
        <v>0.08</v>
      </c>
      <c r="N250" s="1466">
        <v>0.08</v>
      </c>
      <c r="O250" s="1466">
        <v>0.08</v>
      </c>
    </row>
    <row r="251" spans="2:15">
      <c r="C251" s="457" t="s">
        <v>676</v>
      </c>
      <c r="D251" s="141"/>
      <c r="E251" s="141"/>
      <c r="F251" s="141"/>
      <c r="G251" s="141"/>
      <c r="H251" s="141"/>
      <c r="J251" s="1461"/>
      <c r="K251" s="1467">
        <f>SUM(K248:K250)</f>
        <v>0.13500000000000001</v>
      </c>
      <c r="L251" s="1467">
        <f t="shared" ref="L251:O251" si="129">SUM(L248:L250)</f>
        <v>0.12</v>
      </c>
      <c r="M251" s="1467">
        <f t="shared" si="129"/>
        <v>0.12</v>
      </c>
      <c r="N251" s="1467">
        <f t="shared" si="129"/>
        <v>0.12</v>
      </c>
      <c r="O251" s="1467">
        <f t="shared" si="129"/>
        <v>0.12</v>
      </c>
    </row>
    <row r="252" spans="2:15">
      <c r="C252" s="457" t="s">
        <v>59</v>
      </c>
      <c r="D252" s="141"/>
      <c r="E252" s="141"/>
      <c r="F252" s="141"/>
      <c r="G252" s="141"/>
      <c r="H252" s="141"/>
    </row>
    <row r="253" spans="2:15" ht="25.5">
      <c r="C253" s="457" t="s">
        <v>393</v>
      </c>
      <c r="D253" s="141"/>
      <c r="E253" s="141"/>
      <c r="F253" s="141"/>
      <c r="G253" s="141"/>
      <c r="H253" s="141"/>
      <c r="J253" s="1462" t="s">
        <v>1454</v>
      </c>
      <c r="K253" s="703">
        <v>2018</v>
      </c>
      <c r="L253" s="703">
        <v>2019</v>
      </c>
      <c r="M253" s="703">
        <v>2020</v>
      </c>
      <c r="N253" s="703">
        <v>2021</v>
      </c>
      <c r="O253" s="703">
        <v>2022</v>
      </c>
    </row>
    <row r="254" spans="2:15">
      <c r="C254" s="141"/>
      <c r="D254" s="141"/>
      <c r="E254" s="141"/>
      <c r="F254" s="141"/>
      <c r="G254" s="141"/>
      <c r="H254" s="141"/>
      <c r="J254" s="1460" t="s">
        <v>203</v>
      </c>
      <c r="K254" s="1261">
        <v>600</v>
      </c>
      <c r="L254" s="1469">
        <f>K254*1.1</f>
        <v>660</v>
      </c>
      <c r="M254" s="1469">
        <f t="shared" ref="M254:O254" si="130">L254*1.1</f>
        <v>726.00000000000011</v>
      </c>
      <c r="N254" s="1469">
        <f t="shared" si="130"/>
        <v>798.60000000000014</v>
      </c>
      <c r="O254" s="1469">
        <f t="shared" si="130"/>
        <v>878.46000000000026</v>
      </c>
    </row>
    <row r="255" spans="2:15">
      <c r="C255" s="458" t="s">
        <v>287</v>
      </c>
      <c r="D255" s="141"/>
      <c r="E255" s="141"/>
      <c r="F255" s="141"/>
      <c r="G255" s="141"/>
      <c r="H255" s="141"/>
      <c r="J255" s="1460" t="s">
        <v>204</v>
      </c>
      <c r="K255" s="1261">
        <v>400</v>
      </c>
      <c r="L255" s="1469">
        <f t="shared" ref="L255:O256" si="131">K255*1.1</f>
        <v>440.00000000000006</v>
      </c>
      <c r="M255" s="1469">
        <f t="shared" si="131"/>
        <v>484.00000000000011</v>
      </c>
      <c r="N255" s="1469">
        <f t="shared" si="131"/>
        <v>532.4000000000002</v>
      </c>
      <c r="O255" s="1469">
        <f t="shared" si="131"/>
        <v>585.64000000000033</v>
      </c>
    </row>
    <row r="256" spans="2:15">
      <c r="C256" s="141"/>
      <c r="D256" s="141"/>
      <c r="E256" s="141"/>
      <c r="F256" s="141"/>
      <c r="G256" s="141"/>
      <c r="H256" s="141"/>
      <c r="J256" s="1460" t="s">
        <v>205</v>
      </c>
      <c r="K256" s="1261">
        <v>250</v>
      </c>
      <c r="L256" s="1469">
        <f t="shared" si="131"/>
        <v>275</v>
      </c>
      <c r="M256" s="1469">
        <f t="shared" si="131"/>
        <v>302.5</v>
      </c>
      <c r="N256" s="1469">
        <f t="shared" si="131"/>
        <v>332.75</v>
      </c>
      <c r="O256" s="1469">
        <f t="shared" si="131"/>
        <v>366.02500000000003</v>
      </c>
    </row>
    <row r="257" spans="3:15" ht="45">
      <c r="C257" s="445" t="s">
        <v>202</v>
      </c>
      <c r="D257" s="446" t="s">
        <v>706</v>
      </c>
      <c r="E257" s="446" t="s">
        <v>289</v>
      </c>
      <c r="F257" s="141"/>
      <c r="G257" s="141"/>
      <c r="H257" s="141"/>
      <c r="J257" s="1461"/>
      <c r="K257" s="1261"/>
      <c r="L257" s="1261"/>
      <c r="M257" s="1261"/>
      <c r="N257" s="1261"/>
      <c r="O257" s="1261"/>
    </row>
    <row r="258" spans="3:15">
      <c r="C258" s="447" t="s">
        <v>203</v>
      </c>
      <c r="D258" s="833">
        <v>0.2</v>
      </c>
      <c r="E258" s="449">
        <v>4</v>
      </c>
      <c r="F258" s="141"/>
      <c r="G258" s="141"/>
      <c r="H258" s="141"/>
    </row>
    <row r="259" spans="3:15">
      <c r="C259" s="450" t="s">
        <v>204</v>
      </c>
      <c r="D259" s="834">
        <v>0.15</v>
      </c>
      <c r="E259" s="452">
        <v>2</v>
      </c>
      <c r="F259" s="141"/>
      <c r="G259" s="141"/>
      <c r="H259" s="141"/>
      <c r="J259" s="1462" t="s">
        <v>605</v>
      </c>
      <c r="K259" s="703">
        <v>2018</v>
      </c>
      <c r="L259" s="703">
        <v>2019</v>
      </c>
      <c r="M259" s="703">
        <v>2020</v>
      </c>
      <c r="N259" s="703">
        <v>2021</v>
      </c>
      <c r="O259" s="703">
        <v>2022</v>
      </c>
    </row>
    <row r="260" spans="3:15">
      <c r="C260" s="453" t="s">
        <v>205</v>
      </c>
      <c r="D260" s="835">
        <v>0.12</v>
      </c>
      <c r="E260" s="455">
        <v>1</v>
      </c>
      <c r="F260" s="141"/>
      <c r="G260" s="141"/>
      <c r="H260" s="141"/>
      <c r="J260" s="1460" t="s">
        <v>203</v>
      </c>
      <c r="K260" s="1492">
        <f>K$243*K248*K254*4</f>
        <v>96818.399756161962</v>
      </c>
      <c r="L260" s="1492">
        <f t="shared" ref="L260:O260" si="132">L$243*L248*L254*4</f>
        <v>97915.015658436911</v>
      </c>
      <c r="M260" s="1492">
        <f t="shared" si="132"/>
        <v>120530.81889065013</v>
      </c>
      <c r="N260" s="1492">
        <f t="shared" si="132"/>
        <v>197764.37180170231</v>
      </c>
      <c r="O260" s="1492">
        <f t="shared" si="132"/>
        <v>248939.35708776343</v>
      </c>
    </row>
    <row r="261" spans="3:15">
      <c r="C261" s="141"/>
      <c r="D261" s="141"/>
      <c r="E261" s="141"/>
      <c r="F261" s="141"/>
      <c r="G261" s="141"/>
      <c r="H261" s="141"/>
      <c r="J261" s="1460" t="s">
        <v>204</v>
      </c>
      <c r="K261" s="1493">
        <f t="shared" ref="K261:O261" si="133">K$243*K249*K255*4</f>
        <v>96818.399756161962</v>
      </c>
      <c r="L261" s="1493">
        <f t="shared" si="133"/>
        <v>108794.46184270769</v>
      </c>
      <c r="M261" s="1493">
        <f t="shared" si="133"/>
        <v>133923.1321007224</v>
      </c>
      <c r="N261" s="1493">
        <f t="shared" si="133"/>
        <v>219738.19089078042</v>
      </c>
      <c r="O261" s="1493">
        <f t="shared" si="133"/>
        <v>276599.2856530706</v>
      </c>
    </row>
    <row r="262" spans="3:15">
      <c r="C262" s="435" t="s">
        <v>377</v>
      </c>
      <c r="D262" s="253"/>
      <c r="E262" s="253"/>
      <c r="F262" s="427" t="s">
        <v>203</v>
      </c>
      <c r="G262" s="428" t="s">
        <v>204</v>
      </c>
      <c r="H262" s="429" t="s">
        <v>205</v>
      </c>
      <c r="J262" s="1465" t="s">
        <v>205</v>
      </c>
      <c r="K262" s="1470">
        <f t="shared" ref="K262:O262" si="134">K$243*K250*K256*4</f>
        <v>171449.24956820346</v>
      </c>
      <c r="L262" s="1470">
        <f t="shared" si="134"/>
        <v>217588.92368541536</v>
      </c>
      <c r="M262" s="1470">
        <f t="shared" si="134"/>
        <v>267846.26420144469</v>
      </c>
      <c r="N262" s="1470">
        <f t="shared" si="134"/>
        <v>439476.38178156066</v>
      </c>
      <c r="O262" s="1470">
        <f t="shared" si="134"/>
        <v>553198.57130614086</v>
      </c>
    </row>
    <row r="263" spans="3:15">
      <c r="C263" s="422" t="s">
        <v>381</v>
      </c>
      <c r="D263" s="143"/>
      <c r="E263" s="143"/>
      <c r="F263" s="440" t="s">
        <v>290</v>
      </c>
      <c r="G263" s="420" t="s">
        <v>290</v>
      </c>
      <c r="H263" s="421"/>
      <c r="J263" s="74"/>
      <c r="K263" s="572">
        <f>SUM(K260:K262)</f>
        <v>365086.04908052739</v>
      </c>
      <c r="L263" s="572">
        <f t="shared" ref="L263:O263" si="135">SUM(L260:L262)</f>
        <v>424298.40118655993</v>
      </c>
      <c r="M263" s="572">
        <f t="shared" si="135"/>
        <v>522300.21519281721</v>
      </c>
      <c r="N263" s="572">
        <f t="shared" si="135"/>
        <v>856978.94447404332</v>
      </c>
      <c r="O263" s="572">
        <f t="shared" si="135"/>
        <v>1078737.2140469749</v>
      </c>
    </row>
    <row r="264" spans="3:15">
      <c r="C264" s="422" t="s">
        <v>382</v>
      </c>
      <c r="D264" s="143"/>
      <c r="E264" s="143"/>
      <c r="F264" s="1405" t="s">
        <v>290</v>
      </c>
      <c r="G264" s="1404"/>
      <c r="H264" s="1406"/>
      <c r="K264" s="1471">
        <f>K263/K242</f>
        <v>0.37787596002544116</v>
      </c>
      <c r="L264" s="1471">
        <f>L263/L242</f>
        <v>0.3138793529267917</v>
      </c>
      <c r="M264" s="1471">
        <f>M263/M242</f>
        <v>0.29633498604142133</v>
      </c>
      <c r="N264" s="1471">
        <f>N263/N242</f>
        <v>0.37412351832561197</v>
      </c>
      <c r="O264" s="1471">
        <f>O263/O242</f>
        <v>0.3622573176930996</v>
      </c>
    </row>
    <row r="265" spans="3:15">
      <c r="C265" s="422" t="s">
        <v>378</v>
      </c>
      <c r="D265" s="143"/>
      <c r="E265" s="143"/>
      <c r="F265" s="1405" t="s">
        <v>681</v>
      </c>
      <c r="G265" s="1404" t="s">
        <v>404</v>
      </c>
      <c r="H265" s="1406" t="s">
        <v>404</v>
      </c>
    </row>
    <row r="266" spans="3:15" ht="25.5">
      <c r="C266" s="422" t="s">
        <v>678</v>
      </c>
      <c r="D266" s="143"/>
      <c r="E266" s="143"/>
      <c r="F266" s="1405" t="s">
        <v>679</v>
      </c>
      <c r="G266" s="1404" t="s">
        <v>680</v>
      </c>
      <c r="H266" s="1406"/>
      <c r="J266" s="1505" t="s">
        <v>35</v>
      </c>
      <c r="K266" s="703">
        <v>2018</v>
      </c>
      <c r="L266" s="703">
        <v>2019</v>
      </c>
      <c r="M266" s="703">
        <v>2020</v>
      </c>
      <c r="N266" s="703">
        <v>2021</v>
      </c>
      <c r="O266" s="703">
        <v>2022</v>
      </c>
    </row>
    <row r="267" spans="3:15">
      <c r="C267" s="422" t="s">
        <v>380</v>
      </c>
      <c r="D267" s="143"/>
      <c r="E267" s="143"/>
      <c r="F267" s="1405" t="s">
        <v>290</v>
      </c>
      <c r="G267" s="1404" t="s">
        <v>290</v>
      </c>
      <c r="H267" s="1406"/>
      <c r="J267" s="1460" t="s">
        <v>203</v>
      </c>
      <c r="K267" s="1494">
        <f>K260*J$32*$D258</f>
        <v>6039.7121527173758</v>
      </c>
      <c r="L267" s="1494">
        <f t="shared" ref="L267:O267" si="136">L260*K$32*$D258</f>
        <v>6098.0167904632399</v>
      </c>
      <c r="M267" s="1494">
        <f t="shared" si="136"/>
        <v>7423.6539105719003</v>
      </c>
      <c r="N267" s="1494">
        <f t="shared" si="136"/>
        <v>12182.086359678988</v>
      </c>
      <c r="O267" s="1494">
        <f t="shared" si="136"/>
        <v>15334.413973245217</v>
      </c>
    </row>
    <row r="268" spans="3:15">
      <c r="C268" s="422" t="s">
        <v>385</v>
      </c>
      <c r="D268" s="143"/>
      <c r="E268" s="143"/>
      <c r="F268" s="1405" t="s">
        <v>290</v>
      </c>
      <c r="G268" s="1404" t="s">
        <v>290</v>
      </c>
      <c r="H268" s="1406" t="s">
        <v>290</v>
      </c>
      <c r="J268" s="1460" t="s">
        <v>204</v>
      </c>
      <c r="K268" s="1495">
        <f t="shared" ref="K268:O268" si="137">K261*J$32*$D259</f>
        <v>4529.7841145380316</v>
      </c>
      <c r="L268" s="1495">
        <f t="shared" si="137"/>
        <v>5081.680658719366</v>
      </c>
      <c r="M268" s="1495">
        <f t="shared" si="137"/>
        <v>6186.3782588099175</v>
      </c>
      <c r="N268" s="1495">
        <f t="shared" si="137"/>
        <v>10151.738633065828</v>
      </c>
      <c r="O268" s="1495">
        <f t="shared" si="137"/>
        <v>12778.678311037685</v>
      </c>
    </row>
    <row r="269" spans="3:15">
      <c r="C269" s="423" t="s">
        <v>383</v>
      </c>
      <c r="D269" s="424"/>
      <c r="E269" s="424"/>
      <c r="F269" s="441" t="s">
        <v>290</v>
      </c>
      <c r="G269" s="698" t="s">
        <v>290</v>
      </c>
      <c r="H269" s="439" t="s">
        <v>290</v>
      </c>
      <c r="J269" s="1465" t="s">
        <v>205</v>
      </c>
      <c r="K269" s="1473">
        <f t="shared" ref="K269:O269" si="138">K262*J$32*$D260</f>
        <v>6417.1941622622098</v>
      </c>
      <c r="L269" s="1473">
        <f t="shared" si="138"/>
        <v>8130.6890539509859</v>
      </c>
      <c r="M269" s="1473">
        <f t="shared" si="138"/>
        <v>9898.205214095864</v>
      </c>
      <c r="N269" s="1473">
        <f t="shared" si="138"/>
        <v>16242.781812905318</v>
      </c>
      <c r="O269" s="1473">
        <f t="shared" si="138"/>
        <v>20445.885297660283</v>
      </c>
    </row>
    <row r="270" spans="3:15">
      <c r="C270" s="141"/>
      <c r="D270" s="141"/>
      <c r="E270" s="141"/>
      <c r="F270" s="141"/>
      <c r="G270" s="141"/>
      <c r="H270" s="141"/>
      <c r="J270" s="74"/>
      <c r="K270" s="572">
        <f>SUM(K267:K269)</f>
        <v>16986.690429517617</v>
      </c>
      <c r="L270" s="572">
        <f t="shared" ref="L270:O270" si="139">SUM(L267:L269)</f>
        <v>19310.386503133592</v>
      </c>
      <c r="M270" s="572">
        <f t="shared" si="139"/>
        <v>23508.237383477681</v>
      </c>
      <c r="N270" s="572">
        <f t="shared" si="139"/>
        <v>38576.606805650132</v>
      </c>
      <c r="O270" s="572">
        <f t="shared" si="139"/>
        <v>48558.977581943182</v>
      </c>
    </row>
    <row r="271" spans="3:15">
      <c r="C271" s="460" t="s">
        <v>406</v>
      </c>
      <c r="D271" s="141"/>
      <c r="E271" s="141"/>
      <c r="F271" s="141"/>
      <c r="G271" s="141"/>
      <c r="H271" s="141"/>
      <c r="J271" s="74"/>
      <c r="K271" s="1122">
        <f>K270/K242</f>
        <v>1.7581778240704914E-2</v>
      </c>
      <c r="L271" s="1122">
        <f>L270/L242</f>
        <v>1.4285068252483945E-2</v>
      </c>
      <c r="M271" s="1122">
        <f>M270/M242</f>
        <v>1.3337756704387971E-2</v>
      </c>
      <c r="N271" s="1122">
        <f>N270/N242</f>
        <v>1.6841039043323559E-2</v>
      </c>
      <c r="O271" s="1122">
        <f>O270/O242</f>
        <v>1.6306886181075123E-2</v>
      </c>
    </row>
    <row r="272" spans="3:15">
      <c r="C272" s="141"/>
      <c r="D272" s="141"/>
      <c r="E272" s="141"/>
      <c r="F272" s="141"/>
      <c r="G272" s="141"/>
      <c r="H272" s="141"/>
    </row>
    <row r="273" spans="3:15" ht="25.5">
      <c r="C273" s="434" t="s">
        <v>407</v>
      </c>
      <c r="D273" s="141"/>
      <c r="E273" s="141"/>
      <c r="F273" s="141"/>
      <c r="G273" s="141"/>
      <c r="H273" s="141"/>
      <c r="J273" s="1505" t="s">
        <v>1465</v>
      </c>
      <c r="K273" s="703">
        <v>2018</v>
      </c>
      <c r="L273" s="703">
        <v>2019</v>
      </c>
      <c r="M273" s="703">
        <v>2020</v>
      </c>
      <c r="N273" s="703">
        <v>2021</v>
      </c>
      <c r="O273" s="703">
        <v>2022</v>
      </c>
    </row>
    <row r="274" spans="3:15">
      <c r="C274" s="434" t="s">
        <v>682</v>
      </c>
      <c r="D274" s="141"/>
      <c r="E274" s="141"/>
      <c r="F274" s="141"/>
      <c r="G274" s="141"/>
      <c r="H274" s="141"/>
      <c r="J274" s="1460" t="s">
        <v>203</v>
      </c>
      <c r="K274" s="1494">
        <f>K$243*K248*$E258*12</f>
        <v>1936.3679951232393</v>
      </c>
      <c r="L274" s="1494">
        <f t="shared" ref="L274:O274" si="140">L$243*L248*$E258*12</f>
        <v>1780.2730119715802</v>
      </c>
      <c r="M274" s="1494">
        <f t="shared" si="140"/>
        <v>1992.2449403413241</v>
      </c>
      <c r="N274" s="1494">
        <f t="shared" si="140"/>
        <v>2971.6659925124309</v>
      </c>
      <c r="O274" s="1494">
        <f t="shared" si="140"/>
        <v>3400.578609217449</v>
      </c>
    </row>
    <row r="275" spans="3:15">
      <c r="C275" s="434" t="s">
        <v>409</v>
      </c>
      <c r="D275" s="141"/>
      <c r="E275" s="141"/>
      <c r="F275" s="141"/>
      <c r="G275" s="141"/>
      <c r="H275" s="141"/>
      <c r="J275" s="1460" t="s">
        <v>204</v>
      </c>
      <c r="K275" s="1495">
        <f t="shared" ref="K275:O275" si="141">K$243*K249*$E259*12</f>
        <v>1452.2759963424294</v>
      </c>
      <c r="L275" s="1495">
        <f t="shared" si="141"/>
        <v>1483.5608433096502</v>
      </c>
      <c r="M275" s="1495">
        <f t="shared" si="141"/>
        <v>1660.2041169511035</v>
      </c>
      <c r="N275" s="1495">
        <f t="shared" si="141"/>
        <v>2476.3883270936926</v>
      </c>
      <c r="O275" s="1495">
        <f t="shared" si="141"/>
        <v>2833.8155076812077</v>
      </c>
    </row>
    <row r="276" spans="3:15">
      <c r="C276" s="434"/>
      <c r="D276" s="141"/>
      <c r="E276" s="141"/>
      <c r="F276" s="141"/>
      <c r="G276" s="141"/>
      <c r="H276" s="141"/>
      <c r="J276" s="1465" t="s">
        <v>205</v>
      </c>
      <c r="K276" s="1473">
        <f t="shared" ref="K276:O276" si="142">K$243*K250*$E260*12</f>
        <v>2057.3909948184419</v>
      </c>
      <c r="L276" s="1473">
        <f t="shared" si="142"/>
        <v>2373.6973492954403</v>
      </c>
      <c r="M276" s="1473">
        <f t="shared" si="142"/>
        <v>2656.3265871217654</v>
      </c>
      <c r="N276" s="1473">
        <f t="shared" si="142"/>
        <v>3962.2213233499078</v>
      </c>
      <c r="O276" s="1473">
        <f t="shared" si="142"/>
        <v>4534.1048122899319</v>
      </c>
    </row>
    <row r="277" spans="3:15">
      <c r="C277" s="434" t="s">
        <v>410</v>
      </c>
      <c r="D277" s="141" t="s">
        <v>411</v>
      </c>
      <c r="E277" s="141" t="s">
        <v>412</v>
      </c>
      <c r="F277" s="141" t="s">
        <v>413</v>
      </c>
      <c r="G277" s="141" t="s">
        <v>414</v>
      </c>
      <c r="H277" s="141" t="s">
        <v>418</v>
      </c>
      <c r="J277" s="74"/>
      <c r="K277" s="572">
        <f>SUM(K274:K276)</f>
        <v>5446.0349862841103</v>
      </c>
      <c r="L277" s="572">
        <f t="shared" ref="L277:O277" si="143">SUM(L274:L276)</f>
        <v>5637.5312045766705</v>
      </c>
      <c r="M277" s="572">
        <f t="shared" si="143"/>
        <v>6308.7756444141933</v>
      </c>
      <c r="N277" s="572">
        <f t="shared" si="143"/>
        <v>9410.2756429560322</v>
      </c>
      <c r="O277" s="572">
        <f t="shared" si="143"/>
        <v>10768.498929188589</v>
      </c>
    </row>
    <row r="278" spans="3:15">
      <c r="C278" s="461"/>
      <c r="D278" s="461"/>
      <c r="E278" s="461"/>
      <c r="F278" s="461"/>
      <c r="G278" s="462"/>
      <c r="H278" s="462"/>
      <c r="J278" s="74"/>
      <c r="K278" s="1122">
        <f>K277/K242</f>
        <v>5.6368237130866913E-3</v>
      </c>
      <c r="L278" s="1122">
        <f t="shared" ref="L278:O278" si="144">L277/L242</f>
        <v>4.1704249689573716E-3</v>
      </c>
      <c r="M278" s="1122">
        <f t="shared" si="144"/>
        <v>3.5793799966859535E-3</v>
      </c>
      <c r="N278" s="1122">
        <f t="shared" si="144"/>
        <v>4.1081586130651488E-3</v>
      </c>
      <c r="O278" s="1122">
        <f t="shared" si="144"/>
        <v>3.6162352488369803E-3</v>
      </c>
    </row>
    <row r="279" spans="3:15">
      <c r="C279" s="434" t="s">
        <v>415</v>
      </c>
      <c r="D279" s="141"/>
      <c r="E279" s="141" t="s">
        <v>416</v>
      </c>
      <c r="F279" s="141" t="s">
        <v>417</v>
      </c>
      <c r="G279" s="141" t="s">
        <v>417</v>
      </c>
      <c r="H279" s="141" t="s">
        <v>417</v>
      </c>
    </row>
    <row r="280" spans="3:15" ht="25.5">
      <c r="J280" s="1505" t="s">
        <v>696</v>
      </c>
      <c r="K280" s="703">
        <v>2018</v>
      </c>
      <c r="L280" s="703">
        <v>2019</v>
      </c>
      <c r="M280" s="703">
        <v>2020</v>
      </c>
      <c r="N280" s="703">
        <v>2021</v>
      </c>
      <c r="O280" s="703">
        <v>2022</v>
      </c>
    </row>
    <row r="281" spans="3:15">
      <c r="J281" s="489" t="s">
        <v>1466</v>
      </c>
      <c r="K281" s="442">
        <f>K260*70%*J$32*15%</f>
        <v>3170.8488801766221</v>
      </c>
      <c r="L281" s="442">
        <f t="shared" ref="L281:O281" si="145">L260*70%*K$32*15%</f>
        <v>3201.4588149931997</v>
      </c>
      <c r="M281" s="442">
        <f t="shared" si="145"/>
        <v>3897.4183030502463</v>
      </c>
      <c r="N281" s="442">
        <f t="shared" si="145"/>
        <v>6395.5953388314674</v>
      </c>
      <c r="O281" s="442">
        <f t="shared" si="145"/>
        <v>8050.5673359537377</v>
      </c>
    </row>
    <row r="282" spans="3:15">
      <c r="J282" s="489" t="s">
        <v>1467</v>
      </c>
      <c r="K282" s="442">
        <f>K281*$K$287</f>
        <v>2708.1205824596586</v>
      </c>
      <c r="L282" s="442">
        <f t="shared" ref="L282:O282" si="146">L281*$K$287</f>
        <v>2734.2635484719349</v>
      </c>
      <c r="M282" s="442">
        <f t="shared" si="146"/>
        <v>3328.660281141324</v>
      </c>
      <c r="N282" s="442">
        <f t="shared" si="146"/>
        <v>5462.2733623331151</v>
      </c>
      <c r="O282" s="442">
        <f t="shared" si="146"/>
        <v>6875.7319969658511</v>
      </c>
    </row>
    <row r="284" spans="3:15">
      <c r="I284" s="1496"/>
      <c r="J284" s="1497"/>
      <c r="K284" s="1497" t="s">
        <v>1468</v>
      </c>
      <c r="L284" s="1497" t="s">
        <v>410</v>
      </c>
      <c r="M284" s="1497" t="s">
        <v>411</v>
      </c>
      <c r="N284" s="1497" t="s">
        <v>412</v>
      </c>
      <c r="O284" s="1501" t="s">
        <v>413</v>
      </c>
    </row>
    <row r="285" spans="3:15">
      <c r="I285" s="850"/>
      <c r="J285" s="1498" t="s">
        <v>1471</v>
      </c>
      <c r="K285" s="12"/>
      <c r="L285" s="1502">
        <v>1.05</v>
      </c>
      <c r="M285" s="1502">
        <v>1.05</v>
      </c>
      <c r="N285" s="1502">
        <v>1.05</v>
      </c>
      <c r="O285" s="1503">
        <v>1.05</v>
      </c>
    </row>
    <row r="286" spans="3:15">
      <c r="I286" s="850"/>
      <c r="J286" s="1498" t="s">
        <v>1469</v>
      </c>
      <c r="K286" s="1499">
        <v>0</v>
      </c>
      <c r="L286" s="1499">
        <v>0</v>
      </c>
      <c r="M286" s="1499">
        <v>0.25</v>
      </c>
      <c r="N286" s="1499">
        <v>0.25</v>
      </c>
      <c r="O286" s="1500">
        <v>0.5</v>
      </c>
    </row>
    <row r="287" spans="3:15">
      <c r="I287" s="850"/>
      <c r="J287" s="1498" t="s">
        <v>1470</v>
      </c>
      <c r="K287" s="1183">
        <f>L286/L285 +M286/ (M285^2) +N286/ (N285^3) +O286/ (O285 ^4)</f>
        <v>0.85406800664332239</v>
      </c>
      <c r="L287" s="12"/>
      <c r="M287" s="12"/>
      <c r="N287" s="12"/>
      <c r="O287" s="546"/>
    </row>
    <row r="288" spans="3:15">
      <c r="I288" s="702"/>
      <c r="J288" s="760"/>
      <c r="K288" s="703"/>
      <c r="L288" s="703"/>
      <c r="M288" s="703"/>
      <c r="N288" s="703"/>
      <c r="O288" s="491"/>
    </row>
    <row r="290" spans="9:15">
      <c r="J290" s="1504" t="s">
        <v>552</v>
      </c>
    </row>
    <row r="292" spans="9:15">
      <c r="J292" s="1522" t="s">
        <v>377</v>
      </c>
      <c r="K292" s="1455"/>
      <c r="L292" s="1455"/>
      <c r="M292" s="1455"/>
      <c r="N292" s="1455"/>
      <c r="O292" s="1455"/>
    </row>
    <row r="293" spans="9:15">
      <c r="I293" s="624" t="s">
        <v>695</v>
      </c>
      <c r="J293" s="1523"/>
      <c r="K293" s="703">
        <v>2018</v>
      </c>
      <c r="L293" s="703">
        <v>2019</v>
      </c>
      <c r="M293" s="703">
        <v>2020</v>
      </c>
      <c r="N293" s="703">
        <v>2021</v>
      </c>
      <c r="O293" s="703">
        <v>2022</v>
      </c>
    </row>
    <row r="294" spans="9:15">
      <c r="I294" s="624">
        <v>9.5</v>
      </c>
      <c r="J294" s="1475" t="s">
        <v>203</v>
      </c>
      <c r="K294" s="1481">
        <f>K$243*K248*70%*$I294</f>
        <v>268.26764932436544</v>
      </c>
      <c r="L294" s="1481">
        <f t="shared" ref="L294:O294" si="147">L$243*L248*70%*$I294</f>
        <v>246.64199020022932</v>
      </c>
      <c r="M294" s="1481">
        <f t="shared" si="147"/>
        <v>276.00893444312095</v>
      </c>
      <c r="N294" s="1481">
        <f t="shared" si="147"/>
        <v>411.69955937932633</v>
      </c>
      <c r="O294" s="1481">
        <f t="shared" si="147"/>
        <v>471.12182815200072</v>
      </c>
    </row>
    <row r="295" spans="9:15">
      <c r="I295" s="624">
        <v>4.8</v>
      </c>
      <c r="J295" s="1475" t="s">
        <v>204</v>
      </c>
      <c r="K295" s="1456">
        <f t="shared" ref="K295:O295" si="148">K$243*K249*70%*$I295</f>
        <v>203.31863948794009</v>
      </c>
      <c r="L295" s="1456">
        <f t="shared" si="148"/>
        <v>207.69851806335103</v>
      </c>
      <c r="M295" s="1456">
        <f t="shared" si="148"/>
        <v>232.42857637315447</v>
      </c>
      <c r="N295" s="1456">
        <f t="shared" si="148"/>
        <v>346.6943657931169</v>
      </c>
      <c r="O295" s="1456">
        <f t="shared" si="148"/>
        <v>396.73417107536903</v>
      </c>
    </row>
    <row r="296" spans="9:15">
      <c r="I296" s="624">
        <v>1.3</v>
      </c>
      <c r="J296" s="1478" t="s">
        <v>205</v>
      </c>
      <c r="K296" s="1480">
        <f t="shared" ref="K296:O296" si="149">K$243*K250*70%*$I296</f>
        <v>156.01881710706513</v>
      </c>
      <c r="L296" s="1480">
        <f t="shared" si="149"/>
        <v>180.00538232157086</v>
      </c>
      <c r="M296" s="1480">
        <f t="shared" si="149"/>
        <v>201.43809952340055</v>
      </c>
      <c r="N296" s="1480">
        <f t="shared" si="149"/>
        <v>300.4684503540347</v>
      </c>
      <c r="O296" s="1480">
        <f t="shared" si="149"/>
        <v>343.83628159865322</v>
      </c>
    </row>
    <row r="297" spans="9:15">
      <c r="J297" s="1475" t="s">
        <v>254</v>
      </c>
      <c r="K297" s="1456">
        <f>SUM(K294:K296)</f>
        <v>627.60510591937066</v>
      </c>
      <c r="L297" s="1456">
        <f t="shared" ref="L297:O297" si="150">SUM(L294:L296)</f>
        <v>634.34589058515121</v>
      </c>
      <c r="M297" s="1456">
        <f t="shared" si="150"/>
        <v>709.87561033967597</v>
      </c>
      <c r="N297" s="1456">
        <f t="shared" si="150"/>
        <v>1058.862375526478</v>
      </c>
      <c r="O297" s="1456">
        <f t="shared" si="150"/>
        <v>1211.6922808260229</v>
      </c>
    </row>
    <row r="299" spans="9:15">
      <c r="J299" s="1475" t="s">
        <v>1455</v>
      </c>
      <c r="K299" s="572">
        <f>K270+K277+K282+K297</f>
        <v>25768.451104180756</v>
      </c>
      <c r="L299" s="572">
        <f t="shared" ref="L299:O299" si="151">L270+L277+L282+L297</f>
        <v>28316.527146767348</v>
      </c>
      <c r="M299" s="572">
        <f t="shared" si="151"/>
        <v>33855.548919372872</v>
      </c>
      <c r="N299" s="572">
        <f t="shared" si="151"/>
        <v>54508.018186465757</v>
      </c>
      <c r="O299" s="572">
        <f t="shared" si="151"/>
        <v>67414.900788923653</v>
      </c>
    </row>
    <row r="303" spans="9:15" s="703" customFormat="1">
      <c r="J303" s="760"/>
    </row>
    <row r="305" spans="2:14">
      <c r="B305" s="542" t="s">
        <v>701</v>
      </c>
    </row>
    <row r="306" spans="2:14">
      <c r="I306" s="703"/>
      <c r="J306" s="760">
        <v>2018</v>
      </c>
      <c r="K306" s="703">
        <v>2019</v>
      </c>
      <c r="L306" s="703">
        <v>2020</v>
      </c>
      <c r="M306" s="703">
        <v>2021</v>
      </c>
      <c r="N306" s="703">
        <v>2022</v>
      </c>
    </row>
    <row r="307" spans="2:14">
      <c r="C307" s="141" t="s">
        <v>707</v>
      </c>
      <c r="D307" s="141"/>
      <c r="I307" s="489" t="s">
        <v>1452</v>
      </c>
      <c r="J307" s="1535">
        <f>J172</f>
        <v>209.66666666666666</v>
      </c>
      <c r="K307" s="572">
        <f>K172</f>
        <v>249.66666666666666</v>
      </c>
      <c r="L307" s="572">
        <f>L172</f>
        <v>265.5</v>
      </c>
      <c r="M307" s="572">
        <f>M172</f>
        <v>299.5</v>
      </c>
      <c r="N307" s="572">
        <f>N172</f>
        <v>334.5</v>
      </c>
    </row>
    <row r="308" spans="2:14">
      <c r="C308" s="140" t="s">
        <v>421</v>
      </c>
      <c r="D308" s="141"/>
      <c r="I308" s="489" t="s">
        <v>705</v>
      </c>
      <c r="J308" s="1111">
        <v>0.1</v>
      </c>
      <c r="K308" s="1111">
        <v>0.1</v>
      </c>
      <c r="L308" s="1111">
        <v>0.1</v>
      </c>
      <c r="M308" s="1111">
        <v>0.1</v>
      </c>
      <c r="N308" s="1111">
        <v>0.1</v>
      </c>
    </row>
    <row r="309" spans="2:14">
      <c r="C309" s="141" t="s">
        <v>422</v>
      </c>
      <c r="D309" s="141"/>
      <c r="I309" s="489" t="s">
        <v>219</v>
      </c>
      <c r="J309" s="904">
        <f>J308*J307</f>
        <v>20.966666666666669</v>
      </c>
      <c r="K309" s="442">
        <f t="shared" ref="K309:N309" si="152">K308*K307</f>
        <v>24.966666666666669</v>
      </c>
      <c r="L309" s="442">
        <f t="shared" si="152"/>
        <v>26.55</v>
      </c>
      <c r="M309" s="442">
        <f t="shared" si="152"/>
        <v>29.950000000000003</v>
      </c>
      <c r="N309" s="442">
        <f t="shared" si="152"/>
        <v>33.450000000000003</v>
      </c>
    </row>
    <row r="310" spans="2:14">
      <c r="C310" s="141" t="s">
        <v>303</v>
      </c>
      <c r="D310" s="141"/>
      <c r="I310" s="489" t="s">
        <v>466</v>
      </c>
      <c r="J310" s="904">
        <f>J309*$E$317*12</f>
        <v>3774</v>
      </c>
      <c r="K310" s="442">
        <f t="shared" ref="K310:N310" si="153">K309*$E$317*12</f>
        <v>4494</v>
      </c>
      <c r="L310" s="442">
        <f t="shared" si="153"/>
        <v>4779</v>
      </c>
      <c r="M310" s="442">
        <f t="shared" si="153"/>
        <v>5391.0000000000009</v>
      </c>
      <c r="N310" s="442">
        <f t="shared" si="153"/>
        <v>6021.0000000000009</v>
      </c>
    </row>
    <row r="311" spans="2:14">
      <c r="C311" s="463" t="s">
        <v>702</v>
      </c>
      <c r="D311" s="141"/>
    </row>
    <row r="312" spans="2:14">
      <c r="C312" s="463" t="s">
        <v>703</v>
      </c>
      <c r="D312" s="141"/>
    </row>
    <row r="313" spans="2:14">
      <c r="C313" s="463" t="s">
        <v>424</v>
      </c>
      <c r="D313" s="141"/>
    </row>
    <row r="314" spans="2:14">
      <c r="C314" s="141"/>
      <c r="D314" s="141"/>
    </row>
    <row r="315" spans="2:14">
      <c r="C315" s="140" t="s">
        <v>287</v>
      </c>
      <c r="D315" s="141"/>
    </row>
    <row r="316" spans="2:14">
      <c r="C316" s="141"/>
      <c r="D316" s="141"/>
    </row>
    <row r="317" spans="2:14">
      <c r="C317" t="s">
        <v>1424</v>
      </c>
      <c r="E317" s="773">
        <v>15</v>
      </c>
      <c r="F317" t="s">
        <v>1418</v>
      </c>
    </row>
    <row r="318" spans="2:14">
      <c r="C318" t="s">
        <v>1425</v>
      </c>
    </row>
    <row r="323" spans="2:14" s="41" customFormat="1" ht="16.5" customHeight="1">
      <c r="B323" s="40" t="s">
        <v>93</v>
      </c>
      <c r="J323" s="1526"/>
    </row>
    <row r="325" spans="2:14" s="47" customFormat="1" ht="12.75">
      <c r="B325" s="46" t="s">
        <v>762</v>
      </c>
      <c r="J325" s="1536"/>
    </row>
    <row r="328" spans="2:14">
      <c r="B328" s="730" t="s">
        <v>426</v>
      </c>
      <c r="K328" s="542"/>
    </row>
    <row r="329" spans="2:14">
      <c r="I329" s="760" t="s">
        <v>1459</v>
      </c>
      <c r="J329" s="760">
        <v>2018</v>
      </c>
      <c r="K329" s="703">
        <v>2019</v>
      </c>
      <c r="L329" s="703">
        <v>2020</v>
      </c>
      <c r="M329" s="703">
        <v>2021</v>
      </c>
      <c r="N329" s="703">
        <v>2022</v>
      </c>
    </row>
    <row r="330" spans="2:14">
      <c r="C330" s="140" t="s">
        <v>720</v>
      </c>
      <c r="I330" s="489" t="s">
        <v>1457</v>
      </c>
      <c r="J330" s="1535">
        <f>H11</f>
        <v>19282.212929541856</v>
      </c>
      <c r="K330" s="572">
        <f>I11</f>
        <v>23469.337657971824</v>
      </c>
      <c r="L330" s="572">
        <f>J11</f>
        <v>26126.714010511419</v>
      </c>
      <c r="M330" s="572">
        <f>K11</f>
        <v>29697.111487265938</v>
      </c>
      <c r="N330" s="572">
        <f>L11</f>
        <v>33992.383219356852</v>
      </c>
    </row>
    <row r="331" spans="2:14">
      <c r="I331" s="489" t="s">
        <v>1458</v>
      </c>
      <c r="J331" s="1111">
        <v>0.35</v>
      </c>
      <c r="K331" s="1111">
        <v>0.35</v>
      </c>
      <c r="L331" s="1111">
        <v>0.35</v>
      </c>
      <c r="M331" s="1111">
        <v>0.35</v>
      </c>
      <c r="N331" s="1111">
        <v>0.35</v>
      </c>
    </row>
    <row r="332" spans="2:14">
      <c r="C332" t="s">
        <v>716</v>
      </c>
      <c r="D332" s="1838" t="s">
        <v>357</v>
      </c>
      <c r="E332" s="1838"/>
      <c r="F332" s="1407" t="s">
        <v>21</v>
      </c>
      <c r="I332" s="489" t="s">
        <v>219</v>
      </c>
      <c r="J332" s="904">
        <f>J331*J330</f>
        <v>6748.7745253396497</v>
      </c>
      <c r="K332" s="442">
        <f t="shared" ref="K332:N332" si="154">K331*K330</f>
        <v>8214.2681802901388</v>
      </c>
      <c r="L332" s="442">
        <f t="shared" si="154"/>
        <v>9144.3499036789963</v>
      </c>
      <c r="M332" s="442">
        <f t="shared" si="154"/>
        <v>10393.989020543078</v>
      </c>
      <c r="N332" s="442">
        <f t="shared" si="154"/>
        <v>11897.334126774898</v>
      </c>
    </row>
    <row r="333" spans="2:14">
      <c r="C333" s="703"/>
      <c r="D333" s="876" t="s">
        <v>207</v>
      </c>
      <c r="E333" s="876" t="s">
        <v>717</v>
      </c>
      <c r="F333" s="876" t="s">
        <v>718</v>
      </c>
      <c r="I333" s="1491" t="s">
        <v>466</v>
      </c>
      <c r="J333" s="904">
        <f>J332*$F$334</f>
        <v>6748.7745253396497</v>
      </c>
      <c r="K333" s="442">
        <f t="shared" ref="K333:N333" si="155">K332*$F$334</f>
        <v>8214.2681802901388</v>
      </c>
      <c r="L333" s="442">
        <f t="shared" si="155"/>
        <v>9144.3499036789963</v>
      </c>
      <c r="M333" s="442">
        <f t="shared" si="155"/>
        <v>10393.989020543078</v>
      </c>
      <c r="N333" s="442">
        <f t="shared" si="155"/>
        <v>11897.334126774898</v>
      </c>
    </row>
    <row r="334" spans="2:14">
      <c r="C334" t="s">
        <v>119</v>
      </c>
      <c r="D334" s="1407">
        <v>1</v>
      </c>
      <c r="E334" s="1407">
        <v>12</v>
      </c>
      <c r="F334" s="878">
        <v>1</v>
      </c>
    </row>
    <row r="335" spans="2:14">
      <c r="D335" s="1407"/>
      <c r="E335" s="1407"/>
      <c r="F335" s="1279"/>
      <c r="I335" s="1491" t="s">
        <v>1460</v>
      </c>
    </row>
    <row r="336" spans="2:14">
      <c r="D336" s="1407"/>
      <c r="E336" s="1407"/>
      <c r="F336" s="1279"/>
      <c r="I336" s="1491" t="s">
        <v>1461</v>
      </c>
      <c r="J336" s="1517">
        <v>0.05</v>
      </c>
      <c r="K336" s="1517">
        <v>0.05</v>
      </c>
      <c r="L336" s="1517">
        <v>0.05</v>
      </c>
      <c r="M336" s="1517">
        <v>0.05</v>
      </c>
      <c r="N336" s="1517">
        <v>0.05</v>
      </c>
    </row>
    <row r="337" spans="2:15">
      <c r="D337" s="1407"/>
      <c r="E337" s="1407"/>
      <c r="F337" s="1407"/>
      <c r="I337" s="1491" t="s">
        <v>219</v>
      </c>
      <c r="J337" s="904">
        <f>J336*J330</f>
        <v>964.11064647709281</v>
      </c>
      <c r="K337" s="442">
        <f t="shared" ref="K337:N337" si="156">K336*K330</f>
        <v>1173.4668828985912</v>
      </c>
      <c r="L337" s="442">
        <f t="shared" si="156"/>
        <v>1306.3357005255712</v>
      </c>
      <c r="M337" s="442">
        <f t="shared" si="156"/>
        <v>1484.8555743632969</v>
      </c>
      <c r="N337" s="442">
        <f t="shared" si="156"/>
        <v>1699.6191609678426</v>
      </c>
    </row>
    <row r="338" spans="2:15">
      <c r="C338" s="140" t="s">
        <v>721</v>
      </c>
      <c r="I338" s="1491" t="s">
        <v>466</v>
      </c>
      <c r="J338" s="904">
        <f>J337*$F$342</f>
        <v>12533.438404202207</v>
      </c>
      <c r="K338" s="442">
        <f>K337*$F$342*1.1</f>
        <v>16780.576425449854</v>
      </c>
      <c r="L338" s="442">
        <f t="shared" ref="L338:N338" si="157">L337*$F$342*1.1</f>
        <v>18680.600517515668</v>
      </c>
      <c r="M338" s="442">
        <f t="shared" si="157"/>
        <v>21233.434713395149</v>
      </c>
      <c r="N338" s="442">
        <f t="shared" si="157"/>
        <v>24304.554001840152</v>
      </c>
      <c r="O338" s="470" t="s">
        <v>1462</v>
      </c>
    </row>
    <row r="340" spans="2:15">
      <c r="C340" s="1838" t="s">
        <v>357</v>
      </c>
      <c r="D340" s="1838"/>
      <c r="E340" s="1407" t="s">
        <v>719</v>
      </c>
      <c r="F340" t="s">
        <v>722</v>
      </c>
    </row>
    <row r="341" spans="2:15">
      <c r="C341" s="876" t="s">
        <v>207</v>
      </c>
      <c r="D341" s="876" t="s">
        <v>717</v>
      </c>
      <c r="E341" s="703"/>
      <c r="F341" s="703"/>
    </row>
    <row r="342" spans="2:15">
      <c r="C342" s="1407">
        <v>5</v>
      </c>
      <c r="D342" s="1407">
        <v>100</v>
      </c>
      <c r="E342" s="879" t="s">
        <v>427</v>
      </c>
      <c r="F342" s="880">
        <v>13</v>
      </c>
    </row>
    <row r="343" spans="2:15">
      <c r="C343" s="1277"/>
      <c r="D343" s="1277"/>
      <c r="E343" s="1277"/>
      <c r="F343" s="1278"/>
    </row>
    <row r="344" spans="2:15" s="45" customFormat="1" ht="12.75">
      <c r="B344" s="46" t="s">
        <v>763</v>
      </c>
      <c r="J344" s="1527"/>
    </row>
    <row r="346" spans="2:15">
      <c r="K346" s="542"/>
    </row>
    <row r="347" spans="2:15">
      <c r="B347" s="1282"/>
      <c r="C347" s="2"/>
      <c r="D347" s="2"/>
      <c r="E347" s="2"/>
      <c r="F347" s="2"/>
      <c r="G347" s="2"/>
      <c r="H347" s="2"/>
      <c r="I347" s="760" t="s">
        <v>1156</v>
      </c>
      <c r="J347" s="760">
        <v>2018</v>
      </c>
      <c r="K347" s="703">
        <v>2019</v>
      </c>
      <c r="L347" s="703">
        <v>2020</v>
      </c>
      <c r="M347" s="703">
        <v>2021</v>
      </c>
      <c r="N347" s="703">
        <v>2022</v>
      </c>
    </row>
    <row r="348" spans="2:15">
      <c r="B348" s="658">
        <v>1</v>
      </c>
      <c r="C348" t="s">
        <v>1229</v>
      </c>
      <c r="I348" s="489" t="s">
        <v>1457</v>
      </c>
      <c r="J348" s="1535">
        <f>J330</f>
        <v>19282.212929541856</v>
      </c>
      <c r="K348" s="572">
        <f t="shared" ref="K348:N348" si="158">K330</f>
        <v>23469.337657971824</v>
      </c>
      <c r="L348" s="572">
        <f t="shared" si="158"/>
        <v>26126.714010511419</v>
      </c>
      <c r="M348" s="572">
        <f t="shared" si="158"/>
        <v>29697.111487265938</v>
      </c>
      <c r="N348" s="572">
        <f t="shared" si="158"/>
        <v>33992.383219356852</v>
      </c>
    </row>
    <row r="349" spans="2:15">
      <c r="B349" s="658"/>
      <c r="C349" t="s">
        <v>1230</v>
      </c>
      <c r="F349" s="877">
        <v>1</v>
      </c>
      <c r="I349" s="489" t="s">
        <v>1458</v>
      </c>
      <c r="J349" s="1111">
        <f>J331</f>
        <v>0.35</v>
      </c>
      <c r="K349" s="721">
        <f t="shared" ref="K349:N349" si="159">K331</f>
        <v>0.35</v>
      </c>
      <c r="L349" s="721">
        <f t="shared" si="159"/>
        <v>0.35</v>
      </c>
      <c r="M349" s="721">
        <f t="shared" si="159"/>
        <v>0.35</v>
      </c>
      <c r="N349" s="721">
        <f t="shared" si="159"/>
        <v>0.35</v>
      </c>
    </row>
    <row r="350" spans="2:15">
      <c r="B350" s="658">
        <v>2</v>
      </c>
      <c r="C350" s="143" t="s">
        <v>723</v>
      </c>
      <c r="F350" s="773">
        <v>13</v>
      </c>
      <c r="I350" s="489" t="s">
        <v>466</v>
      </c>
      <c r="J350" s="904">
        <f>J333</f>
        <v>6748.7745253396497</v>
      </c>
      <c r="K350" s="442">
        <f t="shared" ref="K350:N350" si="160">K333</f>
        <v>8214.2681802901388</v>
      </c>
      <c r="L350" s="442">
        <f t="shared" si="160"/>
        <v>9144.3499036789963</v>
      </c>
      <c r="M350" s="442">
        <f t="shared" si="160"/>
        <v>10393.989020543078</v>
      </c>
      <c r="N350" s="442">
        <f t="shared" si="160"/>
        <v>11897.334126774898</v>
      </c>
    </row>
    <row r="351" spans="2:15">
      <c r="C351" t="s">
        <v>724</v>
      </c>
      <c r="I351" s="1491"/>
      <c r="J351" s="904"/>
      <c r="K351" s="442"/>
      <c r="L351" s="442"/>
      <c r="M351" s="442"/>
      <c r="N351" s="442"/>
    </row>
    <row r="352" spans="2:15">
      <c r="C352" s="881" t="s">
        <v>725</v>
      </c>
      <c r="I352" s="760" t="s">
        <v>1463</v>
      </c>
      <c r="J352" s="760">
        <v>2018</v>
      </c>
      <c r="K352" s="703">
        <v>2019</v>
      </c>
      <c r="L352" s="703">
        <v>2020</v>
      </c>
      <c r="M352" s="703">
        <v>2021</v>
      </c>
      <c r="N352" s="703">
        <v>2022</v>
      </c>
    </row>
    <row r="353" spans="9:14">
      <c r="I353" s="1491" t="s">
        <v>632</v>
      </c>
      <c r="J353" s="1535">
        <f>H7</f>
        <v>2610.0499949200407</v>
      </c>
      <c r="K353" s="572">
        <f>I7</f>
        <v>3205.6014055160836</v>
      </c>
      <c r="L353" s="572">
        <f>J7</f>
        <v>3644.0068615851724</v>
      </c>
      <c r="M353" s="572">
        <f>K7</f>
        <v>4127.3138784894873</v>
      </c>
      <c r="N353" s="572">
        <f>L7</f>
        <v>4723.025846135346</v>
      </c>
    </row>
    <row r="354" spans="9:14">
      <c r="I354" s="1491" t="s">
        <v>1464</v>
      </c>
      <c r="J354" s="1537">
        <v>0.02</v>
      </c>
      <c r="K354" s="693">
        <v>0.02</v>
      </c>
      <c r="L354" s="693">
        <v>2.1999999999999999E-2</v>
      </c>
      <c r="M354" s="693">
        <v>2.1999999999999999E-2</v>
      </c>
      <c r="N354" s="693">
        <v>2.4E-2</v>
      </c>
    </row>
    <row r="355" spans="9:14">
      <c r="I355" s="1491" t="s">
        <v>219</v>
      </c>
      <c r="J355" s="904">
        <f>J354*J353*4</f>
        <v>208.80399959360327</v>
      </c>
      <c r="K355" s="442">
        <f t="shared" ref="K355:N355" si="161">K354*K353*4</f>
        <v>256.4481124412867</v>
      </c>
      <c r="L355" s="442">
        <f t="shared" si="161"/>
        <v>320.67260381949512</v>
      </c>
      <c r="M355" s="442">
        <f t="shared" si="161"/>
        <v>363.20362130707485</v>
      </c>
      <c r="N355" s="442">
        <f t="shared" si="161"/>
        <v>453.41048122899321</v>
      </c>
    </row>
    <row r="356" spans="9:14">
      <c r="I356" s="1491" t="s">
        <v>466</v>
      </c>
      <c r="J356" s="904">
        <f>J355*$F$350</f>
        <v>2714.4519947168424</v>
      </c>
      <c r="K356" s="442">
        <f>K355*$F$350*1.1</f>
        <v>3667.2080079103998</v>
      </c>
      <c r="L356" s="442">
        <f t="shared" ref="L356:N356" si="162">L355*$F$350*1.1</f>
        <v>4585.6182346187807</v>
      </c>
      <c r="M356" s="442">
        <f t="shared" si="162"/>
        <v>5193.8117846911709</v>
      </c>
      <c r="N356" s="442">
        <f t="shared" si="162"/>
        <v>6483.7698815746035</v>
      </c>
    </row>
  </sheetData>
  <mergeCells count="12">
    <mergeCell ref="E98:G98"/>
    <mergeCell ref="D332:E332"/>
    <mergeCell ref="C340:D340"/>
    <mergeCell ref="D47:E47"/>
    <mergeCell ref="D53:E53"/>
    <mergeCell ref="D51:E51"/>
    <mergeCell ref="D52:E52"/>
    <mergeCell ref="D46:E46"/>
    <mergeCell ref="F46:H46"/>
    <mergeCell ref="D48:E48"/>
    <mergeCell ref="D49:E49"/>
    <mergeCell ref="D50:E5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BD145"/>
  <sheetViews>
    <sheetView topLeftCell="J1" zoomScale="80" zoomScaleNormal="80" workbookViewId="0">
      <pane ySplit="1" topLeftCell="A110" activePane="bottomLeft" state="frozen"/>
      <selection activeCell="D1" sqref="D1"/>
      <selection pane="bottomLeft" activeCell="P142" sqref="P142"/>
    </sheetView>
  </sheetViews>
  <sheetFormatPr defaultRowHeight="15"/>
  <cols>
    <col min="1" max="1" width="14.140625" hidden="1" customWidth="1"/>
    <col min="2" max="2" width="11.85546875" hidden="1" customWidth="1"/>
    <col min="3" max="3" width="2.140625" hidden="1" customWidth="1"/>
    <col min="4" max="4" width="9.42578125" customWidth="1"/>
    <col min="5" max="5" width="9.5703125" bestFit="1" customWidth="1"/>
    <col min="6" max="6" width="24" bestFit="1" customWidth="1"/>
    <col min="7" max="7" width="9.42578125" bestFit="1" customWidth="1"/>
    <col min="9" max="9" width="12.140625" bestFit="1" customWidth="1"/>
    <col min="10" max="10" width="9.7109375" bestFit="1" customWidth="1"/>
    <col min="11" max="11" width="12.140625" bestFit="1" customWidth="1"/>
    <col min="12" max="12" width="18.5703125" style="442" bestFit="1" customWidth="1"/>
    <col min="13" max="13" width="12" bestFit="1" customWidth="1"/>
    <col min="14" max="14" width="12" style="442" customWidth="1"/>
    <col min="15" max="15" width="14.7109375" customWidth="1"/>
    <col min="16" max="16" width="12" bestFit="1" customWidth="1"/>
    <col min="17" max="17" width="13.7109375" customWidth="1"/>
    <col min="18" max="34" width="12" bestFit="1" customWidth="1"/>
    <col min="35" max="35" width="11.8554687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1.140625" bestFit="1" customWidth="1"/>
    <col min="40" max="40" width="12" bestFit="1" customWidth="1"/>
    <col min="41" max="41" width="11.85546875" bestFit="1" customWidth="1"/>
    <col min="42" max="42" width="11.42578125" bestFit="1" customWidth="1"/>
    <col min="43" max="44" width="11.7109375" bestFit="1" customWidth="1"/>
    <col min="45" max="45" width="11.42578125" bestFit="1" customWidth="1"/>
    <col min="46" max="46" width="11.7109375" bestFit="1" customWidth="1"/>
    <col min="47" max="47" width="11.85546875" bestFit="1" customWidth="1"/>
    <col min="48" max="48" width="11.7109375" bestFit="1" customWidth="1"/>
    <col min="49" max="49" width="12" bestFit="1" customWidth="1"/>
  </cols>
  <sheetData>
    <row r="1" spans="1:56" s="884" customFormat="1" ht="30">
      <c r="A1" s="890" t="s">
        <v>765</v>
      </c>
      <c r="B1" s="890" t="s">
        <v>766</v>
      </c>
      <c r="C1" s="890" t="s">
        <v>767</v>
      </c>
      <c r="D1" s="905" t="s">
        <v>1026</v>
      </c>
      <c r="E1" s="890" t="s">
        <v>768</v>
      </c>
      <c r="F1" s="890" t="s">
        <v>769</v>
      </c>
      <c r="G1" s="890" t="s">
        <v>770</v>
      </c>
      <c r="H1" s="891" t="s">
        <v>771</v>
      </c>
      <c r="I1" s="890" t="s">
        <v>772</v>
      </c>
      <c r="J1" s="890" t="s">
        <v>773</v>
      </c>
      <c r="K1" s="898" t="s">
        <v>774</v>
      </c>
      <c r="L1" s="909" t="s">
        <v>289</v>
      </c>
      <c r="M1" s="910">
        <v>42643</v>
      </c>
      <c r="N1" s="909" t="s">
        <v>1025</v>
      </c>
      <c r="O1" s="910" t="s">
        <v>775</v>
      </c>
      <c r="P1" s="911">
        <v>42583</v>
      </c>
      <c r="Q1" s="911">
        <v>42614</v>
      </c>
      <c r="R1" s="911">
        <v>42644</v>
      </c>
      <c r="S1" s="911">
        <v>42675</v>
      </c>
      <c r="T1" s="911">
        <v>42705</v>
      </c>
      <c r="U1" s="911">
        <v>42736</v>
      </c>
      <c r="V1" s="911">
        <v>42767</v>
      </c>
      <c r="W1" s="911">
        <v>42795</v>
      </c>
      <c r="X1" s="911">
        <v>42826</v>
      </c>
      <c r="Y1" s="911">
        <v>42856</v>
      </c>
      <c r="Z1" s="911">
        <v>42887</v>
      </c>
      <c r="AA1" s="911">
        <v>42917</v>
      </c>
      <c r="AB1" s="911">
        <v>42948</v>
      </c>
      <c r="AC1" s="911">
        <v>42979</v>
      </c>
      <c r="AD1" s="911">
        <v>43009</v>
      </c>
      <c r="AE1" s="911">
        <v>43040</v>
      </c>
      <c r="AF1" s="911">
        <v>43070</v>
      </c>
      <c r="AG1" s="911">
        <v>43101</v>
      </c>
      <c r="AH1" s="911">
        <v>43132</v>
      </c>
      <c r="AI1" s="911">
        <v>43160</v>
      </c>
      <c r="AJ1" s="911">
        <v>43191</v>
      </c>
      <c r="AK1" s="911">
        <v>43221</v>
      </c>
      <c r="AL1" s="911">
        <v>43252</v>
      </c>
      <c r="AM1" s="911">
        <v>43282</v>
      </c>
      <c r="AN1" s="911">
        <v>43313</v>
      </c>
      <c r="AO1" s="911">
        <v>43344</v>
      </c>
      <c r="AP1" s="911">
        <v>43374</v>
      </c>
      <c r="AQ1" s="911">
        <v>43405</v>
      </c>
      <c r="AR1" s="911">
        <v>43435</v>
      </c>
      <c r="AS1" s="911">
        <v>43466</v>
      </c>
      <c r="AT1" s="911">
        <v>43497</v>
      </c>
      <c r="AU1" s="911">
        <v>43525</v>
      </c>
      <c r="AV1" s="911">
        <v>43556</v>
      </c>
      <c r="AW1" s="911">
        <v>43586</v>
      </c>
      <c r="AX1" s="911">
        <v>43617</v>
      </c>
      <c r="AY1" s="911">
        <v>43647</v>
      </c>
      <c r="AZ1" s="911">
        <v>43678</v>
      </c>
      <c r="BA1" s="911">
        <v>43709</v>
      </c>
      <c r="BB1" s="911">
        <v>43739</v>
      </c>
      <c r="BC1" s="911">
        <v>43770</v>
      </c>
      <c r="BD1" s="911">
        <v>43800</v>
      </c>
    </row>
    <row r="2" spans="1:56">
      <c r="A2" s="892" t="s">
        <v>776</v>
      </c>
      <c r="B2" s="892" t="s">
        <v>777</v>
      </c>
      <c r="C2" s="892" t="s">
        <v>778</v>
      </c>
      <c r="D2" s="892"/>
      <c r="E2" s="892" t="s">
        <v>779</v>
      </c>
      <c r="F2" s="892" t="s">
        <v>780</v>
      </c>
      <c r="G2" s="892" t="s">
        <v>630</v>
      </c>
      <c r="H2" s="892" t="s">
        <v>781</v>
      </c>
      <c r="I2" s="893">
        <v>41890</v>
      </c>
      <c r="J2" s="894"/>
      <c r="K2" s="893">
        <v>42613</v>
      </c>
      <c r="L2" s="442">
        <v>45000000</v>
      </c>
      <c r="M2">
        <v>24.1</v>
      </c>
      <c r="O2" t="s">
        <v>782</v>
      </c>
      <c r="P2">
        <f t="shared" ref="P2:P65" si="0">L2</f>
        <v>45000000</v>
      </c>
    </row>
    <row r="3" spans="1:56">
      <c r="A3" s="892" t="s">
        <v>783</v>
      </c>
      <c r="B3" s="892" t="s">
        <v>784</v>
      </c>
      <c r="C3" s="892" t="s">
        <v>785</v>
      </c>
      <c r="D3" s="892"/>
      <c r="E3" s="892" t="s">
        <v>786</v>
      </c>
      <c r="F3" s="892" t="s">
        <v>787</v>
      </c>
      <c r="G3" s="892" t="s">
        <v>506</v>
      </c>
      <c r="H3" s="892" t="s">
        <v>781</v>
      </c>
      <c r="I3" s="893">
        <v>42116</v>
      </c>
      <c r="J3" s="895"/>
      <c r="K3" s="893">
        <v>42613</v>
      </c>
      <c r="L3" s="442">
        <v>30000000</v>
      </c>
      <c r="M3">
        <v>16.566666666666666</v>
      </c>
      <c r="O3" t="s">
        <v>782</v>
      </c>
      <c r="P3">
        <f t="shared" si="0"/>
        <v>30000000</v>
      </c>
    </row>
    <row r="4" spans="1:56">
      <c r="A4" s="892" t="s">
        <v>783</v>
      </c>
      <c r="B4" s="892" t="s">
        <v>784</v>
      </c>
      <c r="C4" s="892" t="s">
        <v>785</v>
      </c>
      <c r="D4" s="892"/>
      <c r="E4" s="892" t="s">
        <v>788</v>
      </c>
      <c r="F4" s="892" t="s">
        <v>789</v>
      </c>
      <c r="G4" s="892" t="s">
        <v>506</v>
      </c>
      <c r="H4" s="892" t="s">
        <v>781</v>
      </c>
      <c r="I4" s="893">
        <v>42082</v>
      </c>
      <c r="J4" s="896"/>
      <c r="K4" s="893">
        <v>42643</v>
      </c>
      <c r="L4" s="442">
        <v>35000000</v>
      </c>
      <c r="M4">
        <v>18.7</v>
      </c>
      <c r="O4" t="s">
        <v>782</v>
      </c>
      <c r="P4">
        <f t="shared" si="0"/>
        <v>35000000</v>
      </c>
      <c r="Q4">
        <f>L4</f>
        <v>35000000</v>
      </c>
    </row>
    <row r="5" spans="1:56">
      <c r="A5" s="892" t="s">
        <v>776</v>
      </c>
      <c r="B5" s="892" t="s">
        <v>790</v>
      </c>
      <c r="C5" s="892" t="s">
        <v>791</v>
      </c>
      <c r="D5" s="892"/>
      <c r="E5" s="892" t="s">
        <v>792</v>
      </c>
      <c r="F5" s="892" t="s">
        <v>793</v>
      </c>
      <c r="G5" s="892" t="s">
        <v>630</v>
      </c>
      <c r="H5" s="892" t="s">
        <v>781</v>
      </c>
      <c r="I5" s="893">
        <v>42271</v>
      </c>
      <c r="J5" s="895"/>
      <c r="K5" s="893">
        <v>42643</v>
      </c>
      <c r="L5" s="442">
        <v>15000000</v>
      </c>
      <c r="M5">
        <v>12.4</v>
      </c>
      <c r="O5" t="s">
        <v>782</v>
      </c>
      <c r="P5">
        <f t="shared" si="0"/>
        <v>15000000</v>
      </c>
      <c r="Q5">
        <f t="shared" ref="Q5:Q68" si="1">L5</f>
        <v>15000000</v>
      </c>
    </row>
    <row r="6" spans="1:56">
      <c r="A6" s="892" t="s">
        <v>776</v>
      </c>
      <c r="B6" s="892" t="s">
        <v>794</v>
      </c>
      <c r="C6" s="892" t="s">
        <v>795</v>
      </c>
      <c r="D6" s="892"/>
      <c r="E6" s="892" t="s">
        <v>796</v>
      </c>
      <c r="F6" s="892" t="s">
        <v>797</v>
      </c>
      <c r="G6" s="892" t="s">
        <v>629</v>
      </c>
      <c r="H6" s="892" t="s">
        <v>781</v>
      </c>
      <c r="I6" s="893">
        <v>42474</v>
      </c>
      <c r="J6" s="895"/>
      <c r="K6" s="893">
        <v>42643</v>
      </c>
      <c r="L6" s="442">
        <v>30000000</v>
      </c>
      <c r="M6">
        <v>5.6333333333333337</v>
      </c>
      <c r="O6" t="s">
        <v>798</v>
      </c>
      <c r="P6">
        <f t="shared" si="0"/>
        <v>30000000</v>
      </c>
      <c r="Q6">
        <f t="shared" si="1"/>
        <v>30000000</v>
      </c>
    </row>
    <row r="7" spans="1:56">
      <c r="A7" s="892" t="s">
        <v>776</v>
      </c>
      <c r="B7" s="892" t="s">
        <v>799</v>
      </c>
      <c r="C7" s="892" t="s">
        <v>800</v>
      </c>
      <c r="D7" s="892"/>
      <c r="E7" s="892" t="s">
        <v>801</v>
      </c>
      <c r="F7" s="892" t="s">
        <v>802</v>
      </c>
      <c r="G7" s="892" t="s">
        <v>628</v>
      </c>
      <c r="H7" s="892" t="s">
        <v>781</v>
      </c>
      <c r="I7" s="893">
        <v>41936</v>
      </c>
      <c r="J7" s="895"/>
      <c r="K7" s="893">
        <v>42674</v>
      </c>
      <c r="L7" s="442">
        <v>35000000</v>
      </c>
      <c r="M7">
        <v>24.6</v>
      </c>
      <c r="O7" t="s">
        <v>782</v>
      </c>
      <c r="P7">
        <f t="shared" si="0"/>
        <v>35000000</v>
      </c>
      <c r="Q7">
        <f t="shared" si="1"/>
        <v>35000000</v>
      </c>
      <c r="R7">
        <f>L7</f>
        <v>35000000</v>
      </c>
    </row>
    <row r="8" spans="1:56">
      <c r="A8" s="892" t="s">
        <v>803</v>
      </c>
      <c r="B8" s="892" t="s">
        <v>804</v>
      </c>
      <c r="C8" s="892" t="s">
        <v>805</v>
      </c>
      <c r="D8" s="892"/>
      <c r="E8" s="892" t="s">
        <v>806</v>
      </c>
      <c r="F8" s="892" t="s">
        <v>807</v>
      </c>
      <c r="G8" s="892" t="s">
        <v>628</v>
      </c>
      <c r="H8" s="892" t="s">
        <v>781</v>
      </c>
      <c r="I8" s="893">
        <v>41961</v>
      </c>
      <c r="J8" s="894"/>
      <c r="K8" s="893">
        <v>42704</v>
      </c>
      <c r="L8" s="442">
        <v>25000000</v>
      </c>
      <c r="M8">
        <v>24.766666666666666</v>
      </c>
      <c r="O8" t="s">
        <v>782</v>
      </c>
      <c r="P8">
        <f t="shared" si="0"/>
        <v>25000000</v>
      </c>
      <c r="Q8">
        <f t="shared" si="1"/>
        <v>25000000</v>
      </c>
      <c r="R8">
        <f t="shared" ref="R8:R71" si="2">L8</f>
        <v>25000000</v>
      </c>
      <c r="S8">
        <f>L8</f>
        <v>25000000</v>
      </c>
    </row>
    <row r="9" spans="1:56">
      <c r="A9" s="892" t="s">
        <v>783</v>
      </c>
      <c r="B9" s="892" t="s">
        <v>808</v>
      </c>
      <c r="C9" s="892" t="s">
        <v>809</v>
      </c>
      <c r="D9" s="892"/>
      <c r="E9" s="892" t="s">
        <v>810</v>
      </c>
      <c r="F9" s="892" t="s">
        <v>811</v>
      </c>
      <c r="G9" s="892" t="s">
        <v>630</v>
      </c>
      <c r="H9" s="892" t="s">
        <v>781</v>
      </c>
      <c r="I9" s="893">
        <v>41982</v>
      </c>
      <c r="J9" s="896"/>
      <c r="K9" s="893">
        <v>42704</v>
      </c>
      <c r="L9" s="442">
        <v>20000000</v>
      </c>
      <c r="M9">
        <v>24.066666666666666</v>
      </c>
      <c r="O9" t="s">
        <v>782</v>
      </c>
      <c r="P9">
        <f t="shared" si="0"/>
        <v>20000000</v>
      </c>
      <c r="Q9">
        <f t="shared" si="1"/>
        <v>20000000</v>
      </c>
      <c r="R9">
        <f t="shared" si="2"/>
        <v>20000000</v>
      </c>
      <c r="S9">
        <f t="shared" ref="S9:S72" si="3">L9</f>
        <v>20000000</v>
      </c>
    </row>
    <row r="10" spans="1:56">
      <c r="A10" s="892" t="s">
        <v>783</v>
      </c>
      <c r="B10" s="892" t="s">
        <v>808</v>
      </c>
      <c r="C10" s="892" t="s">
        <v>809</v>
      </c>
      <c r="D10" s="892"/>
      <c r="E10" s="892" t="s">
        <v>812</v>
      </c>
      <c r="F10" s="892" t="s">
        <v>813</v>
      </c>
      <c r="G10" s="892" t="s">
        <v>629</v>
      </c>
      <c r="H10" s="892" t="s">
        <v>781</v>
      </c>
      <c r="I10" s="893">
        <v>41982</v>
      </c>
      <c r="J10" s="896"/>
      <c r="K10" s="893">
        <v>42704</v>
      </c>
      <c r="L10" s="442">
        <v>18000000</v>
      </c>
      <c r="M10">
        <v>24.066666666666666</v>
      </c>
      <c r="O10" t="s">
        <v>782</v>
      </c>
      <c r="P10">
        <f t="shared" si="0"/>
        <v>18000000</v>
      </c>
      <c r="Q10">
        <f t="shared" si="1"/>
        <v>18000000</v>
      </c>
      <c r="R10">
        <f t="shared" si="2"/>
        <v>18000000</v>
      </c>
      <c r="S10">
        <f t="shared" si="3"/>
        <v>18000000</v>
      </c>
    </row>
    <row r="11" spans="1:56">
      <c r="A11" s="892" t="s">
        <v>783</v>
      </c>
      <c r="B11" s="892" t="s">
        <v>808</v>
      </c>
      <c r="C11" s="892" t="s">
        <v>809</v>
      </c>
      <c r="D11" s="892"/>
      <c r="E11" s="892" t="s">
        <v>814</v>
      </c>
      <c r="F11" s="892" t="s">
        <v>815</v>
      </c>
      <c r="G11" s="892" t="s">
        <v>506</v>
      </c>
      <c r="H11" s="892" t="s">
        <v>781</v>
      </c>
      <c r="I11" s="893">
        <v>41982</v>
      </c>
      <c r="J11" s="894"/>
      <c r="K11" s="893">
        <v>42704</v>
      </c>
      <c r="L11" s="442">
        <v>15000000</v>
      </c>
      <c r="M11">
        <v>24.066666666666666</v>
      </c>
      <c r="O11" t="s">
        <v>782</v>
      </c>
      <c r="P11">
        <f t="shared" si="0"/>
        <v>15000000</v>
      </c>
      <c r="Q11">
        <f t="shared" si="1"/>
        <v>15000000</v>
      </c>
      <c r="R11">
        <f t="shared" si="2"/>
        <v>15000000</v>
      </c>
      <c r="S11">
        <f t="shared" si="3"/>
        <v>15000000</v>
      </c>
    </row>
    <row r="12" spans="1:56">
      <c r="A12" s="892" t="s">
        <v>816</v>
      </c>
      <c r="B12" s="892" t="s">
        <v>817</v>
      </c>
      <c r="C12" s="892" t="s">
        <v>818</v>
      </c>
      <c r="D12" s="892"/>
      <c r="E12" s="892" t="s">
        <v>819</v>
      </c>
      <c r="F12" s="892" t="s">
        <v>820</v>
      </c>
      <c r="G12" s="892" t="s">
        <v>628</v>
      </c>
      <c r="H12" s="892" t="s">
        <v>781</v>
      </c>
      <c r="I12" s="893">
        <v>42110</v>
      </c>
      <c r="J12" s="896"/>
      <c r="K12" s="893">
        <v>42704</v>
      </c>
      <c r="L12" s="442">
        <v>35000000</v>
      </c>
      <c r="M12">
        <v>19.8</v>
      </c>
      <c r="O12" t="s">
        <v>782</v>
      </c>
      <c r="P12">
        <f t="shared" si="0"/>
        <v>35000000</v>
      </c>
      <c r="Q12">
        <f t="shared" si="1"/>
        <v>35000000</v>
      </c>
      <c r="R12">
        <f t="shared" si="2"/>
        <v>35000000</v>
      </c>
      <c r="S12">
        <f t="shared" si="3"/>
        <v>35000000</v>
      </c>
    </row>
    <row r="13" spans="1:56">
      <c r="A13" s="892" t="s">
        <v>783</v>
      </c>
      <c r="B13" s="892" t="s">
        <v>784</v>
      </c>
      <c r="C13" s="892" t="s">
        <v>821</v>
      </c>
      <c r="D13" s="892"/>
      <c r="E13" s="892" t="s">
        <v>822</v>
      </c>
      <c r="F13" s="892" t="s">
        <v>823</v>
      </c>
      <c r="G13" s="892" t="s">
        <v>628</v>
      </c>
      <c r="H13" s="892" t="s">
        <v>781</v>
      </c>
      <c r="I13" s="893">
        <v>41990</v>
      </c>
      <c r="J13" s="895"/>
      <c r="K13" s="893">
        <v>42735</v>
      </c>
      <c r="L13" s="442">
        <v>20000000</v>
      </c>
      <c r="M13">
        <v>24.833333333333332</v>
      </c>
      <c r="O13" t="s">
        <v>782</v>
      </c>
      <c r="P13">
        <f t="shared" si="0"/>
        <v>20000000</v>
      </c>
      <c r="Q13">
        <f t="shared" si="1"/>
        <v>20000000</v>
      </c>
      <c r="R13">
        <f t="shared" si="2"/>
        <v>20000000</v>
      </c>
      <c r="S13">
        <f t="shared" si="3"/>
        <v>20000000</v>
      </c>
      <c r="T13">
        <f>L13</f>
        <v>20000000</v>
      </c>
    </row>
    <row r="14" spans="1:56">
      <c r="A14" s="892" t="s">
        <v>776</v>
      </c>
      <c r="B14" s="892" t="s">
        <v>799</v>
      </c>
      <c r="C14" s="892" t="s">
        <v>824</v>
      </c>
      <c r="D14" s="892"/>
      <c r="E14" s="892" t="s">
        <v>825</v>
      </c>
      <c r="F14" s="892" t="s">
        <v>826</v>
      </c>
      <c r="G14" s="892" t="s">
        <v>630</v>
      </c>
      <c r="H14" s="892" t="s">
        <v>781</v>
      </c>
      <c r="I14" s="893">
        <v>41992</v>
      </c>
      <c r="J14" s="894"/>
      <c r="K14" s="893">
        <v>42735</v>
      </c>
      <c r="L14" s="442">
        <v>50000000</v>
      </c>
      <c r="M14">
        <v>24.766666666666666</v>
      </c>
      <c r="O14" t="s">
        <v>782</v>
      </c>
      <c r="P14">
        <f t="shared" si="0"/>
        <v>50000000</v>
      </c>
      <c r="Q14">
        <f t="shared" si="1"/>
        <v>50000000</v>
      </c>
      <c r="R14">
        <f t="shared" si="2"/>
        <v>50000000</v>
      </c>
      <c r="S14">
        <f t="shared" si="3"/>
        <v>50000000</v>
      </c>
      <c r="T14">
        <f t="shared" ref="T14:T77" si="4">L14</f>
        <v>50000000</v>
      </c>
    </row>
    <row r="15" spans="1:56">
      <c r="A15" s="892" t="s">
        <v>827</v>
      </c>
      <c r="B15" s="892" t="s">
        <v>828</v>
      </c>
      <c r="C15" s="892" t="s">
        <v>829</v>
      </c>
      <c r="D15" s="892"/>
      <c r="E15" s="892" t="s">
        <v>830</v>
      </c>
      <c r="F15" s="892" t="s">
        <v>831</v>
      </c>
      <c r="G15" s="892" t="s">
        <v>506</v>
      </c>
      <c r="H15" s="892" t="s">
        <v>781</v>
      </c>
      <c r="I15" s="893">
        <v>42018</v>
      </c>
      <c r="J15" s="894"/>
      <c r="K15" s="893">
        <v>42735</v>
      </c>
      <c r="L15" s="442">
        <v>40000000</v>
      </c>
      <c r="M15">
        <v>23.9</v>
      </c>
      <c r="O15" t="s">
        <v>782</v>
      </c>
      <c r="P15">
        <f t="shared" si="0"/>
        <v>40000000</v>
      </c>
      <c r="Q15">
        <f t="shared" si="1"/>
        <v>40000000</v>
      </c>
      <c r="R15">
        <f t="shared" si="2"/>
        <v>40000000</v>
      </c>
      <c r="S15">
        <f t="shared" si="3"/>
        <v>40000000</v>
      </c>
      <c r="T15">
        <f t="shared" si="4"/>
        <v>40000000</v>
      </c>
    </row>
    <row r="16" spans="1:56">
      <c r="A16" s="892" t="s">
        <v>816</v>
      </c>
      <c r="B16" s="892" t="s">
        <v>817</v>
      </c>
      <c r="C16" s="892" t="s">
        <v>818</v>
      </c>
      <c r="D16" s="892"/>
      <c r="E16" s="892" t="s">
        <v>832</v>
      </c>
      <c r="F16" s="892" t="s">
        <v>833</v>
      </c>
      <c r="G16" s="892" t="s">
        <v>506</v>
      </c>
      <c r="H16" s="892" t="s">
        <v>781</v>
      </c>
      <c r="I16" s="893">
        <v>42027</v>
      </c>
      <c r="J16" s="894"/>
      <c r="K16" s="893">
        <v>42766</v>
      </c>
      <c r="L16" s="442">
        <v>15000000</v>
      </c>
      <c r="M16">
        <v>24.633333333333333</v>
      </c>
      <c r="O16" t="s">
        <v>782</v>
      </c>
      <c r="P16">
        <f t="shared" si="0"/>
        <v>15000000</v>
      </c>
      <c r="Q16">
        <f t="shared" si="1"/>
        <v>15000000</v>
      </c>
      <c r="R16">
        <f t="shared" si="2"/>
        <v>15000000</v>
      </c>
      <c r="S16">
        <f t="shared" si="3"/>
        <v>15000000</v>
      </c>
      <c r="T16">
        <f t="shared" si="4"/>
        <v>15000000</v>
      </c>
      <c r="U16">
        <f>L16</f>
        <v>15000000</v>
      </c>
    </row>
    <row r="17" spans="1:23">
      <c r="A17" s="892" t="s">
        <v>816</v>
      </c>
      <c r="B17" s="892" t="s">
        <v>817</v>
      </c>
      <c r="C17" s="892" t="s">
        <v>818</v>
      </c>
      <c r="D17" s="892"/>
      <c r="E17" s="892" t="s">
        <v>834</v>
      </c>
      <c r="F17" s="892" t="s">
        <v>835</v>
      </c>
      <c r="G17" s="892" t="s">
        <v>628</v>
      </c>
      <c r="H17" s="892" t="s">
        <v>781</v>
      </c>
      <c r="I17" s="893">
        <v>42027</v>
      </c>
      <c r="J17" s="894"/>
      <c r="K17" s="893">
        <v>42766</v>
      </c>
      <c r="L17" s="442">
        <v>20000000</v>
      </c>
      <c r="M17">
        <v>24.633333333333333</v>
      </c>
      <c r="O17" t="s">
        <v>782</v>
      </c>
      <c r="P17">
        <f t="shared" si="0"/>
        <v>20000000</v>
      </c>
      <c r="Q17">
        <f t="shared" si="1"/>
        <v>20000000</v>
      </c>
      <c r="R17">
        <f t="shared" si="2"/>
        <v>20000000</v>
      </c>
      <c r="S17">
        <f t="shared" si="3"/>
        <v>20000000</v>
      </c>
      <c r="T17">
        <f t="shared" si="4"/>
        <v>20000000</v>
      </c>
      <c r="U17">
        <f t="shared" ref="U17:U80" si="5">L17</f>
        <v>20000000</v>
      </c>
    </row>
    <row r="18" spans="1:23">
      <c r="A18" s="892" t="s">
        <v>776</v>
      </c>
      <c r="B18" s="892" t="s">
        <v>799</v>
      </c>
      <c r="C18" s="892" t="s">
        <v>800</v>
      </c>
      <c r="D18" s="892"/>
      <c r="E18" s="892" t="s">
        <v>836</v>
      </c>
      <c r="F18" s="892" t="s">
        <v>837</v>
      </c>
      <c r="G18" s="892" t="s">
        <v>628</v>
      </c>
      <c r="H18" s="892" t="s">
        <v>781</v>
      </c>
      <c r="I18" s="893">
        <v>42033</v>
      </c>
      <c r="J18" s="895"/>
      <c r="K18" s="893">
        <v>42766</v>
      </c>
      <c r="L18" s="442">
        <v>40000000</v>
      </c>
      <c r="M18">
        <v>24.433333333333334</v>
      </c>
      <c r="O18" t="s">
        <v>782</v>
      </c>
      <c r="P18">
        <f t="shared" si="0"/>
        <v>40000000</v>
      </c>
      <c r="Q18">
        <f t="shared" si="1"/>
        <v>40000000</v>
      </c>
      <c r="R18">
        <f t="shared" si="2"/>
        <v>40000000</v>
      </c>
      <c r="S18">
        <f t="shared" si="3"/>
        <v>40000000</v>
      </c>
      <c r="T18">
        <f t="shared" si="4"/>
        <v>40000000</v>
      </c>
      <c r="U18">
        <f t="shared" si="5"/>
        <v>40000000</v>
      </c>
    </row>
    <row r="19" spans="1:23">
      <c r="A19" s="892" t="s">
        <v>776</v>
      </c>
      <c r="B19" s="892" t="s">
        <v>799</v>
      </c>
      <c r="C19" s="892" t="s">
        <v>800</v>
      </c>
      <c r="D19" s="892"/>
      <c r="E19" s="892" t="s">
        <v>838</v>
      </c>
      <c r="F19" s="892" t="s">
        <v>839</v>
      </c>
      <c r="G19" s="892" t="s">
        <v>840</v>
      </c>
      <c r="H19" s="892" t="s">
        <v>781</v>
      </c>
      <c r="I19" s="893">
        <v>42033</v>
      </c>
      <c r="J19" s="895"/>
      <c r="K19" s="893">
        <v>42766</v>
      </c>
      <c r="L19" s="442">
        <v>40000000</v>
      </c>
      <c r="M19">
        <v>24.433333333333334</v>
      </c>
      <c r="O19" t="s">
        <v>782</v>
      </c>
      <c r="P19">
        <f t="shared" si="0"/>
        <v>40000000</v>
      </c>
      <c r="Q19">
        <f t="shared" si="1"/>
        <v>40000000</v>
      </c>
      <c r="R19">
        <f t="shared" si="2"/>
        <v>40000000</v>
      </c>
      <c r="S19">
        <f t="shared" si="3"/>
        <v>40000000</v>
      </c>
      <c r="T19">
        <f t="shared" si="4"/>
        <v>40000000</v>
      </c>
      <c r="U19">
        <f t="shared" si="5"/>
        <v>40000000</v>
      </c>
    </row>
    <row r="20" spans="1:23">
      <c r="A20" s="892" t="s">
        <v>783</v>
      </c>
      <c r="B20" s="892" t="s">
        <v>808</v>
      </c>
      <c r="C20" s="892" t="s">
        <v>841</v>
      </c>
      <c r="D20" s="892"/>
      <c r="E20" s="892" t="s">
        <v>842</v>
      </c>
      <c r="F20" s="892" t="s">
        <v>843</v>
      </c>
      <c r="G20" s="892" t="s">
        <v>629</v>
      </c>
      <c r="H20" s="892" t="s">
        <v>781</v>
      </c>
      <c r="I20" s="893">
        <v>42059</v>
      </c>
      <c r="J20" s="896"/>
      <c r="K20" s="893">
        <v>42794</v>
      </c>
      <c r="L20" s="442">
        <v>40000000</v>
      </c>
      <c r="M20">
        <v>24.5</v>
      </c>
      <c r="O20" t="s">
        <v>782</v>
      </c>
      <c r="P20">
        <f t="shared" si="0"/>
        <v>40000000</v>
      </c>
      <c r="Q20">
        <f t="shared" si="1"/>
        <v>40000000</v>
      </c>
      <c r="R20">
        <f t="shared" si="2"/>
        <v>40000000</v>
      </c>
      <c r="S20">
        <f t="shared" si="3"/>
        <v>40000000</v>
      </c>
      <c r="T20">
        <f t="shared" si="4"/>
        <v>40000000</v>
      </c>
      <c r="U20">
        <f t="shared" si="5"/>
        <v>40000000</v>
      </c>
      <c r="V20">
        <f>L20</f>
        <v>40000000</v>
      </c>
    </row>
    <row r="21" spans="1:23">
      <c r="A21" s="892" t="s">
        <v>783</v>
      </c>
      <c r="B21" s="892" t="s">
        <v>808</v>
      </c>
      <c r="C21" s="892" t="s">
        <v>841</v>
      </c>
      <c r="D21" s="892"/>
      <c r="E21" s="892" t="s">
        <v>844</v>
      </c>
      <c r="F21" s="892" t="s">
        <v>845</v>
      </c>
      <c r="G21" s="892" t="s">
        <v>628</v>
      </c>
      <c r="H21" s="892" t="s">
        <v>781</v>
      </c>
      <c r="I21" s="893">
        <v>42059</v>
      </c>
      <c r="J21" s="895"/>
      <c r="K21" s="893">
        <v>42794</v>
      </c>
      <c r="L21" s="442">
        <v>20000000</v>
      </c>
      <c r="M21">
        <v>24.5</v>
      </c>
      <c r="O21" t="s">
        <v>782</v>
      </c>
      <c r="P21">
        <f t="shared" si="0"/>
        <v>20000000</v>
      </c>
      <c r="Q21">
        <f t="shared" si="1"/>
        <v>20000000</v>
      </c>
      <c r="R21">
        <f t="shared" si="2"/>
        <v>20000000</v>
      </c>
      <c r="S21">
        <f t="shared" si="3"/>
        <v>20000000</v>
      </c>
      <c r="T21">
        <f t="shared" si="4"/>
        <v>20000000</v>
      </c>
      <c r="U21">
        <f t="shared" si="5"/>
        <v>20000000</v>
      </c>
      <c r="V21">
        <f t="shared" ref="V21:V84" si="6">L21</f>
        <v>20000000</v>
      </c>
    </row>
    <row r="22" spans="1:23">
      <c r="A22" s="892" t="s">
        <v>783</v>
      </c>
      <c r="B22" s="892" t="s">
        <v>808</v>
      </c>
      <c r="C22" s="892" t="s">
        <v>841</v>
      </c>
      <c r="D22" s="892"/>
      <c r="E22" s="892" t="s">
        <v>846</v>
      </c>
      <c r="F22" s="892" t="s">
        <v>847</v>
      </c>
      <c r="G22" s="892" t="s">
        <v>840</v>
      </c>
      <c r="H22" s="892" t="s">
        <v>781</v>
      </c>
      <c r="I22" s="893">
        <v>42059</v>
      </c>
      <c r="J22" s="895"/>
      <c r="K22" s="893">
        <v>42794</v>
      </c>
      <c r="L22" s="442">
        <v>12000000</v>
      </c>
      <c r="M22">
        <v>24.5</v>
      </c>
      <c r="O22" t="s">
        <v>782</v>
      </c>
      <c r="P22">
        <f t="shared" si="0"/>
        <v>12000000</v>
      </c>
      <c r="Q22">
        <f t="shared" si="1"/>
        <v>12000000</v>
      </c>
      <c r="R22">
        <f t="shared" si="2"/>
        <v>12000000</v>
      </c>
      <c r="S22">
        <f t="shared" si="3"/>
        <v>12000000</v>
      </c>
      <c r="T22">
        <f t="shared" si="4"/>
        <v>12000000</v>
      </c>
      <c r="U22">
        <f t="shared" si="5"/>
        <v>12000000</v>
      </c>
      <c r="V22">
        <f t="shared" si="6"/>
        <v>12000000</v>
      </c>
    </row>
    <row r="23" spans="1:23">
      <c r="A23" s="892" t="s">
        <v>783</v>
      </c>
      <c r="B23" s="892" t="s">
        <v>808</v>
      </c>
      <c r="C23" s="892" t="s">
        <v>841</v>
      </c>
      <c r="D23" s="892"/>
      <c r="E23" s="892" t="s">
        <v>848</v>
      </c>
      <c r="F23" s="892" t="s">
        <v>849</v>
      </c>
      <c r="G23" s="892" t="s">
        <v>840</v>
      </c>
      <c r="H23" s="892" t="s">
        <v>781</v>
      </c>
      <c r="I23" s="893">
        <v>42059</v>
      </c>
      <c r="J23" s="895"/>
      <c r="K23" s="893">
        <v>42794</v>
      </c>
      <c r="L23" s="442">
        <v>25000000</v>
      </c>
      <c r="M23">
        <v>24.5</v>
      </c>
      <c r="O23" t="s">
        <v>782</v>
      </c>
      <c r="P23">
        <f t="shared" si="0"/>
        <v>25000000</v>
      </c>
      <c r="Q23">
        <f t="shared" si="1"/>
        <v>25000000</v>
      </c>
      <c r="R23">
        <f t="shared" si="2"/>
        <v>25000000</v>
      </c>
      <c r="S23">
        <f t="shared" si="3"/>
        <v>25000000</v>
      </c>
      <c r="T23">
        <f t="shared" si="4"/>
        <v>25000000</v>
      </c>
      <c r="U23">
        <f t="shared" si="5"/>
        <v>25000000</v>
      </c>
      <c r="V23">
        <f t="shared" si="6"/>
        <v>25000000</v>
      </c>
    </row>
    <row r="24" spans="1:23">
      <c r="A24" s="892" t="s">
        <v>783</v>
      </c>
      <c r="B24" s="892" t="s">
        <v>808</v>
      </c>
      <c r="C24" s="892" t="s">
        <v>841</v>
      </c>
      <c r="D24" s="892"/>
      <c r="E24" s="892" t="s">
        <v>850</v>
      </c>
      <c r="F24" s="892" t="s">
        <v>851</v>
      </c>
      <c r="G24" s="892" t="s">
        <v>628</v>
      </c>
      <c r="H24" s="892" t="s">
        <v>781</v>
      </c>
      <c r="I24" s="893">
        <v>42059</v>
      </c>
      <c r="J24" s="894"/>
      <c r="K24" s="893">
        <v>42794</v>
      </c>
      <c r="L24" s="442">
        <v>10000000</v>
      </c>
      <c r="M24">
        <v>24.5</v>
      </c>
      <c r="O24" t="s">
        <v>782</v>
      </c>
      <c r="P24">
        <f t="shared" si="0"/>
        <v>10000000</v>
      </c>
      <c r="Q24">
        <f t="shared" si="1"/>
        <v>10000000</v>
      </c>
      <c r="R24">
        <f t="shared" si="2"/>
        <v>10000000</v>
      </c>
      <c r="S24">
        <f t="shared" si="3"/>
        <v>10000000</v>
      </c>
      <c r="T24">
        <f t="shared" si="4"/>
        <v>10000000</v>
      </c>
      <c r="U24">
        <f t="shared" si="5"/>
        <v>10000000</v>
      </c>
      <c r="V24">
        <f t="shared" si="6"/>
        <v>10000000</v>
      </c>
    </row>
    <row r="25" spans="1:23">
      <c r="A25" s="892" t="s">
        <v>803</v>
      </c>
      <c r="B25" s="892" t="s">
        <v>804</v>
      </c>
      <c r="C25" s="892" t="s">
        <v>852</v>
      </c>
      <c r="D25" s="892"/>
      <c r="E25" s="892" t="s">
        <v>853</v>
      </c>
      <c r="F25" s="892" t="s">
        <v>854</v>
      </c>
      <c r="G25" s="892" t="s">
        <v>840</v>
      </c>
      <c r="H25" s="892" t="s">
        <v>781</v>
      </c>
      <c r="I25" s="893">
        <v>42075</v>
      </c>
      <c r="J25" s="894"/>
      <c r="K25" s="893">
        <v>42794</v>
      </c>
      <c r="L25" s="442">
        <v>25000000</v>
      </c>
      <c r="M25">
        <v>23.966666666666665</v>
      </c>
      <c r="O25" t="s">
        <v>782</v>
      </c>
      <c r="P25">
        <f t="shared" si="0"/>
        <v>25000000</v>
      </c>
      <c r="Q25">
        <f t="shared" si="1"/>
        <v>25000000</v>
      </c>
      <c r="R25">
        <f t="shared" si="2"/>
        <v>25000000</v>
      </c>
      <c r="S25">
        <f t="shared" si="3"/>
        <v>25000000</v>
      </c>
      <c r="T25">
        <f t="shared" si="4"/>
        <v>25000000</v>
      </c>
      <c r="U25">
        <f t="shared" si="5"/>
        <v>25000000</v>
      </c>
      <c r="V25">
        <f t="shared" si="6"/>
        <v>25000000</v>
      </c>
    </row>
    <row r="26" spans="1:23">
      <c r="A26" s="892" t="s">
        <v>776</v>
      </c>
      <c r="B26" s="892" t="s">
        <v>794</v>
      </c>
      <c r="C26" s="892" t="s">
        <v>795</v>
      </c>
      <c r="D26" s="892"/>
      <c r="E26" s="892" t="s">
        <v>855</v>
      </c>
      <c r="F26" s="892" t="s">
        <v>856</v>
      </c>
      <c r="G26" s="892" t="s">
        <v>840</v>
      </c>
      <c r="H26" s="892" t="s">
        <v>781</v>
      </c>
      <c r="I26" s="893">
        <v>42076</v>
      </c>
      <c r="J26" s="895"/>
      <c r="K26" s="893">
        <v>42794</v>
      </c>
      <c r="L26" s="442">
        <v>50000000</v>
      </c>
      <c r="M26">
        <v>23.933333333333334</v>
      </c>
      <c r="O26" t="s">
        <v>782</v>
      </c>
      <c r="P26">
        <f t="shared" si="0"/>
        <v>50000000</v>
      </c>
      <c r="Q26">
        <f t="shared" si="1"/>
        <v>50000000</v>
      </c>
      <c r="R26">
        <f t="shared" si="2"/>
        <v>50000000</v>
      </c>
      <c r="S26">
        <f t="shared" si="3"/>
        <v>50000000</v>
      </c>
      <c r="T26">
        <f t="shared" si="4"/>
        <v>50000000</v>
      </c>
      <c r="U26">
        <f t="shared" si="5"/>
        <v>50000000</v>
      </c>
      <c r="V26">
        <f t="shared" si="6"/>
        <v>50000000</v>
      </c>
    </row>
    <row r="27" spans="1:23">
      <c r="A27" s="892" t="s">
        <v>783</v>
      </c>
      <c r="B27" s="892" t="s">
        <v>784</v>
      </c>
      <c r="C27" s="892" t="s">
        <v>857</v>
      </c>
      <c r="D27" s="892"/>
      <c r="E27" s="892" t="s">
        <v>858</v>
      </c>
      <c r="F27" s="892" t="s">
        <v>859</v>
      </c>
      <c r="G27" s="892" t="s">
        <v>840</v>
      </c>
      <c r="H27" s="892" t="s">
        <v>781</v>
      </c>
      <c r="I27" s="893">
        <v>42335</v>
      </c>
      <c r="J27" s="896"/>
      <c r="K27" s="893">
        <v>42794</v>
      </c>
      <c r="L27" s="442">
        <v>20000000</v>
      </c>
      <c r="M27">
        <v>15.3</v>
      </c>
      <c r="O27" t="s">
        <v>782</v>
      </c>
      <c r="P27">
        <f t="shared" si="0"/>
        <v>20000000</v>
      </c>
      <c r="Q27">
        <f t="shared" si="1"/>
        <v>20000000</v>
      </c>
      <c r="R27">
        <f t="shared" si="2"/>
        <v>20000000</v>
      </c>
      <c r="S27">
        <f t="shared" si="3"/>
        <v>20000000</v>
      </c>
      <c r="T27">
        <f t="shared" si="4"/>
        <v>20000000</v>
      </c>
      <c r="U27">
        <f t="shared" si="5"/>
        <v>20000000</v>
      </c>
      <c r="V27">
        <f t="shared" si="6"/>
        <v>20000000</v>
      </c>
    </row>
    <row r="28" spans="1:23">
      <c r="A28" s="892" t="s">
        <v>816</v>
      </c>
      <c r="B28" s="892" t="s">
        <v>817</v>
      </c>
      <c r="C28" s="892" t="s">
        <v>818</v>
      </c>
      <c r="D28" s="892"/>
      <c r="E28" s="892" t="s">
        <v>860</v>
      </c>
      <c r="F28" s="892" t="s">
        <v>861</v>
      </c>
      <c r="G28" s="892" t="s">
        <v>628</v>
      </c>
      <c r="H28" s="892" t="s">
        <v>781</v>
      </c>
      <c r="I28" s="893">
        <v>42082</v>
      </c>
      <c r="J28" s="895"/>
      <c r="K28" s="893">
        <v>42825</v>
      </c>
      <c r="L28" s="442">
        <v>40000000</v>
      </c>
      <c r="M28">
        <v>24.766666666666666</v>
      </c>
      <c r="O28" t="s">
        <v>782</v>
      </c>
      <c r="P28">
        <f t="shared" si="0"/>
        <v>40000000</v>
      </c>
      <c r="Q28">
        <f t="shared" si="1"/>
        <v>40000000</v>
      </c>
      <c r="R28">
        <f t="shared" si="2"/>
        <v>40000000</v>
      </c>
      <c r="S28">
        <f t="shared" si="3"/>
        <v>40000000</v>
      </c>
      <c r="T28">
        <f t="shared" si="4"/>
        <v>40000000</v>
      </c>
      <c r="U28">
        <f t="shared" si="5"/>
        <v>40000000</v>
      </c>
      <c r="V28">
        <f t="shared" si="6"/>
        <v>40000000</v>
      </c>
      <c r="W28">
        <f>L28</f>
        <v>40000000</v>
      </c>
    </row>
    <row r="29" spans="1:23">
      <c r="A29" s="892" t="s">
        <v>816</v>
      </c>
      <c r="B29" s="892" t="s">
        <v>817</v>
      </c>
      <c r="C29" s="892" t="s">
        <v>818</v>
      </c>
      <c r="D29" s="892"/>
      <c r="E29" s="892" t="s">
        <v>862</v>
      </c>
      <c r="F29" s="892" t="s">
        <v>863</v>
      </c>
      <c r="G29" s="892" t="s">
        <v>629</v>
      </c>
      <c r="H29" s="892" t="s">
        <v>781</v>
      </c>
      <c r="I29" s="893">
        <v>42083</v>
      </c>
      <c r="J29" s="896"/>
      <c r="K29" s="893">
        <v>42825</v>
      </c>
      <c r="L29" s="442">
        <v>20000000</v>
      </c>
      <c r="M29">
        <v>24.733333333333334</v>
      </c>
      <c r="O29" t="s">
        <v>782</v>
      </c>
      <c r="P29">
        <f t="shared" si="0"/>
        <v>20000000</v>
      </c>
      <c r="Q29">
        <f t="shared" si="1"/>
        <v>20000000</v>
      </c>
      <c r="R29">
        <f t="shared" si="2"/>
        <v>20000000</v>
      </c>
      <c r="S29">
        <f t="shared" si="3"/>
        <v>20000000</v>
      </c>
      <c r="T29">
        <f t="shared" si="4"/>
        <v>20000000</v>
      </c>
      <c r="U29">
        <f t="shared" si="5"/>
        <v>20000000</v>
      </c>
      <c r="V29">
        <f t="shared" si="6"/>
        <v>20000000</v>
      </c>
      <c r="W29">
        <f t="shared" ref="W29:W92" si="7">L29</f>
        <v>20000000</v>
      </c>
    </row>
    <row r="30" spans="1:23">
      <c r="A30" s="892" t="s">
        <v>783</v>
      </c>
      <c r="B30" s="892" t="s">
        <v>864</v>
      </c>
      <c r="C30" s="892" t="s">
        <v>865</v>
      </c>
      <c r="D30" s="892"/>
      <c r="E30" s="892" t="s">
        <v>866</v>
      </c>
      <c r="F30" s="892" t="s">
        <v>867</v>
      </c>
      <c r="G30" s="892" t="s">
        <v>506</v>
      </c>
      <c r="H30" s="892" t="s">
        <v>781</v>
      </c>
      <c r="I30" s="893">
        <v>42088</v>
      </c>
      <c r="J30" s="895"/>
      <c r="K30" s="893">
        <v>42825</v>
      </c>
      <c r="L30" s="442">
        <v>28000000</v>
      </c>
      <c r="M30">
        <v>24.566666666666666</v>
      </c>
      <c r="O30" t="s">
        <v>782</v>
      </c>
      <c r="P30">
        <f t="shared" si="0"/>
        <v>28000000</v>
      </c>
      <c r="Q30">
        <f t="shared" si="1"/>
        <v>28000000</v>
      </c>
      <c r="R30">
        <f t="shared" si="2"/>
        <v>28000000</v>
      </c>
      <c r="S30">
        <f t="shared" si="3"/>
        <v>28000000</v>
      </c>
      <c r="T30">
        <f t="shared" si="4"/>
        <v>28000000</v>
      </c>
      <c r="U30">
        <f t="shared" si="5"/>
        <v>28000000</v>
      </c>
      <c r="V30">
        <f t="shared" si="6"/>
        <v>28000000</v>
      </c>
      <c r="W30">
        <f t="shared" si="7"/>
        <v>28000000</v>
      </c>
    </row>
    <row r="31" spans="1:23">
      <c r="A31" s="892" t="s">
        <v>816</v>
      </c>
      <c r="B31" s="892" t="s">
        <v>817</v>
      </c>
      <c r="C31" s="892" t="s">
        <v>818</v>
      </c>
      <c r="D31" s="892"/>
      <c r="E31" s="892" t="s">
        <v>868</v>
      </c>
      <c r="F31" s="892" t="s">
        <v>869</v>
      </c>
      <c r="G31" s="892" t="s">
        <v>840</v>
      </c>
      <c r="H31" s="892" t="s">
        <v>781</v>
      </c>
      <c r="I31" s="893">
        <v>42090</v>
      </c>
      <c r="J31" s="895"/>
      <c r="K31" s="893">
        <v>42825</v>
      </c>
      <c r="L31" s="442">
        <v>15000000</v>
      </c>
      <c r="M31">
        <v>24.5</v>
      </c>
      <c r="O31" t="s">
        <v>782</v>
      </c>
      <c r="P31">
        <f t="shared" si="0"/>
        <v>15000000</v>
      </c>
      <c r="Q31">
        <f t="shared" si="1"/>
        <v>15000000</v>
      </c>
      <c r="R31">
        <f t="shared" si="2"/>
        <v>15000000</v>
      </c>
      <c r="S31">
        <f t="shared" si="3"/>
        <v>15000000</v>
      </c>
      <c r="T31">
        <f t="shared" si="4"/>
        <v>15000000</v>
      </c>
      <c r="U31">
        <f t="shared" si="5"/>
        <v>15000000</v>
      </c>
      <c r="V31">
        <f t="shared" si="6"/>
        <v>15000000</v>
      </c>
      <c r="W31">
        <f t="shared" si="7"/>
        <v>15000000</v>
      </c>
    </row>
    <row r="32" spans="1:23">
      <c r="A32" s="892" t="s">
        <v>783</v>
      </c>
      <c r="B32" s="892" t="s">
        <v>784</v>
      </c>
      <c r="C32" s="892" t="s">
        <v>870</v>
      </c>
      <c r="D32" s="892"/>
      <c r="E32" s="892" t="s">
        <v>871</v>
      </c>
      <c r="F32" s="892" t="s">
        <v>872</v>
      </c>
      <c r="G32" s="892" t="s">
        <v>628</v>
      </c>
      <c r="H32" s="892" t="s">
        <v>781</v>
      </c>
      <c r="I32" s="893">
        <v>42093</v>
      </c>
      <c r="J32" s="894"/>
      <c r="K32" s="893">
        <v>42825</v>
      </c>
      <c r="L32" s="442">
        <v>40000000</v>
      </c>
      <c r="M32">
        <v>24.4</v>
      </c>
      <c r="O32" t="s">
        <v>782</v>
      </c>
      <c r="P32">
        <f t="shared" si="0"/>
        <v>40000000</v>
      </c>
      <c r="Q32">
        <f t="shared" si="1"/>
        <v>40000000</v>
      </c>
      <c r="R32">
        <f t="shared" si="2"/>
        <v>40000000</v>
      </c>
      <c r="S32">
        <f t="shared" si="3"/>
        <v>40000000</v>
      </c>
      <c r="T32">
        <f t="shared" si="4"/>
        <v>40000000</v>
      </c>
      <c r="U32">
        <f t="shared" si="5"/>
        <v>40000000</v>
      </c>
      <c r="V32">
        <f t="shared" si="6"/>
        <v>40000000</v>
      </c>
      <c r="W32">
        <f t="shared" si="7"/>
        <v>40000000</v>
      </c>
    </row>
    <row r="33" spans="1:27">
      <c r="A33" s="892" t="s">
        <v>783</v>
      </c>
      <c r="B33" s="892" t="s">
        <v>864</v>
      </c>
      <c r="C33" s="892" t="s">
        <v>865</v>
      </c>
      <c r="D33" s="892"/>
      <c r="E33" s="892" t="s">
        <v>873</v>
      </c>
      <c r="F33" s="892" t="s">
        <v>874</v>
      </c>
      <c r="G33" s="892" t="s">
        <v>840</v>
      </c>
      <c r="H33" s="892" t="s">
        <v>781</v>
      </c>
      <c r="I33" s="893">
        <v>42094</v>
      </c>
      <c r="J33" s="895"/>
      <c r="K33" s="893">
        <v>42825</v>
      </c>
      <c r="L33" s="442">
        <v>15000000</v>
      </c>
      <c r="M33">
        <v>24.366666666666667</v>
      </c>
      <c r="O33" t="s">
        <v>782</v>
      </c>
      <c r="P33">
        <f t="shared" si="0"/>
        <v>15000000</v>
      </c>
      <c r="Q33">
        <f t="shared" si="1"/>
        <v>15000000</v>
      </c>
      <c r="R33">
        <f t="shared" si="2"/>
        <v>15000000</v>
      </c>
      <c r="S33">
        <f t="shared" si="3"/>
        <v>15000000</v>
      </c>
      <c r="T33">
        <f t="shared" si="4"/>
        <v>15000000</v>
      </c>
      <c r="U33">
        <f t="shared" si="5"/>
        <v>15000000</v>
      </c>
      <c r="V33">
        <f t="shared" si="6"/>
        <v>15000000</v>
      </c>
      <c r="W33">
        <f t="shared" si="7"/>
        <v>15000000</v>
      </c>
    </row>
    <row r="34" spans="1:27">
      <c r="A34" s="892" t="s">
        <v>816</v>
      </c>
      <c r="B34" s="892" t="s">
        <v>817</v>
      </c>
      <c r="C34" s="892" t="s">
        <v>818</v>
      </c>
      <c r="D34" s="892"/>
      <c r="E34" s="892" t="s">
        <v>875</v>
      </c>
      <c r="F34" s="892" t="s">
        <v>876</v>
      </c>
      <c r="G34" s="892" t="s">
        <v>506</v>
      </c>
      <c r="H34" s="892" t="s">
        <v>781</v>
      </c>
      <c r="I34" s="893">
        <v>42094</v>
      </c>
      <c r="J34" s="894"/>
      <c r="K34" s="893">
        <v>42825</v>
      </c>
      <c r="L34" s="442">
        <v>20000000</v>
      </c>
      <c r="M34">
        <v>24.366666666666667</v>
      </c>
      <c r="O34" t="s">
        <v>782</v>
      </c>
      <c r="P34">
        <f t="shared" si="0"/>
        <v>20000000</v>
      </c>
      <c r="Q34">
        <f t="shared" si="1"/>
        <v>20000000</v>
      </c>
      <c r="R34">
        <f t="shared" si="2"/>
        <v>20000000</v>
      </c>
      <c r="S34">
        <f t="shared" si="3"/>
        <v>20000000</v>
      </c>
      <c r="T34">
        <f t="shared" si="4"/>
        <v>20000000</v>
      </c>
      <c r="U34">
        <f t="shared" si="5"/>
        <v>20000000</v>
      </c>
      <c r="V34">
        <f t="shared" si="6"/>
        <v>20000000</v>
      </c>
      <c r="W34">
        <f t="shared" si="7"/>
        <v>20000000</v>
      </c>
    </row>
    <row r="35" spans="1:27">
      <c r="A35" s="892" t="s">
        <v>783</v>
      </c>
      <c r="B35" s="892" t="s">
        <v>784</v>
      </c>
      <c r="C35" s="892" t="s">
        <v>857</v>
      </c>
      <c r="D35" s="892"/>
      <c r="E35" s="892" t="s">
        <v>877</v>
      </c>
      <c r="F35" s="892" t="s">
        <v>878</v>
      </c>
      <c r="G35" s="892" t="s">
        <v>628</v>
      </c>
      <c r="H35" s="892" t="s">
        <v>781</v>
      </c>
      <c r="I35" s="893">
        <v>42097</v>
      </c>
      <c r="J35" s="896"/>
      <c r="K35" s="893">
        <v>42825</v>
      </c>
      <c r="L35" s="442">
        <v>20000000</v>
      </c>
      <c r="M35">
        <v>24.266666666666666</v>
      </c>
      <c r="O35" t="s">
        <v>782</v>
      </c>
      <c r="P35">
        <f t="shared" si="0"/>
        <v>20000000</v>
      </c>
      <c r="Q35">
        <f t="shared" si="1"/>
        <v>20000000</v>
      </c>
      <c r="R35">
        <f t="shared" si="2"/>
        <v>20000000</v>
      </c>
      <c r="S35">
        <f t="shared" si="3"/>
        <v>20000000</v>
      </c>
      <c r="T35">
        <f t="shared" si="4"/>
        <v>20000000</v>
      </c>
      <c r="U35">
        <f t="shared" si="5"/>
        <v>20000000</v>
      </c>
      <c r="V35">
        <f t="shared" si="6"/>
        <v>20000000</v>
      </c>
      <c r="W35">
        <f t="shared" si="7"/>
        <v>20000000</v>
      </c>
    </row>
    <row r="36" spans="1:27">
      <c r="A36" s="892" t="s">
        <v>783</v>
      </c>
      <c r="B36" s="892" t="s">
        <v>784</v>
      </c>
      <c r="C36" s="892" t="s">
        <v>857</v>
      </c>
      <c r="D36" s="892"/>
      <c r="E36" s="892" t="s">
        <v>879</v>
      </c>
      <c r="F36" s="892" t="s">
        <v>880</v>
      </c>
      <c r="G36" s="892" t="s">
        <v>629</v>
      </c>
      <c r="H36" s="892" t="s">
        <v>781</v>
      </c>
      <c r="I36" s="893">
        <v>42383</v>
      </c>
      <c r="J36" s="896"/>
      <c r="K36" s="893">
        <v>42825</v>
      </c>
      <c r="L36" s="442">
        <v>20000000</v>
      </c>
      <c r="M36">
        <v>14.733333333333333</v>
      </c>
      <c r="O36" t="s">
        <v>782</v>
      </c>
      <c r="P36">
        <f t="shared" si="0"/>
        <v>20000000</v>
      </c>
      <c r="Q36">
        <f t="shared" si="1"/>
        <v>20000000</v>
      </c>
      <c r="R36">
        <f t="shared" si="2"/>
        <v>20000000</v>
      </c>
      <c r="S36">
        <f t="shared" si="3"/>
        <v>20000000</v>
      </c>
      <c r="T36">
        <f t="shared" si="4"/>
        <v>20000000</v>
      </c>
      <c r="U36">
        <f t="shared" si="5"/>
        <v>20000000</v>
      </c>
      <c r="V36">
        <f t="shared" si="6"/>
        <v>20000000</v>
      </c>
      <c r="W36">
        <f t="shared" si="7"/>
        <v>20000000</v>
      </c>
    </row>
    <row r="37" spans="1:27">
      <c r="A37" s="892" t="s">
        <v>783</v>
      </c>
      <c r="B37" s="892" t="s">
        <v>808</v>
      </c>
      <c r="C37" s="892" t="s">
        <v>841</v>
      </c>
      <c r="D37" s="892"/>
      <c r="E37" s="892" t="s">
        <v>881</v>
      </c>
      <c r="F37" s="892" t="s">
        <v>882</v>
      </c>
      <c r="G37" s="892" t="s">
        <v>840</v>
      </c>
      <c r="H37" s="892" t="s">
        <v>781</v>
      </c>
      <c r="I37" s="893">
        <v>42109</v>
      </c>
      <c r="J37" s="896"/>
      <c r="K37" s="893">
        <v>42855</v>
      </c>
      <c r="L37" s="442">
        <v>18000000</v>
      </c>
      <c r="M37">
        <v>24.866666666666667</v>
      </c>
      <c r="O37" t="s">
        <v>782</v>
      </c>
      <c r="P37">
        <f t="shared" si="0"/>
        <v>18000000</v>
      </c>
      <c r="Q37">
        <f t="shared" si="1"/>
        <v>18000000</v>
      </c>
      <c r="R37">
        <f t="shared" si="2"/>
        <v>18000000</v>
      </c>
      <c r="S37">
        <f t="shared" si="3"/>
        <v>18000000</v>
      </c>
      <c r="T37">
        <f t="shared" si="4"/>
        <v>18000000</v>
      </c>
      <c r="U37">
        <f t="shared" si="5"/>
        <v>18000000</v>
      </c>
      <c r="V37">
        <f t="shared" si="6"/>
        <v>18000000</v>
      </c>
      <c r="W37">
        <f t="shared" si="7"/>
        <v>18000000</v>
      </c>
      <c r="X37">
        <f>L37</f>
        <v>18000000</v>
      </c>
    </row>
    <row r="38" spans="1:27">
      <c r="A38" s="892" t="s">
        <v>827</v>
      </c>
      <c r="B38" s="892" t="s">
        <v>828</v>
      </c>
      <c r="C38" s="892" t="s">
        <v>883</v>
      </c>
      <c r="D38" s="892"/>
      <c r="E38" s="892" t="s">
        <v>884</v>
      </c>
      <c r="F38" s="892" t="s">
        <v>885</v>
      </c>
      <c r="G38" s="892" t="s">
        <v>506</v>
      </c>
      <c r="H38" s="892" t="s">
        <v>781</v>
      </c>
      <c r="I38" s="893">
        <v>42111</v>
      </c>
      <c r="J38" s="894"/>
      <c r="K38" s="893">
        <v>42855</v>
      </c>
      <c r="L38" s="442">
        <v>10000000</v>
      </c>
      <c r="M38">
        <v>24.8</v>
      </c>
      <c r="O38" t="s">
        <v>782</v>
      </c>
      <c r="P38">
        <f t="shared" si="0"/>
        <v>10000000</v>
      </c>
      <c r="Q38">
        <f t="shared" si="1"/>
        <v>10000000</v>
      </c>
      <c r="R38">
        <f t="shared" si="2"/>
        <v>10000000</v>
      </c>
      <c r="S38">
        <f t="shared" si="3"/>
        <v>10000000</v>
      </c>
      <c r="T38">
        <f t="shared" si="4"/>
        <v>10000000</v>
      </c>
      <c r="U38">
        <f t="shared" si="5"/>
        <v>10000000</v>
      </c>
      <c r="V38">
        <f t="shared" si="6"/>
        <v>10000000</v>
      </c>
      <c r="W38">
        <f t="shared" si="7"/>
        <v>10000000</v>
      </c>
      <c r="X38">
        <f t="shared" ref="X38:X98" si="8">L38</f>
        <v>10000000</v>
      </c>
    </row>
    <row r="39" spans="1:27">
      <c r="A39" s="892" t="s">
        <v>803</v>
      </c>
      <c r="B39" s="892" t="s">
        <v>804</v>
      </c>
      <c r="C39" s="892" t="s">
        <v>805</v>
      </c>
      <c r="D39" s="892"/>
      <c r="E39" s="892" t="s">
        <v>886</v>
      </c>
      <c r="F39" s="892" t="s">
        <v>887</v>
      </c>
      <c r="G39" s="892" t="s">
        <v>630</v>
      </c>
      <c r="H39" s="892" t="s">
        <v>781</v>
      </c>
      <c r="I39" s="893">
        <v>42156</v>
      </c>
      <c r="J39" s="895"/>
      <c r="K39" s="893">
        <v>42886</v>
      </c>
      <c r="L39" s="442">
        <v>30000000</v>
      </c>
      <c r="M39">
        <v>24.333333333333332</v>
      </c>
      <c r="O39" t="s">
        <v>782</v>
      </c>
      <c r="P39">
        <f t="shared" si="0"/>
        <v>30000000</v>
      </c>
      <c r="Q39">
        <f t="shared" si="1"/>
        <v>30000000</v>
      </c>
      <c r="R39">
        <f t="shared" si="2"/>
        <v>30000000</v>
      </c>
      <c r="S39">
        <f t="shared" si="3"/>
        <v>30000000</v>
      </c>
      <c r="T39">
        <f t="shared" si="4"/>
        <v>30000000</v>
      </c>
      <c r="U39">
        <f t="shared" si="5"/>
        <v>30000000</v>
      </c>
      <c r="V39">
        <f t="shared" si="6"/>
        <v>30000000</v>
      </c>
      <c r="W39">
        <f t="shared" si="7"/>
        <v>30000000</v>
      </c>
      <c r="X39">
        <f t="shared" si="8"/>
        <v>30000000</v>
      </c>
      <c r="Y39">
        <f>L39</f>
        <v>30000000</v>
      </c>
    </row>
    <row r="40" spans="1:27">
      <c r="A40" s="892" t="s">
        <v>783</v>
      </c>
      <c r="B40" s="892" t="s">
        <v>784</v>
      </c>
      <c r="C40" s="892" t="s">
        <v>785</v>
      </c>
      <c r="D40" s="892"/>
      <c r="E40" s="892" t="s">
        <v>888</v>
      </c>
      <c r="F40" s="892" t="s">
        <v>889</v>
      </c>
      <c r="G40" s="892" t="s">
        <v>506</v>
      </c>
      <c r="H40" s="892" t="s">
        <v>781</v>
      </c>
      <c r="I40" s="893">
        <v>42144</v>
      </c>
      <c r="J40" s="894"/>
      <c r="K40" s="893">
        <v>42886</v>
      </c>
      <c r="L40" s="442">
        <v>40000000</v>
      </c>
      <c r="M40">
        <v>24.733333333333334</v>
      </c>
      <c r="O40" t="s">
        <v>782</v>
      </c>
      <c r="P40">
        <f t="shared" si="0"/>
        <v>40000000</v>
      </c>
      <c r="Q40">
        <f t="shared" si="1"/>
        <v>40000000</v>
      </c>
      <c r="R40">
        <f t="shared" si="2"/>
        <v>40000000</v>
      </c>
      <c r="S40">
        <f t="shared" si="3"/>
        <v>40000000</v>
      </c>
      <c r="T40">
        <f t="shared" si="4"/>
        <v>40000000</v>
      </c>
      <c r="U40">
        <f t="shared" si="5"/>
        <v>40000000</v>
      </c>
      <c r="V40">
        <f t="shared" si="6"/>
        <v>40000000</v>
      </c>
      <c r="W40">
        <f t="shared" si="7"/>
        <v>40000000</v>
      </c>
      <c r="X40">
        <f t="shared" si="8"/>
        <v>40000000</v>
      </c>
      <c r="Y40">
        <f t="shared" ref="Y40:Y98" si="9">L40</f>
        <v>40000000</v>
      </c>
    </row>
    <row r="41" spans="1:27">
      <c r="A41" s="892" t="s">
        <v>776</v>
      </c>
      <c r="B41" s="892" t="s">
        <v>777</v>
      </c>
      <c r="C41" s="892" t="s">
        <v>890</v>
      </c>
      <c r="D41" s="892"/>
      <c r="E41" s="892" t="s">
        <v>891</v>
      </c>
      <c r="F41" s="892" t="s">
        <v>892</v>
      </c>
      <c r="G41" s="892" t="s">
        <v>630</v>
      </c>
      <c r="H41" s="892" t="s">
        <v>781</v>
      </c>
      <c r="I41" s="893">
        <v>42149</v>
      </c>
      <c r="J41" s="894"/>
      <c r="K41" s="893">
        <v>42886</v>
      </c>
      <c r="L41" s="442">
        <v>40000000</v>
      </c>
      <c r="M41">
        <v>24.566666666666666</v>
      </c>
      <c r="O41" t="s">
        <v>782</v>
      </c>
      <c r="P41">
        <f t="shared" si="0"/>
        <v>40000000</v>
      </c>
      <c r="Q41">
        <f t="shared" si="1"/>
        <v>40000000</v>
      </c>
      <c r="R41">
        <f t="shared" si="2"/>
        <v>40000000</v>
      </c>
      <c r="S41">
        <f t="shared" si="3"/>
        <v>40000000</v>
      </c>
      <c r="T41">
        <f t="shared" si="4"/>
        <v>40000000</v>
      </c>
      <c r="U41">
        <f t="shared" si="5"/>
        <v>40000000</v>
      </c>
      <c r="V41">
        <f t="shared" si="6"/>
        <v>40000000</v>
      </c>
      <c r="W41">
        <f t="shared" si="7"/>
        <v>40000000</v>
      </c>
      <c r="X41">
        <f t="shared" si="8"/>
        <v>40000000</v>
      </c>
      <c r="Y41">
        <f t="shared" si="9"/>
        <v>40000000</v>
      </c>
    </row>
    <row r="42" spans="1:27">
      <c r="A42" s="892" t="s">
        <v>783</v>
      </c>
      <c r="B42" s="892" t="s">
        <v>784</v>
      </c>
      <c r="C42" s="892" t="s">
        <v>870</v>
      </c>
      <c r="D42" s="892"/>
      <c r="E42" s="892" t="s">
        <v>893</v>
      </c>
      <c r="F42" s="892" t="s">
        <v>894</v>
      </c>
      <c r="G42" s="892" t="s">
        <v>840</v>
      </c>
      <c r="H42" s="892" t="s">
        <v>781</v>
      </c>
      <c r="I42" s="893">
        <v>42151</v>
      </c>
      <c r="J42" s="896"/>
      <c r="K42" s="893">
        <v>42886</v>
      </c>
      <c r="L42" s="442">
        <v>30000000</v>
      </c>
      <c r="M42">
        <v>24.5</v>
      </c>
      <c r="O42" t="s">
        <v>782</v>
      </c>
      <c r="P42">
        <f t="shared" si="0"/>
        <v>30000000</v>
      </c>
      <c r="Q42">
        <f t="shared" si="1"/>
        <v>30000000</v>
      </c>
      <c r="R42">
        <f t="shared" si="2"/>
        <v>30000000</v>
      </c>
      <c r="S42">
        <f t="shared" si="3"/>
        <v>30000000</v>
      </c>
      <c r="T42">
        <f t="shared" si="4"/>
        <v>30000000</v>
      </c>
      <c r="U42">
        <f t="shared" si="5"/>
        <v>30000000</v>
      </c>
      <c r="V42">
        <f t="shared" si="6"/>
        <v>30000000</v>
      </c>
      <c r="W42">
        <f t="shared" si="7"/>
        <v>30000000</v>
      </c>
      <c r="X42">
        <f t="shared" si="8"/>
        <v>30000000</v>
      </c>
      <c r="Y42">
        <f t="shared" si="9"/>
        <v>30000000</v>
      </c>
    </row>
    <row r="43" spans="1:27">
      <c r="A43" s="892" t="s">
        <v>783</v>
      </c>
      <c r="B43" s="892" t="s">
        <v>808</v>
      </c>
      <c r="C43" s="892" t="s">
        <v>841</v>
      </c>
      <c r="D43" s="892"/>
      <c r="E43" s="892" t="s">
        <v>895</v>
      </c>
      <c r="F43" s="892" t="s">
        <v>896</v>
      </c>
      <c r="G43" s="892" t="s">
        <v>840</v>
      </c>
      <c r="H43" s="892" t="s">
        <v>781</v>
      </c>
      <c r="I43" s="893">
        <v>42173</v>
      </c>
      <c r="J43" s="894"/>
      <c r="K43" s="893">
        <v>42916</v>
      </c>
      <c r="L43" s="442">
        <v>25000000</v>
      </c>
      <c r="M43">
        <v>24.766666666666666</v>
      </c>
      <c r="O43" t="s">
        <v>782</v>
      </c>
      <c r="P43">
        <f t="shared" si="0"/>
        <v>25000000</v>
      </c>
      <c r="Q43">
        <f t="shared" si="1"/>
        <v>25000000</v>
      </c>
      <c r="R43">
        <f t="shared" si="2"/>
        <v>25000000</v>
      </c>
      <c r="S43">
        <f t="shared" si="3"/>
        <v>25000000</v>
      </c>
      <c r="T43">
        <f t="shared" si="4"/>
        <v>25000000</v>
      </c>
      <c r="U43">
        <f t="shared" si="5"/>
        <v>25000000</v>
      </c>
      <c r="V43">
        <f t="shared" si="6"/>
        <v>25000000</v>
      </c>
      <c r="W43">
        <f t="shared" si="7"/>
        <v>25000000</v>
      </c>
      <c r="X43">
        <f t="shared" si="8"/>
        <v>25000000</v>
      </c>
      <c r="Y43">
        <f t="shared" si="9"/>
        <v>25000000</v>
      </c>
      <c r="Z43">
        <f>L43</f>
        <v>25000000</v>
      </c>
    </row>
    <row r="44" spans="1:27">
      <c r="A44" s="892" t="s">
        <v>783</v>
      </c>
      <c r="B44" s="892" t="s">
        <v>784</v>
      </c>
      <c r="C44" s="892" t="s">
        <v>870</v>
      </c>
      <c r="D44" s="892"/>
      <c r="E44" s="892" t="s">
        <v>897</v>
      </c>
      <c r="F44" s="892" t="s">
        <v>898</v>
      </c>
      <c r="G44" s="892" t="s">
        <v>840</v>
      </c>
      <c r="H44" s="892" t="s">
        <v>781</v>
      </c>
      <c r="I44" s="893">
        <v>42159</v>
      </c>
      <c r="J44" s="895"/>
      <c r="K44" s="893">
        <v>42947</v>
      </c>
      <c r="L44" s="442">
        <v>25000000</v>
      </c>
      <c r="M44">
        <v>26.266666666666666</v>
      </c>
      <c r="O44" t="s">
        <v>782</v>
      </c>
      <c r="P44">
        <f t="shared" si="0"/>
        <v>25000000</v>
      </c>
      <c r="Q44">
        <f t="shared" si="1"/>
        <v>25000000</v>
      </c>
      <c r="R44">
        <f t="shared" si="2"/>
        <v>25000000</v>
      </c>
      <c r="S44">
        <f t="shared" si="3"/>
        <v>25000000</v>
      </c>
      <c r="T44">
        <f t="shared" si="4"/>
        <v>25000000</v>
      </c>
      <c r="U44">
        <f t="shared" si="5"/>
        <v>25000000</v>
      </c>
      <c r="V44">
        <f t="shared" si="6"/>
        <v>25000000</v>
      </c>
      <c r="W44">
        <f t="shared" si="7"/>
        <v>25000000</v>
      </c>
      <c r="X44">
        <f t="shared" si="8"/>
        <v>25000000</v>
      </c>
      <c r="Y44">
        <f t="shared" si="9"/>
        <v>25000000</v>
      </c>
      <c r="Z44">
        <f t="shared" ref="Z44:Z98" si="10">L44</f>
        <v>25000000</v>
      </c>
      <c r="AA44">
        <f>L44</f>
        <v>25000000</v>
      </c>
    </row>
    <row r="45" spans="1:27">
      <c r="A45" s="892" t="s">
        <v>776</v>
      </c>
      <c r="B45" s="892" t="s">
        <v>799</v>
      </c>
      <c r="C45" s="892" t="s">
        <v>899</v>
      </c>
      <c r="D45" s="892"/>
      <c r="E45" s="892" t="s">
        <v>900</v>
      </c>
      <c r="F45" s="892" t="s">
        <v>901</v>
      </c>
      <c r="G45" s="892" t="s">
        <v>506</v>
      </c>
      <c r="H45" s="892" t="s">
        <v>781</v>
      </c>
      <c r="I45" s="893">
        <v>42201</v>
      </c>
      <c r="J45" s="895"/>
      <c r="K45" s="893">
        <v>42947</v>
      </c>
      <c r="L45" s="442">
        <v>50000000</v>
      </c>
      <c r="M45">
        <v>24.866666666666667</v>
      </c>
      <c r="O45" t="s">
        <v>782</v>
      </c>
      <c r="P45">
        <f t="shared" si="0"/>
        <v>50000000</v>
      </c>
      <c r="Q45">
        <f t="shared" si="1"/>
        <v>50000000</v>
      </c>
      <c r="R45">
        <f t="shared" si="2"/>
        <v>50000000</v>
      </c>
      <c r="S45">
        <f t="shared" si="3"/>
        <v>50000000</v>
      </c>
      <c r="T45">
        <f t="shared" si="4"/>
        <v>50000000</v>
      </c>
      <c r="U45">
        <f t="shared" si="5"/>
        <v>50000000</v>
      </c>
      <c r="V45">
        <f t="shared" si="6"/>
        <v>50000000</v>
      </c>
      <c r="W45">
        <f t="shared" si="7"/>
        <v>50000000</v>
      </c>
      <c r="X45">
        <f t="shared" si="8"/>
        <v>50000000</v>
      </c>
      <c r="Y45">
        <f t="shared" si="9"/>
        <v>50000000</v>
      </c>
      <c r="Z45">
        <f t="shared" si="10"/>
        <v>50000000</v>
      </c>
      <c r="AA45">
        <f t="shared" ref="AA45:AA98" si="11">L45</f>
        <v>50000000</v>
      </c>
    </row>
    <row r="46" spans="1:27">
      <c r="A46" s="892" t="s">
        <v>776</v>
      </c>
      <c r="B46" s="892" t="s">
        <v>799</v>
      </c>
      <c r="C46" s="892" t="s">
        <v>899</v>
      </c>
      <c r="D46" s="892"/>
      <c r="E46" s="892" t="s">
        <v>902</v>
      </c>
      <c r="F46" s="892" t="s">
        <v>903</v>
      </c>
      <c r="G46" s="892" t="s">
        <v>628</v>
      </c>
      <c r="H46" s="892" t="s">
        <v>781</v>
      </c>
      <c r="I46" s="893">
        <v>42201</v>
      </c>
      <c r="J46" s="894"/>
      <c r="K46" s="893">
        <v>42947</v>
      </c>
      <c r="L46" s="442">
        <v>18000000</v>
      </c>
      <c r="M46">
        <v>24.866666666666667</v>
      </c>
      <c r="O46" t="s">
        <v>782</v>
      </c>
      <c r="P46">
        <f t="shared" si="0"/>
        <v>18000000</v>
      </c>
      <c r="Q46">
        <f t="shared" si="1"/>
        <v>18000000</v>
      </c>
      <c r="R46">
        <f t="shared" si="2"/>
        <v>18000000</v>
      </c>
      <c r="S46">
        <f t="shared" si="3"/>
        <v>18000000</v>
      </c>
      <c r="T46">
        <f t="shared" si="4"/>
        <v>18000000</v>
      </c>
      <c r="U46">
        <f t="shared" si="5"/>
        <v>18000000</v>
      </c>
      <c r="V46">
        <f t="shared" si="6"/>
        <v>18000000</v>
      </c>
      <c r="W46">
        <f t="shared" si="7"/>
        <v>18000000</v>
      </c>
      <c r="X46">
        <f t="shared" si="8"/>
        <v>18000000</v>
      </c>
      <c r="Y46">
        <f t="shared" si="9"/>
        <v>18000000</v>
      </c>
      <c r="Z46">
        <f t="shared" si="10"/>
        <v>18000000</v>
      </c>
      <c r="AA46">
        <f t="shared" si="11"/>
        <v>18000000</v>
      </c>
    </row>
    <row r="47" spans="1:27">
      <c r="A47" s="892" t="s">
        <v>776</v>
      </c>
      <c r="B47" s="892" t="s">
        <v>799</v>
      </c>
      <c r="C47" s="892" t="s">
        <v>899</v>
      </c>
      <c r="D47" s="892"/>
      <c r="E47" s="892" t="s">
        <v>904</v>
      </c>
      <c r="F47" s="892" t="s">
        <v>905</v>
      </c>
      <c r="G47" s="892" t="s">
        <v>628</v>
      </c>
      <c r="H47" s="892" t="s">
        <v>781</v>
      </c>
      <c r="I47" s="893">
        <v>42201</v>
      </c>
      <c r="J47" s="895"/>
      <c r="K47" s="893">
        <v>42947</v>
      </c>
      <c r="L47" s="442">
        <v>25000000</v>
      </c>
      <c r="M47">
        <v>24.866666666666667</v>
      </c>
      <c r="O47" t="s">
        <v>782</v>
      </c>
      <c r="P47">
        <f t="shared" si="0"/>
        <v>25000000</v>
      </c>
      <c r="Q47">
        <f t="shared" si="1"/>
        <v>25000000</v>
      </c>
      <c r="R47">
        <f t="shared" si="2"/>
        <v>25000000</v>
      </c>
      <c r="S47">
        <f t="shared" si="3"/>
        <v>25000000</v>
      </c>
      <c r="T47">
        <f t="shared" si="4"/>
        <v>25000000</v>
      </c>
      <c r="U47">
        <f t="shared" si="5"/>
        <v>25000000</v>
      </c>
      <c r="V47">
        <f t="shared" si="6"/>
        <v>25000000</v>
      </c>
      <c r="W47">
        <f t="shared" si="7"/>
        <v>25000000</v>
      </c>
      <c r="X47">
        <f t="shared" si="8"/>
        <v>25000000</v>
      </c>
      <c r="Y47">
        <f t="shared" si="9"/>
        <v>25000000</v>
      </c>
      <c r="Z47">
        <f t="shared" si="10"/>
        <v>25000000</v>
      </c>
      <c r="AA47">
        <f t="shared" si="11"/>
        <v>25000000</v>
      </c>
    </row>
    <row r="48" spans="1:27">
      <c r="A48" s="892" t="s">
        <v>776</v>
      </c>
      <c r="B48" s="892" t="s">
        <v>799</v>
      </c>
      <c r="C48" s="892" t="s">
        <v>906</v>
      </c>
      <c r="D48" s="892"/>
      <c r="E48" s="892" t="s">
        <v>907</v>
      </c>
      <c r="F48" s="892" t="s">
        <v>908</v>
      </c>
      <c r="G48" s="892" t="s">
        <v>840</v>
      </c>
      <c r="H48" s="892" t="s">
        <v>781</v>
      </c>
      <c r="I48" s="893">
        <v>42209</v>
      </c>
      <c r="J48" s="895"/>
      <c r="K48" s="893">
        <v>42947</v>
      </c>
      <c r="L48" s="442">
        <v>35000000</v>
      </c>
      <c r="M48">
        <v>24.6</v>
      </c>
      <c r="O48" t="s">
        <v>782</v>
      </c>
      <c r="P48">
        <f t="shared" si="0"/>
        <v>35000000</v>
      </c>
      <c r="Q48">
        <f t="shared" si="1"/>
        <v>35000000</v>
      </c>
      <c r="R48">
        <f t="shared" si="2"/>
        <v>35000000</v>
      </c>
      <c r="S48">
        <f t="shared" si="3"/>
        <v>35000000</v>
      </c>
      <c r="T48">
        <f t="shared" si="4"/>
        <v>35000000</v>
      </c>
      <c r="U48">
        <f t="shared" si="5"/>
        <v>35000000</v>
      </c>
      <c r="V48">
        <f t="shared" si="6"/>
        <v>35000000</v>
      </c>
      <c r="W48">
        <f t="shared" si="7"/>
        <v>35000000</v>
      </c>
      <c r="X48">
        <f t="shared" si="8"/>
        <v>35000000</v>
      </c>
      <c r="Y48">
        <f t="shared" si="9"/>
        <v>35000000</v>
      </c>
      <c r="Z48">
        <f t="shared" si="10"/>
        <v>35000000</v>
      </c>
      <c r="AA48">
        <f t="shared" si="11"/>
        <v>35000000</v>
      </c>
    </row>
    <row r="49" spans="1:29">
      <c r="A49" s="892" t="s">
        <v>776</v>
      </c>
      <c r="B49" s="892" t="s">
        <v>799</v>
      </c>
      <c r="C49" s="892" t="s">
        <v>906</v>
      </c>
      <c r="D49" s="892"/>
      <c r="E49" s="892" t="s">
        <v>909</v>
      </c>
      <c r="F49" s="892" t="s">
        <v>910</v>
      </c>
      <c r="G49" s="892" t="s">
        <v>628</v>
      </c>
      <c r="H49" s="892" t="s">
        <v>781</v>
      </c>
      <c r="I49" s="893">
        <v>42209</v>
      </c>
      <c r="J49" s="895"/>
      <c r="K49" s="893">
        <v>42947</v>
      </c>
      <c r="L49" s="442">
        <v>40000000</v>
      </c>
      <c r="M49">
        <v>24.6</v>
      </c>
      <c r="O49" t="s">
        <v>782</v>
      </c>
      <c r="P49">
        <f t="shared" si="0"/>
        <v>40000000</v>
      </c>
      <c r="Q49">
        <f t="shared" si="1"/>
        <v>40000000</v>
      </c>
      <c r="R49">
        <f t="shared" si="2"/>
        <v>40000000</v>
      </c>
      <c r="S49">
        <f t="shared" si="3"/>
        <v>40000000</v>
      </c>
      <c r="T49">
        <f t="shared" si="4"/>
        <v>40000000</v>
      </c>
      <c r="U49">
        <f t="shared" si="5"/>
        <v>40000000</v>
      </c>
      <c r="V49">
        <f t="shared" si="6"/>
        <v>40000000</v>
      </c>
      <c r="W49">
        <f t="shared" si="7"/>
        <v>40000000</v>
      </c>
      <c r="X49">
        <f t="shared" si="8"/>
        <v>40000000</v>
      </c>
      <c r="Y49">
        <f t="shared" si="9"/>
        <v>40000000</v>
      </c>
      <c r="Z49">
        <f t="shared" si="10"/>
        <v>40000000</v>
      </c>
      <c r="AA49">
        <f t="shared" si="11"/>
        <v>40000000</v>
      </c>
    </row>
    <row r="50" spans="1:29">
      <c r="A50" s="892" t="s">
        <v>776</v>
      </c>
      <c r="B50" s="892" t="s">
        <v>777</v>
      </c>
      <c r="C50" s="892" t="s">
        <v>778</v>
      </c>
      <c r="D50" s="892"/>
      <c r="E50" s="892" t="s">
        <v>911</v>
      </c>
      <c r="F50" s="892" t="s">
        <v>912</v>
      </c>
      <c r="G50" s="892" t="s">
        <v>913</v>
      </c>
      <c r="H50" s="892" t="s">
        <v>781</v>
      </c>
      <c r="I50" s="893">
        <v>42213</v>
      </c>
      <c r="J50" s="895"/>
      <c r="K50" s="893">
        <v>42947</v>
      </c>
      <c r="L50" s="442">
        <v>40000000</v>
      </c>
      <c r="M50">
        <v>24.466666666666665</v>
      </c>
      <c r="O50" t="s">
        <v>782</v>
      </c>
      <c r="P50">
        <f t="shared" si="0"/>
        <v>40000000</v>
      </c>
      <c r="Q50">
        <f t="shared" si="1"/>
        <v>40000000</v>
      </c>
      <c r="R50">
        <f t="shared" si="2"/>
        <v>40000000</v>
      </c>
      <c r="S50">
        <f t="shared" si="3"/>
        <v>40000000</v>
      </c>
      <c r="T50">
        <f t="shared" si="4"/>
        <v>40000000</v>
      </c>
      <c r="U50">
        <f t="shared" si="5"/>
        <v>40000000</v>
      </c>
      <c r="V50">
        <f t="shared" si="6"/>
        <v>40000000</v>
      </c>
      <c r="W50">
        <f t="shared" si="7"/>
        <v>40000000</v>
      </c>
      <c r="X50">
        <f t="shared" si="8"/>
        <v>40000000</v>
      </c>
      <c r="Y50">
        <f t="shared" si="9"/>
        <v>40000000</v>
      </c>
      <c r="Z50">
        <f t="shared" si="10"/>
        <v>40000000</v>
      </c>
      <c r="AA50">
        <f t="shared" si="11"/>
        <v>40000000</v>
      </c>
    </row>
    <row r="51" spans="1:29">
      <c r="A51" s="892" t="s">
        <v>776</v>
      </c>
      <c r="B51" s="892" t="s">
        <v>777</v>
      </c>
      <c r="C51" s="892" t="s">
        <v>778</v>
      </c>
      <c r="D51" s="892"/>
      <c r="E51" s="892" t="s">
        <v>914</v>
      </c>
      <c r="F51" s="892" t="s">
        <v>915</v>
      </c>
      <c r="G51" s="892" t="s">
        <v>628</v>
      </c>
      <c r="H51" s="892" t="s">
        <v>781</v>
      </c>
      <c r="I51" s="893">
        <v>42213</v>
      </c>
      <c r="J51" s="895"/>
      <c r="K51" s="893">
        <v>42947</v>
      </c>
      <c r="L51" s="442">
        <v>40000000</v>
      </c>
      <c r="M51">
        <v>24.466666666666665</v>
      </c>
      <c r="O51" t="s">
        <v>782</v>
      </c>
      <c r="P51">
        <f t="shared" si="0"/>
        <v>40000000</v>
      </c>
      <c r="Q51">
        <f t="shared" si="1"/>
        <v>40000000</v>
      </c>
      <c r="R51">
        <f t="shared" si="2"/>
        <v>40000000</v>
      </c>
      <c r="S51">
        <f t="shared" si="3"/>
        <v>40000000</v>
      </c>
      <c r="T51">
        <f t="shared" si="4"/>
        <v>40000000</v>
      </c>
      <c r="U51">
        <f t="shared" si="5"/>
        <v>40000000</v>
      </c>
      <c r="V51">
        <f t="shared" si="6"/>
        <v>40000000</v>
      </c>
      <c r="W51">
        <f t="shared" si="7"/>
        <v>40000000</v>
      </c>
      <c r="X51">
        <f t="shared" si="8"/>
        <v>40000000</v>
      </c>
      <c r="Y51">
        <f t="shared" si="9"/>
        <v>40000000</v>
      </c>
      <c r="Z51">
        <f t="shared" si="10"/>
        <v>40000000</v>
      </c>
      <c r="AA51">
        <f t="shared" si="11"/>
        <v>40000000</v>
      </c>
    </row>
    <row r="52" spans="1:29">
      <c r="A52" s="892" t="s">
        <v>803</v>
      </c>
      <c r="B52" s="892" t="s">
        <v>916</v>
      </c>
      <c r="C52" s="892" t="s">
        <v>917</v>
      </c>
      <c r="D52" s="892"/>
      <c r="E52" s="892" t="s">
        <v>918</v>
      </c>
      <c r="F52" s="892" t="s">
        <v>919</v>
      </c>
      <c r="G52" s="892" t="s">
        <v>840</v>
      </c>
      <c r="H52" s="892" t="s">
        <v>781</v>
      </c>
      <c r="I52" s="893">
        <v>42387</v>
      </c>
      <c r="J52" s="894"/>
      <c r="K52" s="893">
        <v>42947</v>
      </c>
      <c r="L52" s="442">
        <v>15000000</v>
      </c>
      <c r="M52">
        <v>18.666666666666668</v>
      </c>
      <c r="O52" t="s">
        <v>798</v>
      </c>
      <c r="P52">
        <f t="shared" si="0"/>
        <v>15000000</v>
      </c>
      <c r="Q52">
        <f t="shared" si="1"/>
        <v>15000000</v>
      </c>
      <c r="R52">
        <f t="shared" si="2"/>
        <v>15000000</v>
      </c>
      <c r="S52">
        <f t="shared" si="3"/>
        <v>15000000</v>
      </c>
      <c r="T52">
        <f t="shared" si="4"/>
        <v>15000000</v>
      </c>
      <c r="U52">
        <f t="shared" si="5"/>
        <v>15000000</v>
      </c>
      <c r="V52">
        <f t="shared" si="6"/>
        <v>15000000</v>
      </c>
      <c r="W52">
        <f t="shared" si="7"/>
        <v>15000000</v>
      </c>
      <c r="X52">
        <f t="shared" si="8"/>
        <v>15000000</v>
      </c>
      <c r="Y52">
        <f t="shared" si="9"/>
        <v>15000000</v>
      </c>
      <c r="Z52">
        <f t="shared" si="10"/>
        <v>15000000</v>
      </c>
      <c r="AA52">
        <f t="shared" si="11"/>
        <v>15000000</v>
      </c>
    </row>
    <row r="53" spans="1:29">
      <c r="A53" s="892" t="s">
        <v>776</v>
      </c>
      <c r="B53" s="892" t="s">
        <v>799</v>
      </c>
      <c r="C53" s="892" t="s">
        <v>800</v>
      </c>
      <c r="D53" s="892"/>
      <c r="E53" s="892" t="s">
        <v>920</v>
      </c>
      <c r="F53" s="892" t="s">
        <v>921</v>
      </c>
      <c r="G53" s="892" t="s">
        <v>840</v>
      </c>
      <c r="H53" s="892" t="s">
        <v>781</v>
      </c>
      <c r="I53" s="893">
        <v>42396</v>
      </c>
      <c r="J53" s="894"/>
      <c r="K53" s="893">
        <v>42947</v>
      </c>
      <c r="L53" s="442">
        <v>15000000</v>
      </c>
      <c r="M53">
        <v>18.366666666666667</v>
      </c>
      <c r="O53" t="s">
        <v>798</v>
      </c>
      <c r="P53">
        <f t="shared" si="0"/>
        <v>15000000</v>
      </c>
      <c r="Q53">
        <f t="shared" si="1"/>
        <v>15000000</v>
      </c>
      <c r="R53">
        <f t="shared" si="2"/>
        <v>15000000</v>
      </c>
      <c r="S53">
        <f t="shared" si="3"/>
        <v>15000000</v>
      </c>
      <c r="T53">
        <f t="shared" si="4"/>
        <v>15000000</v>
      </c>
      <c r="U53">
        <f t="shared" si="5"/>
        <v>15000000</v>
      </c>
      <c r="V53">
        <f t="shared" si="6"/>
        <v>15000000</v>
      </c>
      <c r="W53">
        <f t="shared" si="7"/>
        <v>15000000</v>
      </c>
      <c r="X53">
        <f t="shared" si="8"/>
        <v>15000000</v>
      </c>
      <c r="Y53">
        <f t="shared" si="9"/>
        <v>15000000</v>
      </c>
      <c r="Z53">
        <f t="shared" si="10"/>
        <v>15000000</v>
      </c>
      <c r="AA53">
        <f t="shared" si="11"/>
        <v>15000000</v>
      </c>
    </row>
    <row r="54" spans="1:29">
      <c r="A54" s="892" t="s">
        <v>827</v>
      </c>
      <c r="B54" s="892" t="s">
        <v>828</v>
      </c>
      <c r="C54" s="892" t="s">
        <v>829</v>
      </c>
      <c r="D54" s="892"/>
      <c r="E54" s="892" t="s">
        <v>922</v>
      </c>
      <c r="F54" s="892" t="s">
        <v>923</v>
      </c>
      <c r="G54" s="892" t="s">
        <v>840</v>
      </c>
      <c r="H54" s="892" t="s">
        <v>781</v>
      </c>
      <c r="I54" s="893">
        <v>42401</v>
      </c>
      <c r="J54" s="896"/>
      <c r="K54" s="893">
        <v>42947</v>
      </c>
      <c r="L54" s="442">
        <v>25000000</v>
      </c>
      <c r="M54">
        <v>18.2</v>
      </c>
      <c r="O54" t="s">
        <v>798</v>
      </c>
      <c r="P54">
        <f t="shared" si="0"/>
        <v>25000000</v>
      </c>
      <c r="Q54">
        <f t="shared" si="1"/>
        <v>25000000</v>
      </c>
      <c r="R54">
        <f t="shared" si="2"/>
        <v>25000000</v>
      </c>
      <c r="S54">
        <f t="shared" si="3"/>
        <v>25000000</v>
      </c>
      <c r="T54">
        <f t="shared" si="4"/>
        <v>25000000</v>
      </c>
      <c r="U54">
        <f t="shared" si="5"/>
        <v>25000000</v>
      </c>
      <c r="V54">
        <f t="shared" si="6"/>
        <v>25000000</v>
      </c>
      <c r="W54">
        <f t="shared" si="7"/>
        <v>25000000</v>
      </c>
      <c r="X54">
        <f t="shared" si="8"/>
        <v>25000000</v>
      </c>
      <c r="Y54">
        <f t="shared" si="9"/>
        <v>25000000</v>
      </c>
      <c r="Z54">
        <f t="shared" si="10"/>
        <v>25000000</v>
      </c>
      <c r="AA54">
        <f t="shared" si="11"/>
        <v>25000000</v>
      </c>
    </row>
    <row r="55" spans="1:29">
      <c r="A55" s="892" t="s">
        <v>776</v>
      </c>
      <c r="B55" s="892" t="s">
        <v>799</v>
      </c>
      <c r="C55" s="892" t="s">
        <v>906</v>
      </c>
      <c r="D55" s="892"/>
      <c r="E55" s="892" t="s">
        <v>924</v>
      </c>
      <c r="F55" s="892" t="s">
        <v>925</v>
      </c>
      <c r="G55" s="892" t="s">
        <v>628</v>
      </c>
      <c r="H55" s="892" t="s">
        <v>781</v>
      </c>
      <c r="I55" s="893">
        <v>42243</v>
      </c>
      <c r="J55" s="895"/>
      <c r="K55" s="893">
        <v>42978</v>
      </c>
      <c r="L55" s="442">
        <v>25000000</v>
      </c>
      <c r="M55">
        <v>24.5</v>
      </c>
      <c r="O55" t="s">
        <v>782</v>
      </c>
      <c r="P55">
        <f t="shared" si="0"/>
        <v>25000000</v>
      </c>
      <c r="Q55">
        <f t="shared" si="1"/>
        <v>25000000</v>
      </c>
      <c r="R55">
        <f t="shared" si="2"/>
        <v>25000000</v>
      </c>
      <c r="S55">
        <f t="shared" si="3"/>
        <v>25000000</v>
      </c>
      <c r="T55">
        <f t="shared" si="4"/>
        <v>25000000</v>
      </c>
      <c r="U55">
        <f t="shared" si="5"/>
        <v>25000000</v>
      </c>
      <c r="V55">
        <f t="shared" si="6"/>
        <v>25000000</v>
      </c>
      <c r="W55">
        <f t="shared" si="7"/>
        <v>25000000</v>
      </c>
      <c r="X55">
        <f t="shared" si="8"/>
        <v>25000000</v>
      </c>
      <c r="Y55">
        <f t="shared" si="9"/>
        <v>25000000</v>
      </c>
      <c r="Z55">
        <f t="shared" si="10"/>
        <v>25000000</v>
      </c>
      <c r="AA55">
        <f t="shared" si="11"/>
        <v>25000000</v>
      </c>
      <c r="AB55">
        <f>L55</f>
        <v>25000000</v>
      </c>
    </row>
    <row r="56" spans="1:29">
      <c r="A56" s="892" t="s">
        <v>803</v>
      </c>
      <c r="B56" s="892" t="s">
        <v>916</v>
      </c>
      <c r="C56" s="892" t="s">
        <v>926</v>
      </c>
      <c r="D56" s="892"/>
      <c r="E56" s="892" t="s">
        <v>927</v>
      </c>
      <c r="F56" s="892" t="s">
        <v>928</v>
      </c>
      <c r="G56" s="892" t="s">
        <v>840</v>
      </c>
      <c r="H56" s="892" t="s">
        <v>781</v>
      </c>
      <c r="I56" s="893">
        <v>42443</v>
      </c>
      <c r="J56" s="895"/>
      <c r="K56" s="893">
        <v>42978</v>
      </c>
      <c r="L56" s="442">
        <v>15000000</v>
      </c>
      <c r="M56">
        <v>17.833333333333332</v>
      </c>
      <c r="O56" t="s">
        <v>798</v>
      </c>
      <c r="P56">
        <f t="shared" si="0"/>
        <v>15000000</v>
      </c>
      <c r="Q56">
        <f t="shared" si="1"/>
        <v>15000000</v>
      </c>
      <c r="R56">
        <f t="shared" si="2"/>
        <v>15000000</v>
      </c>
      <c r="S56">
        <f t="shared" si="3"/>
        <v>15000000</v>
      </c>
      <c r="T56">
        <f t="shared" si="4"/>
        <v>15000000</v>
      </c>
      <c r="U56">
        <f t="shared" si="5"/>
        <v>15000000</v>
      </c>
      <c r="V56">
        <f t="shared" si="6"/>
        <v>15000000</v>
      </c>
      <c r="W56">
        <f t="shared" si="7"/>
        <v>15000000</v>
      </c>
      <c r="X56">
        <f t="shared" si="8"/>
        <v>15000000</v>
      </c>
      <c r="Y56">
        <f t="shared" si="9"/>
        <v>15000000</v>
      </c>
      <c r="Z56">
        <f t="shared" si="10"/>
        <v>15000000</v>
      </c>
      <c r="AA56">
        <f t="shared" si="11"/>
        <v>15000000</v>
      </c>
      <c r="AB56">
        <f t="shared" ref="AB56:AB98" si="12">L56</f>
        <v>15000000</v>
      </c>
    </row>
    <row r="57" spans="1:29">
      <c r="A57" s="892" t="s">
        <v>803</v>
      </c>
      <c r="B57" s="892" t="s">
        <v>929</v>
      </c>
      <c r="C57" s="892" t="s">
        <v>930</v>
      </c>
      <c r="D57" s="892"/>
      <c r="E57" s="892" t="s">
        <v>931</v>
      </c>
      <c r="F57" s="892" t="s">
        <v>932</v>
      </c>
      <c r="G57" s="892" t="s">
        <v>840</v>
      </c>
      <c r="H57" s="892" t="s">
        <v>781</v>
      </c>
      <c r="I57" s="893">
        <v>42474</v>
      </c>
      <c r="J57" s="894"/>
      <c r="K57" s="893">
        <v>43008</v>
      </c>
      <c r="L57" s="442">
        <v>15000000</v>
      </c>
      <c r="M57">
        <v>17.8</v>
      </c>
      <c r="O57" t="s">
        <v>798</v>
      </c>
      <c r="P57">
        <f t="shared" si="0"/>
        <v>15000000</v>
      </c>
      <c r="Q57">
        <f t="shared" si="1"/>
        <v>15000000</v>
      </c>
      <c r="R57">
        <f t="shared" si="2"/>
        <v>15000000</v>
      </c>
      <c r="S57">
        <f t="shared" si="3"/>
        <v>15000000</v>
      </c>
      <c r="T57">
        <f t="shared" si="4"/>
        <v>15000000</v>
      </c>
      <c r="U57">
        <f t="shared" si="5"/>
        <v>15000000</v>
      </c>
      <c r="V57">
        <f t="shared" si="6"/>
        <v>15000000</v>
      </c>
      <c r="W57">
        <f t="shared" si="7"/>
        <v>15000000</v>
      </c>
      <c r="X57">
        <f t="shared" si="8"/>
        <v>15000000</v>
      </c>
      <c r="Y57">
        <f t="shared" si="9"/>
        <v>15000000</v>
      </c>
      <c r="Z57">
        <f t="shared" si="10"/>
        <v>15000000</v>
      </c>
      <c r="AA57">
        <f t="shared" si="11"/>
        <v>15000000</v>
      </c>
      <c r="AB57">
        <f t="shared" si="12"/>
        <v>15000000</v>
      </c>
      <c r="AC57">
        <f>L57</f>
        <v>15000000</v>
      </c>
    </row>
    <row r="58" spans="1:29">
      <c r="A58" s="892" t="s">
        <v>783</v>
      </c>
      <c r="B58" s="892" t="s">
        <v>784</v>
      </c>
      <c r="C58" s="892" t="s">
        <v>785</v>
      </c>
      <c r="D58" s="892"/>
      <c r="E58" s="892" t="s">
        <v>933</v>
      </c>
      <c r="F58" s="892" t="s">
        <v>934</v>
      </c>
      <c r="G58" s="892" t="s">
        <v>840</v>
      </c>
      <c r="H58" s="892" t="s">
        <v>781</v>
      </c>
      <c r="I58" s="893">
        <v>42263</v>
      </c>
      <c r="J58" s="895"/>
      <c r="K58" s="893">
        <v>43008</v>
      </c>
      <c r="L58" s="442">
        <v>20000000</v>
      </c>
      <c r="M58">
        <v>24.833333333333332</v>
      </c>
      <c r="O58" t="s">
        <v>782</v>
      </c>
      <c r="P58">
        <f t="shared" si="0"/>
        <v>20000000</v>
      </c>
      <c r="Q58">
        <f t="shared" si="1"/>
        <v>20000000</v>
      </c>
      <c r="R58">
        <f t="shared" si="2"/>
        <v>20000000</v>
      </c>
      <c r="S58">
        <f t="shared" si="3"/>
        <v>20000000</v>
      </c>
      <c r="T58">
        <f t="shared" si="4"/>
        <v>20000000</v>
      </c>
      <c r="U58">
        <f t="shared" si="5"/>
        <v>20000000</v>
      </c>
      <c r="V58">
        <f t="shared" si="6"/>
        <v>20000000</v>
      </c>
      <c r="W58">
        <f t="shared" si="7"/>
        <v>20000000</v>
      </c>
      <c r="X58">
        <f t="shared" si="8"/>
        <v>20000000</v>
      </c>
      <c r="Y58">
        <f t="shared" si="9"/>
        <v>20000000</v>
      </c>
      <c r="Z58">
        <f t="shared" si="10"/>
        <v>20000000</v>
      </c>
      <c r="AA58">
        <f t="shared" si="11"/>
        <v>20000000</v>
      </c>
      <c r="AB58">
        <f t="shared" si="12"/>
        <v>20000000</v>
      </c>
      <c r="AC58">
        <f t="shared" ref="AC58:AC98" si="13">L58</f>
        <v>20000000</v>
      </c>
    </row>
    <row r="59" spans="1:29">
      <c r="A59" s="892" t="s">
        <v>783</v>
      </c>
      <c r="B59" s="892" t="s">
        <v>784</v>
      </c>
      <c r="C59" s="892" t="s">
        <v>785</v>
      </c>
      <c r="D59" s="892"/>
      <c r="E59" s="892" t="s">
        <v>935</v>
      </c>
      <c r="F59" s="892" t="s">
        <v>936</v>
      </c>
      <c r="G59" s="892" t="s">
        <v>840</v>
      </c>
      <c r="H59" s="892" t="s">
        <v>781</v>
      </c>
      <c r="I59" s="893">
        <v>42263</v>
      </c>
      <c r="J59" s="895"/>
      <c r="K59" s="893">
        <v>43008</v>
      </c>
      <c r="L59" s="442">
        <v>20000000</v>
      </c>
      <c r="M59">
        <v>24.833333333333332</v>
      </c>
      <c r="O59" t="s">
        <v>782</v>
      </c>
      <c r="P59">
        <f t="shared" si="0"/>
        <v>20000000</v>
      </c>
      <c r="Q59">
        <f t="shared" si="1"/>
        <v>20000000</v>
      </c>
      <c r="R59">
        <f t="shared" si="2"/>
        <v>20000000</v>
      </c>
      <c r="S59">
        <f t="shared" si="3"/>
        <v>20000000</v>
      </c>
      <c r="T59">
        <f t="shared" si="4"/>
        <v>20000000</v>
      </c>
      <c r="U59">
        <f t="shared" si="5"/>
        <v>20000000</v>
      </c>
      <c r="V59">
        <f t="shared" si="6"/>
        <v>20000000</v>
      </c>
      <c r="W59">
        <f t="shared" si="7"/>
        <v>20000000</v>
      </c>
      <c r="X59">
        <f t="shared" si="8"/>
        <v>20000000</v>
      </c>
      <c r="Y59">
        <f t="shared" si="9"/>
        <v>20000000</v>
      </c>
      <c r="Z59">
        <f t="shared" si="10"/>
        <v>20000000</v>
      </c>
      <c r="AA59">
        <f t="shared" si="11"/>
        <v>20000000</v>
      </c>
      <c r="AB59">
        <f t="shared" si="12"/>
        <v>20000000</v>
      </c>
      <c r="AC59">
        <f t="shared" si="13"/>
        <v>20000000</v>
      </c>
    </row>
    <row r="60" spans="1:29">
      <c r="A60" s="892" t="s">
        <v>783</v>
      </c>
      <c r="B60" s="892" t="s">
        <v>784</v>
      </c>
      <c r="C60" s="892" t="s">
        <v>785</v>
      </c>
      <c r="D60" s="892"/>
      <c r="E60" s="892" t="s">
        <v>937</v>
      </c>
      <c r="F60" s="892" t="s">
        <v>938</v>
      </c>
      <c r="G60" s="892" t="s">
        <v>840</v>
      </c>
      <c r="H60" s="892" t="s">
        <v>781</v>
      </c>
      <c r="I60" s="893">
        <v>42263</v>
      </c>
      <c r="J60" s="895"/>
      <c r="K60" s="893">
        <v>43008</v>
      </c>
      <c r="L60" s="442">
        <v>20000000</v>
      </c>
      <c r="M60">
        <v>24.833333333333332</v>
      </c>
      <c r="O60" t="s">
        <v>782</v>
      </c>
      <c r="P60">
        <f t="shared" si="0"/>
        <v>20000000</v>
      </c>
      <c r="Q60">
        <f t="shared" si="1"/>
        <v>20000000</v>
      </c>
      <c r="R60">
        <f t="shared" si="2"/>
        <v>20000000</v>
      </c>
      <c r="S60">
        <f t="shared" si="3"/>
        <v>20000000</v>
      </c>
      <c r="T60">
        <f t="shared" si="4"/>
        <v>20000000</v>
      </c>
      <c r="U60">
        <f t="shared" si="5"/>
        <v>20000000</v>
      </c>
      <c r="V60">
        <f t="shared" si="6"/>
        <v>20000000</v>
      </c>
      <c r="W60">
        <f t="shared" si="7"/>
        <v>20000000</v>
      </c>
      <c r="X60">
        <f t="shared" si="8"/>
        <v>20000000</v>
      </c>
      <c r="Y60">
        <f t="shared" si="9"/>
        <v>20000000</v>
      </c>
      <c r="Z60">
        <f t="shared" si="10"/>
        <v>20000000</v>
      </c>
      <c r="AA60">
        <f t="shared" si="11"/>
        <v>20000000</v>
      </c>
      <c r="AB60">
        <f t="shared" si="12"/>
        <v>20000000</v>
      </c>
      <c r="AC60">
        <f t="shared" si="13"/>
        <v>20000000</v>
      </c>
    </row>
    <row r="61" spans="1:29">
      <c r="A61" s="892" t="s">
        <v>827</v>
      </c>
      <c r="B61" s="892" t="s">
        <v>828</v>
      </c>
      <c r="C61" s="892" t="s">
        <v>883</v>
      </c>
      <c r="D61" s="892"/>
      <c r="E61" s="892" t="s">
        <v>939</v>
      </c>
      <c r="F61" s="892" t="s">
        <v>940</v>
      </c>
      <c r="G61" s="892" t="s">
        <v>840</v>
      </c>
      <c r="H61" s="892" t="s">
        <v>781</v>
      </c>
      <c r="I61" s="893">
        <v>42445</v>
      </c>
      <c r="J61" s="896"/>
      <c r="K61" s="893">
        <v>43008</v>
      </c>
      <c r="L61" s="442">
        <v>15000000</v>
      </c>
      <c r="M61">
        <v>18.766666666666666</v>
      </c>
      <c r="O61" t="s">
        <v>798</v>
      </c>
      <c r="P61">
        <f t="shared" si="0"/>
        <v>15000000</v>
      </c>
      <c r="Q61">
        <f t="shared" si="1"/>
        <v>15000000</v>
      </c>
      <c r="R61">
        <f t="shared" si="2"/>
        <v>15000000</v>
      </c>
      <c r="S61">
        <f t="shared" si="3"/>
        <v>15000000</v>
      </c>
      <c r="T61">
        <f t="shared" si="4"/>
        <v>15000000</v>
      </c>
      <c r="U61">
        <f t="shared" si="5"/>
        <v>15000000</v>
      </c>
      <c r="V61">
        <f t="shared" si="6"/>
        <v>15000000</v>
      </c>
      <c r="W61">
        <f t="shared" si="7"/>
        <v>15000000</v>
      </c>
      <c r="X61">
        <f t="shared" si="8"/>
        <v>15000000</v>
      </c>
      <c r="Y61">
        <f t="shared" si="9"/>
        <v>15000000</v>
      </c>
      <c r="Z61">
        <f t="shared" si="10"/>
        <v>15000000</v>
      </c>
      <c r="AA61">
        <f t="shared" si="11"/>
        <v>15000000</v>
      </c>
      <c r="AB61">
        <f t="shared" si="12"/>
        <v>15000000</v>
      </c>
      <c r="AC61">
        <f t="shared" si="13"/>
        <v>15000000</v>
      </c>
    </row>
    <row r="62" spans="1:29">
      <c r="A62" s="892" t="s">
        <v>783</v>
      </c>
      <c r="B62" s="892" t="s">
        <v>864</v>
      </c>
      <c r="C62" s="892" t="s">
        <v>865</v>
      </c>
      <c r="D62" s="892"/>
      <c r="E62" s="892" t="s">
        <v>941</v>
      </c>
      <c r="F62" s="892" t="s">
        <v>942</v>
      </c>
      <c r="G62" s="892" t="s">
        <v>840</v>
      </c>
      <c r="H62" s="892" t="s">
        <v>781</v>
      </c>
      <c r="I62" s="893">
        <v>42445</v>
      </c>
      <c r="J62" s="894"/>
      <c r="K62" s="893">
        <v>43008</v>
      </c>
      <c r="L62" s="442">
        <v>20000000</v>
      </c>
      <c r="M62">
        <v>18.766666666666666</v>
      </c>
      <c r="O62" t="s">
        <v>798</v>
      </c>
      <c r="P62">
        <f t="shared" si="0"/>
        <v>20000000</v>
      </c>
      <c r="Q62">
        <f t="shared" si="1"/>
        <v>20000000</v>
      </c>
      <c r="R62">
        <f t="shared" si="2"/>
        <v>20000000</v>
      </c>
      <c r="S62">
        <f t="shared" si="3"/>
        <v>20000000</v>
      </c>
      <c r="T62">
        <f t="shared" si="4"/>
        <v>20000000</v>
      </c>
      <c r="U62">
        <f t="shared" si="5"/>
        <v>20000000</v>
      </c>
      <c r="V62">
        <f t="shared" si="6"/>
        <v>20000000</v>
      </c>
      <c r="W62">
        <f t="shared" si="7"/>
        <v>20000000</v>
      </c>
      <c r="X62">
        <f t="shared" si="8"/>
        <v>20000000</v>
      </c>
      <c r="Y62">
        <f t="shared" si="9"/>
        <v>20000000</v>
      </c>
      <c r="Z62">
        <f t="shared" si="10"/>
        <v>20000000</v>
      </c>
      <c r="AA62">
        <f t="shared" si="11"/>
        <v>20000000</v>
      </c>
      <c r="AB62">
        <f t="shared" si="12"/>
        <v>20000000</v>
      </c>
      <c r="AC62">
        <f t="shared" si="13"/>
        <v>20000000</v>
      </c>
    </row>
    <row r="63" spans="1:29">
      <c r="A63" s="892" t="s">
        <v>803</v>
      </c>
      <c r="B63" s="892" t="s">
        <v>929</v>
      </c>
      <c r="C63" s="892" t="s">
        <v>943</v>
      </c>
      <c r="D63" s="892"/>
      <c r="E63" s="892" t="s">
        <v>944</v>
      </c>
      <c r="F63" s="892" t="s">
        <v>945</v>
      </c>
      <c r="G63" s="892" t="s">
        <v>840</v>
      </c>
      <c r="H63" s="892" t="s">
        <v>781</v>
      </c>
      <c r="I63" s="893">
        <v>42452</v>
      </c>
      <c r="J63" s="894"/>
      <c r="K63" s="893">
        <v>43008</v>
      </c>
      <c r="L63" s="442">
        <v>15000000</v>
      </c>
      <c r="M63">
        <v>18.533333333333335</v>
      </c>
      <c r="O63" t="s">
        <v>798</v>
      </c>
      <c r="P63">
        <f t="shared" si="0"/>
        <v>15000000</v>
      </c>
      <c r="Q63">
        <f t="shared" si="1"/>
        <v>15000000</v>
      </c>
      <c r="R63">
        <f t="shared" si="2"/>
        <v>15000000</v>
      </c>
      <c r="S63">
        <f t="shared" si="3"/>
        <v>15000000</v>
      </c>
      <c r="T63">
        <f t="shared" si="4"/>
        <v>15000000</v>
      </c>
      <c r="U63">
        <f t="shared" si="5"/>
        <v>15000000</v>
      </c>
      <c r="V63">
        <f t="shared" si="6"/>
        <v>15000000</v>
      </c>
      <c r="W63">
        <f t="shared" si="7"/>
        <v>15000000</v>
      </c>
      <c r="X63">
        <f t="shared" si="8"/>
        <v>15000000</v>
      </c>
      <c r="Y63">
        <f t="shared" si="9"/>
        <v>15000000</v>
      </c>
      <c r="Z63">
        <f t="shared" si="10"/>
        <v>15000000</v>
      </c>
      <c r="AA63">
        <f t="shared" si="11"/>
        <v>15000000</v>
      </c>
      <c r="AB63">
        <f t="shared" si="12"/>
        <v>15000000</v>
      </c>
      <c r="AC63">
        <f t="shared" si="13"/>
        <v>15000000</v>
      </c>
    </row>
    <row r="64" spans="1:29">
      <c r="A64" s="892" t="s">
        <v>783</v>
      </c>
      <c r="B64" s="892" t="s">
        <v>864</v>
      </c>
      <c r="C64" s="892" t="s">
        <v>865</v>
      </c>
      <c r="D64" s="892"/>
      <c r="E64" s="892" t="s">
        <v>946</v>
      </c>
      <c r="F64" s="892" t="s">
        <v>947</v>
      </c>
      <c r="G64" s="892" t="s">
        <v>840</v>
      </c>
      <c r="H64" s="892" t="s">
        <v>781</v>
      </c>
      <c r="I64" s="893">
        <v>42454</v>
      </c>
      <c r="J64" s="896"/>
      <c r="K64" s="893">
        <v>43008</v>
      </c>
      <c r="L64" s="442">
        <v>20000000</v>
      </c>
      <c r="M64">
        <v>18.466666666666665</v>
      </c>
      <c r="O64" t="s">
        <v>798</v>
      </c>
      <c r="P64">
        <f t="shared" si="0"/>
        <v>20000000</v>
      </c>
      <c r="Q64">
        <f t="shared" si="1"/>
        <v>20000000</v>
      </c>
      <c r="R64">
        <f t="shared" si="2"/>
        <v>20000000</v>
      </c>
      <c r="S64">
        <f t="shared" si="3"/>
        <v>20000000</v>
      </c>
      <c r="T64">
        <f t="shared" si="4"/>
        <v>20000000</v>
      </c>
      <c r="U64">
        <f t="shared" si="5"/>
        <v>20000000</v>
      </c>
      <c r="V64">
        <f t="shared" si="6"/>
        <v>20000000</v>
      </c>
      <c r="W64">
        <f t="shared" si="7"/>
        <v>20000000</v>
      </c>
      <c r="X64">
        <f t="shared" si="8"/>
        <v>20000000</v>
      </c>
      <c r="Y64">
        <f t="shared" si="9"/>
        <v>20000000</v>
      </c>
      <c r="Z64">
        <f t="shared" si="10"/>
        <v>20000000</v>
      </c>
      <c r="AA64">
        <f t="shared" si="11"/>
        <v>20000000</v>
      </c>
      <c r="AB64">
        <f t="shared" si="12"/>
        <v>20000000</v>
      </c>
      <c r="AC64">
        <f t="shared" si="13"/>
        <v>20000000</v>
      </c>
    </row>
    <row r="65" spans="1:31">
      <c r="A65" s="892" t="s">
        <v>783</v>
      </c>
      <c r="B65" s="892" t="s">
        <v>808</v>
      </c>
      <c r="C65" s="892" t="s">
        <v>809</v>
      </c>
      <c r="D65" s="892"/>
      <c r="E65" s="892" t="s">
        <v>948</v>
      </c>
      <c r="F65" s="892" t="s">
        <v>949</v>
      </c>
      <c r="G65" s="892" t="s">
        <v>840</v>
      </c>
      <c r="H65" s="892" t="s">
        <v>781</v>
      </c>
      <c r="I65" s="893">
        <v>42454</v>
      </c>
      <c r="J65" s="894"/>
      <c r="K65" s="893">
        <v>43008</v>
      </c>
      <c r="L65" s="442">
        <v>15000000</v>
      </c>
      <c r="M65">
        <v>18.466666666666665</v>
      </c>
      <c r="O65" t="s">
        <v>798</v>
      </c>
      <c r="P65">
        <f t="shared" si="0"/>
        <v>15000000</v>
      </c>
      <c r="Q65">
        <f t="shared" si="1"/>
        <v>15000000</v>
      </c>
      <c r="R65">
        <f t="shared" si="2"/>
        <v>15000000</v>
      </c>
      <c r="S65">
        <f t="shared" si="3"/>
        <v>15000000</v>
      </c>
      <c r="T65">
        <f t="shared" si="4"/>
        <v>15000000</v>
      </c>
      <c r="U65">
        <f t="shared" si="5"/>
        <v>15000000</v>
      </c>
      <c r="V65">
        <f t="shared" si="6"/>
        <v>15000000</v>
      </c>
      <c r="W65">
        <f t="shared" si="7"/>
        <v>15000000</v>
      </c>
      <c r="X65">
        <f t="shared" si="8"/>
        <v>15000000</v>
      </c>
      <c r="Y65">
        <f t="shared" si="9"/>
        <v>15000000</v>
      </c>
      <c r="Z65">
        <f t="shared" si="10"/>
        <v>15000000</v>
      </c>
      <c r="AA65">
        <f t="shared" si="11"/>
        <v>15000000</v>
      </c>
      <c r="AB65">
        <f t="shared" si="12"/>
        <v>15000000</v>
      </c>
      <c r="AC65">
        <f t="shared" si="13"/>
        <v>15000000</v>
      </c>
    </row>
    <row r="66" spans="1:31">
      <c r="A66" s="892" t="s">
        <v>816</v>
      </c>
      <c r="B66" s="892" t="s">
        <v>817</v>
      </c>
      <c r="C66" s="892" t="s">
        <v>818</v>
      </c>
      <c r="D66" s="892"/>
      <c r="E66" s="892" t="s">
        <v>950</v>
      </c>
      <c r="F66" s="892" t="s">
        <v>951</v>
      </c>
      <c r="G66" s="892" t="s">
        <v>840</v>
      </c>
      <c r="H66" s="892" t="s">
        <v>781</v>
      </c>
      <c r="I66" s="893">
        <v>42465</v>
      </c>
      <c r="J66" s="896"/>
      <c r="K66" s="893">
        <v>43008</v>
      </c>
      <c r="L66" s="442">
        <v>15000000</v>
      </c>
      <c r="M66">
        <v>18.100000000000001</v>
      </c>
      <c r="O66" t="s">
        <v>798</v>
      </c>
      <c r="P66">
        <f t="shared" ref="P66:P98" si="14">L66</f>
        <v>15000000</v>
      </c>
      <c r="Q66">
        <f t="shared" si="1"/>
        <v>15000000</v>
      </c>
      <c r="R66">
        <f t="shared" si="2"/>
        <v>15000000</v>
      </c>
      <c r="S66">
        <f t="shared" si="3"/>
        <v>15000000</v>
      </c>
      <c r="T66">
        <f t="shared" si="4"/>
        <v>15000000</v>
      </c>
      <c r="U66">
        <f t="shared" si="5"/>
        <v>15000000</v>
      </c>
      <c r="V66">
        <f t="shared" si="6"/>
        <v>15000000</v>
      </c>
      <c r="W66">
        <f t="shared" si="7"/>
        <v>15000000</v>
      </c>
      <c r="X66">
        <f t="shared" si="8"/>
        <v>15000000</v>
      </c>
      <c r="Y66">
        <f t="shared" si="9"/>
        <v>15000000</v>
      </c>
      <c r="Z66">
        <f t="shared" si="10"/>
        <v>15000000</v>
      </c>
      <c r="AA66">
        <f t="shared" si="11"/>
        <v>15000000</v>
      </c>
      <c r="AB66">
        <f t="shared" si="12"/>
        <v>15000000</v>
      </c>
      <c r="AC66">
        <f t="shared" si="13"/>
        <v>15000000</v>
      </c>
    </row>
    <row r="67" spans="1:31">
      <c r="A67" s="892" t="s">
        <v>776</v>
      </c>
      <c r="B67" s="892" t="s">
        <v>799</v>
      </c>
      <c r="C67" s="892" t="s">
        <v>906</v>
      </c>
      <c r="D67" s="892"/>
      <c r="E67" s="892" t="s">
        <v>952</v>
      </c>
      <c r="F67" s="892" t="s">
        <v>953</v>
      </c>
      <c r="G67" s="892" t="s">
        <v>628</v>
      </c>
      <c r="H67" s="892" t="s">
        <v>781</v>
      </c>
      <c r="I67" s="893">
        <v>42488</v>
      </c>
      <c r="J67" s="895"/>
      <c r="K67" s="893">
        <v>43039</v>
      </c>
      <c r="L67" s="442">
        <v>30000000</v>
      </c>
      <c r="M67">
        <v>18.366666666666667</v>
      </c>
      <c r="O67" t="s">
        <v>798</v>
      </c>
      <c r="P67">
        <f t="shared" si="14"/>
        <v>30000000</v>
      </c>
      <c r="Q67">
        <f t="shared" si="1"/>
        <v>30000000</v>
      </c>
      <c r="R67">
        <f t="shared" si="2"/>
        <v>30000000</v>
      </c>
      <c r="S67">
        <f t="shared" si="3"/>
        <v>30000000</v>
      </c>
      <c r="T67">
        <f t="shared" si="4"/>
        <v>30000000</v>
      </c>
      <c r="U67">
        <f t="shared" si="5"/>
        <v>30000000</v>
      </c>
      <c r="V67">
        <f t="shared" si="6"/>
        <v>30000000</v>
      </c>
      <c r="W67">
        <f t="shared" si="7"/>
        <v>30000000</v>
      </c>
      <c r="X67">
        <f t="shared" si="8"/>
        <v>30000000</v>
      </c>
      <c r="Y67">
        <f t="shared" si="9"/>
        <v>30000000</v>
      </c>
      <c r="Z67">
        <f t="shared" si="10"/>
        <v>30000000</v>
      </c>
      <c r="AA67">
        <f t="shared" si="11"/>
        <v>30000000</v>
      </c>
      <c r="AB67">
        <f t="shared" si="12"/>
        <v>30000000</v>
      </c>
      <c r="AC67">
        <f t="shared" si="13"/>
        <v>30000000</v>
      </c>
      <c r="AD67">
        <f>L67</f>
        <v>30000000</v>
      </c>
    </row>
    <row r="68" spans="1:31">
      <c r="A68" s="892" t="s">
        <v>783</v>
      </c>
      <c r="B68" s="892" t="s">
        <v>784</v>
      </c>
      <c r="C68" s="892" t="s">
        <v>857</v>
      </c>
      <c r="D68" s="892"/>
      <c r="E68" s="892" t="s">
        <v>954</v>
      </c>
      <c r="F68" s="892" t="s">
        <v>955</v>
      </c>
      <c r="G68" s="892" t="s">
        <v>913</v>
      </c>
      <c r="H68" s="892" t="s">
        <v>781</v>
      </c>
      <c r="I68" s="893">
        <v>42305</v>
      </c>
      <c r="J68" s="894"/>
      <c r="K68" s="893">
        <v>43039</v>
      </c>
      <c r="L68" s="442">
        <v>20000000</v>
      </c>
      <c r="M68">
        <v>24.466666666666665</v>
      </c>
      <c r="O68" t="s">
        <v>782</v>
      </c>
      <c r="P68">
        <f t="shared" si="14"/>
        <v>20000000</v>
      </c>
      <c r="Q68">
        <f t="shared" si="1"/>
        <v>20000000</v>
      </c>
      <c r="R68">
        <f t="shared" si="2"/>
        <v>20000000</v>
      </c>
      <c r="S68">
        <f t="shared" si="3"/>
        <v>20000000</v>
      </c>
      <c r="T68">
        <f t="shared" si="4"/>
        <v>20000000</v>
      </c>
      <c r="U68">
        <f t="shared" si="5"/>
        <v>20000000</v>
      </c>
      <c r="V68">
        <f t="shared" si="6"/>
        <v>20000000</v>
      </c>
      <c r="W68">
        <f t="shared" si="7"/>
        <v>20000000</v>
      </c>
      <c r="X68">
        <f t="shared" si="8"/>
        <v>20000000</v>
      </c>
      <c r="Y68">
        <f t="shared" si="9"/>
        <v>20000000</v>
      </c>
      <c r="Z68">
        <f t="shared" si="10"/>
        <v>20000000</v>
      </c>
      <c r="AA68">
        <f t="shared" si="11"/>
        <v>20000000</v>
      </c>
      <c r="AB68">
        <f t="shared" si="12"/>
        <v>20000000</v>
      </c>
      <c r="AC68">
        <f t="shared" si="13"/>
        <v>20000000</v>
      </c>
      <c r="AD68">
        <f t="shared" ref="AD68:AD98" si="15">L68</f>
        <v>20000000</v>
      </c>
    </row>
    <row r="69" spans="1:31">
      <c r="A69" s="892" t="s">
        <v>783</v>
      </c>
      <c r="B69" s="892" t="s">
        <v>808</v>
      </c>
      <c r="C69" s="892" t="s">
        <v>841</v>
      </c>
      <c r="D69" s="892"/>
      <c r="E69" s="892" t="s">
        <v>956</v>
      </c>
      <c r="F69" s="892" t="s">
        <v>957</v>
      </c>
      <c r="G69" s="892" t="s">
        <v>840</v>
      </c>
      <c r="H69" s="892" t="s">
        <v>781</v>
      </c>
      <c r="I69" s="893">
        <v>42479</v>
      </c>
      <c r="J69" s="895"/>
      <c r="K69" s="893">
        <v>43039</v>
      </c>
      <c r="L69" s="442">
        <v>15000000</v>
      </c>
      <c r="M69">
        <v>18.666666666666668</v>
      </c>
      <c r="O69" t="s">
        <v>798</v>
      </c>
      <c r="P69">
        <f t="shared" si="14"/>
        <v>15000000</v>
      </c>
      <c r="Q69">
        <f t="shared" ref="Q69:Q98" si="16">L69</f>
        <v>15000000</v>
      </c>
      <c r="R69">
        <f t="shared" si="2"/>
        <v>15000000</v>
      </c>
      <c r="S69">
        <f t="shared" si="3"/>
        <v>15000000</v>
      </c>
      <c r="T69">
        <f t="shared" si="4"/>
        <v>15000000</v>
      </c>
      <c r="U69">
        <f t="shared" si="5"/>
        <v>15000000</v>
      </c>
      <c r="V69">
        <f t="shared" si="6"/>
        <v>15000000</v>
      </c>
      <c r="W69">
        <f t="shared" si="7"/>
        <v>15000000</v>
      </c>
      <c r="X69">
        <f t="shared" si="8"/>
        <v>15000000</v>
      </c>
      <c r="Y69">
        <f t="shared" si="9"/>
        <v>15000000</v>
      </c>
      <c r="Z69">
        <f t="shared" si="10"/>
        <v>15000000</v>
      </c>
      <c r="AA69">
        <f t="shared" si="11"/>
        <v>15000000</v>
      </c>
      <c r="AB69">
        <f t="shared" si="12"/>
        <v>15000000</v>
      </c>
      <c r="AC69">
        <f t="shared" si="13"/>
        <v>15000000</v>
      </c>
      <c r="AD69">
        <f t="shared" si="15"/>
        <v>15000000</v>
      </c>
    </row>
    <row r="70" spans="1:31">
      <c r="A70" s="892" t="s">
        <v>958</v>
      </c>
      <c r="B70" s="892" t="s">
        <v>959</v>
      </c>
      <c r="C70" s="892" t="s">
        <v>960</v>
      </c>
      <c r="D70" s="892"/>
      <c r="E70" s="892" t="s">
        <v>961</v>
      </c>
      <c r="F70" s="892" t="s">
        <v>962</v>
      </c>
      <c r="G70" s="892" t="s">
        <v>840</v>
      </c>
      <c r="H70" s="892" t="s">
        <v>781</v>
      </c>
      <c r="I70" s="893">
        <v>42480</v>
      </c>
      <c r="J70" s="895"/>
      <c r="K70" s="893">
        <v>43039</v>
      </c>
      <c r="L70" s="442">
        <v>15000000</v>
      </c>
      <c r="M70">
        <v>18.633333333333333</v>
      </c>
      <c r="O70" t="s">
        <v>798</v>
      </c>
      <c r="P70">
        <f t="shared" si="14"/>
        <v>15000000</v>
      </c>
      <c r="Q70">
        <f t="shared" si="16"/>
        <v>15000000</v>
      </c>
      <c r="R70">
        <f t="shared" si="2"/>
        <v>15000000</v>
      </c>
      <c r="S70">
        <f t="shared" si="3"/>
        <v>15000000</v>
      </c>
      <c r="T70">
        <f t="shared" si="4"/>
        <v>15000000</v>
      </c>
      <c r="U70">
        <f t="shared" si="5"/>
        <v>15000000</v>
      </c>
      <c r="V70">
        <f t="shared" si="6"/>
        <v>15000000</v>
      </c>
      <c r="W70">
        <f t="shared" si="7"/>
        <v>15000000</v>
      </c>
      <c r="X70">
        <f t="shared" si="8"/>
        <v>15000000</v>
      </c>
      <c r="Y70">
        <f t="shared" si="9"/>
        <v>15000000</v>
      </c>
      <c r="Z70">
        <f t="shared" si="10"/>
        <v>15000000</v>
      </c>
      <c r="AA70">
        <f t="shared" si="11"/>
        <v>15000000</v>
      </c>
      <c r="AB70">
        <f t="shared" si="12"/>
        <v>15000000</v>
      </c>
      <c r="AC70">
        <f t="shared" si="13"/>
        <v>15000000</v>
      </c>
      <c r="AD70">
        <f t="shared" si="15"/>
        <v>15000000</v>
      </c>
    </row>
    <row r="71" spans="1:31">
      <c r="A71" s="892" t="s">
        <v>776</v>
      </c>
      <c r="B71" s="892" t="s">
        <v>799</v>
      </c>
      <c r="C71" s="892" t="s">
        <v>899</v>
      </c>
      <c r="D71" s="892"/>
      <c r="E71" s="892" t="s">
        <v>963</v>
      </c>
      <c r="F71" s="892" t="s">
        <v>964</v>
      </c>
      <c r="G71" s="892" t="s">
        <v>840</v>
      </c>
      <c r="H71" s="892" t="s">
        <v>781</v>
      </c>
      <c r="I71" s="893">
        <v>42480</v>
      </c>
      <c r="J71" s="896"/>
      <c r="K71" s="893">
        <v>43039</v>
      </c>
      <c r="L71" s="442">
        <v>15000000</v>
      </c>
      <c r="M71">
        <v>18.633333333333333</v>
      </c>
      <c r="O71" t="s">
        <v>798</v>
      </c>
      <c r="P71">
        <f t="shared" si="14"/>
        <v>15000000</v>
      </c>
      <c r="Q71">
        <f t="shared" si="16"/>
        <v>15000000</v>
      </c>
      <c r="R71">
        <f t="shared" si="2"/>
        <v>15000000</v>
      </c>
      <c r="S71">
        <f t="shared" si="3"/>
        <v>15000000</v>
      </c>
      <c r="T71">
        <f t="shared" si="4"/>
        <v>15000000</v>
      </c>
      <c r="U71">
        <f t="shared" si="5"/>
        <v>15000000</v>
      </c>
      <c r="V71">
        <f t="shared" si="6"/>
        <v>15000000</v>
      </c>
      <c r="W71">
        <f t="shared" si="7"/>
        <v>15000000</v>
      </c>
      <c r="X71">
        <f t="shared" si="8"/>
        <v>15000000</v>
      </c>
      <c r="Y71">
        <f t="shared" si="9"/>
        <v>15000000</v>
      </c>
      <c r="Z71">
        <f t="shared" si="10"/>
        <v>15000000</v>
      </c>
      <c r="AA71">
        <f t="shared" si="11"/>
        <v>15000000</v>
      </c>
      <c r="AB71">
        <f t="shared" si="12"/>
        <v>15000000</v>
      </c>
      <c r="AC71">
        <f t="shared" si="13"/>
        <v>15000000</v>
      </c>
      <c r="AD71">
        <f t="shared" si="15"/>
        <v>15000000</v>
      </c>
    </row>
    <row r="72" spans="1:31">
      <c r="A72" s="892" t="s">
        <v>776</v>
      </c>
      <c r="B72" s="892" t="s">
        <v>799</v>
      </c>
      <c r="C72" s="892" t="s">
        <v>899</v>
      </c>
      <c r="D72" s="892"/>
      <c r="E72" s="892" t="s">
        <v>965</v>
      </c>
      <c r="F72" s="892" t="s">
        <v>966</v>
      </c>
      <c r="G72" s="892" t="s">
        <v>840</v>
      </c>
      <c r="H72" s="892" t="s">
        <v>781</v>
      </c>
      <c r="I72" s="893">
        <v>42480</v>
      </c>
      <c r="J72" s="895"/>
      <c r="K72" s="893">
        <v>43039</v>
      </c>
      <c r="L72" s="442">
        <v>15000000</v>
      </c>
      <c r="M72">
        <v>18.633333333333333</v>
      </c>
      <c r="O72" t="s">
        <v>798</v>
      </c>
      <c r="P72">
        <f t="shared" si="14"/>
        <v>15000000</v>
      </c>
      <c r="Q72">
        <f t="shared" si="16"/>
        <v>15000000</v>
      </c>
      <c r="R72">
        <f t="shared" ref="R72:R98" si="17">L72</f>
        <v>15000000</v>
      </c>
      <c r="S72">
        <f t="shared" si="3"/>
        <v>15000000</v>
      </c>
      <c r="T72">
        <f t="shared" si="4"/>
        <v>15000000</v>
      </c>
      <c r="U72">
        <f t="shared" si="5"/>
        <v>15000000</v>
      </c>
      <c r="V72">
        <f t="shared" si="6"/>
        <v>15000000</v>
      </c>
      <c r="W72">
        <f t="shared" si="7"/>
        <v>15000000</v>
      </c>
      <c r="X72">
        <f t="shared" si="8"/>
        <v>15000000</v>
      </c>
      <c r="Y72">
        <f t="shared" si="9"/>
        <v>15000000</v>
      </c>
      <c r="Z72">
        <f t="shared" si="10"/>
        <v>15000000</v>
      </c>
      <c r="AA72">
        <f t="shared" si="11"/>
        <v>15000000</v>
      </c>
      <c r="AB72">
        <f t="shared" si="12"/>
        <v>15000000</v>
      </c>
      <c r="AC72">
        <f t="shared" si="13"/>
        <v>15000000</v>
      </c>
      <c r="AD72">
        <f t="shared" si="15"/>
        <v>15000000</v>
      </c>
    </row>
    <row r="73" spans="1:31">
      <c r="A73" s="892" t="s">
        <v>783</v>
      </c>
      <c r="B73" s="892" t="s">
        <v>864</v>
      </c>
      <c r="C73" s="892" t="s">
        <v>865</v>
      </c>
      <c r="D73" s="892"/>
      <c r="E73" s="892" t="s">
        <v>967</v>
      </c>
      <c r="F73" s="892" t="s">
        <v>968</v>
      </c>
      <c r="G73" s="892" t="s">
        <v>628</v>
      </c>
      <c r="H73" s="892" t="s">
        <v>781</v>
      </c>
      <c r="I73" s="893">
        <v>42496</v>
      </c>
      <c r="J73" s="896"/>
      <c r="K73" s="893">
        <v>43039</v>
      </c>
      <c r="L73" s="442">
        <v>28000000</v>
      </c>
      <c r="M73">
        <v>18.100000000000001</v>
      </c>
      <c r="O73" t="s">
        <v>782</v>
      </c>
      <c r="P73">
        <f t="shared" si="14"/>
        <v>28000000</v>
      </c>
      <c r="Q73">
        <f t="shared" si="16"/>
        <v>28000000</v>
      </c>
      <c r="R73">
        <f t="shared" si="17"/>
        <v>28000000</v>
      </c>
      <c r="S73">
        <f t="shared" ref="S73:S98" si="18">L73</f>
        <v>28000000</v>
      </c>
      <c r="T73">
        <f t="shared" si="4"/>
        <v>28000000</v>
      </c>
      <c r="U73">
        <f t="shared" si="5"/>
        <v>28000000</v>
      </c>
      <c r="V73">
        <f t="shared" si="6"/>
        <v>28000000</v>
      </c>
      <c r="W73">
        <f t="shared" si="7"/>
        <v>28000000</v>
      </c>
      <c r="X73">
        <f t="shared" si="8"/>
        <v>28000000</v>
      </c>
      <c r="Y73">
        <f t="shared" si="9"/>
        <v>28000000</v>
      </c>
      <c r="Z73">
        <f t="shared" si="10"/>
        <v>28000000</v>
      </c>
      <c r="AA73">
        <f t="shared" si="11"/>
        <v>28000000</v>
      </c>
      <c r="AB73">
        <f t="shared" si="12"/>
        <v>28000000</v>
      </c>
      <c r="AC73">
        <f t="shared" si="13"/>
        <v>28000000</v>
      </c>
      <c r="AD73">
        <f t="shared" si="15"/>
        <v>28000000</v>
      </c>
    </row>
    <row r="74" spans="1:31">
      <c r="A74" s="892" t="s">
        <v>783</v>
      </c>
      <c r="B74" s="892" t="s">
        <v>784</v>
      </c>
      <c r="C74" s="892" t="s">
        <v>785</v>
      </c>
      <c r="D74" s="892"/>
      <c r="E74" s="892" t="s">
        <v>969</v>
      </c>
      <c r="F74" s="892" t="s">
        <v>970</v>
      </c>
      <c r="G74" s="892" t="s">
        <v>840</v>
      </c>
      <c r="H74" s="892" t="s">
        <v>781</v>
      </c>
      <c r="I74" s="893">
        <v>42496</v>
      </c>
      <c r="J74" s="895"/>
      <c r="K74" s="893">
        <v>43039</v>
      </c>
      <c r="L74" s="442">
        <v>15000000</v>
      </c>
      <c r="M74">
        <v>18.100000000000001</v>
      </c>
      <c r="O74" t="s">
        <v>798</v>
      </c>
      <c r="P74">
        <f t="shared" si="14"/>
        <v>15000000</v>
      </c>
      <c r="Q74">
        <f t="shared" si="16"/>
        <v>15000000</v>
      </c>
      <c r="R74">
        <f t="shared" si="17"/>
        <v>15000000</v>
      </c>
      <c r="S74">
        <f t="shared" si="18"/>
        <v>15000000</v>
      </c>
      <c r="T74">
        <f t="shared" si="4"/>
        <v>15000000</v>
      </c>
      <c r="U74">
        <f t="shared" si="5"/>
        <v>15000000</v>
      </c>
      <c r="V74">
        <f t="shared" si="6"/>
        <v>15000000</v>
      </c>
      <c r="W74">
        <f t="shared" si="7"/>
        <v>15000000</v>
      </c>
      <c r="X74">
        <f t="shared" si="8"/>
        <v>15000000</v>
      </c>
      <c r="Y74">
        <f t="shared" si="9"/>
        <v>15000000</v>
      </c>
      <c r="Z74">
        <f t="shared" si="10"/>
        <v>15000000</v>
      </c>
      <c r="AA74">
        <f t="shared" si="11"/>
        <v>15000000</v>
      </c>
      <c r="AB74">
        <f t="shared" si="12"/>
        <v>15000000</v>
      </c>
      <c r="AC74">
        <f t="shared" si="13"/>
        <v>15000000</v>
      </c>
      <c r="AD74">
        <f t="shared" si="15"/>
        <v>15000000</v>
      </c>
    </row>
    <row r="75" spans="1:31">
      <c r="A75" s="892" t="s">
        <v>783</v>
      </c>
      <c r="B75" s="892" t="s">
        <v>808</v>
      </c>
      <c r="C75" s="892" t="s">
        <v>809</v>
      </c>
      <c r="D75" s="892"/>
      <c r="E75" s="892" t="s">
        <v>971</v>
      </c>
      <c r="F75" s="892" t="s">
        <v>972</v>
      </c>
      <c r="G75" s="892" t="s">
        <v>840</v>
      </c>
      <c r="H75" s="892" t="s">
        <v>781</v>
      </c>
      <c r="I75" s="893">
        <v>42324</v>
      </c>
      <c r="J75" s="894"/>
      <c r="K75" s="893">
        <v>43069</v>
      </c>
      <c r="L75" s="442">
        <v>15000000</v>
      </c>
      <c r="M75">
        <v>24.833333333333332</v>
      </c>
      <c r="O75" t="s">
        <v>782</v>
      </c>
      <c r="P75">
        <f t="shared" si="14"/>
        <v>15000000</v>
      </c>
      <c r="Q75">
        <f t="shared" si="16"/>
        <v>15000000</v>
      </c>
      <c r="R75">
        <f t="shared" si="17"/>
        <v>15000000</v>
      </c>
      <c r="S75">
        <f t="shared" si="18"/>
        <v>15000000</v>
      </c>
      <c r="T75">
        <f t="shared" si="4"/>
        <v>15000000</v>
      </c>
      <c r="U75">
        <f t="shared" si="5"/>
        <v>15000000</v>
      </c>
      <c r="V75">
        <f t="shared" si="6"/>
        <v>15000000</v>
      </c>
      <c r="W75">
        <f t="shared" si="7"/>
        <v>15000000</v>
      </c>
      <c r="X75">
        <f t="shared" si="8"/>
        <v>15000000</v>
      </c>
      <c r="Y75">
        <f t="shared" si="9"/>
        <v>15000000</v>
      </c>
      <c r="Z75">
        <f t="shared" si="10"/>
        <v>15000000</v>
      </c>
      <c r="AA75">
        <f t="shared" si="11"/>
        <v>15000000</v>
      </c>
      <c r="AB75">
        <f t="shared" si="12"/>
        <v>15000000</v>
      </c>
      <c r="AC75">
        <f t="shared" si="13"/>
        <v>15000000</v>
      </c>
      <c r="AD75">
        <f t="shared" si="15"/>
        <v>15000000</v>
      </c>
      <c r="AE75">
        <f>L75</f>
        <v>15000000</v>
      </c>
    </row>
    <row r="76" spans="1:31">
      <c r="A76" s="892" t="s">
        <v>816</v>
      </c>
      <c r="B76" s="892" t="s">
        <v>817</v>
      </c>
      <c r="C76" s="892" t="s">
        <v>818</v>
      </c>
      <c r="D76" s="892"/>
      <c r="E76" s="892" t="s">
        <v>973</v>
      </c>
      <c r="F76" s="892" t="s">
        <v>974</v>
      </c>
      <c r="G76" s="892" t="s">
        <v>840</v>
      </c>
      <c r="H76" s="892" t="s">
        <v>781</v>
      </c>
      <c r="I76" s="893">
        <v>42328</v>
      </c>
      <c r="J76" s="895"/>
      <c r="K76" s="893">
        <v>43069</v>
      </c>
      <c r="L76" s="442">
        <v>30000000</v>
      </c>
      <c r="M76">
        <v>24.7</v>
      </c>
      <c r="O76" t="s">
        <v>782</v>
      </c>
      <c r="P76">
        <f t="shared" si="14"/>
        <v>30000000</v>
      </c>
      <c r="Q76">
        <f t="shared" si="16"/>
        <v>30000000</v>
      </c>
      <c r="R76">
        <f t="shared" si="17"/>
        <v>30000000</v>
      </c>
      <c r="S76">
        <f t="shared" si="18"/>
        <v>30000000</v>
      </c>
      <c r="T76">
        <f t="shared" si="4"/>
        <v>30000000</v>
      </c>
      <c r="U76">
        <f t="shared" si="5"/>
        <v>30000000</v>
      </c>
      <c r="V76">
        <f t="shared" si="6"/>
        <v>30000000</v>
      </c>
      <c r="W76">
        <f t="shared" si="7"/>
        <v>30000000</v>
      </c>
      <c r="X76">
        <f t="shared" si="8"/>
        <v>30000000</v>
      </c>
      <c r="Y76">
        <f t="shared" si="9"/>
        <v>30000000</v>
      </c>
      <c r="Z76">
        <f t="shared" si="10"/>
        <v>30000000</v>
      </c>
      <c r="AA76">
        <f t="shared" si="11"/>
        <v>30000000</v>
      </c>
      <c r="AB76">
        <f t="shared" si="12"/>
        <v>30000000</v>
      </c>
      <c r="AC76">
        <f t="shared" si="13"/>
        <v>30000000</v>
      </c>
      <c r="AD76">
        <f t="shared" si="15"/>
        <v>30000000</v>
      </c>
      <c r="AE76">
        <f t="shared" ref="AE76:AE98" si="19">L76</f>
        <v>30000000</v>
      </c>
    </row>
    <row r="77" spans="1:31">
      <c r="A77" s="892" t="s">
        <v>783</v>
      </c>
      <c r="B77" s="892" t="s">
        <v>864</v>
      </c>
      <c r="C77" s="892" t="s">
        <v>975</v>
      </c>
      <c r="D77" s="892"/>
      <c r="E77" s="892" t="s">
        <v>976</v>
      </c>
      <c r="F77" s="892" t="s">
        <v>977</v>
      </c>
      <c r="G77" s="892" t="s">
        <v>913</v>
      </c>
      <c r="H77" s="892" t="s">
        <v>781</v>
      </c>
      <c r="I77" s="893">
        <v>42332</v>
      </c>
      <c r="J77" s="895"/>
      <c r="K77" s="893">
        <v>43069</v>
      </c>
      <c r="L77" s="442">
        <v>20000000</v>
      </c>
      <c r="M77">
        <v>24.566666666666666</v>
      </c>
      <c r="O77" t="s">
        <v>782</v>
      </c>
      <c r="P77">
        <f t="shared" si="14"/>
        <v>20000000</v>
      </c>
      <c r="Q77">
        <f t="shared" si="16"/>
        <v>20000000</v>
      </c>
      <c r="R77">
        <f t="shared" si="17"/>
        <v>20000000</v>
      </c>
      <c r="S77">
        <f t="shared" si="18"/>
        <v>20000000</v>
      </c>
      <c r="T77">
        <f t="shared" si="4"/>
        <v>20000000</v>
      </c>
      <c r="U77">
        <f t="shared" si="5"/>
        <v>20000000</v>
      </c>
      <c r="V77">
        <f t="shared" si="6"/>
        <v>20000000</v>
      </c>
      <c r="W77">
        <f t="shared" si="7"/>
        <v>20000000</v>
      </c>
      <c r="X77">
        <f t="shared" si="8"/>
        <v>20000000</v>
      </c>
      <c r="Y77">
        <f t="shared" si="9"/>
        <v>20000000</v>
      </c>
      <c r="Z77">
        <f t="shared" si="10"/>
        <v>20000000</v>
      </c>
      <c r="AA77">
        <f t="shared" si="11"/>
        <v>20000000</v>
      </c>
      <c r="AB77">
        <f t="shared" si="12"/>
        <v>20000000</v>
      </c>
      <c r="AC77">
        <f t="shared" si="13"/>
        <v>20000000</v>
      </c>
      <c r="AD77">
        <f t="shared" si="15"/>
        <v>20000000</v>
      </c>
      <c r="AE77">
        <f t="shared" si="19"/>
        <v>20000000</v>
      </c>
    </row>
    <row r="78" spans="1:31">
      <c r="A78" s="892" t="s">
        <v>803</v>
      </c>
      <c r="B78" s="892" t="s">
        <v>929</v>
      </c>
      <c r="C78" s="892" t="s">
        <v>943</v>
      </c>
      <c r="D78" s="892"/>
      <c r="E78" s="892" t="s">
        <v>978</v>
      </c>
      <c r="F78" s="892" t="s">
        <v>979</v>
      </c>
      <c r="G78" s="892" t="s">
        <v>840</v>
      </c>
      <c r="H78" s="892" t="s">
        <v>781</v>
      </c>
      <c r="I78" s="893">
        <v>42333</v>
      </c>
      <c r="J78" s="895"/>
      <c r="K78" s="893">
        <v>43069</v>
      </c>
      <c r="L78" s="442">
        <v>20000000</v>
      </c>
      <c r="M78">
        <v>24.533333333333335</v>
      </c>
      <c r="O78" t="s">
        <v>782</v>
      </c>
      <c r="P78">
        <f t="shared" si="14"/>
        <v>20000000</v>
      </c>
      <c r="Q78">
        <f t="shared" si="16"/>
        <v>20000000</v>
      </c>
      <c r="R78">
        <f t="shared" si="17"/>
        <v>20000000</v>
      </c>
      <c r="S78">
        <f t="shared" si="18"/>
        <v>20000000</v>
      </c>
      <c r="T78">
        <f t="shared" ref="T78:T98" si="20">L78</f>
        <v>20000000</v>
      </c>
      <c r="U78">
        <f t="shared" si="5"/>
        <v>20000000</v>
      </c>
      <c r="V78">
        <f t="shared" si="6"/>
        <v>20000000</v>
      </c>
      <c r="W78">
        <f t="shared" si="7"/>
        <v>20000000</v>
      </c>
      <c r="X78">
        <f t="shared" si="8"/>
        <v>20000000</v>
      </c>
      <c r="Y78">
        <f t="shared" si="9"/>
        <v>20000000</v>
      </c>
      <c r="Z78">
        <f t="shared" si="10"/>
        <v>20000000</v>
      </c>
      <c r="AA78">
        <f t="shared" si="11"/>
        <v>20000000</v>
      </c>
      <c r="AB78">
        <f t="shared" si="12"/>
        <v>20000000</v>
      </c>
      <c r="AC78">
        <f t="shared" si="13"/>
        <v>20000000</v>
      </c>
      <c r="AD78">
        <f t="shared" si="15"/>
        <v>20000000</v>
      </c>
      <c r="AE78">
        <f t="shared" si="19"/>
        <v>20000000</v>
      </c>
    </row>
    <row r="79" spans="1:31">
      <c r="A79" s="892" t="s">
        <v>827</v>
      </c>
      <c r="B79" s="892" t="s">
        <v>828</v>
      </c>
      <c r="C79" s="892" t="s">
        <v>883</v>
      </c>
      <c r="D79" s="892"/>
      <c r="E79" s="892" t="s">
        <v>980</v>
      </c>
      <c r="F79" s="892" t="s">
        <v>981</v>
      </c>
      <c r="G79" s="892" t="s">
        <v>840</v>
      </c>
      <c r="H79" s="892" t="s">
        <v>781</v>
      </c>
      <c r="I79" s="893">
        <v>42349</v>
      </c>
      <c r="J79" s="896"/>
      <c r="K79" s="893">
        <v>43069</v>
      </c>
      <c r="L79" s="442">
        <v>20000000</v>
      </c>
      <c r="M79">
        <v>24</v>
      </c>
      <c r="O79" t="s">
        <v>782</v>
      </c>
      <c r="P79">
        <f t="shared" si="14"/>
        <v>20000000</v>
      </c>
      <c r="Q79">
        <f t="shared" si="16"/>
        <v>20000000</v>
      </c>
      <c r="R79">
        <f t="shared" si="17"/>
        <v>20000000</v>
      </c>
      <c r="S79">
        <f t="shared" si="18"/>
        <v>20000000</v>
      </c>
      <c r="T79">
        <f t="shared" si="20"/>
        <v>20000000</v>
      </c>
      <c r="U79">
        <f t="shared" si="5"/>
        <v>20000000</v>
      </c>
      <c r="V79">
        <f t="shared" si="6"/>
        <v>20000000</v>
      </c>
      <c r="W79">
        <f t="shared" si="7"/>
        <v>20000000</v>
      </c>
      <c r="X79">
        <f t="shared" si="8"/>
        <v>20000000</v>
      </c>
      <c r="Y79">
        <f t="shared" si="9"/>
        <v>20000000</v>
      </c>
      <c r="Z79">
        <f t="shared" si="10"/>
        <v>20000000</v>
      </c>
      <c r="AA79">
        <f t="shared" si="11"/>
        <v>20000000</v>
      </c>
      <c r="AB79">
        <f t="shared" si="12"/>
        <v>20000000</v>
      </c>
      <c r="AC79">
        <f t="shared" si="13"/>
        <v>20000000</v>
      </c>
      <c r="AD79">
        <f t="shared" si="15"/>
        <v>20000000</v>
      </c>
      <c r="AE79">
        <f t="shared" si="19"/>
        <v>20000000</v>
      </c>
    </row>
    <row r="80" spans="1:31">
      <c r="A80" s="892" t="s">
        <v>783</v>
      </c>
      <c r="B80" s="892" t="s">
        <v>808</v>
      </c>
      <c r="C80" s="892" t="s">
        <v>982</v>
      </c>
      <c r="D80" s="892"/>
      <c r="E80" s="892" t="s">
        <v>983</v>
      </c>
      <c r="F80" s="892" t="s">
        <v>984</v>
      </c>
      <c r="G80" s="892" t="s">
        <v>913</v>
      </c>
      <c r="H80" s="892" t="s">
        <v>781</v>
      </c>
      <c r="I80" s="893">
        <v>42349</v>
      </c>
      <c r="J80" s="894"/>
      <c r="K80" s="893">
        <v>43069</v>
      </c>
      <c r="L80" s="442">
        <v>25000000</v>
      </c>
      <c r="M80">
        <v>24</v>
      </c>
      <c r="O80" t="s">
        <v>782</v>
      </c>
      <c r="P80">
        <f t="shared" si="14"/>
        <v>25000000</v>
      </c>
      <c r="Q80">
        <f t="shared" si="16"/>
        <v>25000000</v>
      </c>
      <c r="R80">
        <f t="shared" si="17"/>
        <v>25000000</v>
      </c>
      <c r="S80">
        <f t="shared" si="18"/>
        <v>25000000</v>
      </c>
      <c r="T80">
        <f t="shared" si="20"/>
        <v>25000000</v>
      </c>
      <c r="U80">
        <f t="shared" si="5"/>
        <v>25000000</v>
      </c>
      <c r="V80">
        <f t="shared" si="6"/>
        <v>25000000</v>
      </c>
      <c r="W80">
        <f t="shared" si="7"/>
        <v>25000000</v>
      </c>
      <c r="X80">
        <f t="shared" si="8"/>
        <v>25000000</v>
      </c>
      <c r="Y80">
        <f t="shared" si="9"/>
        <v>25000000</v>
      </c>
      <c r="Z80">
        <f t="shared" si="10"/>
        <v>25000000</v>
      </c>
      <c r="AA80">
        <f t="shared" si="11"/>
        <v>25000000</v>
      </c>
      <c r="AB80">
        <f t="shared" si="12"/>
        <v>25000000</v>
      </c>
      <c r="AC80">
        <f t="shared" si="13"/>
        <v>25000000</v>
      </c>
      <c r="AD80">
        <f t="shared" si="15"/>
        <v>25000000</v>
      </c>
      <c r="AE80">
        <f t="shared" si="19"/>
        <v>25000000</v>
      </c>
    </row>
    <row r="81" spans="1:32">
      <c r="A81" s="892" t="s">
        <v>783</v>
      </c>
      <c r="B81" s="892" t="s">
        <v>864</v>
      </c>
      <c r="C81" s="892" t="s">
        <v>975</v>
      </c>
      <c r="D81" s="892"/>
      <c r="E81" s="892" t="s">
        <v>985</v>
      </c>
      <c r="F81" s="892" t="s">
        <v>986</v>
      </c>
      <c r="G81" s="892" t="s">
        <v>913</v>
      </c>
      <c r="H81" s="892" t="s">
        <v>781</v>
      </c>
      <c r="I81" s="893">
        <v>42352</v>
      </c>
      <c r="J81" s="894"/>
      <c r="K81" s="893">
        <v>43069</v>
      </c>
      <c r="L81" s="442">
        <v>20000000</v>
      </c>
      <c r="M81">
        <v>23.9</v>
      </c>
      <c r="O81" t="s">
        <v>782</v>
      </c>
      <c r="P81">
        <f t="shared" si="14"/>
        <v>20000000</v>
      </c>
      <c r="Q81">
        <f t="shared" si="16"/>
        <v>20000000</v>
      </c>
      <c r="R81">
        <f t="shared" si="17"/>
        <v>20000000</v>
      </c>
      <c r="S81">
        <f t="shared" si="18"/>
        <v>20000000</v>
      </c>
      <c r="T81">
        <f t="shared" si="20"/>
        <v>20000000</v>
      </c>
      <c r="U81">
        <f t="shared" ref="U81:U98" si="21">L81</f>
        <v>20000000</v>
      </c>
      <c r="V81">
        <f t="shared" si="6"/>
        <v>20000000</v>
      </c>
      <c r="W81">
        <f t="shared" si="7"/>
        <v>20000000</v>
      </c>
      <c r="X81">
        <f t="shared" si="8"/>
        <v>20000000</v>
      </c>
      <c r="Y81">
        <f t="shared" si="9"/>
        <v>20000000</v>
      </c>
      <c r="Z81">
        <f t="shared" si="10"/>
        <v>20000000</v>
      </c>
      <c r="AA81">
        <f t="shared" si="11"/>
        <v>20000000</v>
      </c>
      <c r="AB81">
        <f t="shared" si="12"/>
        <v>20000000</v>
      </c>
      <c r="AC81">
        <f t="shared" si="13"/>
        <v>20000000</v>
      </c>
      <c r="AD81">
        <f t="shared" si="15"/>
        <v>20000000</v>
      </c>
      <c r="AE81">
        <f t="shared" si="19"/>
        <v>20000000</v>
      </c>
    </row>
    <row r="82" spans="1:32">
      <c r="A82" s="892" t="s">
        <v>776</v>
      </c>
      <c r="B82" s="892" t="s">
        <v>799</v>
      </c>
      <c r="C82" s="892" t="s">
        <v>800</v>
      </c>
      <c r="D82" s="892"/>
      <c r="E82" s="892" t="s">
        <v>987</v>
      </c>
      <c r="F82" s="892" t="s">
        <v>988</v>
      </c>
      <c r="G82" s="892" t="s">
        <v>840</v>
      </c>
      <c r="H82" s="892" t="s">
        <v>781</v>
      </c>
      <c r="I82" s="893">
        <v>42509</v>
      </c>
      <c r="J82" s="896"/>
      <c r="K82" s="893">
        <v>43069</v>
      </c>
      <c r="L82" s="442">
        <v>15000000</v>
      </c>
      <c r="M82">
        <v>18.666666666666668</v>
      </c>
      <c r="O82" t="s">
        <v>798</v>
      </c>
      <c r="P82">
        <f t="shared" si="14"/>
        <v>15000000</v>
      </c>
      <c r="Q82">
        <f t="shared" si="16"/>
        <v>15000000</v>
      </c>
      <c r="R82">
        <f t="shared" si="17"/>
        <v>15000000</v>
      </c>
      <c r="S82">
        <f t="shared" si="18"/>
        <v>15000000</v>
      </c>
      <c r="T82">
        <f t="shared" si="20"/>
        <v>15000000</v>
      </c>
      <c r="U82">
        <f t="shared" si="21"/>
        <v>15000000</v>
      </c>
      <c r="V82">
        <f t="shared" si="6"/>
        <v>15000000</v>
      </c>
      <c r="W82">
        <f t="shared" si="7"/>
        <v>15000000</v>
      </c>
      <c r="X82">
        <f t="shared" si="8"/>
        <v>15000000</v>
      </c>
      <c r="Y82">
        <f t="shared" si="9"/>
        <v>15000000</v>
      </c>
      <c r="Z82">
        <f t="shared" si="10"/>
        <v>15000000</v>
      </c>
      <c r="AA82">
        <f t="shared" si="11"/>
        <v>15000000</v>
      </c>
      <c r="AB82">
        <f t="shared" si="12"/>
        <v>15000000</v>
      </c>
      <c r="AC82">
        <f t="shared" si="13"/>
        <v>15000000</v>
      </c>
      <c r="AD82">
        <f t="shared" si="15"/>
        <v>15000000</v>
      </c>
      <c r="AE82">
        <f t="shared" si="19"/>
        <v>15000000</v>
      </c>
    </row>
    <row r="83" spans="1:32">
      <c r="A83" s="892" t="s">
        <v>783</v>
      </c>
      <c r="B83" s="892" t="s">
        <v>784</v>
      </c>
      <c r="C83" s="892" t="s">
        <v>785</v>
      </c>
      <c r="D83" s="892"/>
      <c r="E83" s="892" t="s">
        <v>989</v>
      </c>
      <c r="F83" s="892" t="s">
        <v>990</v>
      </c>
      <c r="G83" s="892" t="s">
        <v>840</v>
      </c>
      <c r="H83" s="892" t="s">
        <v>781</v>
      </c>
      <c r="I83" s="893">
        <v>42513</v>
      </c>
      <c r="J83" s="895"/>
      <c r="K83" s="893">
        <v>43069</v>
      </c>
      <c r="L83" s="442">
        <v>15000000</v>
      </c>
      <c r="M83">
        <v>18.533333333333335</v>
      </c>
      <c r="O83" t="s">
        <v>798</v>
      </c>
      <c r="P83">
        <f t="shared" si="14"/>
        <v>15000000</v>
      </c>
      <c r="Q83">
        <f t="shared" si="16"/>
        <v>15000000</v>
      </c>
      <c r="R83">
        <f t="shared" si="17"/>
        <v>15000000</v>
      </c>
      <c r="S83">
        <f t="shared" si="18"/>
        <v>15000000</v>
      </c>
      <c r="T83">
        <f t="shared" si="20"/>
        <v>15000000</v>
      </c>
      <c r="U83">
        <f t="shared" si="21"/>
        <v>15000000</v>
      </c>
      <c r="V83">
        <f t="shared" si="6"/>
        <v>15000000</v>
      </c>
      <c r="W83">
        <f t="shared" si="7"/>
        <v>15000000</v>
      </c>
      <c r="X83">
        <f t="shared" si="8"/>
        <v>15000000</v>
      </c>
      <c r="Y83">
        <f t="shared" si="9"/>
        <v>15000000</v>
      </c>
      <c r="Z83">
        <f t="shared" si="10"/>
        <v>15000000</v>
      </c>
      <c r="AA83">
        <f t="shared" si="11"/>
        <v>15000000</v>
      </c>
      <c r="AB83">
        <f t="shared" si="12"/>
        <v>15000000</v>
      </c>
      <c r="AC83">
        <f t="shared" si="13"/>
        <v>15000000</v>
      </c>
      <c r="AD83">
        <f t="shared" si="15"/>
        <v>15000000</v>
      </c>
      <c r="AE83">
        <f t="shared" si="19"/>
        <v>15000000</v>
      </c>
    </row>
    <row r="84" spans="1:32">
      <c r="A84" s="892" t="s">
        <v>783</v>
      </c>
      <c r="B84" s="892" t="s">
        <v>784</v>
      </c>
      <c r="C84" s="892" t="s">
        <v>991</v>
      </c>
      <c r="D84" s="892"/>
      <c r="E84" s="892" t="s">
        <v>992</v>
      </c>
      <c r="F84" s="892" t="s">
        <v>993</v>
      </c>
      <c r="G84" s="892" t="s">
        <v>840</v>
      </c>
      <c r="H84" s="892" t="s">
        <v>781</v>
      </c>
      <c r="I84" s="893">
        <v>42513</v>
      </c>
      <c r="J84" s="895"/>
      <c r="K84" s="893">
        <v>43069</v>
      </c>
      <c r="L84" s="442">
        <v>15000000</v>
      </c>
      <c r="M84">
        <v>18.533333333333335</v>
      </c>
      <c r="O84" t="s">
        <v>798</v>
      </c>
      <c r="P84">
        <f t="shared" si="14"/>
        <v>15000000</v>
      </c>
      <c r="Q84">
        <f t="shared" si="16"/>
        <v>15000000</v>
      </c>
      <c r="R84">
        <f t="shared" si="17"/>
        <v>15000000</v>
      </c>
      <c r="S84">
        <f t="shared" si="18"/>
        <v>15000000</v>
      </c>
      <c r="T84">
        <f t="shared" si="20"/>
        <v>15000000</v>
      </c>
      <c r="U84">
        <f t="shared" si="21"/>
        <v>15000000</v>
      </c>
      <c r="V84">
        <f t="shared" si="6"/>
        <v>15000000</v>
      </c>
      <c r="W84">
        <f t="shared" si="7"/>
        <v>15000000</v>
      </c>
      <c r="X84">
        <f t="shared" si="8"/>
        <v>15000000</v>
      </c>
      <c r="Y84">
        <f t="shared" si="9"/>
        <v>15000000</v>
      </c>
      <c r="Z84">
        <f t="shared" si="10"/>
        <v>15000000</v>
      </c>
      <c r="AA84">
        <f t="shared" si="11"/>
        <v>15000000</v>
      </c>
      <c r="AB84">
        <f t="shared" si="12"/>
        <v>15000000</v>
      </c>
      <c r="AC84">
        <f t="shared" si="13"/>
        <v>15000000</v>
      </c>
      <c r="AD84">
        <f t="shared" si="15"/>
        <v>15000000</v>
      </c>
      <c r="AE84">
        <f t="shared" si="19"/>
        <v>15000000</v>
      </c>
    </row>
    <row r="85" spans="1:32">
      <c r="A85" s="892" t="s">
        <v>803</v>
      </c>
      <c r="B85" s="892" t="s">
        <v>916</v>
      </c>
      <c r="C85" s="892" t="s">
        <v>994</v>
      </c>
      <c r="D85" s="892"/>
      <c r="E85" s="892" t="s">
        <v>995</v>
      </c>
      <c r="F85" s="892" t="s">
        <v>996</v>
      </c>
      <c r="G85" s="892" t="s">
        <v>840</v>
      </c>
      <c r="H85" s="892" t="s">
        <v>781</v>
      </c>
      <c r="I85" s="893">
        <v>42513</v>
      </c>
      <c r="J85" s="894"/>
      <c r="K85" s="893">
        <v>43069</v>
      </c>
      <c r="L85" s="442">
        <v>15000000</v>
      </c>
      <c r="M85">
        <v>18.533333333333335</v>
      </c>
      <c r="O85" t="s">
        <v>798</v>
      </c>
      <c r="P85">
        <f t="shared" si="14"/>
        <v>15000000</v>
      </c>
      <c r="Q85">
        <f t="shared" si="16"/>
        <v>15000000</v>
      </c>
      <c r="R85">
        <f t="shared" si="17"/>
        <v>15000000</v>
      </c>
      <c r="S85">
        <f t="shared" si="18"/>
        <v>15000000</v>
      </c>
      <c r="T85">
        <f t="shared" si="20"/>
        <v>15000000</v>
      </c>
      <c r="U85">
        <f t="shared" si="21"/>
        <v>15000000</v>
      </c>
      <c r="V85">
        <f t="shared" ref="V85:V98" si="22">L85</f>
        <v>15000000</v>
      </c>
      <c r="W85">
        <f t="shared" si="7"/>
        <v>15000000</v>
      </c>
      <c r="X85">
        <f t="shared" si="8"/>
        <v>15000000</v>
      </c>
      <c r="Y85">
        <f t="shared" si="9"/>
        <v>15000000</v>
      </c>
      <c r="Z85">
        <f t="shared" si="10"/>
        <v>15000000</v>
      </c>
      <c r="AA85">
        <f t="shared" si="11"/>
        <v>15000000</v>
      </c>
      <c r="AB85">
        <f t="shared" si="12"/>
        <v>15000000</v>
      </c>
      <c r="AC85">
        <f t="shared" si="13"/>
        <v>15000000</v>
      </c>
      <c r="AD85">
        <f t="shared" si="15"/>
        <v>15000000</v>
      </c>
      <c r="AE85">
        <f t="shared" si="19"/>
        <v>15000000</v>
      </c>
    </row>
    <row r="86" spans="1:32">
      <c r="A86" s="892" t="s">
        <v>776</v>
      </c>
      <c r="B86" s="892" t="s">
        <v>799</v>
      </c>
      <c r="C86" s="892" t="s">
        <v>906</v>
      </c>
      <c r="D86" s="892"/>
      <c r="E86" s="892" t="s">
        <v>997</v>
      </c>
      <c r="F86" s="892" t="s">
        <v>998</v>
      </c>
      <c r="G86" s="892" t="s">
        <v>840</v>
      </c>
      <c r="H86" s="892" t="s">
        <v>781</v>
      </c>
      <c r="I86" s="893">
        <v>42531</v>
      </c>
      <c r="J86" s="895"/>
      <c r="K86" s="893">
        <v>43069</v>
      </c>
      <c r="L86" s="442">
        <v>30000000</v>
      </c>
      <c r="M86">
        <v>17.933333333333334</v>
      </c>
      <c r="O86" t="s">
        <v>798</v>
      </c>
      <c r="P86">
        <f t="shared" si="14"/>
        <v>30000000</v>
      </c>
      <c r="Q86">
        <f t="shared" si="16"/>
        <v>30000000</v>
      </c>
      <c r="R86">
        <f t="shared" si="17"/>
        <v>30000000</v>
      </c>
      <c r="S86">
        <f t="shared" si="18"/>
        <v>30000000</v>
      </c>
      <c r="T86">
        <f t="shared" si="20"/>
        <v>30000000</v>
      </c>
      <c r="U86">
        <f t="shared" si="21"/>
        <v>30000000</v>
      </c>
      <c r="V86">
        <f t="shared" si="22"/>
        <v>30000000</v>
      </c>
      <c r="W86">
        <f t="shared" si="7"/>
        <v>30000000</v>
      </c>
      <c r="X86">
        <f t="shared" si="8"/>
        <v>30000000</v>
      </c>
      <c r="Y86">
        <f t="shared" si="9"/>
        <v>30000000</v>
      </c>
      <c r="Z86">
        <f t="shared" si="10"/>
        <v>30000000</v>
      </c>
      <c r="AA86">
        <f t="shared" si="11"/>
        <v>30000000</v>
      </c>
      <c r="AB86">
        <f t="shared" si="12"/>
        <v>30000000</v>
      </c>
      <c r="AC86">
        <f t="shared" si="13"/>
        <v>30000000</v>
      </c>
      <c r="AD86">
        <f t="shared" si="15"/>
        <v>30000000</v>
      </c>
      <c r="AE86">
        <f t="shared" si="19"/>
        <v>30000000</v>
      </c>
    </row>
    <row r="87" spans="1:32">
      <c r="A87" s="892" t="s">
        <v>783</v>
      </c>
      <c r="B87" s="892" t="s">
        <v>999</v>
      </c>
      <c r="C87" s="892" t="s">
        <v>1000</v>
      </c>
      <c r="D87" s="892"/>
      <c r="E87" s="892" t="s">
        <v>1001</v>
      </c>
      <c r="F87" s="892" t="s">
        <v>1002</v>
      </c>
      <c r="G87" s="892" t="s">
        <v>628</v>
      </c>
      <c r="H87" s="892" t="s">
        <v>781</v>
      </c>
      <c r="I87" s="893">
        <v>42356</v>
      </c>
      <c r="J87" s="895"/>
      <c r="K87" s="893">
        <v>43100</v>
      </c>
      <c r="L87" s="442">
        <v>25000000</v>
      </c>
      <c r="M87">
        <v>24.8</v>
      </c>
      <c r="O87" t="s">
        <v>782</v>
      </c>
      <c r="P87">
        <f t="shared" si="14"/>
        <v>25000000</v>
      </c>
      <c r="Q87">
        <f t="shared" si="16"/>
        <v>25000000</v>
      </c>
      <c r="R87">
        <f t="shared" si="17"/>
        <v>25000000</v>
      </c>
      <c r="S87">
        <f t="shared" si="18"/>
        <v>25000000</v>
      </c>
      <c r="T87">
        <f t="shared" si="20"/>
        <v>25000000</v>
      </c>
      <c r="U87">
        <f t="shared" si="21"/>
        <v>25000000</v>
      </c>
      <c r="V87">
        <f t="shared" si="22"/>
        <v>25000000</v>
      </c>
      <c r="W87">
        <f t="shared" si="7"/>
        <v>25000000</v>
      </c>
      <c r="X87">
        <f t="shared" si="8"/>
        <v>25000000</v>
      </c>
      <c r="Y87">
        <f t="shared" si="9"/>
        <v>25000000</v>
      </c>
      <c r="Z87">
        <f t="shared" si="10"/>
        <v>25000000</v>
      </c>
      <c r="AA87">
        <f t="shared" si="11"/>
        <v>25000000</v>
      </c>
      <c r="AB87">
        <f t="shared" si="12"/>
        <v>25000000</v>
      </c>
      <c r="AC87">
        <f t="shared" si="13"/>
        <v>25000000</v>
      </c>
      <c r="AD87">
        <f t="shared" si="15"/>
        <v>25000000</v>
      </c>
      <c r="AE87">
        <f t="shared" si="19"/>
        <v>25000000</v>
      </c>
      <c r="AF87">
        <f>L87</f>
        <v>25000000</v>
      </c>
    </row>
    <row r="88" spans="1:32">
      <c r="A88" s="892" t="s">
        <v>783</v>
      </c>
      <c r="B88" s="892" t="s">
        <v>808</v>
      </c>
      <c r="C88" s="892" t="s">
        <v>809</v>
      </c>
      <c r="D88" s="892"/>
      <c r="E88" s="892" t="s">
        <v>1003</v>
      </c>
      <c r="F88" s="892" t="s">
        <v>1004</v>
      </c>
      <c r="G88" s="892" t="s">
        <v>913</v>
      </c>
      <c r="H88" s="892" t="s">
        <v>781</v>
      </c>
      <c r="I88" s="893">
        <v>42360</v>
      </c>
      <c r="J88" s="894"/>
      <c r="K88" s="893">
        <v>43100</v>
      </c>
      <c r="L88" s="442">
        <v>20000000</v>
      </c>
      <c r="M88">
        <v>24.666666666666668</v>
      </c>
      <c r="O88" t="s">
        <v>782</v>
      </c>
      <c r="P88">
        <f t="shared" si="14"/>
        <v>20000000</v>
      </c>
      <c r="Q88">
        <f t="shared" si="16"/>
        <v>20000000</v>
      </c>
      <c r="R88">
        <f t="shared" si="17"/>
        <v>20000000</v>
      </c>
      <c r="S88">
        <f t="shared" si="18"/>
        <v>20000000</v>
      </c>
      <c r="T88">
        <f t="shared" si="20"/>
        <v>20000000</v>
      </c>
      <c r="U88">
        <f t="shared" si="21"/>
        <v>20000000</v>
      </c>
      <c r="V88">
        <f t="shared" si="22"/>
        <v>20000000</v>
      </c>
      <c r="W88">
        <f t="shared" si="7"/>
        <v>20000000</v>
      </c>
      <c r="X88">
        <f t="shared" si="8"/>
        <v>20000000</v>
      </c>
      <c r="Y88">
        <f t="shared" si="9"/>
        <v>20000000</v>
      </c>
      <c r="Z88">
        <f t="shared" si="10"/>
        <v>20000000</v>
      </c>
      <c r="AA88">
        <f t="shared" si="11"/>
        <v>20000000</v>
      </c>
      <c r="AB88">
        <f t="shared" si="12"/>
        <v>20000000</v>
      </c>
      <c r="AC88">
        <f t="shared" si="13"/>
        <v>20000000</v>
      </c>
      <c r="AD88">
        <f t="shared" si="15"/>
        <v>20000000</v>
      </c>
      <c r="AE88">
        <f t="shared" si="19"/>
        <v>20000000</v>
      </c>
      <c r="AF88">
        <f t="shared" ref="AF88:AF98" si="23">L88</f>
        <v>20000000</v>
      </c>
    </row>
    <row r="89" spans="1:32">
      <c r="A89" s="892" t="s">
        <v>783</v>
      </c>
      <c r="B89" s="892" t="s">
        <v>808</v>
      </c>
      <c r="C89" s="892" t="s">
        <v>809</v>
      </c>
      <c r="D89" s="892"/>
      <c r="E89" s="892" t="s">
        <v>1005</v>
      </c>
      <c r="F89" s="892" t="s">
        <v>1006</v>
      </c>
      <c r="G89" s="892" t="s">
        <v>628</v>
      </c>
      <c r="H89" s="892" t="s">
        <v>781</v>
      </c>
      <c r="I89" s="893">
        <v>42360</v>
      </c>
      <c r="J89" s="894"/>
      <c r="K89" s="893">
        <v>43100</v>
      </c>
      <c r="L89" s="442">
        <v>25000000</v>
      </c>
      <c r="M89">
        <v>24.666666666666668</v>
      </c>
      <c r="O89" t="s">
        <v>782</v>
      </c>
      <c r="P89">
        <f t="shared" si="14"/>
        <v>25000000</v>
      </c>
      <c r="Q89">
        <f t="shared" si="16"/>
        <v>25000000</v>
      </c>
      <c r="R89">
        <f t="shared" si="17"/>
        <v>25000000</v>
      </c>
      <c r="S89">
        <f t="shared" si="18"/>
        <v>25000000</v>
      </c>
      <c r="T89">
        <f t="shared" si="20"/>
        <v>25000000</v>
      </c>
      <c r="U89">
        <f t="shared" si="21"/>
        <v>25000000</v>
      </c>
      <c r="V89">
        <f t="shared" si="22"/>
        <v>25000000</v>
      </c>
      <c r="W89">
        <f t="shared" si="7"/>
        <v>25000000</v>
      </c>
      <c r="X89">
        <f t="shared" si="8"/>
        <v>25000000</v>
      </c>
      <c r="Y89">
        <f t="shared" si="9"/>
        <v>25000000</v>
      </c>
      <c r="Z89">
        <f t="shared" si="10"/>
        <v>25000000</v>
      </c>
      <c r="AA89">
        <f t="shared" si="11"/>
        <v>25000000</v>
      </c>
      <c r="AB89">
        <f t="shared" si="12"/>
        <v>25000000</v>
      </c>
      <c r="AC89">
        <f t="shared" si="13"/>
        <v>25000000</v>
      </c>
      <c r="AD89">
        <f t="shared" si="15"/>
        <v>25000000</v>
      </c>
      <c r="AE89">
        <f t="shared" si="19"/>
        <v>25000000</v>
      </c>
      <c r="AF89">
        <f t="shared" si="23"/>
        <v>25000000</v>
      </c>
    </row>
    <row r="90" spans="1:32">
      <c r="A90" s="892" t="s">
        <v>783</v>
      </c>
      <c r="B90" s="892" t="s">
        <v>784</v>
      </c>
      <c r="C90" s="892" t="s">
        <v>857</v>
      </c>
      <c r="D90" s="892"/>
      <c r="E90" s="892" t="s">
        <v>1007</v>
      </c>
      <c r="F90" s="892" t="s">
        <v>1008</v>
      </c>
      <c r="G90" s="892" t="s">
        <v>840</v>
      </c>
      <c r="H90" s="892" t="s">
        <v>781</v>
      </c>
      <c r="I90" s="893">
        <v>42545</v>
      </c>
      <c r="J90" s="895"/>
      <c r="K90" s="893">
        <v>43100</v>
      </c>
      <c r="L90" s="442">
        <v>25000000</v>
      </c>
      <c r="M90">
        <v>18.5</v>
      </c>
      <c r="O90" t="s">
        <v>798</v>
      </c>
      <c r="P90">
        <f t="shared" si="14"/>
        <v>25000000</v>
      </c>
      <c r="Q90">
        <f t="shared" si="16"/>
        <v>25000000</v>
      </c>
      <c r="R90">
        <f t="shared" si="17"/>
        <v>25000000</v>
      </c>
      <c r="S90">
        <f t="shared" si="18"/>
        <v>25000000</v>
      </c>
      <c r="T90">
        <f t="shared" si="20"/>
        <v>25000000</v>
      </c>
      <c r="U90">
        <f t="shared" si="21"/>
        <v>25000000</v>
      </c>
      <c r="V90">
        <f t="shared" si="22"/>
        <v>25000000</v>
      </c>
      <c r="W90">
        <f t="shared" si="7"/>
        <v>25000000</v>
      </c>
      <c r="X90">
        <f t="shared" si="8"/>
        <v>25000000</v>
      </c>
      <c r="Y90">
        <f t="shared" si="9"/>
        <v>25000000</v>
      </c>
      <c r="Z90">
        <f t="shared" si="10"/>
        <v>25000000</v>
      </c>
      <c r="AA90">
        <f t="shared" si="11"/>
        <v>25000000</v>
      </c>
      <c r="AB90">
        <f t="shared" si="12"/>
        <v>25000000</v>
      </c>
      <c r="AC90">
        <f t="shared" si="13"/>
        <v>25000000</v>
      </c>
      <c r="AD90">
        <f t="shared" si="15"/>
        <v>25000000</v>
      </c>
      <c r="AE90">
        <f t="shared" si="19"/>
        <v>25000000</v>
      </c>
      <c r="AF90">
        <f t="shared" si="23"/>
        <v>25000000</v>
      </c>
    </row>
    <row r="91" spans="1:32">
      <c r="A91" s="892" t="s">
        <v>776</v>
      </c>
      <c r="B91" s="892" t="s">
        <v>799</v>
      </c>
      <c r="C91" s="892" t="s">
        <v>906</v>
      </c>
      <c r="D91" s="892"/>
      <c r="E91" s="892" t="s">
        <v>1009</v>
      </c>
      <c r="F91" s="892" t="s">
        <v>1010</v>
      </c>
      <c r="G91" s="892" t="s">
        <v>840</v>
      </c>
      <c r="H91" s="892" t="s">
        <v>781</v>
      </c>
      <c r="I91" s="893">
        <v>42549</v>
      </c>
      <c r="J91" s="894"/>
      <c r="K91" s="893">
        <v>43100</v>
      </c>
      <c r="L91" s="442">
        <v>20000000</v>
      </c>
      <c r="M91">
        <v>18.366666666666667</v>
      </c>
      <c r="O91" t="s">
        <v>798</v>
      </c>
      <c r="P91">
        <f t="shared" si="14"/>
        <v>20000000</v>
      </c>
      <c r="Q91">
        <f t="shared" si="16"/>
        <v>20000000</v>
      </c>
      <c r="R91">
        <f t="shared" si="17"/>
        <v>20000000</v>
      </c>
      <c r="S91">
        <f t="shared" si="18"/>
        <v>20000000</v>
      </c>
      <c r="T91">
        <f t="shared" si="20"/>
        <v>20000000</v>
      </c>
      <c r="U91">
        <f t="shared" si="21"/>
        <v>20000000</v>
      </c>
      <c r="V91">
        <f t="shared" si="22"/>
        <v>20000000</v>
      </c>
      <c r="W91">
        <f t="shared" si="7"/>
        <v>20000000</v>
      </c>
      <c r="X91">
        <f t="shared" si="8"/>
        <v>20000000</v>
      </c>
      <c r="Y91">
        <f t="shared" si="9"/>
        <v>20000000</v>
      </c>
      <c r="Z91">
        <f t="shared" si="10"/>
        <v>20000000</v>
      </c>
      <c r="AA91">
        <f t="shared" si="11"/>
        <v>20000000</v>
      </c>
      <c r="AB91">
        <f t="shared" si="12"/>
        <v>20000000</v>
      </c>
      <c r="AC91">
        <f t="shared" si="13"/>
        <v>20000000</v>
      </c>
      <c r="AD91">
        <f t="shared" si="15"/>
        <v>20000000</v>
      </c>
      <c r="AE91">
        <f t="shared" si="19"/>
        <v>20000000</v>
      </c>
      <c r="AF91">
        <f t="shared" si="23"/>
        <v>20000000</v>
      </c>
    </row>
    <row r="92" spans="1:32">
      <c r="A92" s="892" t="s">
        <v>783</v>
      </c>
      <c r="B92" s="892" t="s">
        <v>784</v>
      </c>
      <c r="C92" s="892" t="s">
        <v>785</v>
      </c>
      <c r="D92" s="892"/>
      <c r="E92" s="892" t="s">
        <v>1011</v>
      </c>
      <c r="F92" s="892" t="s">
        <v>1012</v>
      </c>
      <c r="G92" s="892" t="s">
        <v>840</v>
      </c>
      <c r="H92" s="892" t="s">
        <v>781</v>
      </c>
      <c r="I92" s="893">
        <v>42592</v>
      </c>
      <c r="J92" s="896"/>
      <c r="K92" s="893">
        <v>43131</v>
      </c>
      <c r="L92" s="442">
        <v>15000000</v>
      </c>
      <c r="M92">
        <v>17.966666666666665</v>
      </c>
      <c r="O92" t="s">
        <v>798</v>
      </c>
      <c r="P92">
        <f t="shared" si="14"/>
        <v>15000000</v>
      </c>
      <c r="Q92">
        <f t="shared" si="16"/>
        <v>15000000</v>
      </c>
      <c r="R92">
        <f t="shared" si="17"/>
        <v>15000000</v>
      </c>
      <c r="S92">
        <f t="shared" si="18"/>
        <v>15000000</v>
      </c>
      <c r="T92">
        <f t="shared" si="20"/>
        <v>15000000</v>
      </c>
      <c r="U92">
        <f t="shared" si="21"/>
        <v>15000000</v>
      </c>
      <c r="V92">
        <f t="shared" si="22"/>
        <v>15000000</v>
      </c>
      <c r="W92">
        <f t="shared" si="7"/>
        <v>15000000</v>
      </c>
      <c r="X92">
        <f t="shared" si="8"/>
        <v>15000000</v>
      </c>
      <c r="Y92">
        <f t="shared" si="9"/>
        <v>15000000</v>
      </c>
      <c r="Z92">
        <f t="shared" si="10"/>
        <v>15000000</v>
      </c>
      <c r="AA92">
        <f t="shared" si="11"/>
        <v>15000000</v>
      </c>
      <c r="AB92">
        <f t="shared" si="12"/>
        <v>15000000</v>
      </c>
      <c r="AC92">
        <f t="shared" si="13"/>
        <v>15000000</v>
      </c>
      <c r="AD92">
        <f t="shared" si="15"/>
        <v>15000000</v>
      </c>
      <c r="AE92">
        <f t="shared" si="19"/>
        <v>15000000</v>
      </c>
      <c r="AF92">
        <f t="shared" si="23"/>
        <v>15000000</v>
      </c>
    </row>
    <row r="93" spans="1:32">
      <c r="A93" s="892" t="s">
        <v>803</v>
      </c>
      <c r="B93" s="892" t="s">
        <v>804</v>
      </c>
      <c r="C93" s="892" t="s">
        <v>805</v>
      </c>
      <c r="D93" s="892"/>
      <c r="E93" s="892" t="s">
        <v>1013</v>
      </c>
      <c r="F93" s="892" t="s">
        <v>1014</v>
      </c>
      <c r="G93" s="892" t="s">
        <v>629</v>
      </c>
      <c r="H93" s="892" t="s">
        <v>781</v>
      </c>
      <c r="I93" s="893">
        <v>42424</v>
      </c>
      <c r="J93" s="895"/>
      <c r="K93" s="893">
        <v>43159</v>
      </c>
      <c r="L93" s="442">
        <v>20000000</v>
      </c>
      <c r="M93">
        <v>24.5</v>
      </c>
      <c r="O93" t="s">
        <v>782</v>
      </c>
      <c r="P93">
        <f t="shared" si="14"/>
        <v>20000000</v>
      </c>
      <c r="Q93">
        <f t="shared" si="16"/>
        <v>20000000</v>
      </c>
      <c r="R93">
        <f t="shared" si="17"/>
        <v>20000000</v>
      </c>
      <c r="S93">
        <f t="shared" si="18"/>
        <v>20000000</v>
      </c>
      <c r="T93">
        <f t="shared" si="20"/>
        <v>20000000</v>
      </c>
      <c r="U93">
        <f t="shared" si="21"/>
        <v>20000000</v>
      </c>
      <c r="V93">
        <f t="shared" si="22"/>
        <v>20000000</v>
      </c>
      <c r="W93">
        <f t="shared" ref="W93:W98" si="24">L93</f>
        <v>20000000</v>
      </c>
      <c r="X93">
        <f t="shared" si="8"/>
        <v>20000000</v>
      </c>
      <c r="Y93">
        <f t="shared" si="9"/>
        <v>20000000</v>
      </c>
      <c r="Z93">
        <f t="shared" si="10"/>
        <v>20000000</v>
      </c>
      <c r="AA93">
        <f t="shared" si="11"/>
        <v>20000000</v>
      </c>
      <c r="AB93">
        <f t="shared" si="12"/>
        <v>20000000</v>
      </c>
      <c r="AC93">
        <f t="shared" si="13"/>
        <v>20000000</v>
      </c>
      <c r="AD93">
        <f t="shared" si="15"/>
        <v>20000000</v>
      </c>
      <c r="AE93">
        <f t="shared" si="19"/>
        <v>20000000</v>
      </c>
      <c r="AF93">
        <f t="shared" si="23"/>
        <v>20000000</v>
      </c>
    </row>
    <row r="94" spans="1:32">
      <c r="A94" s="892" t="s">
        <v>783</v>
      </c>
      <c r="B94" s="892" t="s">
        <v>864</v>
      </c>
      <c r="C94" s="892" t="s">
        <v>865</v>
      </c>
      <c r="D94" s="892"/>
      <c r="E94" s="892" t="s">
        <v>1015</v>
      </c>
      <c r="F94" s="892" t="s">
        <v>1016</v>
      </c>
      <c r="G94" s="892" t="s">
        <v>628</v>
      </c>
      <c r="H94" s="892" t="s">
        <v>781</v>
      </c>
      <c r="I94" s="893">
        <v>42466</v>
      </c>
      <c r="J94" s="894"/>
      <c r="K94" s="893">
        <v>43190</v>
      </c>
      <c r="L94" s="442">
        <v>25000000</v>
      </c>
      <c r="M94">
        <v>24.133333333333333</v>
      </c>
      <c r="O94" t="s">
        <v>782</v>
      </c>
      <c r="P94">
        <f t="shared" si="14"/>
        <v>25000000</v>
      </c>
      <c r="Q94">
        <f t="shared" si="16"/>
        <v>25000000</v>
      </c>
      <c r="R94">
        <f t="shared" si="17"/>
        <v>25000000</v>
      </c>
      <c r="S94">
        <f t="shared" si="18"/>
        <v>25000000</v>
      </c>
      <c r="T94">
        <f t="shared" si="20"/>
        <v>25000000</v>
      </c>
      <c r="U94">
        <f t="shared" si="21"/>
        <v>25000000</v>
      </c>
      <c r="V94">
        <f t="shared" si="22"/>
        <v>25000000</v>
      </c>
      <c r="W94">
        <f t="shared" si="24"/>
        <v>25000000</v>
      </c>
      <c r="X94">
        <f t="shared" si="8"/>
        <v>25000000</v>
      </c>
      <c r="Y94">
        <f t="shared" si="9"/>
        <v>25000000</v>
      </c>
      <c r="Z94">
        <f t="shared" si="10"/>
        <v>25000000</v>
      </c>
      <c r="AA94">
        <f t="shared" si="11"/>
        <v>25000000</v>
      </c>
      <c r="AB94">
        <f t="shared" si="12"/>
        <v>25000000</v>
      </c>
      <c r="AC94">
        <f t="shared" si="13"/>
        <v>25000000</v>
      </c>
      <c r="AD94">
        <f t="shared" si="15"/>
        <v>25000000</v>
      </c>
      <c r="AE94">
        <f t="shared" si="19"/>
        <v>25000000</v>
      </c>
      <c r="AF94">
        <f t="shared" si="23"/>
        <v>25000000</v>
      </c>
    </row>
    <row r="95" spans="1:32">
      <c r="A95" s="892" t="s">
        <v>783</v>
      </c>
      <c r="B95" s="892" t="s">
        <v>808</v>
      </c>
      <c r="C95" s="892" t="s">
        <v>841</v>
      </c>
      <c r="D95" s="892"/>
      <c r="E95" s="892" t="s">
        <v>1017</v>
      </c>
      <c r="F95" s="892" t="s">
        <v>1018</v>
      </c>
      <c r="G95" s="892" t="s">
        <v>628</v>
      </c>
      <c r="H95" s="892" t="s">
        <v>781</v>
      </c>
      <c r="I95" s="893">
        <v>42367</v>
      </c>
      <c r="J95" s="895"/>
      <c r="K95" s="893">
        <v>43465</v>
      </c>
      <c r="L95" s="442">
        <v>22000000</v>
      </c>
      <c r="M95">
        <v>36.6</v>
      </c>
      <c r="O95" t="s">
        <v>782</v>
      </c>
      <c r="P95">
        <f t="shared" si="14"/>
        <v>22000000</v>
      </c>
      <c r="Q95">
        <f t="shared" si="16"/>
        <v>22000000</v>
      </c>
      <c r="R95">
        <f t="shared" si="17"/>
        <v>22000000</v>
      </c>
      <c r="S95">
        <f t="shared" si="18"/>
        <v>22000000</v>
      </c>
      <c r="T95">
        <f t="shared" si="20"/>
        <v>22000000</v>
      </c>
      <c r="U95">
        <f t="shared" si="21"/>
        <v>22000000</v>
      </c>
      <c r="V95">
        <f t="shared" si="22"/>
        <v>22000000</v>
      </c>
      <c r="W95">
        <f t="shared" si="24"/>
        <v>22000000</v>
      </c>
      <c r="X95">
        <f t="shared" si="8"/>
        <v>22000000</v>
      </c>
      <c r="Y95">
        <f t="shared" si="9"/>
        <v>22000000</v>
      </c>
      <c r="Z95">
        <f t="shared" si="10"/>
        <v>22000000</v>
      </c>
      <c r="AA95">
        <f t="shared" si="11"/>
        <v>22000000</v>
      </c>
      <c r="AB95">
        <f t="shared" si="12"/>
        <v>22000000</v>
      </c>
      <c r="AC95">
        <f t="shared" si="13"/>
        <v>22000000</v>
      </c>
      <c r="AD95">
        <f t="shared" si="15"/>
        <v>22000000</v>
      </c>
      <c r="AE95">
        <f t="shared" si="19"/>
        <v>22000000</v>
      </c>
      <c r="AF95">
        <f t="shared" si="23"/>
        <v>22000000</v>
      </c>
    </row>
    <row r="96" spans="1:32">
      <c r="A96" s="892" t="s">
        <v>783</v>
      </c>
      <c r="B96" s="892" t="s">
        <v>808</v>
      </c>
      <c r="C96" s="892" t="s">
        <v>841</v>
      </c>
      <c r="D96" s="892"/>
      <c r="E96" s="892" t="s">
        <v>1019</v>
      </c>
      <c r="F96" s="892" t="s">
        <v>1020</v>
      </c>
      <c r="G96" s="892" t="s">
        <v>840</v>
      </c>
      <c r="H96" s="892" t="s">
        <v>781</v>
      </c>
      <c r="I96" s="893">
        <v>42367</v>
      </c>
      <c r="J96" s="894"/>
      <c r="K96" s="893">
        <v>43465</v>
      </c>
      <c r="L96" s="442">
        <v>22000000</v>
      </c>
      <c r="M96">
        <v>36.6</v>
      </c>
      <c r="O96" t="s">
        <v>782</v>
      </c>
      <c r="P96">
        <f t="shared" si="14"/>
        <v>22000000</v>
      </c>
      <c r="Q96">
        <f t="shared" si="16"/>
        <v>22000000</v>
      </c>
      <c r="R96">
        <f t="shared" si="17"/>
        <v>22000000</v>
      </c>
      <c r="S96">
        <f t="shared" si="18"/>
        <v>22000000</v>
      </c>
      <c r="T96">
        <f t="shared" si="20"/>
        <v>22000000</v>
      </c>
      <c r="U96">
        <f t="shared" si="21"/>
        <v>22000000</v>
      </c>
      <c r="V96">
        <f t="shared" si="22"/>
        <v>22000000</v>
      </c>
      <c r="W96">
        <f t="shared" si="24"/>
        <v>22000000</v>
      </c>
      <c r="X96">
        <f t="shared" si="8"/>
        <v>22000000</v>
      </c>
      <c r="Y96">
        <f t="shared" si="9"/>
        <v>22000000</v>
      </c>
      <c r="Z96">
        <f t="shared" si="10"/>
        <v>22000000</v>
      </c>
      <c r="AA96">
        <f t="shared" si="11"/>
        <v>22000000</v>
      </c>
      <c r="AB96">
        <f t="shared" si="12"/>
        <v>22000000</v>
      </c>
      <c r="AC96">
        <f t="shared" si="13"/>
        <v>22000000</v>
      </c>
      <c r="AD96">
        <f t="shared" si="15"/>
        <v>22000000</v>
      </c>
      <c r="AE96">
        <f t="shared" si="19"/>
        <v>22000000</v>
      </c>
      <c r="AF96">
        <f t="shared" si="23"/>
        <v>22000000</v>
      </c>
    </row>
    <row r="97" spans="1:34">
      <c r="A97" s="892" t="s">
        <v>783</v>
      </c>
      <c r="B97" s="892" t="s">
        <v>808</v>
      </c>
      <c r="C97" s="892" t="s">
        <v>841</v>
      </c>
      <c r="D97" s="892"/>
      <c r="E97" s="892" t="s">
        <v>1021</v>
      </c>
      <c r="F97" s="892" t="s">
        <v>1022</v>
      </c>
      <c r="G97" s="892" t="s">
        <v>840</v>
      </c>
      <c r="H97" s="892" t="s">
        <v>781</v>
      </c>
      <c r="I97" s="893">
        <v>42367</v>
      </c>
      <c r="J97" s="896"/>
      <c r="K97" s="893">
        <v>43465</v>
      </c>
      <c r="L97" s="442">
        <v>22000000</v>
      </c>
      <c r="M97">
        <v>36.6</v>
      </c>
      <c r="O97" t="s">
        <v>782</v>
      </c>
      <c r="P97">
        <f t="shared" si="14"/>
        <v>22000000</v>
      </c>
      <c r="Q97">
        <f t="shared" si="16"/>
        <v>22000000</v>
      </c>
      <c r="R97">
        <f t="shared" si="17"/>
        <v>22000000</v>
      </c>
      <c r="S97">
        <f t="shared" si="18"/>
        <v>22000000</v>
      </c>
      <c r="T97">
        <f t="shared" si="20"/>
        <v>22000000</v>
      </c>
      <c r="U97">
        <f t="shared" si="21"/>
        <v>22000000</v>
      </c>
      <c r="V97">
        <f t="shared" si="22"/>
        <v>22000000</v>
      </c>
      <c r="W97">
        <f t="shared" si="24"/>
        <v>22000000</v>
      </c>
      <c r="X97">
        <f t="shared" si="8"/>
        <v>22000000</v>
      </c>
      <c r="Y97">
        <f t="shared" si="9"/>
        <v>22000000</v>
      </c>
      <c r="Z97">
        <f t="shared" si="10"/>
        <v>22000000</v>
      </c>
      <c r="AA97">
        <f t="shared" si="11"/>
        <v>22000000</v>
      </c>
      <c r="AB97">
        <f t="shared" si="12"/>
        <v>22000000</v>
      </c>
      <c r="AC97">
        <f t="shared" si="13"/>
        <v>22000000</v>
      </c>
      <c r="AD97">
        <f t="shared" si="15"/>
        <v>22000000</v>
      </c>
      <c r="AE97">
        <f t="shared" si="19"/>
        <v>22000000</v>
      </c>
      <c r="AF97">
        <f t="shared" si="23"/>
        <v>22000000</v>
      </c>
    </row>
    <row r="98" spans="1:34">
      <c r="A98" s="892" t="s">
        <v>783</v>
      </c>
      <c r="B98" s="892" t="s">
        <v>808</v>
      </c>
      <c r="C98" s="892" t="s">
        <v>841</v>
      </c>
      <c r="D98" s="892"/>
      <c r="E98" s="892" t="s">
        <v>1023</v>
      </c>
      <c r="F98" s="892" t="s">
        <v>1024</v>
      </c>
      <c r="G98" s="892" t="s">
        <v>840</v>
      </c>
      <c r="H98" s="892" t="s">
        <v>781</v>
      </c>
      <c r="I98" s="893">
        <v>42367</v>
      </c>
      <c r="J98" s="895"/>
      <c r="K98" s="893">
        <v>43465</v>
      </c>
      <c r="L98" s="442">
        <v>22000000</v>
      </c>
      <c r="M98">
        <v>36.6</v>
      </c>
      <c r="O98" t="s">
        <v>782</v>
      </c>
      <c r="P98">
        <f t="shared" si="14"/>
        <v>22000000</v>
      </c>
      <c r="Q98">
        <f t="shared" si="16"/>
        <v>22000000</v>
      </c>
      <c r="R98">
        <f t="shared" si="17"/>
        <v>22000000</v>
      </c>
      <c r="S98">
        <f t="shared" si="18"/>
        <v>22000000</v>
      </c>
      <c r="T98">
        <f t="shared" si="20"/>
        <v>22000000</v>
      </c>
      <c r="U98">
        <f t="shared" si="21"/>
        <v>22000000</v>
      </c>
      <c r="V98">
        <f t="shared" si="22"/>
        <v>22000000</v>
      </c>
      <c r="W98">
        <f t="shared" si="24"/>
        <v>22000000</v>
      </c>
      <c r="X98">
        <f t="shared" si="8"/>
        <v>22000000</v>
      </c>
      <c r="Y98">
        <f t="shared" si="9"/>
        <v>22000000</v>
      </c>
      <c r="Z98">
        <f t="shared" si="10"/>
        <v>22000000</v>
      </c>
      <c r="AA98">
        <f t="shared" si="11"/>
        <v>22000000</v>
      </c>
      <c r="AB98">
        <f t="shared" si="12"/>
        <v>22000000</v>
      </c>
      <c r="AC98">
        <f t="shared" si="13"/>
        <v>22000000</v>
      </c>
      <c r="AD98">
        <f t="shared" si="15"/>
        <v>22000000</v>
      </c>
      <c r="AE98">
        <f t="shared" si="19"/>
        <v>22000000</v>
      </c>
      <c r="AF98">
        <f t="shared" si="23"/>
        <v>22000000</v>
      </c>
    </row>
    <row r="99" spans="1:34" s="902" customFormat="1">
      <c r="A99" s="899"/>
      <c r="B99" s="899"/>
      <c r="C99" s="899"/>
      <c r="D99" s="899">
        <v>201609</v>
      </c>
      <c r="E99" s="899"/>
      <c r="F99" s="899"/>
      <c r="G99" s="899"/>
      <c r="H99" s="899"/>
      <c r="I99" s="900">
        <v>42614</v>
      </c>
      <c r="J99" s="901"/>
      <c r="K99" s="900">
        <v>43132</v>
      </c>
      <c r="L99" s="903"/>
      <c r="N99" s="903">
        <v>20000000</v>
      </c>
      <c r="O99" s="902" t="s">
        <v>798</v>
      </c>
      <c r="Q99" s="912">
        <f>N99</f>
        <v>20000000</v>
      </c>
      <c r="R99" s="912">
        <f>Q99</f>
        <v>20000000</v>
      </c>
      <c r="S99" s="912">
        <f t="shared" ref="S99:AH113" si="25">R99</f>
        <v>20000000</v>
      </c>
      <c r="T99" s="912">
        <f t="shared" si="25"/>
        <v>20000000</v>
      </c>
      <c r="U99" s="912">
        <f t="shared" si="25"/>
        <v>20000000</v>
      </c>
      <c r="V99" s="912">
        <f t="shared" si="25"/>
        <v>20000000</v>
      </c>
      <c r="W99" s="912">
        <f t="shared" si="25"/>
        <v>20000000</v>
      </c>
      <c r="X99" s="912">
        <f t="shared" si="25"/>
        <v>20000000</v>
      </c>
      <c r="Y99" s="912">
        <f t="shared" si="25"/>
        <v>20000000</v>
      </c>
      <c r="Z99" s="912">
        <f t="shared" si="25"/>
        <v>20000000</v>
      </c>
      <c r="AA99" s="912">
        <f t="shared" si="25"/>
        <v>20000000</v>
      </c>
      <c r="AB99" s="912">
        <f t="shared" si="25"/>
        <v>20000000</v>
      </c>
      <c r="AC99" s="912">
        <f t="shared" si="25"/>
        <v>20000000</v>
      </c>
      <c r="AD99" s="912">
        <f t="shared" si="25"/>
        <v>20000000</v>
      </c>
      <c r="AE99" s="912">
        <f t="shared" si="25"/>
        <v>20000000</v>
      </c>
      <c r="AF99" s="912">
        <f t="shared" si="25"/>
        <v>20000000</v>
      </c>
      <c r="AG99" s="912">
        <f t="shared" si="25"/>
        <v>20000000</v>
      </c>
      <c r="AH99" s="912">
        <f t="shared" si="25"/>
        <v>20000000</v>
      </c>
    </row>
    <row r="100" spans="1:34" s="902" customFormat="1">
      <c r="A100" s="899"/>
      <c r="B100" s="899"/>
      <c r="C100" s="899"/>
      <c r="D100" s="899">
        <v>201609</v>
      </c>
      <c r="E100" s="899"/>
      <c r="F100" s="899"/>
      <c r="G100" s="899"/>
      <c r="H100" s="899"/>
      <c r="I100" s="900">
        <v>42614</v>
      </c>
      <c r="J100" s="901"/>
      <c r="K100" s="900">
        <v>43132</v>
      </c>
      <c r="L100" s="903"/>
      <c r="N100" s="903">
        <v>30000000</v>
      </c>
      <c r="O100" s="902" t="s">
        <v>798</v>
      </c>
      <c r="Q100" s="912">
        <f t="shared" ref="Q100:Q113" si="26">N100</f>
        <v>30000000</v>
      </c>
      <c r="R100" s="912">
        <f t="shared" ref="R100:AG113" si="27">Q100</f>
        <v>30000000</v>
      </c>
      <c r="S100" s="912">
        <f t="shared" si="27"/>
        <v>30000000</v>
      </c>
      <c r="T100" s="912">
        <f t="shared" si="27"/>
        <v>30000000</v>
      </c>
      <c r="U100" s="912">
        <f t="shared" si="27"/>
        <v>30000000</v>
      </c>
      <c r="V100" s="912">
        <f t="shared" si="27"/>
        <v>30000000</v>
      </c>
      <c r="W100" s="912">
        <f t="shared" si="27"/>
        <v>30000000</v>
      </c>
      <c r="X100" s="912">
        <f t="shared" si="27"/>
        <v>30000000</v>
      </c>
      <c r="Y100" s="912">
        <f t="shared" si="27"/>
        <v>30000000</v>
      </c>
      <c r="Z100" s="912">
        <f t="shared" si="27"/>
        <v>30000000</v>
      </c>
      <c r="AA100" s="912">
        <f t="shared" si="27"/>
        <v>30000000</v>
      </c>
      <c r="AB100" s="912">
        <f t="shared" si="27"/>
        <v>30000000</v>
      </c>
      <c r="AC100" s="912">
        <f t="shared" si="27"/>
        <v>30000000</v>
      </c>
      <c r="AD100" s="912">
        <f t="shared" si="27"/>
        <v>30000000</v>
      </c>
      <c r="AE100" s="912">
        <f t="shared" si="27"/>
        <v>30000000</v>
      </c>
      <c r="AF100" s="912">
        <f t="shared" si="27"/>
        <v>30000000</v>
      </c>
      <c r="AG100" s="912">
        <f t="shared" si="27"/>
        <v>30000000</v>
      </c>
      <c r="AH100" s="912">
        <f t="shared" si="25"/>
        <v>30000000</v>
      </c>
    </row>
    <row r="101" spans="1:34" s="902" customFormat="1">
      <c r="A101" s="899"/>
      <c r="B101" s="899"/>
      <c r="C101" s="899"/>
      <c r="D101" s="899">
        <v>201609</v>
      </c>
      <c r="E101" s="899"/>
      <c r="F101" s="899"/>
      <c r="G101" s="899"/>
      <c r="H101" s="899"/>
      <c r="I101" s="900">
        <v>42614</v>
      </c>
      <c r="J101" s="901"/>
      <c r="K101" s="900">
        <v>43132</v>
      </c>
      <c r="L101" s="903"/>
      <c r="N101" s="903">
        <v>15000000</v>
      </c>
      <c r="O101" s="902" t="s">
        <v>798</v>
      </c>
      <c r="Q101" s="912">
        <f t="shared" si="26"/>
        <v>15000000</v>
      </c>
      <c r="R101" s="912">
        <f t="shared" si="27"/>
        <v>15000000</v>
      </c>
      <c r="S101" s="912">
        <f t="shared" si="25"/>
        <v>15000000</v>
      </c>
      <c r="T101" s="912">
        <f t="shared" si="25"/>
        <v>15000000</v>
      </c>
      <c r="U101" s="912">
        <f t="shared" si="25"/>
        <v>15000000</v>
      </c>
      <c r="V101" s="912">
        <f t="shared" si="25"/>
        <v>15000000</v>
      </c>
      <c r="W101" s="912">
        <f t="shared" si="25"/>
        <v>15000000</v>
      </c>
      <c r="X101" s="912">
        <f t="shared" si="25"/>
        <v>15000000</v>
      </c>
      <c r="Y101" s="912">
        <f t="shared" si="25"/>
        <v>15000000</v>
      </c>
      <c r="Z101" s="912">
        <f t="shared" si="25"/>
        <v>15000000</v>
      </c>
      <c r="AA101" s="912">
        <f t="shared" si="25"/>
        <v>15000000</v>
      </c>
      <c r="AB101" s="912">
        <f t="shared" si="25"/>
        <v>15000000</v>
      </c>
      <c r="AC101" s="912">
        <f t="shared" si="25"/>
        <v>15000000</v>
      </c>
      <c r="AD101" s="912">
        <f t="shared" si="25"/>
        <v>15000000</v>
      </c>
      <c r="AE101" s="912">
        <f t="shared" si="25"/>
        <v>15000000</v>
      </c>
      <c r="AF101" s="912">
        <f t="shared" si="25"/>
        <v>15000000</v>
      </c>
      <c r="AG101" s="912">
        <f t="shared" si="25"/>
        <v>15000000</v>
      </c>
      <c r="AH101" s="912">
        <f t="shared" si="25"/>
        <v>15000000</v>
      </c>
    </row>
    <row r="102" spans="1:34" s="902" customFormat="1">
      <c r="A102" s="899"/>
      <c r="B102" s="899"/>
      <c r="C102" s="899"/>
      <c r="D102" s="899">
        <v>201609</v>
      </c>
      <c r="E102" s="899"/>
      <c r="F102" s="899"/>
      <c r="G102" s="899"/>
      <c r="H102" s="899"/>
      <c r="I102" s="900">
        <v>42614</v>
      </c>
      <c r="J102" s="901"/>
      <c r="K102" s="900">
        <v>43132</v>
      </c>
      <c r="L102" s="903"/>
      <c r="N102" s="903">
        <v>15000000</v>
      </c>
      <c r="O102" s="902" t="s">
        <v>798</v>
      </c>
      <c r="Q102" s="912">
        <f t="shared" si="26"/>
        <v>15000000</v>
      </c>
      <c r="R102" s="912">
        <f t="shared" si="27"/>
        <v>15000000</v>
      </c>
      <c r="S102" s="912">
        <f t="shared" si="25"/>
        <v>15000000</v>
      </c>
      <c r="T102" s="912">
        <f t="shared" si="25"/>
        <v>15000000</v>
      </c>
      <c r="U102" s="912">
        <f t="shared" si="25"/>
        <v>15000000</v>
      </c>
      <c r="V102" s="912">
        <f t="shared" si="25"/>
        <v>15000000</v>
      </c>
      <c r="W102" s="912">
        <f t="shared" si="25"/>
        <v>15000000</v>
      </c>
      <c r="X102" s="912">
        <f t="shared" si="25"/>
        <v>15000000</v>
      </c>
      <c r="Y102" s="912">
        <f t="shared" si="25"/>
        <v>15000000</v>
      </c>
      <c r="Z102" s="912">
        <f t="shared" si="25"/>
        <v>15000000</v>
      </c>
      <c r="AA102" s="912">
        <f t="shared" si="25"/>
        <v>15000000</v>
      </c>
      <c r="AB102" s="912">
        <f t="shared" si="25"/>
        <v>15000000</v>
      </c>
      <c r="AC102" s="912">
        <f t="shared" si="25"/>
        <v>15000000</v>
      </c>
      <c r="AD102" s="912">
        <f t="shared" si="25"/>
        <v>15000000</v>
      </c>
      <c r="AE102" s="912">
        <f t="shared" si="25"/>
        <v>15000000</v>
      </c>
      <c r="AF102" s="912">
        <f t="shared" si="25"/>
        <v>15000000</v>
      </c>
      <c r="AG102" s="912">
        <f t="shared" si="25"/>
        <v>15000000</v>
      </c>
      <c r="AH102" s="912">
        <f t="shared" si="25"/>
        <v>15000000</v>
      </c>
    </row>
    <row r="103" spans="1:34" s="902" customFormat="1">
      <c r="A103" s="899"/>
      <c r="B103" s="899"/>
      <c r="C103" s="899"/>
      <c r="D103" s="899">
        <v>201609</v>
      </c>
      <c r="E103" s="899"/>
      <c r="F103" s="899"/>
      <c r="G103" s="899"/>
      <c r="H103" s="899"/>
      <c r="I103" s="900">
        <v>42614</v>
      </c>
      <c r="J103" s="901"/>
      <c r="K103" s="900">
        <v>43132</v>
      </c>
      <c r="L103" s="903"/>
      <c r="N103" s="903">
        <v>15000000</v>
      </c>
      <c r="O103" s="902" t="s">
        <v>798</v>
      </c>
      <c r="Q103" s="912">
        <f t="shared" si="26"/>
        <v>15000000</v>
      </c>
      <c r="R103" s="912">
        <f t="shared" si="27"/>
        <v>15000000</v>
      </c>
      <c r="S103" s="912">
        <f t="shared" si="25"/>
        <v>15000000</v>
      </c>
      <c r="T103" s="912">
        <f t="shared" si="25"/>
        <v>15000000</v>
      </c>
      <c r="U103" s="912">
        <f t="shared" si="25"/>
        <v>15000000</v>
      </c>
      <c r="V103" s="912">
        <f t="shared" si="25"/>
        <v>15000000</v>
      </c>
      <c r="W103" s="912">
        <f t="shared" si="25"/>
        <v>15000000</v>
      </c>
      <c r="X103" s="912">
        <f t="shared" si="25"/>
        <v>15000000</v>
      </c>
      <c r="Y103" s="912">
        <f t="shared" si="25"/>
        <v>15000000</v>
      </c>
      <c r="Z103" s="912">
        <f t="shared" si="25"/>
        <v>15000000</v>
      </c>
      <c r="AA103" s="912">
        <f t="shared" si="25"/>
        <v>15000000</v>
      </c>
      <c r="AB103" s="912">
        <f t="shared" si="25"/>
        <v>15000000</v>
      </c>
      <c r="AC103" s="912">
        <f t="shared" si="25"/>
        <v>15000000</v>
      </c>
      <c r="AD103" s="912">
        <f t="shared" si="25"/>
        <v>15000000</v>
      </c>
      <c r="AE103" s="912">
        <f t="shared" si="25"/>
        <v>15000000</v>
      </c>
      <c r="AF103" s="912">
        <f t="shared" si="25"/>
        <v>15000000</v>
      </c>
      <c r="AG103" s="912">
        <f t="shared" si="25"/>
        <v>15000000</v>
      </c>
      <c r="AH103" s="912">
        <f t="shared" si="25"/>
        <v>15000000</v>
      </c>
    </row>
    <row r="104" spans="1:34" s="902" customFormat="1">
      <c r="A104" s="899"/>
      <c r="B104" s="899"/>
      <c r="C104" s="899"/>
      <c r="D104" s="899">
        <v>201609</v>
      </c>
      <c r="E104" s="899"/>
      <c r="F104" s="899"/>
      <c r="G104" s="899"/>
      <c r="H104" s="899"/>
      <c r="I104" s="900">
        <v>42614</v>
      </c>
      <c r="J104" s="901"/>
      <c r="K104" s="900">
        <v>43132</v>
      </c>
      <c r="L104" s="903"/>
      <c r="N104" s="903">
        <v>15000000</v>
      </c>
      <c r="O104" s="902" t="s">
        <v>798</v>
      </c>
      <c r="Q104" s="912">
        <f t="shared" si="26"/>
        <v>15000000</v>
      </c>
      <c r="R104" s="912">
        <f t="shared" si="27"/>
        <v>15000000</v>
      </c>
      <c r="S104" s="912">
        <f t="shared" si="25"/>
        <v>15000000</v>
      </c>
      <c r="T104" s="912">
        <f t="shared" si="25"/>
        <v>15000000</v>
      </c>
      <c r="U104" s="912">
        <f t="shared" si="25"/>
        <v>15000000</v>
      </c>
      <c r="V104" s="912">
        <f t="shared" si="25"/>
        <v>15000000</v>
      </c>
      <c r="W104" s="912">
        <f t="shared" si="25"/>
        <v>15000000</v>
      </c>
      <c r="X104" s="912">
        <f t="shared" si="25"/>
        <v>15000000</v>
      </c>
      <c r="Y104" s="912">
        <f t="shared" si="25"/>
        <v>15000000</v>
      </c>
      <c r="Z104" s="912">
        <f t="shared" si="25"/>
        <v>15000000</v>
      </c>
      <c r="AA104" s="912">
        <f t="shared" si="25"/>
        <v>15000000</v>
      </c>
      <c r="AB104" s="912">
        <f t="shared" si="25"/>
        <v>15000000</v>
      </c>
      <c r="AC104" s="912">
        <f t="shared" si="25"/>
        <v>15000000</v>
      </c>
      <c r="AD104" s="912">
        <f t="shared" si="25"/>
        <v>15000000</v>
      </c>
      <c r="AE104" s="912">
        <f t="shared" si="25"/>
        <v>15000000</v>
      </c>
      <c r="AF104" s="912">
        <f t="shared" si="25"/>
        <v>15000000</v>
      </c>
      <c r="AG104" s="912">
        <f t="shared" si="25"/>
        <v>15000000</v>
      </c>
      <c r="AH104" s="912">
        <f t="shared" si="25"/>
        <v>15000000</v>
      </c>
    </row>
    <row r="105" spans="1:34" s="902" customFormat="1">
      <c r="A105" s="899"/>
      <c r="B105" s="899"/>
      <c r="C105" s="899"/>
      <c r="D105" s="899">
        <v>201609</v>
      </c>
      <c r="E105" s="899"/>
      <c r="F105" s="899"/>
      <c r="G105" s="899"/>
      <c r="H105" s="899"/>
      <c r="I105" s="900">
        <v>42614</v>
      </c>
      <c r="J105" s="901"/>
      <c r="K105" s="900">
        <v>43132</v>
      </c>
      <c r="L105" s="903"/>
      <c r="N105" s="903">
        <v>15000000</v>
      </c>
      <c r="O105" s="902" t="s">
        <v>798</v>
      </c>
      <c r="Q105" s="912">
        <f t="shared" si="26"/>
        <v>15000000</v>
      </c>
      <c r="R105" s="912">
        <f t="shared" si="27"/>
        <v>15000000</v>
      </c>
      <c r="S105" s="912">
        <f t="shared" si="25"/>
        <v>15000000</v>
      </c>
      <c r="T105" s="912">
        <f t="shared" si="25"/>
        <v>15000000</v>
      </c>
      <c r="U105" s="912">
        <f t="shared" si="25"/>
        <v>15000000</v>
      </c>
      <c r="V105" s="912">
        <f t="shared" si="25"/>
        <v>15000000</v>
      </c>
      <c r="W105" s="912">
        <f t="shared" si="25"/>
        <v>15000000</v>
      </c>
      <c r="X105" s="912">
        <f t="shared" si="25"/>
        <v>15000000</v>
      </c>
      <c r="Y105" s="912">
        <f t="shared" si="25"/>
        <v>15000000</v>
      </c>
      <c r="Z105" s="912">
        <f t="shared" si="25"/>
        <v>15000000</v>
      </c>
      <c r="AA105" s="912">
        <f t="shared" si="25"/>
        <v>15000000</v>
      </c>
      <c r="AB105" s="912">
        <f t="shared" si="25"/>
        <v>15000000</v>
      </c>
      <c r="AC105" s="912">
        <f t="shared" si="25"/>
        <v>15000000</v>
      </c>
      <c r="AD105" s="912">
        <f t="shared" si="25"/>
        <v>15000000</v>
      </c>
      <c r="AE105" s="912">
        <f t="shared" si="25"/>
        <v>15000000</v>
      </c>
      <c r="AF105" s="912">
        <f t="shared" si="25"/>
        <v>15000000</v>
      </c>
      <c r="AG105" s="912">
        <f t="shared" si="25"/>
        <v>15000000</v>
      </c>
      <c r="AH105" s="912">
        <f t="shared" si="25"/>
        <v>15000000</v>
      </c>
    </row>
    <row r="106" spans="1:34" s="902" customFormat="1">
      <c r="A106" s="899"/>
      <c r="B106" s="899"/>
      <c r="C106" s="899"/>
      <c r="D106" s="899">
        <v>201609</v>
      </c>
      <c r="E106" s="899"/>
      <c r="F106" s="899"/>
      <c r="G106" s="899"/>
      <c r="H106" s="899"/>
      <c r="I106" s="900">
        <v>42614</v>
      </c>
      <c r="J106" s="901"/>
      <c r="K106" s="900">
        <v>43132</v>
      </c>
      <c r="L106" s="903"/>
      <c r="N106" s="903">
        <v>15000000</v>
      </c>
      <c r="O106" s="902" t="s">
        <v>798</v>
      </c>
      <c r="Q106" s="912">
        <f t="shared" si="26"/>
        <v>15000000</v>
      </c>
      <c r="R106" s="912">
        <f t="shared" si="27"/>
        <v>15000000</v>
      </c>
      <c r="S106" s="912">
        <f t="shared" si="25"/>
        <v>15000000</v>
      </c>
      <c r="T106" s="912">
        <f t="shared" si="25"/>
        <v>15000000</v>
      </c>
      <c r="U106" s="912">
        <f t="shared" si="25"/>
        <v>15000000</v>
      </c>
      <c r="V106" s="912">
        <f t="shared" si="25"/>
        <v>15000000</v>
      </c>
      <c r="W106" s="912">
        <f t="shared" si="25"/>
        <v>15000000</v>
      </c>
      <c r="X106" s="912">
        <f t="shared" si="25"/>
        <v>15000000</v>
      </c>
      <c r="Y106" s="912">
        <f t="shared" si="25"/>
        <v>15000000</v>
      </c>
      <c r="Z106" s="912">
        <f t="shared" si="25"/>
        <v>15000000</v>
      </c>
      <c r="AA106" s="912">
        <f t="shared" si="25"/>
        <v>15000000</v>
      </c>
      <c r="AB106" s="912">
        <f t="shared" si="25"/>
        <v>15000000</v>
      </c>
      <c r="AC106" s="912">
        <f t="shared" si="25"/>
        <v>15000000</v>
      </c>
      <c r="AD106" s="912">
        <f t="shared" si="25"/>
        <v>15000000</v>
      </c>
      <c r="AE106" s="912">
        <f t="shared" si="25"/>
        <v>15000000</v>
      </c>
      <c r="AF106" s="912">
        <f t="shared" si="25"/>
        <v>15000000</v>
      </c>
      <c r="AG106" s="912">
        <f t="shared" si="25"/>
        <v>15000000</v>
      </c>
      <c r="AH106" s="912">
        <f t="shared" si="25"/>
        <v>15000000</v>
      </c>
    </row>
    <row r="107" spans="1:34" s="902" customFormat="1">
      <c r="A107" s="899"/>
      <c r="B107" s="899"/>
      <c r="C107" s="899"/>
      <c r="D107" s="899">
        <v>201609</v>
      </c>
      <c r="E107" s="899"/>
      <c r="F107" s="899"/>
      <c r="G107" s="899"/>
      <c r="H107" s="899"/>
      <c r="I107" s="900">
        <v>42614</v>
      </c>
      <c r="J107" s="901"/>
      <c r="K107" s="900">
        <v>43132</v>
      </c>
      <c r="L107" s="903"/>
      <c r="N107" s="903">
        <v>15000000</v>
      </c>
      <c r="O107" s="902" t="s">
        <v>798</v>
      </c>
      <c r="Q107" s="912">
        <f t="shared" si="26"/>
        <v>15000000</v>
      </c>
      <c r="R107" s="912">
        <f t="shared" si="27"/>
        <v>15000000</v>
      </c>
      <c r="S107" s="912">
        <f t="shared" si="25"/>
        <v>15000000</v>
      </c>
      <c r="T107" s="912">
        <f t="shared" si="25"/>
        <v>15000000</v>
      </c>
      <c r="U107" s="912">
        <f t="shared" si="25"/>
        <v>15000000</v>
      </c>
      <c r="V107" s="912">
        <f t="shared" si="25"/>
        <v>15000000</v>
      </c>
      <c r="W107" s="912">
        <f t="shared" si="25"/>
        <v>15000000</v>
      </c>
      <c r="X107" s="912">
        <f t="shared" si="25"/>
        <v>15000000</v>
      </c>
      <c r="Y107" s="912">
        <f t="shared" si="25"/>
        <v>15000000</v>
      </c>
      <c r="Z107" s="912">
        <f t="shared" si="25"/>
        <v>15000000</v>
      </c>
      <c r="AA107" s="912">
        <f t="shared" si="25"/>
        <v>15000000</v>
      </c>
      <c r="AB107" s="912">
        <f t="shared" si="25"/>
        <v>15000000</v>
      </c>
      <c r="AC107" s="912">
        <f t="shared" si="25"/>
        <v>15000000</v>
      </c>
      <c r="AD107" s="912">
        <f t="shared" si="25"/>
        <v>15000000</v>
      </c>
      <c r="AE107" s="912">
        <f t="shared" si="25"/>
        <v>15000000</v>
      </c>
      <c r="AF107" s="912">
        <f t="shared" si="25"/>
        <v>15000000</v>
      </c>
      <c r="AG107" s="912">
        <f t="shared" si="25"/>
        <v>15000000</v>
      </c>
      <c r="AH107" s="912">
        <f t="shared" si="25"/>
        <v>15000000</v>
      </c>
    </row>
    <row r="108" spans="1:34" s="902" customFormat="1">
      <c r="D108" s="899">
        <v>201609</v>
      </c>
      <c r="I108" s="900">
        <v>42614</v>
      </c>
      <c r="J108" s="901"/>
      <c r="K108" s="900">
        <v>43132</v>
      </c>
      <c r="L108" s="903"/>
      <c r="N108" s="903">
        <v>15000000</v>
      </c>
      <c r="O108" s="902" t="s">
        <v>798</v>
      </c>
      <c r="Q108" s="912">
        <f t="shared" si="26"/>
        <v>15000000</v>
      </c>
      <c r="R108" s="912">
        <f t="shared" si="27"/>
        <v>15000000</v>
      </c>
      <c r="S108" s="912">
        <f t="shared" si="25"/>
        <v>15000000</v>
      </c>
      <c r="T108" s="912">
        <f t="shared" si="25"/>
        <v>15000000</v>
      </c>
      <c r="U108" s="912">
        <f t="shared" si="25"/>
        <v>15000000</v>
      </c>
      <c r="V108" s="912">
        <f t="shared" si="25"/>
        <v>15000000</v>
      </c>
      <c r="W108" s="912">
        <f t="shared" si="25"/>
        <v>15000000</v>
      </c>
      <c r="X108" s="912">
        <f t="shared" si="25"/>
        <v>15000000</v>
      </c>
      <c r="Y108" s="912">
        <f t="shared" si="25"/>
        <v>15000000</v>
      </c>
      <c r="Z108" s="912">
        <f t="shared" si="25"/>
        <v>15000000</v>
      </c>
      <c r="AA108" s="912">
        <f t="shared" si="25"/>
        <v>15000000</v>
      </c>
      <c r="AB108" s="912">
        <f t="shared" si="25"/>
        <v>15000000</v>
      </c>
      <c r="AC108" s="912">
        <f t="shared" si="25"/>
        <v>15000000</v>
      </c>
      <c r="AD108" s="912">
        <f t="shared" si="25"/>
        <v>15000000</v>
      </c>
      <c r="AE108" s="912">
        <f t="shared" si="25"/>
        <v>15000000</v>
      </c>
      <c r="AF108" s="912">
        <f t="shared" si="25"/>
        <v>15000000</v>
      </c>
      <c r="AG108" s="912">
        <f t="shared" si="25"/>
        <v>15000000</v>
      </c>
      <c r="AH108" s="912">
        <f t="shared" si="25"/>
        <v>15000000</v>
      </c>
    </row>
    <row r="109" spans="1:34" s="902" customFormat="1">
      <c r="D109" s="899">
        <v>201609</v>
      </c>
      <c r="I109" s="900">
        <v>42614</v>
      </c>
      <c r="J109" s="901"/>
      <c r="K109" s="900">
        <v>43132</v>
      </c>
      <c r="L109" s="903"/>
      <c r="N109" s="903">
        <v>15000000</v>
      </c>
      <c r="O109" s="902" t="s">
        <v>798</v>
      </c>
      <c r="Q109" s="912">
        <f t="shared" si="26"/>
        <v>15000000</v>
      </c>
      <c r="R109" s="912">
        <f t="shared" si="27"/>
        <v>15000000</v>
      </c>
      <c r="S109" s="912">
        <f t="shared" si="25"/>
        <v>15000000</v>
      </c>
      <c r="T109" s="912">
        <f t="shared" si="25"/>
        <v>15000000</v>
      </c>
      <c r="U109" s="912">
        <f t="shared" si="25"/>
        <v>15000000</v>
      </c>
      <c r="V109" s="912">
        <f t="shared" si="25"/>
        <v>15000000</v>
      </c>
      <c r="W109" s="912">
        <f t="shared" si="25"/>
        <v>15000000</v>
      </c>
      <c r="X109" s="912">
        <f t="shared" si="25"/>
        <v>15000000</v>
      </c>
      <c r="Y109" s="912">
        <f t="shared" si="25"/>
        <v>15000000</v>
      </c>
      <c r="Z109" s="912">
        <f t="shared" si="25"/>
        <v>15000000</v>
      </c>
      <c r="AA109" s="912">
        <f t="shared" si="25"/>
        <v>15000000</v>
      </c>
      <c r="AB109" s="912">
        <f t="shared" si="25"/>
        <v>15000000</v>
      </c>
      <c r="AC109" s="912">
        <f t="shared" si="25"/>
        <v>15000000</v>
      </c>
      <c r="AD109" s="912">
        <f t="shared" si="25"/>
        <v>15000000</v>
      </c>
      <c r="AE109" s="912">
        <f t="shared" si="25"/>
        <v>15000000</v>
      </c>
      <c r="AF109" s="912">
        <f t="shared" si="25"/>
        <v>15000000</v>
      </c>
      <c r="AG109" s="912">
        <f t="shared" si="25"/>
        <v>15000000</v>
      </c>
      <c r="AH109" s="912">
        <f t="shared" si="25"/>
        <v>15000000</v>
      </c>
    </row>
    <row r="110" spans="1:34" s="902" customFormat="1">
      <c r="D110" s="899">
        <v>201609</v>
      </c>
      <c r="I110" s="900">
        <v>42614</v>
      </c>
      <c r="J110" s="901"/>
      <c r="K110" s="900">
        <v>43132</v>
      </c>
      <c r="L110" s="903"/>
      <c r="N110" s="903">
        <v>20000000</v>
      </c>
      <c r="O110" s="902" t="s">
        <v>798</v>
      </c>
      <c r="Q110" s="912">
        <f t="shared" si="26"/>
        <v>20000000</v>
      </c>
      <c r="R110" s="912">
        <f t="shared" si="27"/>
        <v>20000000</v>
      </c>
      <c r="S110" s="912">
        <f t="shared" si="25"/>
        <v>20000000</v>
      </c>
      <c r="T110" s="912">
        <f t="shared" si="25"/>
        <v>20000000</v>
      </c>
      <c r="U110" s="912">
        <f t="shared" si="25"/>
        <v>20000000</v>
      </c>
      <c r="V110" s="912">
        <f t="shared" si="25"/>
        <v>20000000</v>
      </c>
      <c r="W110" s="912">
        <f t="shared" si="25"/>
        <v>20000000</v>
      </c>
      <c r="X110" s="912">
        <f t="shared" si="25"/>
        <v>20000000</v>
      </c>
      <c r="Y110" s="912">
        <f t="shared" si="25"/>
        <v>20000000</v>
      </c>
      <c r="Z110" s="912">
        <f t="shared" si="25"/>
        <v>20000000</v>
      </c>
      <c r="AA110" s="912">
        <f t="shared" si="25"/>
        <v>20000000</v>
      </c>
      <c r="AB110" s="912">
        <f t="shared" si="25"/>
        <v>20000000</v>
      </c>
      <c r="AC110" s="912">
        <f t="shared" si="25"/>
        <v>20000000</v>
      </c>
      <c r="AD110" s="912">
        <f t="shared" si="25"/>
        <v>20000000</v>
      </c>
      <c r="AE110" s="912">
        <f t="shared" si="25"/>
        <v>20000000</v>
      </c>
      <c r="AF110" s="912">
        <f t="shared" si="25"/>
        <v>20000000</v>
      </c>
      <c r="AG110" s="912">
        <f t="shared" si="25"/>
        <v>20000000</v>
      </c>
      <c r="AH110" s="912">
        <f t="shared" si="25"/>
        <v>20000000</v>
      </c>
    </row>
    <row r="111" spans="1:34" s="902" customFormat="1">
      <c r="D111" s="899">
        <v>201609</v>
      </c>
      <c r="I111" s="900">
        <v>42614</v>
      </c>
      <c r="J111" s="901"/>
      <c r="K111" s="900">
        <v>43132</v>
      </c>
      <c r="L111" s="903"/>
      <c r="N111" s="903">
        <v>20000000</v>
      </c>
      <c r="O111" s="902" t="s">
        <v>798</v>
      </c>
      <c r="Q111" s="912">
        <f t="shared" si="26"/>
        <v>20000000</v>
      </c>
      <c r="R111" s="912">
        <f t="shared" si="27"/>
        <v>20000000</v>
      </c>
      <c r="S111" s="912">
        <f t="shared" si="25"/>
        <v>20000000</v>
      </c>
      <c r="T111" s="912">
        <f t="shared" si="25"/>
        <v>20000000</v>
      </c>
      <c r="U111" s="912">
        <f t="shared" si="25"/>
        <v>20000000</v>
      </c>
      <c r="V111" s="912">
        <f t="shared" si="25"/>
        <v>20000000</v>
      </c>
      <c r="W111" s="912">
        <f t="shared" si="25"/>
        <v>20000000</v>
      </c>
      <c r="X111" s="912">
        <f t="shared" si="25"/>
        <v>20000000</v>
      </c>
      <c r="Y111" s="912">
        <f t="shared" si="25"/>
        <v>20000000</v>
      </c>
      <c r="Z111" s="912">
        <f t="shared" si="25"/>
        <v>20000000</v>
      </c>
      <c r="AA111" s="912">
        <f t="shared" si="25"/>
        <v>20000000</v>
      </c>
      <c r="AB111" s="912">
        <f t="shared" si="25"/>
        <v>20000000</v>
      </c>
      <c r="AC111" s="912">
        <f t="shared" si="25"/>
        <v>20000000</v>
      </c>
      <c r="AD111" s="912">
        <f t="shared" si="25"/>
        <v>20000000</v>
      </c>
      <c r="AE111" s="912">
        <f t="shared" si="25"/>
        <v>20000000</v>
      </c>
      <c r="AF111" s="912">
        <f t="shared" si="25"/>
        <v>20000000</v>
      </c>
      <c r="AG111" s="912">
        <f t="shared" si="25"/>
        <v>20000000</v>
      </c>
      <c r="AH111" s="912">
        <f t="shared" si="25"/>
        <v>20000000</v>
      </c>
    </row>
    <row r="112" spans="1:34" s="902" customFormat="1">
      <c r="D112" s="899">
        <v>201609</v>
      </c>
      <c r="I112" s="900">
        <v>42614</v>
      </c>
      <c r="J112" s="901"/>
      <c r="K112" s="900">
        <v>43132</v>
      </c>
      <c r="L112" s="903"/>
      <c r="N112" s="903">
        <v>20000000</v>
      </c>
      <c r="O112" s="902" t="s">
        <v>798</v>
      </c>
      <c r="Q112" s="912">
        <f t="shared" si="26"/>
        <v>20000000</v>
      </c>
      <c r="R112" s="912">
        <f t="shared" si="27"/>
        <v>20000000</v>
      </c>
      <c r="S112" s="912">
        <f t="shared" si="25"/>
        <v>20000000</v>
      </c>
      <c r="T112" s="912">
        <f t="shared" si="25"/>
        <v>20000000</v>
      </c>
      <c r="U112" s="912">
        <f t="shared" si="25"/>
        <v>20000000</v>
      </c>
      <c r="V112" s="912">
        <f t="shared" si="25"/>
        <v>20000000</v>
      </c>
      <c r="W112" s="912">
        <f t="shared" si="25"/>
        <v>20000000</v>
      </c>
      <c r="X112" s="912">
        <f t="shared" si="25"/>
        <v>20000000</v>
      </c>
      <c r="Y112" s="912">
        <f t="shared" si="25"/>
        <v>20000000</v>
      </c>
      <c r="Z112" s="912">
        <f t="shared" si="25"/>
        <v>20000000</v>
      </c>
      <c r="AA112" s="912">
        <f t="shared" si="25"/>
        <v>20000000</v>
      </c>
      <c r="AB112" s="912">
        <f t="shared" si="25"/>
        <v>20000000</v>
      </c>
      <c r="AC112" s="912">
        <f t="shared" si="25"/>
        <v>20000000</v>
      </c>
      <c r="AD112" s="912">
        <f t="shared" si="25"/>
        <v>20000000</v>
      </c>
      <c r="AE112" s="912">
        <f t="shared" si="25"/>
        <v>20000000</v>
      </c>
      <c r="AF112" s="912">
        <f t="shared" si="25"/>
        <v>20000000</v>
      </c>
      <c r="AG112" s="912">
        <f t="shared" si="25"/>
        <v>20000000</v>
      </c>
      <c r="AH112" s="912">
        <f t="shared" si="25"/>
        <v>20000000</v>
      </c>
    </row>
    <row r="113" spans="4:47" s="902" customFormat="1">
      <c r="D113" s="899">
        <v>201609</v>
      </c>
      <c r="I113" s="900">
        <v>42614</v>
      </c>
      <c r="J113" s="901"/>
      <c r="K113" s="900">
        <v>43132</v>
      </c>
      <c r="L113" s="903"/>
      <c r="N113" s="903">
        <v>25000000</v>
      </c>
      <c r="O113" s="902" t="s">
        <v>798</v>
      </c>
      <c r="Q113" s="912">
        <f t="shared" si="26"/>
        <v>25000000</v>
      </c>
      <c r="R113" s="912">
        <f t="shared" si="27"/>
        <v>25000000</v>
      </c>
      <c r="S113" s="912">
        <f t="shared" si="25"/>
        <v>25000000</v>
      </c>
      <c r="T113" s="912">
        <f t="shared" si="25"/>
        <v>25000000</v>
      </c>
      <c r="U113" s="912">
        <f t="shared" si="25"/>
        <v>25000000</v>
      </c>
      <c r="V113" s="912">
        <f t="shared" si="25"/>
        <v>25000000</v>
      </c>
      <c r="W113" s="912">
        <f t="shared" si="25"/>
        <v>25000000</v>
      </c>
      <c r="X113" s="912">
        <f t="shared" si="25"/>
        <v>25000000</v>
      </c>
      <c r="Y113" s="912">
        <f t="shared" si="25"/>
        <v>25000000</v>
      </c>
      <c r="Z113" s="912">
        <f t="shared" si="25"/>
        <v>25000000</v>
      </c>
      <c r="AA113" s="912">
        <f t="shared" si="25"/>
        <v>25000000</v>
      </c>
      <c r="AB113" s="912">
        <f t="shared" si="25"/>
        <v>25000000</v>
      </c>
      <c r="AC113" s="912">
        <f t="shared" si="25"/>
        <v>25000000</v>
      </c>
      <c r="AD113" s="912">
        <f t="shared" si="25"/>
        <v>25000000</v>
      </c>
      <c r="AE113" s="912">
        <f t="shared" si="25"/>
        <v>25000000</v>
      </c>
      <c r="AF113" s="912">
        <f t="shared" si="25"/>
        <v>25000000</v>
      </c>
      <c r="AG113" s="912">
        <f t="shared" si="25"/>
        <v>25000000</v>
      </c>
      <c r="AH113" s="912">
        <f t="shared" si="25"/>
        <v>25000000</v>
      </c>
    </row>
    <row r="114" spans="4:47" s="906" customFormat="1">
      <c r="D114" s="906">
        <v>201611</v>
      </c>
      <c r="I114" s="900">
        <v>42380</v>
      </c>
      <c r="J114" s="907"/>
      <c r="K114" s="900">
        <v>43160</v>
      </c>
      <c r="L114" s="908"/>
      <c r="N114" s="908">
        <v>15000000</v>
      </c>
      <c r="O114" s="902" t="s">
        <v>798</v>
      </c>
      <c r="S114" s="913">
        <f>N114</f>
        <v>15000000</v>
      </c>
      <c r="T114" s="913">
        <f>S114</f>
        <v>15000000</v>
      </c>
      <c r="U114" s="913">
        <f t="shared" ref="U114:AI114" si="28">T114</f>
        <v>15000000</v>
      </c>
      <c r="V114" s="913">
        <f t="shared" si="28"/>
        <v>15000000</v>
      </c>
      <c r="W114" s="913">
        <f t="shared" si="28"/>
        <v>15000000</v>
      </c>
      <c r="X114" s="913">
        <f t="shared" si="28"/>
        <v>15000000</v>
      </c>
      <c r="Y114" s="913">
        <f t="shared" si="28"/>
        <v>15000000</v>
      </c>
      <c r="Z114" s="913">
        <f t="shared" si="28"/>
        <v>15000000</v>
      </c>
      <c r="AA114" s="913">
        <f t="shared" si="28"/>
        <v>15000000</v>
      </c>
      <c r="AB114" s="913">
        <f t="shared" si="28"/>
        <v>15000000</v>
      </c>
      <c r="AC114" s="913">
        <f t="shared" si="28"/>
        <v>15000000</v>
      </c>
      <c r="AD114" s="913">
        <f t="shared" si="28"/>
        <v>15000000</v>
      </c>
      <c r="AE114" s="913">
        <f t="shared" si="28"/>
        <v>15000000</v>
      </c>
      <c r="AF114" s="913">
        <f t="shared" si="28"/>
        <v>15000000</v>
      </c>
      <c r="AG114" s="913">
        <f t="shared" si="28"/>
        <v>15000000</v>
      </c>
      <c r="AH114" s="913">
        <f t="shared" si="28"/>
        <v>15000000</v>
      </c>
      <c r="AI114" s="913">
        <f t="shared" si="28"/>
        <v>15000000</v>
      </c>
      <c r="AJ114" s="913"/>
      <c r="AK114" s="913"/>
      <c r="AL114" s="913"/>
      <c r="AM114" s="913"/>
      <c r="AN114" s="913"/>
      <c r="AO114" s="913"/>
      <c r="AP114" s="913"/>
      <c r="AQ114" s="913"/>
      <c r="AR114" s="913"/>
      <c r="AS114" s="913"/>
      <c r="AT114" s="913"/>
      <c r="AU114" s="913"/>
    </row>
    <row r="115" spans="4:47" s="906" customFormat="1">
      <c r="D115" s="906">
        <v>201611</v>
      </c>
      <c r="I115" s="900">
        <v>42380</v>
      </c>
      <c r="J115" s="907"/>
      <c r="K115" s="900">
        <v>43160</v>
      </c>
      <c r="L115" s="908"/>
      <c r="N115" s="908">
        <v>15000000</v>
      </c>
      <c r="O115" s="902" t="s">
        <v>798</v>
      </c>
      <c r="S115" s="913">
        <f t="shared" ref="S115:S117" si="29">N115</f>
        <v>15000000</v>
      </c>
      <c r="T115" s="913">
        <f t="shared" ref="T115:AI117" si="30">S115</f>
        <v>15000000</v>
      </c>
      <c r="U115" s="913">
        <f t="shared" si="30"/>
        <v>15000000</v>
      </c>
      <c r="V115" s="913">
        <f t="shared" si="30"/>
        <v>15000000</v>
      </c>
      <c r="W115" s="913">
        <f t="shared" si="30"/>
        <v>15000000</v>
      </c>
      <c r="X115" s="913">
        <f t="shared" si="30"/>
        <v>15000000</v>
      </c>
      <c r="Y115" s="913">
        <f t="shared" si="30"/>
        <v>15000000</v>
      </c>
      <c r="Z115" s="913">
        <f t="shared" si="30"/>
        <v>15000000</v>
      </c>
      <c r="AA115" s="913">
        <f t="shared" si="30"/>
        <v>15000000</v>
      </c>
      <c r="AB115" s="913">
        <f t="shared" si="30"/>
        <v>15000000</v>
      </c>
      <c r="AC115" s="913">
        <f t="shared" si="30"/>
        <v>15000000</v>
      </c>
      <c r="AD115" s="913">
        <f t="shared" si="30"/>
        <v>15000000</v>
      </c>
      <c r="AE115" s="913">
        <f t="shared" si="30"/>
        <v>15000000</v>
      </c>
      <c r="AF115" s="913">
        <f t="shared" si="30"/>
        <v>15000000</v>
      </c>
      <c r="AG115" s="913">
        <f t="shared" si="30"/>
        <v>15000000</v>
      </c>
      <c r="AH115" s="913">
        <f t="shared" si="30"/>
        <v>15000000</v>
      </c>
      <c r="AI115" s="913">
        <f t="shared" si="30"/>
        <v>15000000</v>
      </c>
      <c r="AJ115" s="913"/>
      <c r="AK115" s="913"/>
      <c r="AL115" s="913"/>
      <c r="AM115" s="913"/>
      <c r="AN115" s="913"/>
      <c r="AO115" s="913"/>
      <c r="AP115" s="913"/>
      <c r="AQ115" s="913"/>
      <c r="AR115" s="913"/>
      <c r="AS115" s="913"/>
      <c r="AT115" s="913"/>
      <c r="AU115" s="913"/>
    </row>
    <row r="116" spans="4:47" s="906" customFormat="1">
      <c r="D116" s="906">
        <v>201611</v>
      </c>
      <c r="I116" s="900">
        <v>42380</v>
      </c>
      <c r="J116" s="907"/>
      <c r="K116" s="900">
        <v>43160</v>
      </c>
      <c r="L116" s="908"/>
      <c r="N116" s="908">
        <v>15000000</v>
      </c>
      <c r="O116" s="902" t="s">
        <v>798</v>
      </c>
      <c r="S116" s="913">
        <f t="shared" si="29"/>
        <v>15000000</v>
      </c>
      <c r="T116" s="913">
        <f t="shared" si="30"/>
        <v>15000000</v>
      </c>
      <c r="U116" s="913">
        <f t="shared" si="30"/>
        <v>15000000</v>
      </c>
      <c r="V116" s="913">
        <f t="shared" si="30"/>
        <v>15000000</v>
      </c>
      <c r="W116" s="913">
        <f t="shared" si="30"/>
        <v>15000000</v>
      </c>
      <c r="X116" s="913">
        <f t="shared" si="30"/>
        <v>15000000</v>
      </c>
      <c r="Y116" s="913">
        <f t="shared" si="30"/>
        <v>15000000</v>
      </c>
      <c r="Z116" s="913">
        <f t="shared" si="30"/>
        <v>15000000</v>
      </c>
      <c r="AA116" s="913">
        <f t="shared" si="30"/>
        <v>15000000</v>
      </c>
      <c r="AB116" s="913">
        <f t="shared" si="30"/>
        <v>15000000</v>
      </c>
      <c r="AC116" s="913">
        <f t="shared" si="30"/>
        <v>15000000</v>
      </c>
      <c r="AD116" s="913">
        <f t="shared" si="30"/>
        <v>15000000</v>
      </c>
      <c r="AE116" s="913">
        <f t="shared" si="30"/>
        <v>15000000</v>
      </c>
      <c r="AF116" s="913">
        <f t="shared" si="30"/>
        <v>15000000</v>
      </c>
      <c r="AG116" s="913">
        <f t="shared" si="30"/>
        <v>15000000</v>
      </c>
      <c r="AH116" s="913">
        <f t="shared" si="30"/>
        <v>15000000</v>
      </c>
      <c r="AI116" s="913">
        <f t="shared" si="30"/>
        <v>15000000</v>
      </c>
      <c r="AJ116" s="913"/>
      <c r="AK116" s="913"/>
      <c r="AL116" s="913"/>
      <c r="AM116" s="913"/>
      <c r="AN116" s="913"/>
      <c r="AO116" s="913"/>
      <c r="AP116" s="913"/>
      <c r="AQ116" s="913"/>
      <c r="AR116" s="913"/>
      <c r="AS116" s="913"/>
      <c r="AT116" s="913"/>
      <c r="AU116" s="913"/>
    </row>
    <row r="117" spans="4:47" s="906" customFormat="1">
      <c r="D117" s="906">
        <v>201611</v>
      </c>
      <c r="I117" s="900">
        <v>42380</v>
      </c>
      <c r="J117" s="907"/>
      <c r="K117" s="900">
        <v>43160</v>
      </c>
      <c r="L117" s="908"/>
      <c r="N117" s="908">
        <v>20000000</v>
      </c>
      <c r="O117" s="902" t="s">
        <v>798</v>
      </c>
      <c r="S117" s="913">
        <f t="shared" si="29"/>
        <v>20000000</v>
      </c>
      <c r="T117" s="913">
        <f t="shared" si="30"/>
        <v>20000000</v>
      </c>
      <c r="U117" s="913">
        <f t="shared" si="30"/>
        <v>20000000</v>
      </c>
      <c r="V117" s="913">
        <f t="shared" si="30"/>
        <v>20000000</v>
      </c>
      <c r="W117" s="913">
        <f t="shared" si="30"/>
        <v>20000000</v>
      </c>
      <c r="X117" s="913">
        <f t="shared" si="30"/>
        <v>20000000</v>
      </c>
      <c r="Y117" s="913">
        <f t="shared" si="30"/>
        <v>20000000</v>
      </c>
      <c r="Z117" s="913">
        <f t="shared" si="30"/>
        <v>20000000</v>
      </c>
      <c r="AA117" s="913">
        <f t="shared" si="30"/>
        <v>20000000</v>
      </c>
      <c r="AB117" s="913">
        <f t="shared" si="30"/>
        <v>20000000</v>
      </c>
      <c r="AC117" s="913">
        <f t="shared" si="30"/>
        <v>20000000</v>
      </c>
      <c r="AD117" s="913">
        <f t="shared" si="30"/>
        <v>20000000</v>
      </c>
      <c r="AE117" s="913">
        <f t="shared" si="30"/>
        <v>20000000</v>
      </c>
      <c r="AF117" s="913">
        <f t="shared" si="30"/>
        <v>20000000</v>
      </c>
      <c r="AG117" s="913">
        <f t="shared" si="30"/>
        <v>20000000</v>
      </c>
      <c r="AH117" s="913">
        <f t="shared" si="30"/>
        <v>20000000</v>
      </c>
      <c r="AI117" s="913">
        <f t="shared" si="30"/>
        <v>20000000</v>
      </c>
      <c r="AJ117" s="913"/>
      <c r="AK117" s="913"/>
      <c r="AL117" s="913"/>
      <c r="AM117" s="913"/>
      <c r="AN117" s="913"/>
      <c r="AO117" s="913"/>
      <c r="AP117" s="913"/>
      <c r="AQ117" s="913"/>
      <c r="AR117" s="913"/>
      <c r="AS117" s="913"/>
      <c r="AT117" s="913"/>
      <c r="AU117" s="913"/>
    </row>
    <row r="118" spans="4:47" s="906" customFormat="1">
      <c r="D118" s="906">
        <v>201612</v>
      </c>
      <c r="I118" s="900">
        <v>42381</v>
      </c>
      <c r="J118" s="907"/>
      <c r="K118" s="900">
        <v>43191</v>
      </c>
      <c r="L118" s="908"/>
      <c r="N118" s="908">
        <v>20000000</v>
      </c>
      <c r="O118" s="902" t="s">
        <v>798</v>
      </c>
      <c r="T118" s="913">
        <f>N118</f>
        <v>20000000</v>
      </c>
      <c r="U118" s="913">
        <f>T118</f>
        <v>20000000</v>
      </c>
      <c r="V118" s="913">
        <f t="shared" ref="V118:AJ118" si="31">U118</f>
        <v>20000000</v>
      </c>
      <c r="W118" s="913">
        <f t="shared" si="31"/>
        <v>20000000</v>
      </c>
      <c r="X118" s="913">
        <f t="shared" si="31"/>
        <v>20000000</v>
      </c>
      <c r="Y118" s="913">
        <f t="shared" si="31"/>
        <v>20000000</v>
      </c>
      <c r="Z118" s="913">
        <f t="shared" si="31"/>
        <v>20000000</v>
      </c>
      <c r="AA118" s="913">
        <f t="shared" si="31"/>
        <v>20000000</v>
      </c>
      <c r="AB118" s="913">
        <f t="shared" si="31"/>
        <v>20000000</v>
      </c>
      <c r="AC118" s="913">
        <f t="shared" si="31"/>
        <v>20000000</v>
      </c>
      <c r="AD118" s="913">
        <f t="shared" si="31"/>
        <v>20000000</v>
      </c>
      <c r="AE118" s="913">
        <f t="shared" si="31"/>
        <v>20000000</v>
      </c>
      <c r="AF118" s="913">
        <f t="shared" si="31"/>
        <v>20000000</v>
      </c>
      <c r="AG118" s="913">
        <f t="shared" si="31"/>
        <v>20000000</v>
      </c>
      <c r="AH118" s="913">
        <f t="shared" si="31"/>
        <v>20000000</v>
      </c>
      <c r="AI118" s="913">
        <f t="shared" si="31"/>
        <v>20000000</v>
      </c>
      <c r="AJ118" s="913">
        <f t="shared" si="31"/>
        <v>20000000</v>
      </c>
    </row>
    <row r="119" spans="4:47" s="906" customFormat="1">
      <c r="D119" s="906">
        <v>201612</v>
      </c>
      <c r="I119" s="900">
        <v>42381</v>
      </c>
      <c r="J119" s="907"/>
      <c r="K119" s="900">
        <v>43191</v>
      </c>
      <c r="L119" s="908"/>
      <c r="N119" s="908">
        <v>20000000</v>
      </c>
      <c r="O119" s="902" t="s">
        <v>798</v>
      </c>
      <c r="T119" s="913">
        <f t="shared" ref="T119:T120" si="32">N119</f>
        <v>20000000</v>
      </c>
      <c r="U119" s="913">
        <f t="shared" ref="U119:AJ120" si="33">T119</f>
        <v>20000000</v>
      </c>
      <c r="V119" s="913">
        <f t="shared" si="33"/>
        <v>20000000</v>
      </c>
      <c r="W119" s="913">
        <f t="shared" si="33"/>
        <v>20000000</v>
      </c>
      <c r="X119" s="913">
        <f t="shared" si="33"/>
        <v>20000000</v>
      </c>
      <c r="Y119" s="913">
        <f t="shared" si="33"/>
        <v>20000000</v>
      </c>
      <c r="Z119" s="913">
        <f t="shared" si="33"/>
        <v>20000000</v>
      </c>
      <c r="AA119" s="913">
        <f t="shared" si="33"/>
        <v>20000000</v>
      </c>
      <c r="AB119" s="913">
        <f t="shared" si="33"/>
        <v>20000000</v>
      </c>
      <c r="AC119" s="913">
        <f t="shared" si="33"/>
        <v>20000000</v>
      </c>
      <c r="AD119" s="913">
        <f t="shared" si="33"/>
        <v>20000000</v>
      </c>
      <c r="AE119" s="913">
        <f t="shared" si="33"/>
        <v>20000000</v>
      </c>
      <c r="AF119" s="913">
        <f t="shared" si="33"/>
        <v>20000000</v>
      </c>
      <c r="AG119" s="913">
        <f t="shared" si="33"/>
        <v>20000000</v>
      </c>
      <c r="AH119" s="913">
        <f t="shared" si="33"/>
        <v>20000000</v>
      </c>
      <c r="AI119" s="913">
        <f t="shared" si="33"/>
        <v>20000000</v>
      </c>
      <c r="AJ119" s="913">
        <f t="shared" si="33"/>
        <v>20000000</v>
      </c>
    </row>
    <row r="120" spans="4:47" s="906" customFormat="1">
      <c r="D120" s="906">
        <v>201612</v>
      </c>
      <c r="I120" s="900">
        <v>42381</v>
      </c>
      <c r="J120" s="907"/>
      <c r="K120" s="900">
        <v>43191</v>
      </c>
      <c r="L120" s="908"/>
      <c r="N120" s="908">
        <v>15000000</v>
      </c>
      <c r="O120" s="902" t="s">
        <v>798</v>
      </c>
      <c r="T120" s="913">
        <f t="shared" si="32"/>
        <v>15000000</v>
      </c>
      <c r="U120" s="913">
        <f t="shared" si="33"/>
        <v>15000000</v>
      </c>
      <c r="V120" s="913">
        <f t="shared" si="33"/>
        <v>15000000</v>
      </c>
      <c r="W120" s="913">
        <f t="shared" si="33"/>
        <v>15000000</v>
      </c>
      <c r="X120" s="913">
        <f t="shared" si="33"/>
        <v>15000000</v>
      </c>
      <c r="Y120" s="913">
        <f t="shared" si="33"/>
        <v>15000000</v>
      </c>
      <c r="Z120" s="913">
        <f t="shared" si="33"/>
        <v>15000000</v>
      </c>
      <c r="AA120" s="913">
        <f t="shared" si="33"/>
        <v>15000000</v>
      </c>
      <c r="AB120" s="913">
        <f t="shared" si="33"/>
        <v>15000000</v>
      </c>
      <c r="AC120" s="913">
        <f t="shared" si="33"/>
        <v>15000000</v>
      </c>
      <c r="AD120" s="913">
        <f t="shared" si="33"/>
        <v>15000000</v>
      </c>
      <c r="AE120" s="913">
        <f t="shared" si="33"/>
        <v>15000000</v>
      </c>
      <c r="AF120" s="913">
        <f t="shared" si="33"/>
        <v>15000000</v>
      </c>
      <c r="AG120" s="913">
        <f t="shared" si="33"/>
        <v>15000000</v>
      </c>
      <c r="AH120" s="913">
        <f t="shared" si="33"/>
        <v>15000000</v>
      </c>
      <c r="AI120" s="913">
        <f t="shared" si="33"/>
        <v>15000000</v>
      </c>
      <c r="AJ120" s="913">
        <f t="shared" si="33"/>
        <v>15000000</v>
      </c>
    </row>
    <row r="121" spans="4:47" s="906" customFormat="1">
      <c r="D121" s="906">
        <v>201703</v>
      </c>
      <c r="I121" s="900">
        <v>42795</v>
      </c>
      <c r="J121" s="907"/>
      <c r="K121" s="900">
        <v>43313</v>
      </c>
      <c r="L121" s="908">
        <v>15000000</v>
      </c>
      <c r="N121" s="908"/>
      <c r="O121" s="902"/>
      <c r="W121" s="913">
        <f>L121</f>
        <v>15000000</v>
      </c>
      <c r="X121" s="913">
        <f>W121</f>
        <v>15000000</v>
      </c>
      <c r="Y121" s="913">
        <f t="shared" ref="Y121:AN121" si="34">X121</f>
        <v>15000000</v>
      </c>
      <c r="Z121" s="913">
        <f t="shared" si="34"/>
        <v>15000000</v>
      </c>
      <c r="AA121" s="913">
        <f t="shared" si="34"/>
        <v>15000000</v>
      </c>
      <c r="AB121" s="913">
        <f t="shared" si="34"/>
        <v>15000000</v>
      </c>
      <c r="AC121" s="913">
        <f t="shared" si="34"/>
        <v>15000000</v>
      </c>
      <c r="AD121" s="913">
        <f t="shared" si="34"/>
        <v>15000000</v>
      </c>
      <c r="AE121" s="913">
        <f t="shared" si="34"/>
        <v>15000000</v>
      </c>
      <c r="AF121" s="913">
        <f t="shared" si="34"/>
        <v>15000000</v>
      </c>
      <c r="AG121" s="913">
        <f t="shared" si="34"/>
        <v>15000000</v>
      </c>
      <c r="AH121" s="913">
        <f t="shared" si="34"/>
        <v>15000000</v>
      </c>
      <c r="AI121" s="913">
        <f t="shared" si="34"/>
        <v>15000000</v>
      </c>
      <c r="AJ121" s="913">
        <f t="shared" si="34"/>
        <v>15000000</v>
      </c>
      <c r="AK121" s="913">
        <f t="shared" si="34"/>
        <v>15000000</v>
      </c>
      <c r="AL121" s="913">
        <f t="shared" si="34"/>
        <v>15000000</v>
      </c>
      <c r="AM121" s="913">
        <f t="shared" si="34"/>
        <v>15000000</v>
      </c>
      <c r="AN121" s="913">
        <f t="shared" si="34"/>
        <v>15000000</v>
      </c>
    </row>
    <row r="122" spans="4:47" s="906" customFormat="1">
      <c r="D122" s="906">
        <v>201704</v>
      </c>
      <c r="I122" s="900">
        <v>42826</v>
      </c>
      <c r="J122" s="907"/>
      <c r="K122" s="900">
        <v>43344</v>
      </c>
      <c r="L122" s="908">
        <v>20000000</v>
      </c>
      <c r="N122" s="908"/>
      <c r="O122" s="902"/>
      <c r="X122" s="913">
        <f t="shared" ref="X122" si="35">L122</f>
        <v>20000000</v>
      </c>
      <c r="Y122" s="913">
        <f t="shared" ref="Y122" si="36">X122</f>
        <v>20000000</v>
      </c>
      <c r="Z122" s="913">
        <f t="shared" ref="Z122:AO122" si="37">Y122</f>
        <v>20000000</v>
      </c>
      <c r="AA122" s="913">
        <f t="shared" si="37"/>
        <v>20000000</v>
      </c>
      <c r="AB122" s="913">
        <f t="shared" si="37"/>
        <v>20000000</v>
      </c>
      <c r="AC122" s="913">
        <f t="shared" si="37"/>
        <v>20000000</v>
      </c>
      <c r="AD122" s="913">
        <f t="shared" si="37"/>
        <v>20000000</v>
      </c>
      <c r="AE122" s="913">
        <f t="shared" si="37"/>
        <v>20000000</v>
      </c>
      <c r="AF122" s="913">
        <f t="shared" si="37"/>
        <v>20000000</v>
      </c>
      <c r="AG122" s="913">
        <f t="shared" si="37"/>
        <v>20000000</v>
      </c>
      <c r="AH122" s="913">
        <f t="shared" si="37"/>
        <v>20000000</v>
      </c>
      <c r="AI122" s="913">
        <f t="shared" si="37"/>
        <v>20000000</v>
      </c>
      <c r="AJ122" s="913">
        <f t="shared" si="37"/>
        <v>20000000</v>
      </c>
      <c r="AK122" s="913">
        <f t="shared" si="37"/>
        <v>20000000</v>
      </c>
      <c r="AL122" s="913">
        <f t="shared" si="37"/>
        <v>20000000</v>
      </c>
      <c r="AM122" s="913">
        <f t="shared" si="37"/>
        <v>20000000</v>
      </c>
      <c r="AN122" s="913">
        <f t="shared" si="37"/>
        <v>20000000</v>
      </c>
      <c r="AO122" s="913">
        <f t="shared" si="37"/>
        <v>20000000</v>
      </c>
    </row>
    <row r="123" spans="4:47" s="906" customFormat="1">
      <c r="D123" s="906">
        <v>201705</v>
      </c>
      <c r="I123" s="900">
        <v>42856</v>
      </c>
      <c r="J123" s="907"/>
      <c r="K123" s="900">
        <v>43374</v>
      </c>
      <c r="L123" s="908">
        <v>20000000</v>
      </c>
      <c r="N123" s="908"/>
      <c r="O123" s="902"/>
      <c r="Y123" s="913">
        <f t="shared" ref="Y123" si="38">L123</f>
        <v>20000000</v>
      </c>
      <c r="Z123" s="913">
        <f t="shared" ref="Z123" si="39">Y123</f>
        <v>20000000</v>
      </c>
      <c r="AA123" s="913">
        <f t="shared" ref="AA123:AP123" si="40">Z123</f>
        <v>20000000</v>
      </c>
      <c r="AB123" s="913">
        <f t="shared" si="40"/>
        <v>20000000</v>
      </c>
      <c r="AC123" s="913">
        <f t="shared" si="40"/>
        <v>20000000</v>
      </c>
      <c r="AD123" s="913">
        <f t="shared" si="40"/>
        <v>20000000</v>
      </c>
      <c r="AE123" s="913">
        <f t="shared" si="40"/>
        <v>20000000</v>
      </c>
      <c r="AF123" s="913">
        <f t="shared" si="40"/>
        <v>20000000</v>
      </c>
      <c r="AG123" s="913">
        <f t="shared" si="40"/>
        <v>20000000</v>
      </c>
      <c r="AH123" s="913">
        <f t="shared" si="40"/>
        <v>20000000</v>
      </c>
      <c r="AI123" s="913">
        <f t="shared" si="40"/>
        <v>20000000</v>
      </c>
      <c r="AJ123" s="913">
        <f t="shared" si="40"/>
        <v>20000000</v>
      </c>
      <c r="AK123" s="913">
        <f t="shared" si="40"/>
        <v>20000000</v>
      </c>
      <c r="AL123" s="913">
        <f t="shared" si="40"/>
        <v>20000000</v>
      </c>
      <c r="AM123" s="913">
        <f t="shared" si="40"/>
        <v>20000000</v>
      </c>
      <c r="AN123" s="913">
        <f t="shared" si="40"/>
        <v>20000000</v>
      </c>
      <c r="AO123" s="913">
        <f t="shared" si="40"/>
        <v>20000000</v>
      </c>
      <c r="AP123" s="913">
        <f t="shared" si="40"/>
        <v>20000000</v>
      </c>
    </row>
    <row r="124" spans="4:47" s="906" customFormat="1">
      <c r="D124" s="906">
        <v>201706</v>
      </c>
      <c r="I124" s="900">
        <v>42887</v>
      </c>
      <c r="J124" s="907"/>
      <c r="K124" s="900">
        <v>43405</v>
      </c>
      <c r="L124" s="908">
        <v>20000000</v>
      </c>
      <c r="N124" s="908"/>
      <c r="O124" s="902"/>
      <c r="Z124" s="913">
        <f t="shared" ref="Z124" si="41">L124</f>
        <v>20000000</v>
      </c>
      <c r="AA124" s="913">
        <f t="shared" ref="AA124" si="42">Z124</f>
        <v>20000000</v>
      </c>
      <c r="AB124" s="913">
        <f t="shared" ref="AB124:AQ124" si="43">AA124</f>
        <v>20000000</v>
      </c>
      <c r="AC124" s="913">
        <f t="shared" si="43"/>
        <v>20000000</v>
      </c>
      <c r="AD124" s="913">
        <f t="shared" si="43"/>
        <v>20000000</v>
      </c>
      <c r="AE124" s="913">
        <f t="shared" si="43"/>
        <v>20000000</v>
      </c>
      <c r="AF124" s="913">
        <f t="shared" si="43"/>
        <v>20000000</v>
      </c>
      <c r="AG124" s="913">
        <f t="shared" si="43"/>
        <v>20000000</v>
      </c>
      <c r="AH124" s="913">
        <f t="shared" si="43"/>
        <v>20000000</v>
      </c>
      <c r="AI124" s="913">
        <f t="shared" si="43"/>
        <v>20000000</v>
      </c>
      <c r="AJ124" s="913">
        <f t="shared" si="43"/>
        <v>20000000</v>
      </c>
      <c r="AK124" s="913">
        <f t="shared" si="43"/>
        <v>20000000</v>
      </c>
      <c r="AL124" s="913">
        <f t="shared" si="43"/>
        <v>20000000</v>
      </c>
      <c r="AM124" s="913">
        <f t="shared" si="43"/>
        <v>20000000</v>
      </c>
      <c r="AN124" s="913">
        <f t="shared" si="43"/>
        <v>20000000</v>
      </c>
      <c r="AO124" s="913">
        <f t="shared" si="43"/>
        <v>20000000</v>
      </c>
      <c r="AP124" s="913">
        <f t="shared" si="43"/>
        <v>20000000</v>
      </c>
      <c r="AQ124" s="913">
        <f t="shared" si="43"/>
        <v>20000000</v>
      </c>
    </row>
    <row r="125" spans="4:47" s="906" customFormat="1">
      <c r="D125" s="906">
        <v>201707</v>
      </c>
      <c r="I125" s="900">
        <v>42917</v>
      </c>
      <c r="J125" s="907"/>
      <c r="K125" s="900">
        <v>43435</v>
      </c>
      <c r="L125" s="908">
        <v>15000000</v>
      </c>
      <c r="N125" s="908"/>
      <c r="O125" s="902"/>
      <c r="AA125" s="913">
        <f>L125</f>
        <v>15000000</v>
      </c>
      <c r="AB125" s="913">
        <f>AA125</f>
        <v>15000000</v>
      </c>
      <c r="AC125" s="913">
        <f t="shared" ref="AC125:AR125" si="44">AB125</f>
        <v>15000000</v>
      </c>
      <c r="AD125" s="913">
        <f t="shared" si="44"/>
        <v>15000000</v>
      </c>
      <c r="AE125" s="913">
        <f t="shared" si="44"/>
        <v>15000000</v>
      </c>
      <c r="AF125" s="913">
        <f t="shared" si="44"/>
        <v>15000000</v>
      </c>
      <c r="AG125" s="913">
        <f t="shared" si="44"/>
        <v>15000000</v>
      </c>
      <c r="AH125" s="913">
        <f t="shared" si="44"/>
        <v>15000000</v>
      </c>
      <c r="AI125" s="913">
        <f t="shared" si="44"/>
        <v>15000000</v>
      </c>
      <c r="AJ125" s="913">
        <f t="shared" si="44"/>
        <v>15000000</v>
      </c>
      <c r="AK125" s="913">
        <f t="shared" si="44"/>
        <v>15000000</v>
      </c>
      <c r="AL125" s="913">
        <f t="shared" si="44"/>
        <v>15000000</v>
      </c>
      <c r="AM125" s="913">
        <f t="shared" si="44"/>
        <v>15000000</v>
      </c>
      <c r="AN125" s="913">
        <f t="shared" si="44"/>
        <v>15000000</v>
      </c>
      <c r="AO125" s="913">
        <f t="shared" si="44"/>
        <v>15000000</v>
      </c>
      <c r="AP125" s="913">
        <f t="shared" si="44"/>
        <v>15000000</v>
      </c>
      <c r="AQ125" s="913">
        <f t="shared" si="44"/>
        <v>15000000</v>
      </c>
      <c r="AR125" s="913">
        <f t="shared" si="44"/>
        <v>15000000</v>
      </c>
    </row>
    <row r="126" spans="4:47" s="906" customFormat="1">
      <c r="D126" s="906">
        <v>201708</v>
      </c>
      <c r="I126" s="900">
        <v>42948</v>
      </c>
      <c r="J126" s="907"/>
      <c r="K126" s="900">
        <v>43466</v>
      </c>
      <c r="L126" s="908">
        <v>20000000</v>
      </c>
      <c r="N126" s="908"/>
      <c r="O126" s="902"/>
      <c r="AB126" s="913">
        <f t="shared" ref="AB126" si="45">L126</f>
        <v>20000000</v>
      </c>
      <c r="AC126" s="913">
        <f t="shared" ref="AC126" si="46">AB126</f>
        <v>20000000</v>
      </c>
      <c r="AD126" s="913">
        <f t="shared" ref="AD126:AS126" si="47">AC126</f>
        <v>20000000</v>
      </c>
      <c r="AE126" s="913">
        <f t="shared" si="47"/>
        <v>20000000</v>
      </c>
      <c r="AF126" s="913">
        <f t="shared" si="47"/>
        <v>20000000</v>
      </c>
      <c r="AG126" s="913">
        <f t="shared" si="47"/>
        <v>20000000</v>
      </c>
      <c r="AH126" s="913">
        <f t="shared" si="47"/>
        <v>20000000</v>
      </c>
      <c r="AI126" s="913">
        <f t="shared" si="47"/>
        <v>20000000</v>
      </c>
      <c r="AJ126" s="913">
        <f t="shared" si="47"/>
        <v>20000000</v>
      </c>
      <c r="AK126" s="913">
        <f t="shared" si="47"/>
        <v>20000000</v>
      </c>
      <c r="AL126" s="913">
        <f t="shared" si="47"/>
        <v>20000000</v>
      </c>
      <c r="AM126" s="913">
        <f t="shared" si="47"/>
        <v>20000000</v>
      </c>
      <c r="AN126" s="913">
        <f t="shared" si="47"/>
        <v>20000000</v>
      </c>
      <c r="AO126" s="913">
        <f t="shared" si="47"/>
        <v>20000000</v>
      </c>
      <c r="AP126" s="913">
        <f t="shared" si="47"/>
        <v>20000000</v>
      </c>
      <c r="AQ126" s="913">
        <f t="shared" si="47"/>
        <v>20000000</v>
      </c>
      <c r="AR126" s="913">
        <f t="shared" si="47"/>
        <v>20000000</v>
      </c>
      <c r="AS126" s="913">
        <f t="shared" si="47"/>
        <v>20000000</v>
      </c>
    </row>
    <row r="127" spans="4:47" s="906" customFormat="1">
      <c r="D127" s="906">
        <v>201709</v>
      </c>
      <c r="I127" s="900">
        <v>42979</v>
      </c>
      <c r="J127" s="907"/>
      <c r="K127" s="900">
        <v>43497</v>
      </c>
      <c r="L127" s="908">
        <v>20000000</v>
      </c>
      <c r="N127" s="908"/>
      <c r="O127" s="902"/>
      <c r="AC127" s="913">
        <f t="shared" ref="AC127" si="48">L127</f>
        <v>20000000</v>
      </c>
      <c r="AD127" s="913">
        <f t="shared" ref="AD127" si="49">AC127</f>
        <v>20000000</v>
      </c>
      <c r="AE127" s="913">
        <f t="shared" ref="AE127:AT127" si="50">AD127</f>
        <v>20000000</v>
      </c>
      <c r="AF127" s="913">
        <f t="shared" si="50"/>
        <v>20000000</v>
      </c>
      <c r="AG127" s="913">
        <f t="shared" si="50"/>
        <v>20000000</v>
      </c>
      <c r="AH127" s="913">
        <f t="shared" si="50"/>
        <v>20000000</v>
      </c>
      <c r="AI127" s="913">
        <f t="shared" si="50"/>
        <v>20000000</v>
      </c>
      <c r="AJ127" s="913">
        <f t="shared" si="50"/>
        <v>20000000</v>
      </c>
      <c r="AK127" s="913">
        <f t="shared" si="50"/>
        <v>20000000</v>
      </c>
      <c r="AL127" s="913">
        <f t="shared" si="50"/>
        <v>20000000</v>
      </c>
      <c r="AM127" s="913">
        <f t="shared" si="50"/>
        <v>20000000</v>
      </c>
      <c r="AN127" s="913">
        <f t="shared" si="50"/>
        <v>20000000</v>
      </c>
      <c r="AO127" s="913">
        <f t="shared" si="50"/>
        <v>20000000</v>
      </c>
      <c r="AP127" s="913">
        <f t="shared" si="50"/>
        <v>20000000</v>
      </c>
      <c r="AQ127" s="913">
        <f t="shared" si="50"/>
        <v>20000000</v>
      </c>
      <c r="AR127" s="913">
        <f t="shared" si="50"/>
        <v>20000000</v>
      </c>
      <c r="AS127" s="913">
        <f t="shared" si="50"/>
        <v>20000000</v>
      </c>
      <c r="AT127" s="913">
        <f t="shared" si="50"/>
        <v>20000000</v>
      </c>
    </row>
    <row r="128" spans="4:47" s="906" customFormat="1">
      <c r="D128" s="906">
        <v>201710</v>
      </c>
      <c r="I128" s="900">
        <v>43009</v>
      </c>
      <c r="J128" s="907"/>
      <c r="K128" s="900">
        <v>43525</v>
      </c>
      <c r="L128" s="908">
        <v>20000000</v>
      </c>
      <c r="N128" s="908"/>
      <c r="O128" s="902"/>
      <c r="AD128" s="913">
        <f t="shared" ref="AD128" si="51">L128</f>
        <v>20000000</v>
      </c>
      <c r="AE128" s="913">
        <f t="shared" ref="AE128:AG128" si="52">AD128</f>
        <v>20000000</v>
      </c>
      <c r="AF128" s="913">
        <f t="shared" si="52"/>
        <v>20000000</v>
      </c>
      <c r="AG128" s="913">
        <f t="shared" si="52"/>
        <v>20000000</v>
      </c>
      <c r="AH128" s="913">
        <f t="shared" ref="AH128:AU128" si="53">AG128</f>
        <v>20000000</v>
      </c>
      <c r="AI128" s="913">
        <f t="shared" si="53"/>
        <v>20000000</v>
      </c>
      <c r="AJ128" s="913">
        <f t="shared" si="53"/>
        <v>20000000</v>
      </c>
      <c r="AK128" s="913">
        <f t="shared" si="53"/>
        <v>20000000</v>
      </c>
      <c r="AL128" s="913">
        <f t="shared" si="53"/>
        <v>20000000</v>
      </c>
      <c r="AM128" s="913">
        <f t="shared" si="53"/>
        <v>20000000</v>
      </c>
      <c r="AN128" s="913">
        <f t="shared" si="53"/>
        <v>20000000</v>
      </c>
      <c r="AO128" s="913">
        <f t="shared" si="53"/>
        <v>20000000</v>
      </c>
      <c r="AP128" s="913">
        <f t="shared" si="53"/>
        <v>20000000</v>
      </c>
      <c r="AQ128" s="913">
        <f t="shared" si="53"/>
        <v>20000000</v>
      </c>
      <c r="AR128" s="913">
        <f t="shared" si="53"/>
        <v>20000000</v>
      </c>
      <c r="AS128" s="913">
        <f t="shared" si="53"/>
        <v>20000000</v>
      </c>
      <c r="AT128" s="913">
        <f t="shared" si="53"/>
        <v>20000000</v>
      </c>
      <c r="AU128" s="913">
        <f t="shared" si="53"/>
        <v>20000000</v>
      </c>
    </row>
    <row r="129" spans="4:56" s="906" customFormat="1">
      <c r="D129" s="906">
        <v>201711</v>
      </c>
      <c r="I129" s="900">
        <v>43040</v>
      </c>
      <c r="J129" s="907"/>
      <c r="K129" s="900">
        <v>43556</v>
      </c>
      <c r="L129" s="908">
        <v>20000000</v>
      </c>
      <c r="N129" s="908"/>
      <c r="O129" s="902"/>
      <c r="AE129" s="913">
        <f t="shared" ref="AE129" si="54">L129</f>
        <v>20000000</v>
      </c>
      <c r="AF129" s="913">
        <f t="shared" ref="AF129" si="55">AE129</f>
        <v>20000000</v>
      </c>
      <c r="AG129" s="913">
        <f t="shared" ref="AG129:AV129" si="56">AF129</f>
        <v>20000000</v>
      </c>
      <c r="AH129" s="913">
        <f t="shared" si="56"/>
        <v>20000000</v>
      </c>
      <c r="AI129" s="913">
        <f t="shared" si="56"/>
        <v>20000000</v>
      </c>
      <c r="AJ129" s="913">
        <f t="shared" si="56"/>
        <v>20000000</v>
      </c>
      <c r="AK129" s="913">
        <f t="shared" si="56"/>
        <v>20000000</v>
      </c>
      <c r="AL129" s="913">
        <f t="shared" si="56"/>
        <v>20000000</v>
      </c>
      <c r="AM129" s="913">
        <f t="shared" si="56"/>
        <v>20000000</v>
      </c>
      <c r="AN129" s="913">
        <f t="shared" si="56"/>
        <v>20000000</v>
      </c>
      <c r="AO129" s="913">
        <f t="shared" si="56"/>
        <v>20000000</v>
      </c>
      <c r="AP129" s="913">
        <f t="shared" si="56"/>
        <v>20000000</v>
      </c>
      <c r="AQ129" s="913">
        <f t="shared" si="56"/>
        <v>20000000</v>
      </c>
      <c r="AR129" s="913">
        <f t="shared" si="56"/>
        <v>20000000</v>
      </c>
      <c r="AS129" s="913">
        <f t="shared" si="56"/>
        <v>20000000</v>
      </c>
      <c r="AT129" s="913">
        <f t="shared" si="56"/>
        <v>20000000</v>
      </c>
      <c r="AU129" s="913">
        <f t="shared" si="56"/>
        <v>20000000</v>
      </c>
      <c r="AV129" s="913">
        <f t="shared" si="56"/>
        <v>20000000</v>
      </c>
    </row>
    <row r="130" spans="4:56" s="906" customFormat="1">
      <c r="D130" s="906">
        <v>201712</v>
      </c>
      <c r="I130" s="900">
        <v>43070</v>
      </c>
      <c r="J130" s="907"/>
      <c r="K130" s="900">
        <v>43586</v>
      </c>
      <c r="L130" s="908">
        <v>15000000</v>
      </c>
      <c r="N130" s="908"/>
      <c r="O130" s="902"/>
      <c r="AF130" s="913">
        <f>L130</f>
        <v>15000000</v>
      </c>
      <c r="AG130" s="913">
        <f>AF130</f>
        <v>15000000</v>
      </c>
      <c r="AH130" s="913">
        <f t="shared" ref="AH130:AW130" si="57">AG130</f>
        <v>15000000</v>
      </c>
      <c r="AI130" s="913">
        <f t="shared" si="57"/>
        <v>15000000</v>
      </c>
      <c r="AJ130" s="913">
        <f t="shared" si="57"/>
        <v>15000000</v>
      </c>
      <c r="AK130" s="913">
        <f t="shared" si="57"/>
        <v>15000000</v>
      </c>
      <c r="AL130" s="913">
        <f t="shared" si="57"/>
        <v>15000000</v>
      </c>
      <c r="AM130" s="913">
        <f t="shared" si="57"/>
        <v>15000000</v>
      </c>
      <c r="AN130" s="913">
        <f t="shared" si="57"/>
        <v>15000000</v>
      </c>
      <c r="AO130" s="913">
        <f t="shared" si="57"/>
        <v>15000000</v>
      </c>
      <c r="AP130" s="913">
        <f t="shared" si="57"/>
        <v>15000000</v>
      </c>
      <c r="AQ130" s="913">
        <f t="shared" si="57"/>
        <v>15000000</v>
      </c>
      <c r="AR130" s="913">
        <f t="shared" si="57"/>
        <v>15000000</v>
      </c>
      <c r="AS130" s="913">
        <f t="shared" si="57"/>
        <v>15000000</v>
      </c>
      <c r="AT130" s="913">
        <f t="shared" si="57"/>
        <v>15000000</v>
      </c>
      <c r="AU130" s="913">
        <f t="shared" si="57"/>
        <v>15000000</v>
      </c>
      <c r="AV130" s="913">
        <f t="shared" si="57"/>
        <v>15000000</v>
      </c>
      <c r="AW130" s="913">
        <f t="shared" si="57"/>
        <v>15000000</v>
      </c>
    </row>
    <row r="131" spans="4:56" s="906" customFormat="1">
      <c r="I131" s="900"/>
      <c r="J131" s="907"/>
      <c r="K131" s="900"/>
      <c r="L131" s="908"/>
      <c r="N131" s="908"/>
      <c r="O131" s="902"/>
    </row>
    <row r="132" spans="4:56" s="906" customFormat="1">
      <c r="I132" s="900"/>
      <c r="J132" s="907"/>
      <c r="K132" s="900"/>
      <c r="L132" s="908"/>
      <c r="N132" s="908"/>
      <c r="O132" s="902"/>
    </row>
    <row r="133" spans="4:56" s="906" customFormat="1">
      <c r="I133" s="900"/>
      <c r="J133" s="907"/>
      <c r="K133" s="900"/>
      <c r="L133" s="908"/>
      <c r="N133" s="908"/>
      <c r="O133" s="902"/>
    </row>
    <row r="134" spans="4:56" s="442" customFormat="1">
      <c r="F134" s="906"/>
      <c r="O134" s="442" t="s">
        <v>221</v>
      </c>
      <c r="P134" s="442">
        <f t="shared" ref="P134:BD134" si="58">SUM(P2:P133)/10^6</f>
        <v>2340</v>
      </c>
      <c r="Q134" s="442">
        <f t="shared" si="58"/>
        <v>2535</v>
      </c>
      <c r="R134" s="442">
        <f t="shared" si="58"/>
        <v>2455</v>
      </c>
      <c r="S134" s="442">
        <f t="shared" si="58"/>
        <v>2485</v>
      </c>
      <c r="T134" s="442">
        <f t="shared" si="58"/>
        <v>2427</v>
      </c>
      <c r="U134" s="442">
        <f t="shared" si="58"/>
        <v>2317</v>
      </c>
      <c r="V134" s="442">
        <f t="shared" si="58"/>
        <v>2202</v>
      </c>
      <c r="W134" s="442">
        <f t="shared" si="58"/>
        <v>2015</v>
      </c>
      <c r="X134" s="442">
        <f t="shared" si="58"/>
        <v>1817</v>
      </c>
      <c r="Y134" s="442">
        <f t="shared" si="58"/>
        <v>1809</v>
      </c>
      <c r="Z134" s="442">
        <f t="shared" si="58"/>
        <v>1689</v>
      </c>
      <c r="AA134" s="442">
        <f t="shared" si="58"/>
        <v>1679</v>
      </c>
      <c r="AB134" s="442">
        <f t="shared" si="58"/>
        <v>1371</v>
      </c>
      <c r="AC134" s="442">
        <f t="shared" si="58"/>
        <v>1351</v>
      </c>
      <c r="AD134" s="442">
        <f t="shared" si="58"/>
        <v>1196</v>
      </c>
      <c r="AE134" s="442">
        <f t="shared" si="58"/>
        <v>1063</v>
      </c>
      <c r="AF134" s="442">
        <f t="shared" si="58"/>
        <v>838</v>
      </c>
      <c r="AG134" s="442">
        <f t="shared" si="58"/>
        <v>575</v>
      </c>
      <c r="AH134" s="442">
        <f t="shared" si="58"/>
        <v>575</v>
      </c>
      <c r="AI134" s="442">
        <f t="shared" si="58"/>
        <v>305</v>
      </c>
      <c r="AJ134" s="442">
        <f t="shared" si="58"/>
        <v>240</v>
      </c>
      <c r="AK134" s="442">
        <f t="shared" si="58"/>
        <v>185</v>
      </c>
      <c r="AL134" s="442">
        <f t="shared" si="58"/>
        <v>185</v>
      </c>
      <c r="AM134" s="442">
        <f t="shared" si="58"/>
        <v>185</v>
      </c>
      <c r="AN134" s="442">
        <f t="shared" si="58"/>
        <v>185</v>
      </c>
      <c r="AO134" s="442">
        <f t="shared" si="58"/>
        <v>170</v>
      </c>
      <c r="AP134" s="442">
        <f t="shared" si="58"/>
        <v>150</v>
      </c>
      <c r="AQ134" s="442">
        <f t="shared" si="58"/>
        <v>130</v>
      </c>
      <c r="AR134" s="442">
        <f t="shared" si="58"/>
        <v>110</v>
      </c>
      <c r="AS134" s="442">
        <f t="shared" si="58"/>
        <v>95</v>
      </c>
      <c r="AT134" s="442">
        <f t="shared" si="58"/>
        <v>75</v>
      </c>
      <c r="AU134" s="442">
        <f t="shared" si="58"/>
        <v>55</v>
      </c>
      <c r="AV134" s="442">
        <f t="shared" si="58"/>
        <v>35</v>
      </c>
      <c r="AW134" s="442">
        <f t="shared" si="58"/>
        <v>15</v>
      </c>
      <c r="AX134" s="442">
        <f t="shared" si="58"/>
        <v>0</v>
      </c>
      <c r="AY134" s="442">
        <f t="shared" si="58"/>
        <v>0</v>
      </c>
      <c r="AZ134" s="442">
        <f t="shared" si="58"/>
        <v>0</v>
      </c>
      <c r="BA134" s="442">
        <f t="shared" si="58"/>
        <v>0</v>
      </c>
      <c r="BB134" s="442">
        <f t="shared" si="58"/>
        <v>0</v>
      </c>
      <c r="BC134" s="442">
        <f t="shared" si="58"/>
        <v>0</v>
      </c>
      <c r="BD134" s="442">
        <f t="shared" si="58"/>
        <v>0</v>
      </c>
    </row>
    <row r="135" spans="4:56" s="442" customFormat="1">
      <c r="N135" s="904" t="s">
        <v>1027</v>
      </c>
      <c r="O135" s="464">
        <v>0.85</v>
      </c>
      <c r="P135" s="1613">
        <v>1780</v>
      </c>
      <c r="Q135" s="1613">
        <v>1903</v>
      </c>
      <c r="R135" s="1613">
        <v>2136</v>
      </c>
      <c r="S135" s="1613">
        <v>2011</v>
      </c>
      <c r="T135" s="1613">
        <v>6986</v>
      </c>
      <c r="U135" s="1613">
        <v>1982.5</v>
      </c>
      <c r="V135" s="1613">
        <v>1730</v>
      </c>
      <c r="W135" s="1613">
        <v>1274</v>
      </c>
      <c r="X135" s="1613">
        <v>1273</v>
      </c>
      <c r="Y135" s="1613">
        <v>1134</v>
      </c>
      <c r="Z135" s="1613">
        <v>1045</v>
      </c>
      <c r="AA135" s="442">
        <f t="shared" ref="AA135:AW135" si="59">AA134*$O$135</f>
        <v>1427.1499999999999</v>
      </c>
      <c r="AB135" s="442">
        <f t="shared" si="59"/>
        <v>1165.3499999999999</v>
      </c>
      <c r="AC135" s="442">
        <f t="shared" si="59"/>
        <v>1148.3499999999999</v>
      </c>
      <c r="AD135" s="442">
        <f t="shared" si="59"/>
        <v>1016.6</v>
      </c>
      <c r="AE135" s="442">
        <f t="shared" si="59"/>
        <v>903.55</v>
      </c>
      <c r="AF135" s="442">
        <f t="shared" si="59"/>
        <v>712.3</v>
      </c>
      <c r="AG135" s="442">
        <f t="shared" si="59"/>
        <v>488.75</v>
      </c>
      <c r="AH135" s="442">
        <f t="shared" si="59"/>
        <v>488.75</v>
      </c>
      <c r="AI135" s="442">
        <f t="shared" si="59"/>
        <v>259.25</v>
      </c>
      <c r="AJ135" s="442">
        <f t="shared" si="59"/>
        <v>204</v>
      </c>
      <c r="AK135" s="442">
        <f t="shared" si="59"/>
        <v>157.25</v>
      </c>
      <c r="AL135" s="442">
        <f t="shared" si="59"/>
        <v>157.25</v>
      </c>
      <c r="AM135" s="442">
        <f t="shared" si="59"/>
        <v>157.25</v>
      </c>
      <c r="AN135" s="442">
        <f t="shared" si="59"/>
        <v>157.25</v>
      </c>
      <c r="AO135" s="442">
        <f t="shared" si="59"/>
        <v>144.5</v>
      </c>
      <c r="AP135" s="442">
        <f t="shared" si="59"/>
        <v>127.5</v>
      </c>
      <c r="AQ135" s="442">
        <f t="shared" si="59"/>
        <v>110.5</v>
      </c>
      <c r="AR135" s="442">
        <f t="shared" si="59"/>
        <v>93.5</v>
      </c>
      <c r="AS135" s="442">
        <f t="shared" si="59"/>
        <v>80.75</v>
      </c>
      <c r="AT135" s="442">
        <f t="shared" si="59"/>
        <v>63.75</v>
      </c>
      <c r="AU135" s="442">
        <f t="shared" si="59"/>
        <v>46.75</v>
      </c>
      <c r="AV135" s="442">
        <f t="shared" si="59"/>
        <v>29.75</v>
      </c>
      <c r="AW135" s="442">
        <f t="shared" si="59"/>
        <v>12.75</v>
      </c>
    </row>
    <row r="137" spans="4:56">
      <c r="K137">
        <f>130*13</f>
        <v>1690</v>
      </c>
      <c r="P137" s="583"/>
      <c r="Q137" s="583"/>
      <c r="R137" s="583"/>
      <c r="S137" s="583"/>
      <c r="T137" s="583"/>
      <c r="U137" s="583"/>
      <c r="V137" s="583"/>
      <c r="W137" s="583"/>
      <c r="X137" s="583"/>
      <c r="Y137" s="583"/>
      <c r="Z137" s="583"/>
    </row>
    <row r="138" spans="4:56">
      <c r="K138">
        <v>2000</v>
      </c>
    </row>
    <row r="140" spans="4:56">
      <c r="N140" s="904" t="s">
        <v>1028</v>
      </c>
      <c r="O140" t="s">
        <v>1564</v>
      </c>
      <c r="P140" t="s">
        <v>1530</v>
      </c>
    </row>
    <row r="141" spans="4:56">
      <c r="M141">
        <v>2017</v>
      </c>
      <c r="N141" s="442">
        <f>SUM(U135:AF135)</f>
        <v>14811.8</v>
      </c>
      <c r="O141" s="572">
        <f>SUM(U135:Z135)</f>
        <v>8438.5</v>
      </c>
      <c r="P141" s="572">
        <f>SUM(AA135:AF135)</f>
        <v>6373.3</v>
      </c>
    </row>
    <row r="142" spans="4:56">
      <c r="M142">
        <v>2018</v>
      </c>
      <c r="N142" s="442">
        <f>SUM(AG135:AR135)</f>
        <v>2545.75</v>
      </c>
    </row>
    <row r="143" spans="4:56">
      <c r="M143">
        <v>2019</v>
      </c>
      <c r="N143" s="442">
        <f>SUM(AS135:BD135)</f>
        <v>233.75</v>
      </c>
    </row>
    <row r="145" spans="13:14">
      <c r="M145" s="489" t="s">
        <v>1205</v>
      </c>
      <c r="N145" s="442">
        <f>SUM(U121:AF130)/10^6</f>
        <v>1015</v>
      </c>
    </row>
  </sheetData>
  <autoFilter ref="A1:BD130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G188"/>
  <sheetViews>
    <sheetView showGridLines="0" topLeftCell="GA145" zoomScale="90" zoomScaleNormal="90" workbookViewId="0">
      <selection activeCell="FU186" sqref="FU186"/>
    </sheetView>
  </sheetViews>
  <sheetFormatPr defaultColWidth="9.140625" defaultRowHeight="12.75"/>
  <cols>
    <col min="1" max="1" width="5" style="595" customWidth="1"/>
    <col min="2" max="2" width="14.7109375" style="595" customWidth="1"/>
    <col min="3" max="3" width="13.42578125" style="595" customWidth="1"/>
    <col min="4" max="4" width="14" style="595" customWidth="1"/>
    <col min="5" max="5" width="9.140625" style="595"/>
    <col min="6" max="6" width="15.42578125" style="595" customWidth="1"/>
    <col min="7" max="9" width="9.140625" style="595"/>
    <col min="10" max="10" width="4.7109375" style="595" customWidth="1"/>
    <col min="11" max="11" width="11" style="595" customWidth="1"/>
    <col min="12" max="12" width="11.5703125" style="595" customWidth="1"/>
    <col min="13" max="15" width="11.28515625" style="595" bestFit="1" customWidth="1"/>
    <col min="16" max="16" width="12.28515625" style="595" bestFit="1" customWidth="1"/>
    <col min="17" max="17" width="11.28515625" style="595" bestFit="1" customWidth="1"/>
    <col min="18" max="18" width="12.28515625" style="595" bestFit="1" customWidth="1"/>
    <col min="19" max="19" width="10.42578125" style="595" customWidth="1"/>
    <col min="20" max="21" width="10.7109375" style="595" customWidth="1"/>
    <col min="22" max="22" width="11.28515625" style="595" bestFit="1" customWidth="1"/>
    <col min="23" max="23" width="10.28515625" style="595" customWidth="1"/>
    <col min="24" max="24" width="11.85546875" style="595" customWidth="1"/>
    <col min="25" max="25" width="11" style="595" customWidth="1"/>
    <col min="26" max="28" width="11.28515625" style="595" bestFit="1" customWidth="1"/>
    <col min="29" max="29" width="9.7109375" style="595" customWidth="1"/>
    <col min="30" max="36" width="12" style="595" customWidth="1"/>
    <col min="37" max="37" width="10.7109375" style="595" customWidth="1"/>
    <col min="38" max="38" width="11.85546875" style="595" customWidth="1"/>
    <col min="39" max="43" width="10.42578125" style="595" customWidth="1"/>
    <col min="44" max="44" width="9.140625" style="595" customWidth="1"/>
    <col min="45" max="48" width="11.28515625" style="595" customWidth="1"/>
    <col min="49" max="53" width="9.140625" style="595" customWidth="1"/>
    <col min="54" max="55" width="10.42578125" style="595" hidden="1" customWidth="1"/>
    <col min="56" max="56" width="9.140625" style="595" hidden="1" customWidth="1"/>
    <col min="57" max="60" width="11.28515625" style="595" hidden="1" customWidth="1"/>
    <col min="61" max="65" width="9.140625" style="595" hidden="1" customWidth="1"/>
    <col min="66" max="67" width="10.42578125" style="595" hidden="1" customWidth="1"/>
    <col min="68" max="68" width="9.140625" style="595" hidden="1" customWidth="1"/>
    <col min="69" max="72" width="11.28515625" style="595" hidden="1" customWidth="1"/>
    <col min="73" max="77" width="9.140625" style="595" hidden="1" customWidth="1"/>
    <col min="78" max="79" width="10.42578125" style="595" hidden="1" customWidth="1"/>
    <col min="80" max="80" width="9.140625" style="595" hidden="1" customWidth="1"/>
    <col min="81" max="84" width="11.28515625" style="595" hidden="1" customWidth="1"/>
    <col min="85" max="89" width="9.140625" style="595" hidden="1" customWidth="1"/>
    <col min="90" max="91" width="10.42578125" style="595" hidden="1" customWidth="1"/>
    <col min="92" max="92" width="9.140625" style="595" hidden="1" customWidth="1"/>
    <col min="93" max="96" width="11.28515625" style="595" hidden="1" customWidth="1"/>
    <col min="97" max="101" width="9.140625" style="595" hidden="1" customWidth="1"/>
    <col min="102" max="103" width="10.42578125" style="595" hidden="1" customWidth="1"/>
    <col min="104" max="104" width="9.140625" style="595" hidden="1" customWidth="1"/>
    <col min="105" max="108" width="11.28515625" style="595" hidden="1" customWidth="1"/>
    <col min="109" max="113" width="9.140625" style="595" hidden="1" customWidth="1"/>
    <col min="114" max="115" width="9.140625" style="595"/>
    <col min="116" max="116" width="10.140625" style="595" customWidth="1"/>
    <col min="117" max="117" width="9.140625" style="595"/>
    <col min="118" max="128" width="0" style="595" hidden="1" customWidth="1"/>
    <col min="129" max="135" width="9.140625" style="595"/>
    <col min="136" max="136" width="10.7109375" style="595" bestFit="1" customWidth="1"/>
    <col min="137" max="148" width="9.140625" style="595"/>
    <col min="149" max="149" width="10.7109375" style="595" customWidth="1"/>
    <col min="150" max="161" width="9.140625" style="595"/>
    <col min="162" max="162" width="10.7109375" style="595" customWidth="1"/>
    <col min="163" max="173" width="9.140625" style="595" customWidth="1"/>
    <col min="174" max="174" width="11.140625" style="595" customWidth="1"/>
    <col min="175" max="175" width="10.7109375" style="595" customWidth="1"/>
    <col min="176" max="186" width="9.140625" style="595" customWidth="1"/>
    <col min="187" max="187" width="11.140625" style="595" customWidth="1"/>
    <col min="188" max="188" width="10.7109375" style="595" customWidth="1"/>
    <col min="189" max="199" width="9.140625" style="595" customWidth="1"/>
    <col min="200" max="200" width="11.140625" style="595" customWidth="1"/>
    <col min="201" max="201" width="10.7109375" style="595" customWidth="1"/>
    <col min="202" max="212" width="9.140625" style="595" customWidth="1"/>
    <col min="213" max="213" width="11.140625" style="595" bestFit="1" customWidth="1"/>
    <col min="214" max="16384" width="9.140625" style="595"/>
  </cols>
  <sheetData>
    <row r="1" spans="1:215" s="918" customFormat="1">
      <c r="A1" s="915"/>
      <c r="B1" s="916" t="s">
        <v>1048</v>
      </c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7"/>
      <c r="R1" s="917"/>
      <c r="S1" s="917"/>
      <c r="T1" s="917"/>
      <c r="U1" s="917"/>
      <c r="V1" s="917"/>
      <c r="W1" s="917"/>
      <c r="X1" s="917"/>
      <c r="Y1" s="917"/>
      <c r="Z1" s="917"/>
      <c r="AA1" s="917"/>
      <c r="AB1" s="917"/>
      <c r="AC1" s="917"/>
      <c r="AD1" s="917"/>
      <c r="AE1" s="917"/>
      <c r="AF1" s="917"/>
      <c r="AG1" s="917"/>
      <c r="AH1" s="917"/>
      <c r="AI1" s="917"/>
      <c r="AJ1" s="917"/>
      <c r="AK1" s="917"/>
      <c r="AL1" s="917"/>
      <c r="AM1" s="917"/>
      <c r="AN1" s="917"/>
      <c r="AO1" s="917"/>
      <c r="AP1" s="917"/>
      <c r="AQ1" s="917"/>
      <c r="AR1" s="917"/>
      <c r="AS1" s="917"/>
      <c r="AT1" s="917"/>
      <c r="AU1" s="917"/>
      <c r="AV1" s="917"/>
      <c r="AW1" s="917"/>
      <c r="AX1" s="917"/>
      <c r="AY1" s="917"/>
      <c r="AZ1" s="917"/>
      <c r="BA1" s="917"/>
      <c r="BB1" s="917"/>
      <c r="BC1" s="917"/>
      <c r="BD1" s="917"/>
      <c r="BE1" s="917"/>
      <c r="BF1" s="917"/>
      <c r="BG1" s="917"/>
      <c r="BH1" s="917"/>
      <c r="BI1" s="917"/>
      <c r="BJ1" s="917"/>
      <c r="BK1" s="917"/>
      <c r="BL1" s="917"/>
      <c r="BM1" s="917"/>
      <c r="BN1" s="917"/>
      <c r="BO1" s="917"/>
      <c r="BP1" s="917"/>
      <c r="BQ1" s="917"/>
      <c r="BR1" s="917"/>
      <c r="BS1" s="917"/>
      <c r="BT1" s="917"/>
      <c r="BU1" s="917"/>
      <c r="BV1" s="917"/>
      <c r="BW1" s="917"/>
      <c r="BX1" s="917"/>
      <c r="BY1" s="917"/>
      <c r="BZ1" s="917"/>
      <c r="CA1" s="917"/>
      <c r="CB1" s="917"/>
      <c r="CC1" s="917"/>
      <c r="CD1" s="917"/>
      <c r="CE1" s="917"/>
      <c r="CF1" s="917"/>
      <c r="CG1" s="917"/>
      <c r="CH1" s="917"/>
      <c r="CI1" s="917"/>
      <c r="CJ1" s="917"/>
      <c r="CK1" s="917"/>
      <c r="CL1" s="917"/>
      <c r="CM1" s="917"/>
      <c r="CN1" s="917"/>
      <c r="CO1" s="917"/>
      <c r="CP1" s="917"/>
      <c r="CQ1" s="917"/>
      <c r="CR1" s="917"/>
      <c r="CS1" s="917"/>
      <c r="CT1" s="917"/>
      <c r="CU1" s="917"/>
      <c r="CV1" s="917"/>
      <c r="CW1" s="917"/>
      <c r="CX1" s="917"/>
      <c r="CY1" s="917"/>
      <c r="CZ1" s="917"/>
      <c r="DA1" s="917"/>
      <c r="DB1" s="917"/>
      <c r="DC1" s="917"/>
      <c r="DD1" s="917"/>
      <c r="DE1" s="917"/>
      <c r="DF1" s="917"/>
      <c r="DG1" s="917"/>
      <c r="DH1" s="917"/>
      <c r="DI1" s="917"/>
      <c r="DJ1" s="917"/>
      <c r="DK1" s="917"/>
      <c r="DL1" s="917"/>
      <c r="DM1" s="917"/>
      <c r="DN1" s="917"/>
      <c r="DO1" s="917"/>
      <c r="DP1" s="917"/>
      <c r="DQ1" s="917"/>
      <c r="DR1" s="917"/>
      <c r="DS1" s="917"/>
      <c r="DT1" s="917"/>
      <c r="DU1" s="917"/>
      <c r="DV1" s="917"/>
      <c r="DW1" s="917"/>
      <c r="DX1" s="917"/>
      <c r="DY1" s="917"/>
      <c r="DZ1" s="917"/>
      <c r="EA1" s="917"/>
      <c r="EB1" s="917"/>
      <c r="EC1" s="917"/>
      <c r="ED1" s="917"/>
      <c r="EE1" s="917"/>
      <c r="EF1" s="917"/>
      <c r="EG1" s="917"/>
      <c r="EH1" s="917"/>
      <c r="EI1" s="917"/>
      <c r="EJ1" s="917"/>
      <c r="EK1" s="917"/>
      <c r="EL1" s="917"/>
      <c r="EM1" s="917"/>
      <c r="EN1" s="917"/>
      <c r="EO1" s="917"/>
      <c r="EP1" s="917"/>
      <c r="EQ1" s="917"/>
      <c r="ER1" s="917"/>
      <c r="ES1" s="917"/>
      <c r="ET1" s="917"/>
      <c r="EU1" s="917"/>
      <c r="EV1" s="917"/>
      <c r="EW1" s="917"/>
      <c r="EX1" s="917"/>
      <c r="EY1" s="917"/>
      <c r="EZ1" s="917"/>
      <c r="FA1" s="917"/>
      <c r="FB1" s="917"/>
      <c r="FC1" s="917"/>
      <c r="FD1" s="917"/>
      <c r="FE1" s="917"/>
      <c r="FF1" s="917"/>
      <c r="FG1" s="917"/>
      <c r="FH1" s="917"/>
      <c r="FI1" s="917"/>
      <c r="FJ1" s="917"/>
      <c r="FK1" s="917"/>
      <c r="FL1" s="917"/>
      <c r="FM1" s="917"/>
      <c r="FN1" s="917"/>
      <c r="FO1" s="917"/>
      <c r="FP1" s="917"/>
      <c r="FQ1" s="917"/>
      <c r="FR1" s="917"/>
      <c r="FS1" s="917"/>
      <c r="FT1" s="917"/>
      <c r="FU1" s="917"/>
      <c r="FV1" s="917"/>
      <c r="FW1" s="917"/>
      <c r="FX1" s="917"/>
      <c r="FY1" s="917"/>
      <c r="FZ1" s="917"/>
      <c r="GA1" s="917"/>
      <c r="GB1" s="917"/>
      <c r="GC1" s="917"/>
      <c r="GD1" s="917"/>
      <c r="GE1" s="917"/>
      <c r="GF1" s="917"/>
      <c r="GG1" s="917"/>
      <c r="GH1" s="917"/>
      <c r="GI1" s="917"/>
      <c r="GJ1" s="917"/>
      <c r="GK1" s="917"/>
      <c r="GL1" s="917"/>
      <c r="GM1" s="917"/>
      <c r="GN1" s="917"/>
      <c r="GO1" s="917"/>
      <c r="GP1" s="917"/>
      <c r="GQ1" s="917"/>
      <c r="GS1" s="917"/>
      <c r="GT1" s="917"/>
      <c r="GU1" s="917"/>
      <c r="GV1" s="917"/>
      <c r="GW1" s="917"/>
      <c r="GX1" s="917"/>
      <c r="GY1" s="917"/>
      <c r="GZ1" s="917"/>
      <c r="HA1" s="917"/>
      <c r="HB1" s="917"/>
      <c r="HC1" s="917"/>
      <c r="HD1" s="917"/>
    </row>
    <row r="3" spans="1:215">
      <c r="B3" s="919" t="s">
        <v>1029</v>
      </c>
      <c r="C3" s="920"/>
      <c r="D3" s="920"/>
      <c r="E3" s="920"/>
      <c r="F3" s="920"/>
      <c r="G3" s="920"/>
      <c r="H3" s="920"/>
      <c r="I3" s="920"/>
      <c r="J3" s="920"/>
      <c r="K3" s="920"/>
      <c r="L3" s="920"/>
      <c r="N3" s="921" t="s">
        <v>1030</v>
      </c>
      <c r="O3" s="922"/>
      <c r="P3" s="922"/>
      <c r="Q3" s="922"/>
      <c r="R3" s="922"/>
      <c r="S3" s="922"/>
      <c r="T3" s="922"/>
      <c r="U3" s="922"/>
      <c r="V3" s="922"/>
      <c r="W3" s="922"/>
      <c r="X3" s="922"/>
      <c r="Y3" s="922"/>
      <c r="AA3" s="923" t="s">
        <v>1031</v>
      </c>
      <c r="AB3" s="924"/>
      <c r="AC3" s="924"/>
      <c r="AD3" s="924"/>
      <c r="AE3" s="924"/>
      <c r="AF3" s="924"/>
      <c r="AG3" s="924"/>
      <c r="AH3" s="924"/>
      <c r="AI3" s="924"/>
      <c r="AJ3" s="924"/>
      <c r="AK3" s="924"/>
      <c r="AL3" s="924"/>
      <c r="AM3" s="924"/>
      <c r="AN3" s="924"/>
      <c r="AO3" s="924"/>
      <c r="AP3" s="924"/>
      <c r="AQ3" s="924"/>
      <c r="AR3" s="924"/>
      <c r="AS3" s="924"/>
      <c r="AT3" s="924"/>
      <c r="AU3" s="924"/>
      <c r="AV3" s="924"/>
      <c r="AW3" s="924"/>
      <c r="AX3" s="924"/>
      <c r="AY3" s="924"/>
      <c r="AZ3" s="924"/>
      <c r="BA3" s="924"/>
      <c r="BB3" s="924"/>
      <c r="BC3" s="924"/>
      <c r="BD3" s="924"/>
      <c r="BE3" s="924"/>
      <c r="BF3" s="924"/>
      <c r="BG3" s="924"/>
      <c r="BH3" s="924"/>
      <c r="BI3" s="924"/>
      <c r="BJ3" s="924"/>
      <c r="BK3" s="924"/>
      <c r="BL3" s="924"/>
      <c r="BM3" s="924"/>
      <c r="BN3" s="924"/>
      <c r="BO3" s="924"/>
      <c r="BP3" s="924"/>
      <c r="BQ3" s="924"/>
      <c r="BR3" s="924"/>
      <c r="BS3" s="924"/>
      <c r="BT3" s="924"/>
      <c r="BU3" s="924"/>
      <c r="BV3" s="924"/>
      <c r="BW3" s="924"/>
      <c r="BX3" s="924"/>
      <c r="BY3" s="924"/>
      <c r="BZ3" s="924"/>
      <c r="CA3" s="924"/>
      <c r="CB3" s="924"/>
      <c r="CC3" s="924"/>
      <c r="CD3" s="924"/>
      <c r="CE3" s="924"/>
      <c r="CF3" s="924"/>
      <c r="CG3" s="924"/>
      <c r="CH3" s="924"/>
      <c r="CI3" s="924"/>
      <c r="CJ3" s="924"/>
      <c r="CK3" s="924"/>
      <c r="CL3" s="924"/>
      <c r="CM3" s="924"/>
      <c r="CN3" s="924"/>
      <c r="CO3" s="924"/>
      <c r="CP3" s="924"/>
      <c r="CQ3" s="924"/>
      <c r="CR3" s="924"/>
      <c r="CS3" s="924"/>
      <c r="CT3" s="924"/>
      <c r="CU3" s="924"/>
      <c r="CV3" s="924"/>
      <c r="CW3" s="924"/>
      <c r="CX3" s="924"/>
      <c r="CY3" s="924"/>
      <c r="CZ3" s="924"/>
      <c r="DA3" s="924"/>
      <c r="DB3" s="924"/>
      <c r="DC3" s="924"/>
      <c r="DD3" s="924"/>
      <c r="DE3" s="924"/>
      <c r="DF3" s="924"/>
      <c r="DG3" s="924"/>
      <c r="DH3" s="924"/>
      <c r="DI3" s="924"/>
      <c r="DK3" s="925" t="s">
        <v>1032</v>
      </c>
      <c r="DL3" s="926"/>
      <c r="DM3" s="926"/>
      <c r="DN3" s="926"/>
      <c r="DO3" s="926"/>
      <c r="DP3" s="926"/>
      <c r="DQ3" s="926"/>
      <c r="DR3" s="926"/>
      <c r="DS3" s="926"/>
      <c r="DT3" s="926"/>
      <c r="DU3" s="926"/>
      <c r="DV3" s="926"/>
      <c r="DW3" s="926"/>
      <c r="DX3" s="926"/>
      <c r="DY3" s="926"/>
      <c r="DZ3" s="926"/>
      <c r="EA3" s="926"/>
      <c r="EB3" s="926"/>
      <c r="EC3" s="926"/>
      <c r="ED3" s="926"/>
      <c r="EE3" s="926"/>
      <c r="EF3" s="926"/>
      <c r="EG3" s="926"/>
      <c r="EH3" s="926"/>
      <c r="EI3" s="926"/>
      <c r="EJ3" s="926"/>
      <c r="EK3" s="926"/>
      <c r="EL3" s="926"/>
      <c r="EM3" s="926"/>
      <c r="EN3" s="926"/>
      <c r="EO3" s="926"/>
      <c r="EP3" s="926"/>
      <c r="EQ3" s="926"/>
      <c r="ER3" s="926"/>
      <c r="ES3" s="926"/>
      <c r="ET3" s="926"/>
      <c r="EU3" s="926"/>
      <c r="EV3" s="926"/>
      <c r="EW3" s="926"/>
      <c r="EX3" s="926"/>
      <c r="EY3" s="926"/>
      <c r="EZ3" s="926"/>
      <c r="FA3" s="926"/>
      <c r="FB3" s="926"/>
      <c r="FC3" s="926"/>
      <c r="FD3" s="926"/>
      <c r="FE3" s="926"/>
      <c r="FF3" s="926"/>
      <c r="FG3" s="926"/>
      <c r="FH3" s="926"/>
      <c r="FI3" s="926"/>
      <c r="FJ3" s="926"/>
      <c r="FK3" s="926"/>
      <c r="FL3" s="926"/>
      <c r="FM3" s="926"/>
      <c r="FN3" s="926"/>
      <c r="FO3" s="926"/>
      <c r="FP3" s="926"/>
      <c r="FQ3" s="926"/>
      <c r="FR3" s="926"/>
      <c r="FS3" s="926"/>
      <c r="FT3" s="926"/>
      <c r="FU3" s="926"/>
      <c r="FV3" s="926"/>
      <c r="FW3" s="926"/>
      <c r="FX3" s="926"/>
      <c r="FY3" s="926"/>
      <c r="FZ3" s="926"/>
      <c r="GA3" s="926"/>
      <c r="GB3" s="926"/>
      <c r="GC3" s="926"/>
      <c r="GD3" s="926"/>
      <c r="GE3" s="926"/>
      <c r="GF3" s="926"/>
      <c r="GG3" s="926"/>
      <c r="GH3" s="926"/>
      <c r="GI3" s="926"/>
      <c r="GJ3" s="926"/>
      <c r="GK3" s="926"/>
      <c r="GL3" s="926"/>
      <c r="GM3" s="926"/>
      <c r="GN3" s="926"/>
      <c r="GO3" s="926"/>
      <c r="GP3" s="926"/>
      <c r="GQ3" s="926"/>
      <c r="GS3" s="926"/>
      <c r="GT3" s="926"/>
      <c r="GU3" s="926"/>
      <c r="GV3" s="926"/>
      <c r="GW3" s="926"/>
      <c r="GX3" s="926"/>
      <c r="GY3" s="926"/>
      <c r="GZ3" s="926"/>
      <c r="HA3" s="926"/>
      <c r="HB3" s="926"/>
      <c r="HC3" s="926"/>
      <c r="HD3" s="926"/>
    </row>
    <row r="4" spans="1:215">
      <c r="ER4" s="595" t="s">
        <v>1456</v>
      </c>
      <c r="ES4" s="1486">
        <v>0.98</v>
      </c>
      <c r="FF4" s="1486"/>
      <c r="FS4" s="1486"/>
      <c r="GF4" s="1486"/>
      <c r="GS4" s="1486"/>
    </row>
    <row r="5" spans="1:215">
      <c r="B5" s="963"/>
      <c r="C5" s="929" t="s">
        <v>1049</v>
      </c>
      <c r="D5" s="963"/>
      <c r="E5" s="993"/>
      <c r="F5" s="963"/>
      <c r="G5" s="963"/>
      <c r="H5" s="993"/>
    </row>
    <row r="6" spans="1:215">
      <c r="B6" s="963"/>
      <c r="C6" s="963"/>
      <c r="D6" s="963"/>
      <c r="E6" s="993"/>
      <c r="F6" s="963"/>
      <c r="G6" s="963"/>
      <c r="H6" s="993"/>
      <c r="I6" s="994"/>
      <c r="N6" s="944"/>
      <c r="O6" s="930"/>
      <c r="P6" s="945">
        <v>42370</v>
      </c>
      <c r="Q6" s="945">
        <v>42401</v>
      </c>
      <c r="R6" s="945">
        <v>42430</v>
      </c>
      <c r="S6" s="945">
        <v>42461</v>
      </c>
      <c r="T6" s="945">
        <v>42491</v>
      </c>
      <c r="U6" s="945">
        <v>42522</v>
      </c>
      <c r="V6" s="945">
        <v>42552</v>
      </c>
      <c r="W6" s="995"/>
      <c r="X6" s="995"/>
      <c r="Y6" s="995"/>
      <c r="AA6" s="944"/>
      <c r="AB6" s="930"/>
      <c r="AC6" s="945">
        <v>42370</v>
      </c>
      <c r="AD6" s="945">
        <v>42401</v>
      </c>
      <c r="AE6" s="945">
        <v>42430</v>
      </c>
      <c r="AF6" s="945">
        <v>42461</v>
      </c>
      <c r="AG6" s="945">
        <v>42491</v>
      </c>
      <c r="AH6" s="945">
        <v>42522</v>
      </c>
      <c r="AI6" s="945">
        <v>42552</v>
      </c>
      <c r="AJ6" s="932" t="s">
        <v>1033</v>
      </c>
      <c r="AK6" s="946">
        <v>42583</v>
      </c>
      <c r="AL6" s="946">
        <v>42614</v>
      </c>
      <c r="AM6" s="946">
        <v>42644</v>
      </c>
      <c r="AN6" s="946">
        <v>42675</v>
      </c>
      <c r="AO6" s="946">
        <v>42705</v>
      </c>
      <c r="AP6" s="996">
        <v>42736</v>
      </c>
      <c r="AQ6" s="996">
        <v>42767</v>
      </c>
      <c r="AR6" s="996">
        <v>42795</v>
      </c>
      <c r="AS6" s="996">
        <v>42826</v>
      </c>
      <c r="AT6" s="996">
        <v>42856</v>
      </c>
      <c r="AU6" s="996">
        <v>42887</v>
      </c>
      <c r="AV6" s="996">
        <v>42917</v>
      </c>
      <c r="AW6" s="996">
        <v>42948</v>
      </c>
      <c r="AX6" s="996">
        <v>42979</v>
      </c>
      <c r="AY6" s="996">
        <v>43009</v>
      </c>
      <c r="AZ6" s="996">
        <v>43040</v>
      </c>
      <c r="BA6" s="996">
        <v>43070</v>
      </c>
      <c r="BB6" s="996">
        <v>43101</v>
      </c>
      <c r="BC6" s="996">
        <v>43132</v>
      </c>
      <c r="BD6" s="996">
        <v>43160</v>
      </c>
      <c r="BE6" s="996">
        <v>43191</v>
      </c>
      <c r="BF6" s="996">
        <v>43221</v>
      </c>
      <c r="BG6" s="996">
        <v>43252</v>
      </c>
      <c r="BH6" s="996">
        <v>43282</v>
      </c>
      <c r="BI6" s="996">
        <v>43313</v>
      </c>
      <c r="BJ6" s="996">
        <v>43344</v>
      </c>
      <c r="BK6" s="996">
        <v>43374</v>
      </c>
      <c r="BL6" s="996">
        <v>43405</v>
      </c>
      <c r="BM6" s="996">
        <v>43435</v>
      </c>
      <c r="BN6" s="996">
        <v>43466</v>
      </c>
      <c r="BO6" s="996">
        <v>43497</v>
      </c>
      <c r="BP6" s="996">
        <v>43525</v>
      </c>
      <c r="BQ6" s="996">
        <v>43556</v>
      </c>
      <c r="BR6" s="996">
        <v>43586</v>
      </c>
      <c r="BS6" s="996">
        <v>43617</v>
      </c>
      <c r="BT6" s="996">
        <v>43647</v>
      </c>
      <c r="BU6" s="996">
        <v>43678</v>
      </c>
      <c r="BV6" s="996">
        <v>43709</v>
      </c>
      <c r="BW6" s="996">
        <v>43739</v>
      </c>
      <c r="BX6" s="996">
        <v>43770</v>
      </c>
      <c r="BY6" s="996">
        <v>43800</v>
      </c>
      <c r="BZ6" s="996">
        <v>43831</v>
      </c>
      <c r="CA6" s="996">
        <v>43862</v>
      </c>
      <c r="CB6" s="996">
        <v>43891</v>
      </c>
      <c r="CC6" s="996">
        <v>43922</v>
      </c>
      <c r="CD6" s="996">
        <v>43952</v>
      </c>
      <c r="CE6" s="996">
        <v>43983</v>
      </c>
      <c r="CF6" s="996">
        <v>44013</v>
      </c>
      <c r="CG6" s="996">
        <v>44044</v>
      </c>
      <c r="CH6" s="996">
        <v>44075</v>
      </c>
      <c r="CI6" s="996">
        <v>44105</v>
      </c>
      <c r="CJ6" s="996">
        <v>44136</v>
      </c>
      <c r="CK6" s="996">
        <v>44166</v>
      </c>
      <c r="CL6" s="996">
        <v>44197</v>
      </c>
      <c r="CM6" s="996">
        <v>44228</v>
      </c>
      <c r="CN6" s="996">
        <v>44256</v>
      </c>
      <c r="CO6" s="996">
        <v>44287</v>
      </c>
      <c r="CP6" s="996">
        <v>44317</v>
      </c>
      <c r="CQ6" s="996">
        <v>44348</v>
      </c>
      <c r="CR6" s="996">
        <v>44378</v>
      </c>
      <c r="CS6" s="996">
        <v>44409</v>
      </c>
      <c r="CT6" s="996">
        <v>44440</v>
      </c>
      <c r="CU6" s="996">
        <v>44470</v>
      </c>
      <c r="CV6" s="996">
        <v>44501</v>
      </c>
      <c r="CW6" s="996">
        <v>44531</v>
      </c>
      <c r="CX6" s="996">
        <v>44562</v>
      </c>
      <c r="CY6" s="996">
        <v>44593</v>
      </c>
      <c r="CZ6" s="996">
        <v>44621</v>
      </c>
      <c r="DA6" s="996">
        <v>44652</v>
      </c>
      <c r="DB6" s="996">
        <v>44682</v>
      </c>
      <c r="DC6" s="996">
        <v>44713</v>
      </c>
      <c r="DD6" s="996">
        <v>44743</v>
      </c>
      <c r="DE6" s="996">
        <v>44774</v>
      </c>
      <c r="DF6" s="996">
        <v>44805</v>
      </c>
      <c r="DG6" s="996">
        <v>44835</v>
      </c>
      <c r="DH6" s="996">
        <v>44866</v>
      </c>
      <c r="DI6" s="996">
        <v>44896</v>
      </c>
      <c r="DK6" s="944"/>
      <c r="DL6" s="930"/>
      <c r="DN6" s="947">
        <v>42583</v>
      </c>
      <c r="DO6" s="948">
        <v>42614</v>
      </c>
      <c r="DP6" s="948">
        <v>42644</v>
      </c>
      <c r="DQ6" s="948">
        <v>42675</v>
      </c>
      <c r="DR6" s="949">
        <v>42705</v>
      </c>
      <c r="DT6" s="947">
        <v>42583</v>
      </c>
      <c r="DU6" s="948">
        <v>42614</v>
      </c>
      <c r="DV6" s="948">
        <v>42644</v>
      </c>
      <c r="DW6" s="948">
        <v>42675</v>
      </c>
      <c r="DX6" s="949">
        <v>42705</v>
      </c>
      <c r="DZ6" s="947">
        <v>42583</v>
      </c>
      <c r="EA6" s="948">
        <v>42614</v>
      </c>
      <c r="EB6" s="948">
        <v>42644</v>
      </c>
      <c r="EC6" s="948">
        <v>42675</v>
      </c>
      <c r="ED6" s="949">
        <v>42705</v>
      </c>
      <c r="EF6" s="947">
        <v>42736</v>
      </c>
      <c r="EG6" s="1105">
        <v>42767</v>
      </c>
      <c r="EH6" s="1105">
        <v>42795</v>
      </c>
      <c r="EI6" s="1105">
        <v>42826</v>
      </c>
      <c r="EJ6" s="1105">
        <v>42856</v>
      </c>
      <c r="EK6" s="1105">
        <v>42887</v>
      </c>
      <c r="EL6" s="1105">
        <v>42917</v>
      </c>
      <c r="EM6" s="1105">
        <v>42948</v>
      </c>
      <c r="EN6" s="1105">
        <v>42979</v>
      </c>
      <c r="EO6" s="1105">
        <v>43009</v>
      </c>
      <c r="EP6" s="1105">
        <v>43040</v>
      </c>
      <c r="EQ6" s="949">
        <v>43070</v>
      </c>
      <c r="ES6" s="947">
        <v>43101</v>
      </c>
      <c r="ET6" s="1105">
        <v>43132</v>
      </c>
      <c r="EU6" s="1105">
        <v>43160</v>
      </c>
      <c r="EV6" s="1105">
        <v>43191</v>
      </c>
      <c r="EW6" s="1105">
        <v>43221</v>
      </c>
      <c r="EX6" s="1105">
        <v>43252</v>
      </c>
      <c r="EY6" s="1105">
        <v>43282</v>
      </c>
      <c r="EZ6" s="1105">
        <v>43313</v>
      </c>
      <c r="FA6" s="1105">
        <v>43344</v>
      </c>
      <c r="FB6" s="1105">
        <v>43374</v>
      </c>
      <c r="FC6" s="1105">
        <v>43405</v>
      </c>
      <c r="FD6" s="949">
        <v>43435</v>
      </c>
      <c r="FF6" s="947">
        <v>43466</v>
      </c>
      <c r="FG6" s="1105">
        <v>43497</v>
      </c>
      <c r="FH6" s="1105">
        <v>43525</v>
      </c>
      <c r="FI6" s="1105">
        <v>43556</v>
      </c>
      <c r="FJ6" s="1105">
        <v>43586</v>
      </c>
      <c r="FK6" s="1105">
        <v>43617</v>
      </c>
      <c r="FL6" s="1105">
        <v>43647</v>
      </c>
      <c r="FM6" s="1105">
        <v>43678</v>
      </c>
      <c r="FN6" s="1105">
        <v>43709</v>
      </c>
      <c r="FO6" s="1105">
        <v>43739</v>
      </c>
      <c r="FP6" s="1105">
        <v>43770</v>
      </c>
      <c r="FQ6" s="949">
        <v>43800</v>
      </c>
      <c r="FS6" s="947">
        <v>43831</v>
      </c>
      <c r="FT6" s="1105">
        <v>43862</v>
      </c>
      <c r="FU6" s="1105">
        <v>43891</v>
      </c>
      <c r="FV6" s="1105">
        <v>43922</v>
      </c>
      <c r="FW6" s="1105">
        <v>43952</v>
      </c>
      <c r="FX6" s="1105">
        <v>43983</v>
      </c>
      <c r="FY6" s="1105">
        <v>44013</v>
      </c>
      <c r="FZ6" s="1105">
        <v>44044</v>
      </c>
      <c r="GA6" s="1105">
        <v>44075</v>
      </c>
      <c r="GB6" s="1105">
        <v>44105</v>
      </c>
      <c r="GC6" s="1105">
        <v>44136</v>
      </c>
      <c r="GD6" s="949">
        <v>44166</v>
      </c>
      <c r="GF6" s="947">
        <v>44197</v>
      </c>
      <c r="GG6" s="1105">
        <v>44228</v>
      </c>
      <c r="GH6" s="1105">
        <v>44256</v>
      </c>
      <c r="GI6" s="1105">
        <v>44287</v>
      </c>
      <c r="GJ6" s="1105">
        <v>44317</v>
      </c>
      <c r="GK6" s="1105">
        <v>44348</v>
      </c>
      <c r="GL6" s="1105">
        <v>44378</v>
      </c>
      <c r="GM6" s="1105">
        <v>44409</v>
      </c>
      <c r="GN6" s="1105">
        <v>44440</v>
      </c>
      <c r="GO6" s="1105">
        <v>44470</v>
      </c>
      <c r="GP6" s="1105">
        <v>44501</v>
      </c>
      <c r="GQ6" s="949">
        <v>44531</v>
      </c>
      <c r="GS6" s="947">
        <v>44562</v>
      </c>
      <c r="GT6" s="1105">
        <v>44593</v>
      </c>
      <c r="GU6" s="1105">
        <v>44621</v>
      </c>
      <c r="GV6" s="1105">
        <v>44652</v>
      </c>
      <c r="GW6" s="1105">
        <v>44682</v>
      </c>
      <c r="GX6" s="1105">
        <v>44713</v>
      </c>
      <c r="GY6" s="1105">
        <v>44743</v>
      </c>
      <c r="GZ6" s="1105">
        <v>44774</v>
      </c>
      <c r="HA6" s="1105">
        <v>44805</v>
      </c>
      <c r="HB6" s="1105">
        <v>44835</v>
      </c>
      <c r="HC6" s="1105">
        <v>44866</v>
      </c>
      <c r="HD6" s="949">
        <v>44896</v>
      </c>
    </row>
    <row r="7" spans="1:215" ht="14.25">
      <c r="B7" s="997" t="s">
        <v>113</v>
      </c>
      <c r="C7" s="998"/>
      <c r="D7" s="999"/>
      <c r="E7" s="942"/>
      <c r="F7" s="1000"/>
      <c r="G7" s="1001"/>
      <c r="H7" s="1002"/>
      <c r="I7" s="31"/>
      <c r="N7" s="914" t="s">
        <v>206</v>
      </c>
      <c r="O7" s="933"/>
      <c r="P7" s="934">
        <f>[5]Assumption!D4</f>
        <v>13641.9247</v>
      </c>
      <c r="Q7" s="934">
        <f>[5]Assumption!E4</f>
        <v>13892.638999999999</v>
      </c>
      <c r="R7" s="934">
        <f>[5]Assumption!F4</f>
        <v>33141.966699999997</v>
      </c>
      <c r="S7" s="934">
        <f>[5]Assumption!G4</f>
        <v>30639.373500000002</v>
      </c>
      <c r="T7" s="934">
        <f>[5]Assumption!H4</f>
        <v>27458.014999999999</v>
      </c>
      <c r="U7" s="934">
        <f>[5]Assumption!I4</f>
        <v>41468.133600000001</v>
      </c>
      <c r="V7" s="934">
        <f>[5]Assumption!J4</f>
        <v>29747.920999999998</v>
      </c>
      <c r="W7" s="934"/>
      <c r="X7" s="934"/>
      <c r="Y7" s="934"/>
      <c r="AA7" s="914" t="s">
        <v>206</v>
      </c>
      <c r="AB7" s="933"/>
      <c r="AC7" s="934"/>
      <c r="AD7" s="934"/>
      <c r="AE7" s="934"/>
      <c r="AF7" s="934"/>
      <c r="AG7" s="934"/>
      <c r="AH7" s="934"/>
      <c r="AI7" s="934"/>
      <c r="DK7" s="914" t="s">
        <v>206</v>
      </c>
      <c r="DL7" s="933"/>
      <c r="DN7" s="968">
        <f>[5]Assumption!K4</f>
        <v>31024.388999999999</v>
      </c>
      <c r="DO7" s="975">
        <f>[5]Assumption!L4</f>
        <v>57115.435752778605</v>
      </c>
      <c r="DP7" s="975">
        <f>[5]Assumption!M4</f>
        <v>47631.558536618817</v>
      </c>
      <c r="DQ7" s="975">
        <f>[5]Assumption!N4</f>
        <v>53942.523858297791</v>
      </c>
      <c r="DR7" s="969">
        <f>[5]Assumption!O4</f>
        <v>70376.045614909744</v>
      </c>
      <c r="DT7" s="968">
        <f>[5]Assumption!K4</f>
        <v>31024.388999999999</v>
      </c>
      <c r="DU7" s="975">
        <f>[5]Assumption!L4</f>
        <v>57115.435752778605</v>
      </c>
      <c r="DV7" s="975">
        <f>[5]Assumption!M4</f>
        <v>47631.558536618817</v>
      </c>
      <c r="DW7" s="975">
        <f>[5]Assumption!N4</f>
        <v>53942.523858297791</v>
      </c>
      <c r="DX7" s="969">
        <f>[5]Assumption!O4</f>
        <v>70376.045614909744</v>
      </c>
      <c r="DZ7" s="1600">
        <v>31024.388999999999</v>
      </c>
      <c r="EA7" s="1605">
        <v>48843.572999999997</v>
      </c>
      <c r="EB7" s="1605">
        <v>39101.214999999997</v>
      </c>
      <c r="EC7" s="1605">
        <v>50426.896000000001</v>
      </c>
      <c r="ED7" s="1607">
        <v>94434.854000000007</v>
      </c>
      <c r="EF7" s="1600">
        <f>'Sale Plan &amp; KPIs'!B15</f>
        <v>27131.55</v>
      </c>
      <c r="EG7" s="1601">
        <f>'Sale Plan &amp; KPIs'!C15</f>
        <v>40723.482300000003</v>
      </c>
      <c r="EH7" s="1601">
        <f>'Sale Plan &amp; KPIs'!D15</f>
        <v>56762.074000000001</v>
      </c>
      <c r="EI7" s="1601">
        <f>'Sale Plan &amp; KPIs'!E15</f>
        <v>49965.190999999999</v>
      </c>
      <c r="EJ7" s="1601">
        <f>'Sale Plan &amp; KPIs'!F15</f>
        <v>53646.534</v>
      </c>
      <c r="EK7" s="1601">
        <f>'Sale Plan &amp; KPIs'!G15</f>
        <v>58133.574000000001</v>
      </c>
      <c r="EL7" s="950">
        <f>'Sale Plan &amp; KPIs'!H15</f>
        <v>58800</v>
      </c>
      <c r="EM7" s="950">
        <f>'Sale Plan &amp; KPIs'!I15</f>
        <v>65660</v>
      </c>
      <c r="EN7" s="950">
        <f>'Sale Plan &amp; KPIs'!J15</f>
        <v>73500</v>
      </c>
      <c r="EO7" s="950">
        <f>'Sale Plan &amp; KPIs'!K15</f>
        <v>69580</v>
      </c>
      <c r="EP7" s="950">
        <f>'Sale Plan &amp; KPIs'!L15</f>
        <v>78400</v>
      </c>
      <c r="EQ7" s="969">
        <f>'Sale Plan &amp; KPIs'!M15</f>
        <v>88779.18</v>
      </c>
      <c r="ES7" s="968">
        <f>'[6]Yearly Summary'!$S45*$ES$4</f>
        <v>33634.87184066388</v>
      </c>
      <c r="ET7" s="950">
        <f>'[6]Yearly Summary'!$S46*$ES$4</f>
        <v>31605.909403366346</v>
      </c>
      <c r="EU7" s="950">
        <f>'[6]Yearly Summary'!$S47*$ES$4</f>
        <v>69270.736047451515</v>
      </c>
      <c r="EV7" s="950">
        <f>'[6]Yearly Summary'!$S48*$ES$4</f>
        <v>68993.157764707124</v>
      </c>
      <c r="EW7" s="950">
        <f>'[6]Yearly Summary'!$S49*$ES$4</f>
        <v>79757.509393595945</v>
      </c>
      <c r="EX7" s="950">
        <f>'[6]Yearly Summary'!$S50*$ES$4</f>
        <v>86426.017720658405</v>
      </c>
      <c r="EY7" s="950">
        <f>'[6]Yearly Summary'!$S51*$ES$4</f>
        <v>81303.597495043112</v>
      </c>
      <c r="EZ7" s="950">
        <f>'[6]Yearly Summary'!$S52*$ES$4</f>
        <v>90323.510560228984</v>
      </c>
      <c r="FA7" s="950">
        <f>'[6]Yearly Summary'!$S53*$ES$4</f>
        <v>99856.734877479015</v>
      </c>
      <c r="FB7" s="950">
        <f>'[6]Yearly Summary'!$S54*$ES$4</f>
        <v>94095.128673818224</v>
      </c>
      <c r="FC7" s="950">
        <f>'[6]Yearly Summary'!$S55*$ES$4</f>
        <v>102732.11183509197</v>
      </c>
      <c r="FD7" s="969">
        <f>'[6]Yearly Summary'!$S56*$ES$4</f>
        <v>110588.30482163659</v>
      </c>
      <c r="FE7" s="1487"/>
      <c r="FF7" s="968">
        <f>'[6]Yearly Summary'!$S60*$ES$4</f>
        <v>46318.349922487585</v>
      </c>
      <c r="FG7" s="950">
        <f>'[6]Yearly Summary'!$S61*$ES$4</f>
        <v>43005.179342212272</v>
      </c>
      <c r="FH7" s="950">
        <f>'[6]Yearly Summary'!$S62*$ES$4</f>
        <v>98133.872946411808</v>
      </c>
      <c r="FI7" s="950">
        <f>'[6]Yearly Summary'!$S63*$ES$4</f>
        <v>96299.872808433443</v>
      </c>
      <c r="FJ7" s="950">
        <f>'[6]Yearly Summary'!$S64*$ES$4</f>
        <v>111182.80365888127</v>
      </c>
      <c r="FK7" s="950">
        <f>'[6]Yearly Summary'!$S65*$ES$4</f>
        <v>119200.54428490785</v>
      </c>
      <c r="FL7" s="950">
        <f>'[6]Yearly Summary'!$S66*$ES$4</f>
        <v>113362.15964138735</v>
      </c>
      <c r="FM7" s="950">
        <f>'[6]Yearly Summary'!$S67*$ES$4</f>
        <v>125688.20032751787</v>
      </c>
      <c r="FN7" s="950">
        <f>'[6]Yearly Summary'!$S68*$ES$4</f>
        <v>138762.26956290167</v>
      </c>
      <c r="FO7" s="950">
        <f>'[6]Yearly Summary'!$S69*$ES$4</f>
        <v>132466.46696807331</v>
      </c>
      <c r="FP7" s="950">
        <f>'[6]Yearly Summary'!$S70*$ES$4</f>
        <v>143880.03889398318</v>
      </c>
      <c r="FQ7" s="969">
        <f>'[6]Yearly Summary'!$S71*$ES$4</f>
        <v>155348.77457851273</v>
      </c>
      <c r="FR7" s="1487"/>
      <c r="FS7" s="968">
        <f>'[6]Yearly Summary'!$S75*$ES$4</f>
        <v>61647.896999521479</v>
      </c>
      <c r="FT7" s="950">
        <f>'[6]Yearly Summary'!$S76*$ES$4</f>
        <v>57434.081744434043</v>
      </c>
      <c r="FU7" s="950">
        <f>'[6]Yearly Summary'!$S77*$ES$4</f>
        <v>129200.72136715053</v>
      </c>
      <c r="FV7" s="950">
        <f>'[6]Yearly Summary'!$S78*$ES$4</f>
        <v>128308.48034392958</v>
      </c>
      <c r="FW7" s="950">
        <f>'[6]Yearly Summary'!$S79*$ES$4</f>
        <v>146860.52938208671</v>
      </c>
      <c r="FX7" s="950">
        <f>'[6]Yearly Summary'!$S80*$ES$4</f>
        <v>155524.25254895756</v>
      </c>
      <c r="FY7" s="950">
        <f>'[6]Yearly Summary'!$S81*$ES$4</f>
        <v>148398.75353611138</v>
      </c>
      <c r="FZ7" s="950">
        <f>'[6]Yearly Summary'!$S82*$ES$4</f>
        <v>163072.75855433659</v>
      </c>
      <c r="GA7" s="950">
        <f>'[6]Yearly Summary'!$S83*$ES$4</f>
        <v>179474.28221131454</v>
      </c>
      <c r="GB7" s="950">
        <f>'[6]Yearly Summary'!$S84*$ES$4</f>
        <v>169825.29204644155</v>
      </c>
      <c r="GC7" s="950">
        <f>'[6]Yearly Summary'!$S85*$ES$4</f>
        <v>182638.97724914533</v>
      </c>
      <c r="GD7" s="969">
        <f>'[6]Yearly Summary'!$S86*$ES$4</f>
        <v>195891.76575396219</v>
      </c>
      <c r="GE7" s="1487"/>
      <c r="GF7" s="968">
        <f>'[6]Yearly Summary'!$S90*$ES$4</f>
        <v>79773.566176795241</v>
      </c>
      <c r="GG7" s="950">
        <f>'[6]Yearly Summary'!$S91*$ES$4</f>
        <v>73960.874577816241</v>
      </c>
      <c r="GH7" s="950">
        <f>'[6]Yearly Summary'!$S92*$ES$4</f>
        <v>166045.69701742672</v>
      </c>
      <c r="GI7" s="950">
        <f>'[6]Yearly Summary'!$S93*$ES$4</f>
        <v>165098.28269728503</v>
      </c>
      <c r="GJ7" s="950">
        <f>'[6]Yearly Summary'!$S94*$ES$4</f>
        <v>188943.1789052675</v>
      </c>
      <c r="GK7" s="950">
        <f>'[6]Yearly Summary'!$S95*$ES$4</f>
        <v>200169.61300769183</v>
      </c>
      <c r="GL7" s="950">
        <f>'[6]Yearly Summary'!$S96*$ES$4</f>
        <v>191093.14991266411</v>
      </c>
      <c r="GM7" s="950">
        <f>'[6]Yearly Summary'!$S97*$ES$4</f>
        <v>212241.04562907212</v>
      </c>
      <c r="GN7" s="950">
        <f>'[6]Yearly Summary'!$S98*$ES$4</f>
        <v>233831.69508343982</v>
      </c>
      <c r="GO7" s="950">
        <f>'[6]Yearly Summary'!$S99*$ES$4</f>
        <v>221837.58026768558</v>
      </c>
      <c r="GP7" s="950">
        <f>'[6]Yearly Summary'!$S100*$ES$4</f>
        <v>240114.07890424004</v>
      </c>
      <c r="GQ7" s="969">
        <f>'[6]Yearly Summary'!$S101*$ES$4</f>
        <v>258165.48648485605</v>
      </c>
      <c r="GR7" s="1487"/>
      <c r="GS7" s="968">
        <f>'[6]Yearly Summary'!$S105*$ES$4</f>
        <v>102243.17354613698</v>
      </c>
      <c r="GT7" s="950">
        <f>'[6]Yearly Summary'!$S106*$ES$4</f>
        <v>94914.436736920587</v>
      </c>
      <c r="GU7" s="950">
        <f>'[6]Yearly Summary'!$S107*$ES$4</f>
        <v>213376.11169026361</v>
      </c>
      <c r="GV7" s="950">
        <f>'[6]Yearly Summary'!$S108*$ES$4</f>
        <v>212686.06389340316</v>
      </c>
      <c r="GW7" s="950">
        <f>'[6]Yearly Summary'!$S109*$ES$4</f>
        <v>243766.73602706607</v>
      </c>
      <c r="GX7" s="950">
        <f>'[6]Yearly Summary'!$S110*$ES$4</f>
        <v>258677.59641993258</v>
      </c>
      <c r="GY7" s="950">
        <f>'[6]Yearly Summary'!$S111*$ES$4</f>
        <v>247325.83416245971</v>
      </c>
      <c r="GZ7" s="950">
        <f>'[6]Yearly Summary'!$S112*$ES$4</f>
        <v>274551.78277930809</v>
      </c>
      <c r="HA7" s="950">
        <f>'[6]Yearly Summary'!$S113*$ES$4</f>
        <v>302543.5324840942</v>
      </c>
      <c r="HB7" s="950">
        <f>'[6]Yearly Summary'!$S114*$ES$4</f>
        <v>290274.66133140703</v>
      </c>
      <c r="HC7" s="950">
        <f>'[6]Yearly Summary'!$S115*$ES$4</f>
        <v>317209.68443916366</v>
      </c>
      <c r="HD7" s="969">
        <f>'[6]Yearly Summary'!$S116*$ES$4</f>
        <v>341316.06647489819</v>
      </c>
      <c r="HE7" s="1487"/>
      <c r="HG7" s="1488"/>
    </row>
    <row r="8" spans="1:215" ht="14.25">
      <c r="B8" s="980" t="s">
        <v>114</v>
      </c>
      <c r="C8" s="1003" t="s">
        <v>1050</v>
      </c>
      <c r="D8" s="972" t="s">
        <v>1051</v>
      </c>
      <c r="E8" s="1004" t="s">
        <v>1052</v>
      </c>
      <c r="F8" s="973" t="s">
        <v>118</v>
      </c>
      <c r="G8" s="1005" t="s">
        <v>1039</v>
      </c>
      <c r="H8" s="1006"/>
      <c r="I8" s="31"/>
      <c r="N8" s="914" t="s">
        <v>1034</v>
      </c>
      <c r="O8" s="933"/>
      <c r="P8" s="934">
        <f>[5]Assumption!D5</f>
        <v>4254.7024700000002</v>
      </c>
      <c r="Q8" s="934">
        <f>[5]Assumption!E5</f>
        <v>4245.9432999999999</v>
      </c>
      <c r="R8" s="934">
        <f>[5]Assumption!F5</f>
        <v>10233.976975</v>
      </c>
      <c r="S8" s="934">
        <f>[5]Assumption!G5</f>
        <v>9777.6431200000006</v>
      </c>
      <c r="T8" s="934">
        <f>[5]Assumption!H5</f>
        <v>8583.7165700000005</v>
      </c>
      <c r="U8" s="934">
        <f>[5]Assumption!I5</f>
        <v>12969.911534999999</v>
      </c>
      <c r="V8" s="934">
        <f>[5]Assumption!J5</f>
        <v>9370.4067799999993</v>
      </c>
      <c r="W8" s="934"/>
      <c r="X8" s="934"/>
      <c r="Y8" s="934"/>
      <c r="AA8" s="914" t="s">
        <v>1034</v>
      </c>
      <c r="AB8" s="933"/>
      <c r="AC8" s="934"/>
      <c r="AD8" s="934"/>
      <c r="AE8" s="934"/>
      <c r="AF8" s="934"/>
      <c r="AG8" s="934"/>
      <c r="AH8" s="934"/>
      <c r="AI8" s="934"/>
      <c r="DK8" s="914" t="s">
        <v>1034</v>
      </c>
      <c r="DL8" s="933"/>
      <c r="DN8" s="936">
        <f>[5]Assumption!K5</f>
        <v>9881.3886650000004</v>
      </c>
      <c r="DO8" s="950">
        <f>[5]Assumption!L5</f>
        <v>18276.939440889153</v>
      </c>
      <c r="DP8" s="950">
        <f>[5]Assumption!M5</f>
        <v>15242.098731718022</v>
      </c>
      <c r="DQ8" s="950">
        <f>[5]Assumption!N5</f>
        <v>17261.607634655295</v>
      </c>
      <c r="DR8" s="937">
        <f>[5]Assumption!O5</f>
        <v>22520.334596771118</v>
      </c>
      <c r="DT8" s="936">
        <f>[5]Assumption!K5</f>
        <v>9881.3886650000004</v>
      </c>
      <c r="DU8" s="950">
        <f>[5]Assumption!L5</f>
        <v>18276.939440889153</v>
      </c>
      <c r="DV8" s="950">
        <f>[5]Assumption!M5</f>
        <v>15242.098731718022</v>
      </c>
      <c r="DW8" s="950">
        <f>[5]Assumption!N5</f>
        <v>17261.607634655295</v>
      </c>
      <c r="DX8" s="937">
        <f>[5]Assumption!O5</f>
        <v>22520.334596771118</v>
      </c>
      <c r="DZ8" s="1602">
        <v>9881.3886649999986</v>
      </c>
      <c r="EA8" s="1601">
        <v>15624.916090000001</v>
      </c>
      <c r="EB8" s="1601">
        <v>12404.99087</v>
      </c>
      <c r="EC8" s="1601">
        <v>16642.730624999997</v>
      </c>
      <c r="ED8" s="1608">
        <v>30928.548119999999</v>
      </c>
      <c r="EF8" s="1602">
        <f>'Sale Plan &amp; KPIs'!B18</f>
        <v>8913.6049149999999</v>
      </c>
      <c r="EG8" s="1601">
        <f>'Sale Plan &amp; KPIs'!C18</f>
        <v>13438.240889999999</v>
      </c>
      <c r="EH8" s="1601">
        <f>'Sale Plan &amp; KPIs'!D18</f>
        <v>18358.636490000001</v>
      </c>
      <c r="EI8" s="1601">
        <f>'Sale Plan &amp; KPIs'!E18</f>
        <v>15994.539525</v>
      </c>
      <c r="EJ8" s="1601">
        <f>'Sale Plan &amp; KPIs'!F18</f>
        <v>16959.788120000001</v>
      </c>
      <c r="EK8" s="1601">
        <f>'Sale Plan &amp; KPIs'!G18</f>
        <v>18586.203744999999</v>
      </c>
      <c r="EL8" s="950">
        <f>EL7*'2017 Scheme &amp; cost projection'!$R$22</f>
        <v>19110</v>
      </c>
      <c r="EM8" s="950">
        <f>EM7*'2017 Scheme &amp; cost projection'!$R$22</f>
        <v>21339.5</v>
      </c>
      <c r="EN8" s="950">
        <f>EN7*'2017 Scheme &amp; cost projection'!$R$22</f>
        <v>23887.5</v>
      </c>
      <c r="EO8" s="950">
        <f>EO7*'2017 Scheme &amp; cost projection'!$R$22</f>
        <v>22613.5</v>
      </c>
      <c r="EP8" s="950">
        <f>EP7*'2017 Scheme &amp; cost projection'!$R$22</f>
        <v>25480</v>
      </c>
      <c r="EQ8" s="937">
        <f>EQ7*'2017 Scheme &amp; cost projection'!$R$22</f>
        <v>28853.233499999998</v>
      </c>
      <c r="ES8" s="1489">
        <f>ES7*'2017 Scheme &amp; cost projection'!$R$22</f>
        <v>10931.333348215761</v>
      </c>
      <c r="ET8" s="950">
        <f>ET7*'2017 Scheme &amp; cost projection'!$R$22</f>
        <v>10271.920556094063</v>
      </c>
      <c r="EU8" s="950">
        <f>EU7*'2017 Scheme &amp; cost projection'!$R$22</f>
        <v>22512.989215421745</v>
      </c>
      <c r="EV8" s="950">
        <f>EV7*'2017 Scheme &amp; cost projection'!$R$22</f>
        <v>22422.776273529817</v>
      </c>
      <c r="EW8" s="950">
        <f>EW7*'2017 Scheme &amp; cost projection'!$R$22</f>
        <v>25921.190552918684</v>
      </c>
      <c r="EX8" s="950">
        <f>EX7*'2017 Scheme &amp; cost projection'!$R$22</f>
        <v>28088.455759213983</v>
      </c>
      <c r="EY8" s="950">
        <f>EY7*'2017 Scheme &amp; cost projection'!$R$22</f>
        <v>26423.669185889012</v>
      </c>
      <c r="EZ8" s="950">
        <f>EZ7*'2017 Scheme &amp; cost projection'!$R$22</f>
        <v>29355.140932074421</v>
      </c>
      <c r="FA8" s="950">
        <f>FA7*'2017 Scheme &amp; cost projection'!$R$22</f>
        <v>32453.438835180681</v>
      </c>
      <c r="FB8" s="950">
        <f>FB7*'2017 Scheme &amp; cost projection'!$R$22</f>
        <v>30580.916818990925</v>
      </c>
      <c r="FC8" s="950">
        <f>FC7*'2017 Scheme &amp; cost projection'!$R$22</f>
        <v>33387.936346404895</v>
      </c>
      <c r="FD8" s="937">
        <f>FD7*'2017 Scheme &amp; cost projection'!$R$22</f>
        <v>35941.199067031892</v>
      </c>
      <c r="FF8" s="1489">
        <f>FF7*'2017 Scheme &amp; cost projection'!$R$22</f>
        <v>15053.463724808465</v>
      </c>
      <c r="FG8" s="950">
        <f>FG7*'2017 Scheme &amp; cost projection'!$R$22</f>
        <v>13976.683286218989</v>
      </c>
      <c r="FH8" s="950">
        <f>FH7*'2017 Scheme &amp; cost projection'!$R$22</f>
        <v>31893.508707583838</v>
      </c>
      <c r="FI8" s="950">
        <f>FI7*'2017 Scheme &amp; cost projection'!$R$22</f>
        <v>31297.458662740872</v>
      </c>
      <c r="FJ8" s="950">
        <f>FJ7*'2017 Scheme &amp; cost projection'!$R$22</f>
        <v>36134.411189136415</v>
      </c>
      <c r="FK8" s="950">
        <f>FK7*'2017 Scheme &amp; cost projection'!$R$22</f>
        <v>38740.176892595053</v>
      </c>
      <c r="FL8" s="950">
        <f>FL7*'2017 Scheme &amp; cost projection'!$R$22</f>
        <v>36842.701883450893</v>
      </c>
      <c r="FM8" s="950">
        <f>FM7*'2017 Scheme &amp; cost projection'!$R$22</f>
        <v>40848.66510644331</v>
      </c>
      <c r="FN8" s="950">
        <f>FN7*'2017 Scheme &amp; cost projection'!$R$22</f>
        <v>45097.737607943047</v>
      </c>
      <c r="FO8" s="950">
        <f>FO7*'2017 Scheme &amp; cost projection'!$R$22</f>
        <v>43051.601764623825</v>
      </c>
      <c r="FP8" s="950">
        <f>FP7*'2017 Scheme &amp; cost projection'!$R$22</f>
        <v>46761.012640544533</v>
      </c>
      <c r="FQ8" s="937">
        <f>FQ7*'2017 Scheme &amp; cost projection'!$R$22</f>
        <v>50488.351738016638</v>
      </c>
      <c r="FS8" s="1489">
        <f>FS7*'2017 Scheme &amp; cost projection'!$R$22</f>
        <v>20035.566524844482</v>
      </c>
      <c r="FT8" s="950">
        <f>FT7*'2017 Scheme &amp; cost projection'!$R$22</f>
        <v>18666.076566941065</v>
      </c>
      <c r="FU8" s="950">
        <f>FU7*'2017 Scheme &amp; cost projection'!$R$22</f>
        <v>41990.234444323927</v>
      </c>
      <c r="FV8" s="950">
        <f>FV7*'2017 Scheme &amp; cost projection'!$R$22</f>
        <v>41700.256111777111</v>
      </c>
      <c r="FW8" s="950">
        <f>FW7*'2017 Scheme &amp; cost projection'!$R$22</f>
        <v>47729.672049178182</v>
      </c>
      <c r="FX8" s="950">
        <f>FX7*'2017 Scheme &amp; cost projection'!$R$22</f>
        <v>50545.38207841121</v>
      </c>
      <c r="FY8" s="950">
        <f>FY7*'2017 Scheme &amp; cost projection'!$R$22</f>
        <v>48229.594899236203</v>
      </c>
      <c r="FZ8" s="950">
        <f>FZ7*'2017 Scheme &amp; cost projection'!$R$22</f>
        <v>52998.646530159393</v>
      </c>
      <c r="GA8" s="950">
        <f>GA7*'2017 Scheme &amp; cost projection'!$R$22</f>
        <v>58329.141718677223</v>
      </c>
      <c r="GB8" s="950">
        <f>GB7*'2017 Scheme &amp; cost projection'!$R$22</f>
        <v>55193.219915093505</v>
      </c>
      <c r="GC8" s="950">
        <f>GC7*'2017 Scheme &amp; cost projection'!$R$22</f>
        <v>59357.667605972238</v>
      </c>
      <c r="GD8" s="937">
        <f>GD7*'2017 Scheme &amp; cost projection'!$R$22</f>
        <v>63664.823870037711</v>
      </c>
      <c r="GF8" s="1489">
        <f>GF7*'2017 Scheme &amp; cost projection'!$R$22</f>
        <v>25926.409007458453</v>
      </c>
      <c r="GG8" s="950">
        <f>GG7*'2017 Scheme &amp; cost projection'!$R$22</f>
        <v>24037.284237790278</v>
      </c>
      <c r="GH8" s="950">
        <f>GH7*'2017 Scheme &amp; cost projection'!$R$22</f>
        <v>53964.851530663684</v>
      </c>
      <c r="GI8" s="950">
        <f>GI7*'2017 Scheme &amp; cost projection'!$R$22</f>
        <v>53656.941876617639</v>
      </c>
      <c r="GJ8" s="950">
        <f>GJ7*'2017 Scheme &amp; cost projection'!$R$22</f>
        <v>61406.533144211942</v>
      </c>
      <c r="GK8" s="950">
        <f>GK7*'2017 Scheme &amp; cost projection'!$R$22</f>
        <v>65055.124227499851</v>
      </c>
      <c r="GL8" s="950">
        <f>GL7*'2017 Scheme &amp; cost projection'!$R$22</f>
        <v>62105.273721615842</v>
      </c>
      <c r="GM8" s="950">
        <f>GM7*'2017 Scheme &amp; cost projection'!$R$22</f>
        <v>68978.339829448436</v>
      </c>
      <c r="GN8" s="950">
        <f>GN7*'2017 Scheme &amp; cost projection'!$R$22</f>
        <v>75995.300902117946</v>
      </c>
      <c r="GO8" s="950">
        <f>GO7*'2017 Scheme &amp; cost projection'!$R$22</f>
        <v>72097.213586997823</v>
      </c>
      <c r="GP8" s="950">
        <f>GP7*'2017 Scheme &amp; cost projection'!$R$22</f>
        <v>78037.075643878023</v>
      </c>
      <c r="GQ8" s="937">
        <f>GQ7*'2017 Scheme &amp; cost projection'!$R$22</f>
        <v>83903.783107578216</v>
      </c>
      <c r="GS8" s="1489">
        <f>GS7*'2017 Scheme &amp; cost projection'!$R$22</f>
        <v>33229.031402494518</v>
      </c>
      <c r="GT8" s="950">
        <f>GT7*'2017 Scheme &amp; cost projection'!$R$22</f>
        <v>30847.191939499193</v>
      </c>
      <c r="GU8" s="950">
        <f>GU7*'2017 Scheme &amp; cost projection'!$R$22</f>
        <v>69347.23629933568</v>
      </c>
      <c r="GV8" s="950">
        <f>GV7*'2017 Scheme &amp; cost projection'!$R$22</f>
        <v>69122.970765356033</v>
      </c>
      <c r="GW8" s="950">
        <f>GW7*'2017 Scheme &amp; cost projection'!$R$22</f>
        <v>79224.189208796481</v>
      </c>
      <c r="GX8" s="950">
        <f>GX7*'2017 Scheme &amp; cost projection'!$R$22</f>
        <v>84070.218836478089</v>
      </c>
      <c r="GY8" s="950">
        <f>GY7*'2017 Scheme &amp; cost projection'!$R$22</f>
        <v>80380.896102799408</v>
      </c>
      <c r="GZ8" s="950">
        <f>GZ7*'2017 Scheme &amp; cost projection'!$R$22</f>
        <v>89229.329403275129</v>
      </c>
      <c r="HA8" s="950">
        <f>HA7*'2017 Scheme &amp; cost projection'!$R$22</f>
        <v>98326.648057330618</v>
      </c>
      <c r="HB8" s="950">
        <f>HB7*'2017 Scheme &amp; cost projection'!$R$22</f>
        <v>94339.264932707287</v>
      </c>
      <c r="HC8" s="950">
        <f>HC7*'2017 Scheme &amp; cost projection'!$R$22</f>
        <v>103093.14744272819</v>
      </c>
      <c r="HD8" s="937">
        <f>HD7*'2017 Scheme &amp; cost projection'!$R$22</f>
        <v>110927.72160434192</v>
      </c>
    </row>
    <row r="9" spans="1:215" ht="14.25">
      <c r="B9" s="967" t="s">
        <v>119</v>
      </c>
      <c r="C9" s="1007">
        <v>10</v>
      </c>
      <c r="D9" s="1008">
        <v>1</v>
      </c>
      <c r="E9" s="1009">
        <v>3</v>
      </c>
      <c r="F9" s="1010">
        <v>5</v>
      </c>
      <c r="G9" s="1011">
        <f>F9/C9</f>
        <v>0.5</v>
      </c>
      <c r="H9" s="1012"/>
      <c r="I9" s="31"/>
      <c r="N9" s="914" t="s">
        <v>1053</v>
      </c>
      <c r="O9" s="933"/>
      <c r="P9" s="934">
        <f>[5]Assumption!D14</f>
        <v>562</v>
      </c>
      <c r="Q9" s="934">
        <f>[5]Assumption!E14</f>
        <v>543</v>
      </c>
      <c r="R9" s="934">
        <f>[5]Assumption!F14</f>
        <v>565</v>
      </c>
      <c r="S9" s="934">
        <f>[5]Assumption!G14</f>
        <v>595</v>
      </c>
      <c r="T9" s="934">
        <f>[5]Assumption!H14</f>
        <v>651</v>
      </c>
      <c r="U9" s="934">
        <f>[5]Assumption!I14</f>
        <v>724</v>
      </c>
      <c r="V9" s="934">
        <f>[5]Assumption!J14</f>
        <v>719</v>
      </c>
      <c r="W9" s="934"/>
      <c r="X9" s="934"/>
      <c r="Y9" s="934"/>
      <c r="AA9" s="914" t="s">
        <v>1053</v>
      </c>
      <c r="AB9" s="933"/>
      <c r="AC9" s="934"/>
      <c r="AD9" s="934"/>
      <c r="AE9" s="934"/>
      <c r="AF9" s="934"/>
      <c r="AG9" s="934"/>
      <c r="AH9" s="934"/>
      <c r="AI9" s="934"/>
      <c r="DK9" s="914" t="s">
        <v>1053</v>
      </c>
      <c r="DL9" s="933"/>
      <c r="DN9" s="952">
        <f>[5]Assumption!K14</f>
        <v>784</v>
      </c>
      <c r="DO9" s="953">
        <f>[5]Assumption!L14</f>
        <v>944</v>
      </c>
      <c r="DP9" s="953">
        <f>[5]Assumption!M14</f>
        <v>1060</v>
      </c>
      <c r="DQ9" s="953">
        <f>[5]Assumption!N14</f>
        <v>1191</v>
      </c>
      <c r="DR9" s="933">
        <f>[5]Assumption!O14</f>
        <v>1317</v>
      </c>
      <c r="DT9" s="952">
        <f>[5]Assumption!K14</f>
        <v>784</v>
      </c>
      <c r="DU9" s="953">
        <f>[5]Assumption!L14</f>
        <v>944</v>
      </c>
      <c r="DV9" s="953">
        <f>[5]Assumption!M14</f>
        <v>1060</v>
      </c>
      <c r="DW9" s="953">
        <f>[5]Assumption!N14</f>
        <v>1191</v>
      </c>
      <c r="DX9" s="933">
        <f>[5]Assumption!O14</f>
        <v>1317</v>
      </c>
      <c r="DY9" s="595" t="s">
        <v>1053</v>
      </c>
      <c r="DZ9" s="952">
        <f>[5]Assumption!K14</f>
        <v>784</v>
      </c>
      <c r="EA9" s="953">
        <f>[5]Assumption!L14</f>
        <v>944</v>
      </c>
      <c r="EB9" s="953">
        <f>[5]Assumption!M14</f>
        <v>1060</v>
      </c>
      <c r="EC9" s="953">
        <f>[5]Assumption!N14</f>
        <v>1191</v>
      </c>
      <c r="ED9" s="933">
        <f>[5]Assumption!O14</f>
        <v>1317</v>
      </c>
      <c r="EF9" s="952"/>
      <c r="EG9" s="953"/>
      <c r="EH9" s="953"/>
      <c r="EI9" s="953"/>
      <c r="EJ9" s="953"/>
      <c r="EK9" s="953"/>
      <c r="EL9" s="953"/>
      <c r="EM9" s="953"/>
      <c r="EN9" s="953"/>
      <c r="EO9" s="953"/>
      <c r="EP9" s="953"/>
      <c r="EQ9" s="933"/>
      <c r="ES9" s="952"/>
      <c r="ET9" s="953"/>
      <c r="EU9" s="953"/>
      <c r="EV9" s="953"/>
      <c r="EW9" s="953"/>
      <c r="EX9" s="953"/>
      <c r="EY9" s="953"/>
      <c r="EZ9" s="953"/>
      <c r="FA9" s="953"/>
      <c r="FB9" s="953"/>
      <c r="FC9" s="953"/>
      <c r="FD9" s="933"/>
      <c r="FF9" s="952"/>
      <c r="FG9" s="953"/>
      <c r="FH9" s="953"/>
      <c r="FI9" s="953"/>
      <c r="FJ9" s="953"/>
      <c r="FK9" s="953"/>
      <c r="FL9" s="953"/>
      <c r="FM9" s="953"/>
      <c r="FN9" s="953"/>
      <c r="FO9" s="953"/>
      <c r="FP9" s="953"/>
      <c r="FQ9" s="933"/>
      <c r="FS9" s="952"/>
      <c r="FT9" s="953"/>
      <c r="FU9" s="953"/>
      <c r="FV9" s="953"/>
      <c r="FW9" s="953"/>
      <c r="FX9" s="953"/>
      <c r="FY9" s="953"/>
      <c r="FZ9" s="953"/>
      <c r="GA9" s="953"/>
      <c r="GB9" s="953"/>
      <c r="GC9" s="953"/>
      <c r="GD9" s="933"/>
      <c r="GF9" s="952"/>
      <c r="GG9" s="953"/>
      <c r="GH9" s="953"/>
      <c r="GI9" s="953"/>
      <c r="GJ9" s="953"/>
      <c r="GK9" s="953"/>
      <c r="GL9" s="953"/>
      <c r="GM9" s="953"/>
      <c r="GN9" s="953"/>
      <c r="GO9" s="953"/>
      <c r="GP9" s="953"/>
      <c r="GQ9" s="933"/>
      <c r="GS9" s="952"/>
      <c r="GT9" s="953"/>
      <c r="GU9" s="953"/>
      <c r="GV9" s="953"/>
      <c r="GW9" s="953"/>
      <c r="GX9" s="953"/>
      <c r="GY9" s="953"/>
      <c r="GZ9" s="953"/>
      <c r="HA9" s="953"/>
      <c r="HB9" s="953"/>
      <c r="HC9" s="953"/>
      <c r="HD9" s="933"/>
    </row>
    <row r="10" spans="1:215" ht="14.25">
      <c r="B10" s="967" t="s">
        <v>120</v>
      </c>
      <c r="C10" s="1007">
        <v>20</v>
      </c>
      <c r="D10" s="1008">
        <v>1</v>
      </c>
      <c r="E10" s="1013">
        <v>4</v>
      </c>
      <c r="F10" s="1010">
        <v>5</v>
      </c>
      <c r="G10" s="1011">
        <f t="shared" ref="G10:G15" si="0">F10/C10</f>
        <v>0.25</v>
      </c>
      <c r="H10" s="1012"/>
      <c r="I10" s="31"/>
      <c r="N10" s="914" t="s">
        <v>1054</v>
      </c>
      <c r="O10" s="933"/>
      <c r="P10" s="934">
        <f>SUM(P15:P23)</f>
        <v>407</v>
      </c>
      <c r="Q10" s="934">
        <f t="shared" ref="Q10:V10" si="1">SUM(Q15:Q23)</f>
        <v>355</v>
      </c>
      <c r="R10" s="934">
        <f t="shared" si="1"/>
        <v>316</v>
      </c>
      <c r="S10" s="934">
        <f t="shared" si="1"/>
        <v>326</v>
      </c>
      <c r="T10" s="934">
        <f t="shared" si="1"/>
        <v>325</v>
      </c>
      <c r="U10" s="934">
        <f t="shared" si="1"/>
        <v>359</v>
      </c>
      <c r="V10" s="934">
        <f t="shared" si="1"/>
        <v>398</v>
      </c>
      <c r="W10" s="934"/>
      <c r="X10" s="934"/>
      <c r="Y10" s="934"/>
      <c r="AA10" s="914" t="s">
        <v>1055</v>
      </c>
      <c r="AB10" s="933"/>
      <c r="AC10" s="599">
        <f t="shared" ref="AC10:AI10" si="2">P10/P9</f>
        <v>0.72419928825622781</v>
      </c>
      <c r="AD10" s="599">
        <f t="shared" si="2"/>
        <v>0.65377532228360957</v>
      </c>
      <c r="AE10" s="599">
        <f t="shared" si="2"/>
        <v>0.55929203539823014</v>
      </c>
      <c r="AF10" s="599">
        <f t="shared" si="2"/>
        <v>0.5478991596638656</v>
      </c>
      <c r="AG10" s="599">
        <f t="shared" si="2"/>
        <v>0.49923195084485406</v>
      </c>
      <c r="AH10" s="599">
        <f t="shared" si="2"/>
        <v>0.4958563535911602</v>
      </c>
      <c r="AI10" s="599">
        <f t="shared" si="2"/>
        <v>0.55354659248956883</v>
      </c>
      <c r="AJ10" s="935">
        <f>AVERAGE(AC10:AI10)</f>
        <v>0.57625724321821659</v>
      </c>
      <c r="AK10" s="935"/>
      <c r="AL10" s="935"/>
      <c r="AM10" s="935"/>
      <c r="AN10" s="935"/>
      <c r="AO10" s="935"/>
      <c r="AP10" s="935"/>
      <c r="AQ10" s="935"/>
      <c r="AR10" s="935"/>
      <c r="AS10" s="935"/>
      <c r="AT10" s="935"/>
      <c r="AU10" s="935"/>
      <c r="AV10" s="935"/>
      <c r="AW10" s="935"/>
      <c r="AX10" s="935"/>
      <c r="AY10" s="935"/>
      <c r="AZ10" s="935"/>
      <c r="BA10" s="935"/>
      <c r="BB10" s="935"/>
      <c r="BC10" s="935"/>
      <c r="BD10" s="935"/>
      <c r="BE10" s="935"/>
      <c r="BF10" s="935"/>
      <c r="BG10" s="935"/>
      <c r="BH10" s="935"/>
      <c r="BI10" s="935"/>
      <c r="BJ10" s="935"/>
      <c r="BK10" s="935"/>
      <c r="BL10" s="935"/>
      <c r="BM10" s="935"/>
      <c r="BN10" s="935"/>
      <c r="BO10" s="935"/>
      <c r="BP10" s="935"/>
      <c r="BQ10" s="935"/>
      <c r="BR10" s="935"/>
      <c r="BS10" s="935"/>
      <c r="BT10" s="935"/>
      <c r="BU10" s="935"/>
      <c r="BV10" s="935"/>
      <c r="BW10" s="935"/>
      <c r="BX10" s="935"/>
      <c r="BY10" s="935"/>
      <c r="BZ10" s="935"/>
      <c r="CA10" s="935"/>
      <c r="CB10" s="935"/>
      <c r="CC10" s="935"/>
      <c r="CD10" s="935"/>
      <c r="CE10" s="935"/>
      <c r="CF10" s="935"/>
      <c r="CG10" s="935"/>
      <c r="CH10" s="935"/>
      <c r="CI10" s="935"/>
      <c r="CJ10" s="935"/>
      <c r="CK10" s="935"/>
      <c r="CL10" s="935"/>
      <c r="CM10" s="935"/>
      <c r="CN10" s="935"/>
      <c r="CO10" s="935"/>
      <c r="CP10" s="935"/>
      <c r="CQ10" s="935"/>
      <c r="CR10" s="935"/>
      <c r="CS10" s="935"/>
      <c r="CT10" s="935"/>
      <c r="CU10" s="935"/>
      <c r="CV10" s="935"/>
      <c r="CW10" s="935"/>
      <c r="CX10" s="935"/>
      <c r="CY10" s="935"/>
      <c r="CZ10" s="935"/>
      <c r="DA10" s="935"/>
      <c r="DB10" s="935"/>
      <c r="DC10" s="935"/>
      <c r="DD10" s="935"/>
      <c r="DE10" s="935"/>
      <c r="DF10" s="935"/>
      <c r="DG10" s="935"/>
      <c r="DH10" s="935"/>
      <c r="DI10" s="935"/>
      <c r="DK10" s="914" t="s">
        <v>1055</v>
      </c>
      <c r="DL10" s="933"/>
      <c r="DN10" s="936">
        <f>SUM(DN15:DN23)</f>
        <v>432</v>
      </c>
      <c r="DO10" s="950">
        <f>SUM(DO15:DO23)</f>
        <v>520.5</v>
      </c>
      <c r="DP10" s="950">
        <f>SUM(DP15:DP23)</f>
        <v>615.04999999999995</v>
      </c>
      <c r="DQ10" s="950">
        <f>SUM(DQ15:DQ23)</f>
        <v>711.1</v>
      </c>
      <c r="DR10" s="937">
        <f>SUM(DR15:DR23)</f>
        <v>808.1</v>
      </c>
      <c r="DT10" s="936">
        <f>SUM(DT15:DT23)</f>
        <v>432</v>
      </c>
      <c r="DU10" s="950">
        <f>SUM(DU15:DU23)</f>
        <v>520.5</v>
      </c>
      <c r="DV10" s="950">
        <f>SUM(DV15:DV23)</f>
        <v>615.04999999999995</v>
      </c>
      <c r="DW10" s="950">
        <f>SUM(DW15:DW23)</f>
        <v>711.1</v>
      </c>
      <c r="DX10" s="937">
        <f>SUM(DX15:DX23)</f>
        <v>808.1</v>
      </c>
      <c r="DY10" s="595" t="s">
        <v>1054</v>
      </c>
      <c r="DZ10" s="936">
        <f>SUM(DZ15:DZ23)</f>
        <v>432</v>
      </c>
      <c r="EA10" s="950">
        <f>SUM(EA15:EA23)</f>
        <v>499.5</v>
      </c>
      <c r="EB10" s="950">
        <f>SUM(EB15:EB23)</f>
        <v>599.5</v>
      </c>
      <c r="EC10" s="950">
        <f>SUM(EC15:EC23)</f>
        <v>718</v>
      </c>
      <c r="ED10" s="937">
        <f>SUM(ED15:ED23)</f>
        <v>824</v>
      </c>
      <c r="EF10" s="936">
        <f>SUM(EF15:EF23)</f>
        <v>848.5</v>
      </c>
      <c r="EG10" s="950">
        <f t="shared" ref="EG10:EQ10" si="3">SUM(EG15:EG23)</f>
        <v>871</v>
      </c>
      <c r="EH10" s="950">
        <f>SUM(EH15:EH23)</f>
        <v>825.5</v>
      </c>
      <c r="EI10" s="950">
        <f t="shared" si="3"/>
        <v>750.5</v>
      </c>
      <c r="EJ10" s="950">
        <f t="shared" si="3"/>
        <v>691.5</v>
      </c>
      <c r="EK10" s="950">
        <f t="shared" si="3"/>
        <v>620.5</v>
      </c>
      <c r="EL10" s="950">
        <f t="shared" si="3"/>
        <v>539</v>
      </c>
      <c r="EM10" s="950">
        <f t="shared" si="3"/>
        <v>456.5</v>
      </c>
      <c r="EN10" s="950">
        <f t="shared" si="3"/>
        <v>384.5</v>
      </c>
      <c r="EO10" s="950">
        <f t="shared" si="3"/>
        <v>363</v>
      </c>
      <c r="EP10" s="950">
        <f t="shared" si="3"/>
        <v>340.5</v>
      </c>
      <c r="EQ10" s="937">
        <f t="shared" si="3"/>
        <v>320</v>
      </c>
      <c r="ES10" s="936">
        <f>SUM(ES15:ES23)</f>
        <v>321.5</v>
      </c>
      <c r="ET10" s="950">
        <f t="shared" ref="ET10" si="4">SUM(ET15:ET23)</f>
        <v>316.5</v>
      </c>
      <c r="EU10" s="950">
        <f>SUM(EU15:EU23)</f>
        <v>323.5</v>
      </c>
      <c r="EV10" s="950">
        <f t="shared" ref="EV10:FD10" si="5">SUM(EV15:EV23)</f>
        <v>337</v>
      </c>
      <c r="EW10" s="950">
        <f t="shared" si="5"/>
        <v>339</v>
      </c>
      <c r="EX10" s="950">
        <f t="shared" si="5"/>
        <v>339</v>
      </c>
      <c r="EY10" s="950">
        <f t="shared" si="5"/>
        <v>339</v>
      </c>
      <c r="EZ10" s="950">
        <f t="shared" si="5"/>
        <v>343</v>
      </c>
      <c r="FA10" s="950">
        <f t="shared" si="5"/>
        <v>351</v>
      </c>
      <c r="FB10" s="950">
        <f t="shared" si="5"/>
        <v>369.5</v>
      </c>
      <c r="FC10" s="950">
        <f t="shared" si="5"/>
        <v>398.5</v>
      </c>
      <c r="FD10" s="937">
        <f t="shared" si="5"/>
        <v>411</v>
      </c>
      <c r="FF10" s="936">
        <f>SUM(FF15:FF23)</f>
        <v>392.5</v>
      </c>
      <c r="FG10" s="950">
        <f t="shared" ref="FG10" si="6">SUM(FG15:FG23)</f>
        <v>361.5</v>
      </c>
      <c r="FH10" s="950">
        <f>SUM(FH15:FH23)</f>
        <v>349</v>
      </c>
      <c r="FI10" s="950">
        <f t="shared" ref="FI10:FQ10" si="7">SUM(FI15:FI23)</f>
        <v>345</v>
      </c>
      <c r="FJ10" s="950">
        <f t="shared" si="7"/>
        <v>333</v>
      </c>
      <c r="FK10" s="950">
        <f t="shared" si="7"/>
        <v>321</v>
      </c>
      <c r="FL10" s="950">
        <f t="shared" si="7"/>
        <v>309</v>
      </c>
      <c r="FM10" s="950">
        <f t="shared" si="7"/>
        <v>297</v>
      </c>
      <c r="FN10" s="950">
        <f t="shared" si="7"/>
        <v>285</v>
      </c>
      <c r="FO10" s="950">
        <f t="shared" si="7"/>
        <v>287.5</v>
      </c>
      <c r="FP10" s="950">
        <f t="shared" si="7"/>
        <v>304.5</v>
      </c>
      <c r="FQ10" s="937">
        <f t="shared" si="7"/>
        <v>305</v>
      </c>
      <c r="FS10" s="936">
        <f>SUM(FS15:FS23)</f>
        <v>288.5</v>
      </c>
      <c r="FT10" s="950">
        <f t="shared" ref="FT10" si="8">SUM(FT15:FT23)</f>
        <v>271.5</v>
      </c>
      <c r="FU10" s="950">
        <f>SUM(FU15:FU23)</f>
        <v>254.5</v>
      </c>
      <c r="FV10" s="950">
        <f t="shared" ref="FV10:GD10" si="9">SUM(FV15:FV23)</f>
        <v>237.5</v>
      </c>
      <c r="FW10" s="950">
        <f t="shared" si="9"/>
        <v>220.5</v>
      </c>
      <c r="FX10" s="950">
        <f t="shared" si="9"/>
        <v>203.5</v>
      </c>
      <c r="FY10" s="950">
        <f t="shared" si="9"/>
        <v>186.5</v>
      </c>
      <c r="FZ10" s="950">
        <f t="shared" si="9"/>
        <v>169.5</v>
      </c>
      <c r="GA10" s="950">
        <f t="shared" si="9"/>
        <v>152.5</v>
      </c>
      <c r="GB10" s="950">
        <f t="shared" si="9"/>
        <v>144</v>
      </c>
      <c r="GC10" s="950">
        <f t="shared" si="9"/>
        <v>144</v>
      </c>
      <c r="GD10" s="937">
        <f t="shared" si="9"/>
        <v>144</v>
      </c>
      <c r="GF10" s="936">
        <f>SUM(GF15:GF23)</f>
        <v>144</v>
      </c>
      <c r="GG10" s="950">
        <f t="shared" ref="GG10" si="10">SUM(GG15:GG23)</f>
        <v>144</v>
      </c>
      <c r="GH10" s="950">
        <f>SUM(GH15:GH23)</f>
        <v>144</v>
      </c>
      <c r="GI10" s="950">
        <f t="shared" ref="GI10:GQ10" si="11">SUM(GI15:GI23)</f>
        <v>144</v>
      </c>
      <c r="GJ10" s="950">
        <f t="shared" si="11"/>
        <v>144</v>
      </c>
      <c r="GK10" s="950">
        <f t="shared" si="11"/>
        <v>144</v>
      </c>
      <c r="GL10" s="950">
        <f t="shared" si="11"/>
        <v>144</v>
      </c>
      <c r="GM10" s="950">
        <f t="shared" si="11"/>
        <v>144</v>
      </c>
      <c r="GN10" s="950">
        <f t="shared" si="11"/>
        <v>144</v>
      </c>
      <c r="GO10" s="950">
        <f t="shared" si="11"/>
        <v>144</v>
      </c>
      <c r="GP10" s="950">
        <f t="shared" si="11"/>
        <v>144</v>
      </c>
      <c r="GQ10" s="937">
        <f t="shared" si="11"/>
        <v>144</v>
      </c>
      <c r="GS10" s="936">
        <f>SUM(GS15:GS23)</f>
        <v>144</v>
      </c>
      <c r="GT10" s="950">
        <f t="shared" ref="GT10" si="12">SUM(GT15:GT23)</f>
        <v>144</v>
      </c>
      <c r="GU10" s="950">
        <f>SUM(GU15:GU23)</f>
        <v>144</v>
      </c>
      <c r="GV10" s="950">
        <f t="shared" ref="GV10:HD10" si="13">SUM(GV15:GV23)</f>
        <v>144</v>
      </c>
      <c r="GW10" s="950">
        <f t="shared" si="13"/>
        <v>144</v>
      </c>
      <c r="GX10" s="950">
        <f t="shared" si="13"/>
        <v>144</v>
      </c>
      <c r="GY10" s="950">
        <f t="shared" si="13"/>
        <v>144</v>
      </c>
      <c r="GZ10" s="950">
        <f t="shared" si="13"/>
        <v>144</v>
      </c>
      <c r="HA10" s="950">
        <f t="shared" si="13"/>
        <v>144</v>
      </c>
      <c r="HB10" s="950">
        <f t="shared" si="13"/>
        <v>144</v>
      </c>
      <c r="HC10" s="950">
        <f t="shared" si="13"/>
        <v>144</v>
      </c>
      <c r="HD10" s="937">
        <f t="shared" si="13"/>
        <v>144</v>
      </c>
    </row>
    <row r="11" spans="1:215" ht="14.25">
      <c r="B11" s="967" t="s">
        <v>121</v>
      </c>
      <c r="C11" s="1007">
        <v>25</v>
      </c>
      <c r="D11" s="1008">
        <v>2</v>
      </c>
      <c r="E11" s="1013">
        <v>5</v>
      </c>
      <c r="F11" s="1010">
        <v>5</v>
      </c>
      <c r="G11" s="1011">
        <f t="shared" si="0"/>
        <v>0.2</v>
      </c>
      <c r="H11" s="1012"/>
      <c r="I11" s="31"/>
      <c r="N11" s="914" t="s">
        <v>1056</v>
      </c>
      <c r="O11" s="933"/>
      <c r="P11" s="595">
        <f>[5]Assumption!D31</f>
        <v>12</v>
      </c>
      <c r="Q11" s="595">
        <f>[5]Assumption!E31</f>
        <v>8</v>
      </c>
      <c r="R11" s="595">
        <f>[5]Assumption!F31</f>
        <v>40</v>
      </c>
      <c r="S11" s="595">
        <f>[5]Assumption!G31</f>
        <v>49</v>
      </c>
      <c r="T11" s="595">
        <f>[5]Assumption!H31</f>
        <v>88</v>
      </c>
      <c r="U11" s="595">
        <f>[5]Assumption!I31</f>
        <v>123</v>
      </c>
      <c r="V11" s="595">
        <f>[5]Assumption!J31</f>
        <v>73</v>
      </c>
      <c r="AA11" s="914" t="s">
        <v>1056</v>
      </c>
      <c r="AB11" s="933"/>
      <c r="DK11" s="914" t="s">
        <v>1056</v>
      </c>
      <c r="DL11" s="933"/>
      <c r="DN11" s="952">
        <f>[5]Assumption!K31</f>
        <v>80</v>
      </c>
      <c r="DO11" s="978">
        <f>[5]Assumption!L31</f>
        <v>117</v>
      </c>
      <c r="DP11" s="978">
        <f>[5]Assumption!M31</f>
        <v>116.10000000000001</v>
      </c>
      <c r="DQ11" s="978">
        <f>[5]Assumption!N31</f>
        <v>108</v>
      </c>
      <c r="DR11" s="979">
        <f>[5]Assumption!O31</f>
        <v>108</v>
      </c>
      <c r="DT11" s="952">
        <f>[5]Assumption!K31</f>
        <v>80</v>
      </c>
      <c r="DU11" s="953">
        <f>[5]Assumption!L31</f>
        <v>117</v>
      </c>
      <c r="DV11" s="953">
        <f>[5]Assumption!M31</f>
        <v>116.10000000000001</v>
      </c>
      <c r="DW11" s="953">
        <f>[5]Assumption!N31</f>
        <v>108</v>
      </c>
      <c r="DX11" s="933">
        <f>[5]Assumption!O31</f>
        <v>108</v>
      </c>
      <c r="DY11" s="595" t="s">
        <v>1056</v>
      </c>
      <c r="DZ11" s="1609">
        <v>78</v>
      </c>
      <c r="EA11" s="1606">
        <v>115</v>
      </c>
      <c r="EB11" s="1606">
        <v>119</v>
      </c>
      <c r="EC11" s="1606">
        <v>136</v>
      </c>
      <c r="ED11" s="1610">
        <v>98</v>
      </c>
      <c r="EF11" s="1603">
        <v>45</v>
      </c>
      <c r="EG11" s="1604">
        <v>82</v>
      </c>
      <c r="EH11" s="1604">
        <f>'[1]AL Promotion &amp; Recruited'!AB10</f>
        <v>33</v>
      </c>
      <c r="EI11" s="1604">
        <v>17</v>
      </c>
      <c r="EJ11" s="1604">
        <v>25</v>
      </c>
      <c r="EK11" s="1604">
        <v>26</v>
      </c>
      <c r="EL11" s="978">
        <f>'[1]AL Promotion &amp; Recruited'!AF10</f>
        <v>45</v>
      </c>
      <c r="EM11" s="978">
        <f>'[1]AL Promotion &amp; Recruited'!AG10</f>
        <v>45</v>
      </c>
      <c r="EN11" s="978">
        <f>'[1]AL Promotion &amp; Recruited'!AH10</f>
        <v>45</v>
      </c>
      <c r="EO11" s="978">
        <f>'[1]AL Promotion &amp; Recruited'!AI10</f>
        <v>45</v>
      </c>
      <c r="EP11" s="978">
        <f>'[1]AL Promotion &amp; Recruited'!AJ10</f>
        <v>37</v>
      </c>
      <c r="EQ11" s="979">
        <f>'[1]AL Promotion &amp; Recruited'!AK10</f>
        <v>37</v>
      </c>
      <c r="ES11" s="977">
        <f>'[6]AL Promotion &amp; Recruited'!AL$10</f>
        <v>16</v>
      </c>
      <c r="ET11" s="978">
        <f>'[6]AL Promotion &amp; Recruited'!AM$10</f>
        <v>16</v>
      </c>
      <c r="EU11" s="978">
        <f>'[6]AL Promotion &amp; Recruited'!AN$10</f>
        <v>49</v>
      </c>
      <c r="EV11" s="978">
        <f>'[6]AL Promotion &amp; Recruited'!AO$10</f>
        <v>49</v>
      </c>
      <c r="EW11" s="978">
        <f>'[6]AL Promotion &amp; Recruited'!AP$10</f>
        <v>45</v>
      </c>
      <c r="EX11" s="978">
        <f>'[6]AL Promotion &amp; Recruited'!AQ$10</f>
        <v>45</v>
      </c>
      <c r="EY11" s="978">
        <f>'[6]AL Promotion &amp; Recruited'!AR$10</f>
        <v>45</v>
      </c>
      <c r="EZ11" s="978">
        <f>'[6]AL Promotion &amp; Recruited'!AS$10</f>
        <v>45</v>
      </c>
      <c r="FA11" s="978">
        <f>'[6]AL Promotion &amp; Recruited'!AT$10</f>
        <v>45</v>
      </c>
      <c r="FB11" s="978">
        <f>'[6]AL Promotion &amp; Recruited'!AU$10</f>
        <v>45</v>
      </c>
      <c r="FC11" s="978">
        <f>'[6]AL Promotion &amp; Recruited'!AV$10</f>
        <v>45</v>
      </c>
      <c r="FD11" s="979">
        <f>'[6]AL Promotion &amp; Recruited'!AW$10</f>
        <v>45</v>
      </c>
      <c r="FF11" s="977">
        <f>'[6]AL Promotion &amp; Recruited'!AX$10</f>
        <v>16</v>
      </c>
      <c r="FG11" s="978">
        <f>'[6]AL Promotion &amp; Recruited'!AY$10</f>
        <v>16</v>
      </c>
      <c r="FH11" s="978">
        <f>'[6]AL Promotion &amp; Recruited'!AZ$10</f>
        <v>49</v>
      </c>
      <c r="FI11" s="978">
        <f>'[6]AL Promotion &amp; Recruited'!BA$10</f>
        <v>33</v>
      </c>
      <c r="FJ11" s="978">
        <f>'[6]AL Promotion &amp; Recruited'!BB$10</f>
        <v>33</v>
      </c>
      <c r="FK11" s="978">
        <f>'[6]AL Promotion &amp; Recruited'!BC$10</f>
        <v>33</v>
      </c>
      <c r="FL11" s="978">
        <f>'[6]AL Promotion &amp; Recruited'!BD$10</f>
        <v>33</v>
      </c>
      <c r="FM11" s="978">
        <f>'[6]AL Promotion &amp; Recruited'!BE$10</f>
        <v>33</v>
      </c>
      <c r="FN11" s="978">
        <f>'[6]AL Promotion &amp; Recruited'!BF$10</f>
        <v>33</v>
      </c>
      <c r="FO11" s="978">
        <f>'[6]AL Promotion &amp; Recruited'!BG$10</f>
        <v>33</v>
      </c>
      <c r="FP11" s="978">
        <f>'[6]AL Promotion &amp; Recruited'!BH$10</f>
        <v>33</v>
      </c>
      <c r="FQ11" s="979">
        <f>'[6]AL Promotion &amp; Recruited'!BI$10</f>
        <v>33</v>
      </c>
      <c r="FS11" s="977">
        <f>'[6]AL Promotion &amp; Recruited'!BJ$10</f>
        <v>16</v>
      </c>
      <c r="FT11" s="978">
        <f>'[6]AL Promotion &amp; Recruited'!BK$10</f>
        <v>16</v>
      </c>
      <c r="FU11" s="978">
        <f>'[6]AL Promotion &amp; Recruited'!BL$10</f>
        <v>16</v>
      </c>
      <c r="FV11" s="978">
        <f>'[6]AL Promotion &amp; Recruited'!BM$10</f>
        <v>16</v>
      </c>
      <c r="FW11" s="978">
        <f>'[6]AL Promotion &amp; Recruited'!BN$10</f>
        <v>16</v>
      </c>
      <c r="FX11" s="978">
        <f>'[6]AL Promotion &amp; Recruited'!BO$10</f>
        <v>16</v>
      </c>
      <c r="FY11" s="978">
        <f>'[6]AL Promotion &amp; Recruited'!BP$10</f>
        <v>16</v>
      </c>
      <c r="FZ11" s="978">
        <f>'[6]AL Promotion &amp; Recruited'!BQ$10</f>
        <v>16</v>
      </c>
      <c r="GA11" s="978">
        <f>'[6]AL Promotion &amp; Recruited'!BR$10</f>
        <v>16</v>
      </c>
      <c r="GB11" s="978">
        <f>'[6]AL Promotion &amp; Recruited'!BS$10</f>
        <v>16</v>
      </c>
      <c r="GC11" s="978">
        <f>'[6]AL Promotion &amp; Recruited'!BT$10</f>
        <v>16</v>
      </c>
      <c r="GD11" s="979">
        <f>'[6]AL Promotion &amp; Recruited'!BU$10</f>
        <v>16</v>
      </c>
      <c r="GF11" s="977">
        <f>'[6]AL Promotion &amp; Recruited'!BV$10</f>
        <v>16</v>
      </c>
      <c r="GG11" s="978">
        <f>'[6]AL Promotion &amp; Recruited'!BW$10</f>
        <v>16</v>
      </c>
      <c r="GH11" s="978">
        <f>'[6]AL Promotion &amp; Recruited'!BX$10</f>
        <v>16</v>
      </c>
      <c r="GI11" s="978">
        <f>'[6]AL Promotion &amp; Recruited'!BY$10</f>
        <v>16</v>
      </c>
      <c r="GJ11" s="978">
        <f>'[6]AL Promotion &amp; Recruited'!BZ$10</f>
        <v>16</v>
      </c>
      <c r="GK11" s="978">
        <f>'[6]AL Promotion &amp; Recruited'!CA$10</f>
        <v>16</v>
      </c>
      <c r="GL11" s="978">
        <f>'[6]AL Promotion &amp; Recruited'!CB$10</f>
        <v>16</v>
      </c>
      <c r="GM11" s="978">
        <f>'[6]AL Promotion &amp; Recruited'!CC$10</f>
        <v>16</v>
      </c>
      <c r="GN11" s="978">
        <f>'[6]AL Promotion &amp; Recruited'!CD$10</f>
        <v>16</v>
      </c>
      <c r="GO11" s="978">
        <f>'[6]AL Promotion &amp; Recruited'!CE$10</f>
        <v>16</v>
      </c>
      <c r="GP11" s="978">
        <f>'[6]AL Promotion &amp; Recruited'!CF$10</f>
        <v>16</v>
      </c>
      <c r="GQ11" s="979">
        <f>'[6]AL Promotion &amp; Recruited'!CG$10</f>
        <v>16</v>
      </c>
      <c r="GS11" s="977">
        <f>'[6]AL Promotion &amp; Recruited'!CH$10</f>
        <v>16</v>
      </c>
      <c r="GT11" s="978">
        <f>'[6]AL Promotion &amp; Recruited'!CI$10</f>
        <v>16</v>
      </c>
      <c r="GU11" s="978">
        <f>'[6]AL Promotion &amp; Recruited'!CJ$10</f>
        <v>16</v>
      </c>
      <c r="GV11" s="978">
        <f>'[6]AL Promotion &amp; Recruited'!CK$10</f>
        <v>16</v>
      </c>
      <c r="GW11" s="978">
        <f>'[6]AL Promotion &amp; Recruited'!CL$10</f>
        <v>16</v>
      </c>
      <c r="GX11" s="978">
        <f>'[6]AL Promotion &amp; Recruited'!CM$10</f>
        <v>16</v>
      </c>
      <c r="GY11" s="978">
        <f>'[6]AL Promotion &amp; Recruited'!CN$10</f>
        <v>16</v>
      </c>
      <c r="GZ11" s="978">
        <f>'[6]AL Promotion &amp; Recruited'!CO$10</f>
        <v>16</v>
      </c>
      <c r="HA11" s="978">
        <f>'[6]AL Promotion &amp; Recruited'!CP$10</f>
        <v>16</v>
      </c>
      <c r="HB11" s="978">
        <f>'[6]AL Promotion &amp; Recruited'!CQ$10</f>
        <v>16</v>
      </c>
      <c r="HC11" s="978">
        <f>'[6]AL Promotion &amp; Recruited'!CR$10</f>
        <v>16</v>
      </c>
      <c r="HD11" s="979">
        <f>'[6]AL Promotion &amp; Recruited'!CS$10</f>
        <v>16</v>
      </c>
    </row>
    <row r="12" spans="1:215" ht="14.25">
      <c r="B12" s="967" t="s">
        <v>122</v>
      </c>
      <c r="C12" s="1007">
        <v>30</v>
      </c>
      <c r="D12" s="976">
        <v>2</v>
      </c>
      <c r="E12" s="1014"/>
      <c r="F12" s="1015">
        <v>7</v>
      </c>
      <c r="G12" s="1011">
        <f t="shared" si="0"/>
        <v>0.23333333333333334</v>
      </c>
      <c r="H12" s="1016"/>
      <c r="I12" s="31"/>
      <c r="N12" s="914" t="s">
        <v>1040</v>
      </c>
      <c r="O12" s="933"/>
      <c r="P12" s="595">
        <v>660</v>
      </c>
      <c r="Q12" s="595">
        <v>581</v>
      </c>
      <c r="R12" s="595">
        <v>703</v>
      </c>
      <c r="S12" s="595">
        <v>969</v>
      </c>
      <c r="T12" s="595">
        <v>1139</v>
      </c>
      <c r="U12" s="595">
        <v>1645</v>
      </c>
      <c r="V12" s="595">
        <v>1579</v>
      </c>
      <c r="AA12" s="914" t="s">
        <v>1041</v>
      </c>
      <c r="AB12" s="933"/>
      <c r="AC12" s="599">
        <f t="shared" ref="AC12:AI12" si="14">P12/P7</f>
        <v>4.8380269977593413E-2</v>
      </c>
      <c r="AD12" s="599">
        <f t="shared" si="14"/>
        <v>4.1820708074254288E-2</v>
      </c>
      <c r="AE12" s="599">
        <f t="shared" si="14"/>
        <v>2.1211776789335803E-2</v>
      </c>
      <c r="AF12" s="599">
        <f t="shared" si="14"/>
        <v>3.1625973031073888E-2</v>
      </c>
      <c r="AG12" s="599">
        <f t="shared" si="14"/>
        <v>4.1481512775049474E-2</v>
      </c>
      <c r="AH12" s="599">
        <f t="shared" si="14"/>
        <v>3.96690146672046E-2</v>
      </c>
      <c r="AI12" s="599">
        <f t="shared" si="14"/>
        <v>5.3079339561241945E-2</v>
      </c>
      <c r="AJ12" s="935">
        <f>AVERAGE(AC12:AI12)</f>
        <v>3.960979926796477E-2</v>
      </c>
      <c r="AK12" s="935"/>
      <c r="AL12" s="935"/>
      <c r="AM12" s="935"/>
      <c r="AN12" s="935"/>
      <c r="AO12" s="935"/>
      <c r="AP12" s="935"/>
      <c r="AQ12" s="935"/>
      <c r="AR12" s="935"/>
      <c r="AS12" s="935"/>
      <c r="AT12" s="935"/>
      <c r="AU12" s="935"/>
      <c r="AV12" s="935"/>
      <c r="AW12" s="935"/>
      <c r="AX12" s="935"/>
      <c r="AY12" s="935"/>
      <c r="AZ12" s="935"/>
      <c r="BA12" s="935"/>
      <c r="BB12" s="935"/>
      <c r="BC12" s="935"/>
      <c r="BD12" s="935"/>
      <c r="BE12" s="935"/>
      <c r="BF12" s="935"/>
      <c r="BG12" s="935"/>
      <c r="BH12" s="935"/>
      <c r="BI12" s="935"/>
      <c r="BJ12" s="935"/>
      <c r="BK12" s="935"/>
      <c r="BL12" s="935"/>
      <c r="BM12" s="935"/>
      <c r="BN12" s="935"/>
      <c r="BO12" s="935"/>
      <c r="BP12" s="935"/>
      <c r="BQ12" s="935"/>
      <c r="BR12" s="935"/>
      <c r="BS12" s="935"/>
      <c r="BT12" s="935"/>
      <c r="BU12" s="935"/>
      <c r="BV12" s="935"/>
      <c r="BW12" s="935"/>
      <c r="BX12" s="935"/>
      <c r="BY12" s="935"/>
      <c r="BZ12" s="935"/>
      <c r="CA12" s="935"/>
      <c r="CB12" s="935"/>
      <c r="CC12" s="935"/>
      <c r="CD12" s="935"/>
      <c r="CE12" s="935"/>
      <c r="CF12" s="935"/>
      <c r="CG12" s="935"/>
      <c r="CH12" s="935"/>
      <c r="CI12" s="935"/>
      <c r="CJ12" s="935"/>
      <c r="CK12" s="935"/>
      <c r="CL12" s="935"/>
      <c r="CM12" s="935"/>
      <c r="CN12" s="935"/>
      <c r="CO12" s="935"/>
      <c r="CP12" s="935"/>
      <c r="CQ12" s="935"/>
      <c r="CR12" s="935"/>
      <c r="CS12" s="935"/>
      <c r="CT12" s="935"/>
      <c r="CU12" s="935"/>
      <c r="CV12" s="935"/>
      <c r="CW12" s="935"/>
      <c r="CX12" s="935"/>
      <c r="CY12" s="935"/>
      <c r="CZ12" s="935"/>
      <c r="DA12" s="935"/>
      <c r="DB12" s="935"/>
      <c r="DC12" s="935"/>
      <c r="DD12" s="935"/>
      <c r="DE12" s="935"/>
      <c r="DF12" s="935"/>
      <c r="DG12" s="935"/>
      <c r="DH12" s="935"/>
      <c r="DI12" s="935"/>
      <c r="DK12" s="914" t="s">
        <v>1040</v>
      </c>
      <c r="DL12" s="933"/>
      <c r="DN12" s="977">
        <f>SUM(DN26:DN28)*10+SUM(DN29:DN31)*7+SUM(DN32:DN34)*6+DN35*25</f>
        <v>1446</v>
      </c>
      <c r="DO12" s="978">
        <f>SUM(DO26:DO28)*10+SUM(DO29:DO31)*7+SUM(DO32:DO34)*6+DO35*25</f>
        <v>1557.0950114052789</v>
      </c>
      <c r="DP12" s="978">
        <f>SUM(DP26:DP28)*10+SUM(DP29:DP31)*7+SUM(DP32:DP34)*6+DP35*25</f>
        <v>1720.0299282962492</v>
      </c>
      <c r="DQ12" s="978">
        <f>SUM(DQ26:DQ28)*10+SUM(DQ29:DQ31)*7+SUM(DQ32:DQ34)*6+DQ35*25</f>
        <v>1860.6102365357365</v>
      </c>
      <c r="DR12" s="979">
        <f>SUM(DR26:DR28)*10+SUM(DR29:DR31)*7+SUM(DR32:DR34)*6+DR35*25</f>
        <v>1847.4033436619752</v>
      </c>
      <c r="DT12" s="977">
        <f>SUM(DT26:DT28)*10+SUM(DT29:DT31)*7+SUM(DT32:DT34)*6+DT35*25</f>
        <v>1446</v>
      </c>
      <c r="DU12" s="978">
        <f>SUM(DU26:DU28)*10+SUM(DU29:DU31)*7+SUM(DU32:DU34)*6+DU35*25</f>
        <v>1775.1266078159174</v>
      </c>
      <c r="DV12" s="978">
        <f>SUM(DV26:DV28)*10+SUM(DV29:DV31)*7+SUM(DV32:DV34)*6+DV35*25</f>
        <v>1928.895472215514</v>
      </c>
      <c r="DW12" s="978">
        <f>SUM(DW26:DW28)*10+SUM(DW29:DW31)*7+SUM(DW32:DW34)*6+DW35*25</f>
        <v>2147.6935956120524</v>
      </c>
      <c r="DX12" s="979">
        <f>SUM(DX26:DX28)*10+SUM(DX29:DX31)*7+SUM(DX32:DX34)*6+DX35*25</f>
        <v>2166.0152675732343</v>
      </c>
      <c r="DY12" s="595" t="s">
        <v>1040</v>
      </c>
      <c r="DZ12" s="977">
        <f>SUM(DZ26:DZ28)*10+SUM(DZ29:DZ31)*7+SUM(DZ32:DZ34)*6+DZ35*25</f>
        <v>1446</v>
      </c>
      <c r="EA12" s="978">
        <f>SUM(EA26:EA28)*10+SUM(EA29:EA31)*7+SUM(EA32:EA34)*6+EA35*25</f>
        <v>1931.4160613652039</v>
      </c>
      <c r="EB12" s="978">
        <f>SUM(EB26:EB28)*10+SUM(EB29:EB31)*7+SUM(EB32:EB34)*6+EB35*25</f>
        <v>2164.6607429623818</v>
      </c>
      <c r="EC12" s="978">
        <f>SUM(EC26:EC28)*10+SUM(EC29:EC31)*7+SUM(EC32:EC34)*6+EC35*25</f>
        <v>2739.8332716292216</v>
      </c>
      <c r="ED12" s="979">
        <f>SUM(ED26:ED28)*10+SUM(ED29:ED31)*7+SUM(ED32:ED34)*6+ED35*25</f>
        <v>3127.018307288417</v>
      </c>
      <c r="EF12" s="977">
        <f>SUM(EF26:EF28)*10+SUM(EF29:EF31)*7+SUM(EF32:EF34)*6+EF35*25</f>
        <v>1764.9900000000002</v>
      </c>
      <c r="EG12" s="978">
        <f>SUM(EG26:EG28)*10+SUM(EG29:EG31)*7+SUM(EG32:EG34)*6+EG35*25</f>
        <v>1416.3705000000002</v>
      </c>
      <c r="EH12" s="978">
        <f t="shared" ref="EH12:EO12" si="15">SUM(EH26:EH28)*10+SUM(EH29:EH31)*7+SUM(EH32:EH34)*6+EH35*25</f>
        <v>1253.9520000000002</v>
      </c>
      <c r="EI12" s="978">
        <f t="shared" si="15"/>
        <v>999.93150000000014</v>
      </c>
      <c r="EJ12" s="978">
        <f t="shared" si="15"/>
        <v>876.1401000000003</v>
      </c>
      <c r="EK12" s="978">
        <f t="shared" si="15"/>
        <v>803.87257500000021</v>
      </c>
      <c r="EL12" s="978">
        <f t="shared" si="15"/>
        <v>771.50749500000018</v>
      </c>
      <c r="EM12" s="978">
        <f t="shared" si="15"/>
        <v>875.05996050000022</v>
      </c>
      <c r="EN12" s="978">
        <f t="shared" si="15"/>
        <v>980.83572840000033</v>
      </c>
      <c r="EO12" s="978">
        <f t="shared" si="15"/>
        <v>1002.0110067000005</v>
      </c>
      <c r="EP12" s="978">
        <f>SUM(EP26:EP28)*5+SUM(EP29:EP31)*7+SUM(EP32:EP34)*11+EP35*25</f>
        <v>727.41099915000041</v>
      </c>
      <c r="EQ12" s="979">
        <f>SUM(EQ26:EQ28)*5+SUM(EQ29:EQ31)*7+SUM(EQ32:EQ34)*11+EQ35*25</f>
        <v>778.04567512650033</v>
      </c>
      <c r="ES12" s="977">
        <f t="shared" ref="ES12:HD12" si="16">SUM(ES26:ES28)*5+SUM(ES29:ES31)*7+SUM(ES32:ES34)*11+ES35*25</f>
        <v>468.41000000000008</v>
      </c>
      <c r="ET12" s="978">
        <f t="shared" si="16"/>
        <v>387.29250000000008</v>
      </c>
      <c r="EU12" s="978">
        <f t="shared" si="16"/>
        <v>403.54650000000004</v>
      </c>
      <c r="EV12" s="978">
        <f t="shared" si="16"/>
        <v>446.77800000000008</v>
      </c>
      <c r="EW12" s="978">
        <f t="shared" si="16"/>
        <v>505.65240000000006</v>
      </c>
      <c r="EX12" s="978">
        <f t="shared" si="16"/>
        <v>560.48107500000015</v>
      </c>
      <c r="EY12" s="978">
        <f t="shared" si="16"/>
        <v>566.36712000000011</v>
      </c>
      <c r="EZ12" s="978">
        <f t="shared" si="16"/>
        <v>628.63995150000028</v>
      </c>
      <c r="FA12" s="978">
        <f t="shared" si="16"/>
        <v>713.19312405000028</v>
      </c>
      <c r="FB12" s="978">
        <f t="shared" si="16"/>
        <v>752.11109820000024</v>
      </c>
      <c r="FC12" s="978">
        <f t="shared" si="16"/>
        <v>859.9132936350004</v>
      </c>
      <c r="FD12" s="979">
        <f t="shared" si="16"/>
        <v>952.65692775000048</v>
      </c>
      <c r="FF12" s="977">
        <f t="shared" si="16"/>
        <v>550.70000000000005</v>
      </c>
      <c r="FG12" s="978">
        <f t="shared" si="16"/>
        <v>429.39000000000004</v>
      </c>
      <c r="FH12" s="978">
        <f t="shared" si="16"/>
        <v>428.26500000000004</v>
      </c>
      <c r="FI12" s="978">
        <f t="shared" si="16"/>
        <v>443.07000000000005</v>
      </c>
      <c r="FJ12" s="978">
        <f t="shared" si="16"/>
        <v>466.76520000000011</v>
      </c>
      <c r="FK12" s="978">
        <f t="shared" si="16"/>
        <v>498.58231500000011</v>
      </c>
      <c r="FL12" s="978">
        <f t="shared" si="16"/>
        <v>483.69024000000013</v>
      </c>
      <c r="FM12" s="978">
        <f t="shared" si="16"/>
        <v>510.19159950000011</v>
      </c>
      <c r="FN12" s="978">
        <f t="shared" si="16"/>
        <v>556.86238245000027</v>
      </c>
      <c r="FO12" s="978">
        <f t="shared" si="16"/>
        <v>573.98576400000024</v>
      </c>
      <c r="FP12" s="978">
        <f t="shared" si="16"/>
        <v>642.78433543500023</v>
      </c>
      <c r="FQ12" s="979">
        <f t="shared" si="16"/>
        <v>700.48584876600034</v>
      </c>
      <c r="FS12" s="977">
        <f t="shared" si="16"/>
        <v>409.44</v>
      </c>
      <c r="FT12" s="978">
        <f t="shared" si="16"/>
        <v>330.24599999999998</v>
      </c>
      <c r="FU12" s="978">
        <f t="shared" si="16"/>
        <v>303.471</v>
      </c>
      <c r="FV12" s="978">
        <f t="shared" si="16"/>
        <v>281.286</v>
      </c>
      <c r="FW12" s="978">
        <f t="shared" si="16"/>
        <v>287.03070000000002</v>
      </c>
      <c r="FX12" s="978">
        <f t="shared" si="16"/>
        <v>294.35125500000004</v>
      </c>
      <c r="FY12" s="978">
        <f t="shared" si="16"/>
        <v>272.41335000000004</v>
      </c>
      <c r="FZ12" s="978">
        <f t="shared" si="16"/>
        <v>275.01388200000008</v>
      </c>
      <c r="GA12" s="978">
        <f t="shared" si="16"/>
        <v>284.03466795000008</v>
      </c>
      <c r="GB12" s="978">
        <f t="shared" si="16"/>
        <v>277.87446720000014</v>
      </c>
      <c r="GC12" s="978">
        <f t="shared" si="16"/>
        <v>305.66191392000013</v>
      </c>
      <c r="GD12" s="979">
        <f t="shared" si="16"/>
        <v>336.2281053120002</v>
      </c>
      <c r="GF12" s="977">
        <f t="shared" si="16"/>
        <v>210.88000000000002</v>
      </c>
      <c r="GG12" s="978">
        <f t="shared" si="16"/>
        <v>189.792</v>
      </c>
      <c r="GH12" s="978">
        <f t="shared" si="16"/>
        <v>189.792</v>
      </c>
      <c r="GI12" s="978">
        <f t="shared" si="16"/>
        <v>189.792</v>
      </c>
      <c r="GJ12" s="978">
        <f t="shared" si="16"/>
        <v>208.77120000000008</v>
      </c>
      <c r="GK12" s="978">
        <f t="shared" si="16"/>
        <v>229.64832000000001</v>
      </c>
      <c r="GL12" s="978">
        <f t="shared" si="16"/>
        <v>229.64832000000001</v>
      </c>
      <c r="GM12" s="978">
        <f t="shared" si="16"/>
        <v>252.61315200000007</v>
      </c>
      <c r="GN12" s="978">
        <f t="shared" si="16"/>
        <v>277.87446720000014</v>
      </c>
      <c r="GO12" s="978">
        <f t="shared" si="16"/>
        <v>277.87446720000014</v>
      </c>
      <c r="GP12" s="978">
        <f t="shared" si="16"/>
        <v>305.66191392000013</v>
      </c>
      <c r="GQ12" s="979">
        <f t="shared" si="16"/>
        <v>336.2281053120002</v>
      </c>
      <c r="GS12" s="977">
        <f t="shared" si="16"/>
        <v>210.88000000000002</v>
      </c>
      <c r="GT12" s="978">
        <f t="shared" si="16"/>
        <v>189.792</v>
      </c>
      <c r="GU12" s="978">
        <f t="shared" si="16"/>
        <v>189.792</v>
      </c>
      <c r="GV12" s="978">
        <f t="shared" si="16"/>
        <v>189.792</v>
      </c>
      <c r="GW12" s="978">
        <f t="shared" si="16"/>
        <v>208.77120000000008</v>
      </c>
      <c r="GX12" s="978">
        <f t="shared" si="16"/>
        <v>229.64832000000001</v>
      </c>
      <c r="GY12" s="978">
        <f t="shared" si="16"/>
        <v>229.64832000000001</v>
      </c>
      <c r="GZ12" s="978">
        <f t="shared" si="16"/>
        <v>252.61315200000007</v>
      </c>
      <c r="HA12" s="978">
        <f t="shared" si="16"/>
        <v>277.87446720000014</v>
      </c>
      <c r="HB12" s="978">
        <f t="shared" si="16"/>
        <v>277.87446720000014</v>
      </c>
      <c r="HC12" s="978">
        <f t="shared" si="16"/>
        <v>305.66191392000013</v>
      </c>
      <c r="HD12" s="979">
        <f t="shared" si="16"/>
        <v>336.2281053120002</v>
      </c>
    </row>
    <row r="13" spans="1:215" ht="14.25">
      <c r="B13" s="967" t="s">
        <v>123</v>
      </c>
      <c r="C13" s="1007">
        <v>35</v>
      </c>
      <c r="D13" s="976">
        <v>3</v>
      </c>
      <c r="E13" s="1014"/>
      <c r="F13" s="1015">
        <v>7</v>
      </c>
      <c r="G13" s="1011">
        <f t="shared" si="0"/>
        <v>0.2</v>
      </c>
      <c r="H13" s="1016"/>
      <c r="I13" s="31"/>
      <c r="N13" s="914"/>
      <c r="O13" s="933"/>
      <c r="P13" s="961"/>
      <c r="Q13" s="961"/>
      <c r="R13" s="961"/>
      <c r="S13" s="961"/>
      <c r="T13" s="961"/>
      <c r="U13" s="961"/>
      <c r="AA13" s="914"/>
      <c r="AB13" s="933"/>
      <c r="AC13" s="961"/>
      <c r="AD13" s="961"/>
      <c r="AE13" s="961"/>
      <c r="AF13" s="961"/>
      <c r="AG13" s="961"/>
      <c r="AH13" s="961"/>
      <c r="DK13" s="914"/>
      <c r="DL13" s="933"/>
      <c r="DM13" s="982">
        <v>1.1000000000000001</v>
      </c>
      <c r="DN13" s="983">
        <f>DN12*$DM$13</f>
        <v>1590.6000000000001</v>
      </c>
      <c r="DO13" s="984">
        <f>DO12*$DM$13</f>
        <v>1712.804512545807</v>
      </c>
      <c r="DP13" s="984">
        <f>DP12*$DM$13</f>
        <v>1892.0329211258743</v>
      </c>
      <c r="DQ13" s="984">
        <f>DQ12*$DM$13</f>
        <v>2046.6712601893103</v>
      </c>
      <c r="DR13" s="985">
        <f>DR12*$DM$13</f>
        <v>2032.1436780281729</v>
      </c>
      <c r="DT13" s="983">
        <f>DT12*$DM$13</f>
        <v>1590.6000000000001</v>
      </c>
      <c r="DU13" s="984">
        <f>DU12*$DM$13</f>
        <v>1952.6392685975093</v>
      </c>
      <c r="DV13" s="984">
        <f>DV12*$DM$13</f>
        <v>2121.7850194370658</v>
      </c>
      <c r="DW13" s="984">
        <f>DW12*$DM$13</f>
        <v>2362.4629551732578</v>
      </c>
      <c r="DX13" s="985">
        <f>DX12*$DM$13</f>
        <v>2382.6167943305577</v>
      </c>
      <c r="DZ13" s="1598">
        <v>1646</v>
      </c>
      <c r="EA13" s="1599">
        <v>1568</v>
      </c>
      <c r="EB13" s="1599">
        <v>1329</v>
      </c>
      <c r="EC13" s="1599">
        <v>1710</v>
      </c>
      <c r="ED13" s="1611">
        <v>2711</v>
      </c>
      <c r="EF13" s="1598">
        <v>1450</v>
      </c>
      <c r="EG13" s="1599">
        <v>1755</v>
      </c>
      <c r="EH13" s="1599">
        <v>1720</v>
      </c>
      <c r="EI13" s="1599">
        <v>1196</v>
      </c>
      <c r="EJ13" s="1599">
        <v>871</v>
      </c>
      <c r="EK13" s="1599">
        <v>965</v>
      </c>
      <c r="EL13" s="984">
        <f t="shared" ref="EL13:EQ13" si="17">EL12*$DM$13</f>
        <v>848.65824450000025</v>
      </c>
      <c r="EM13" s="984">
        <f t="shared" si="17"/>
        <v>962.56595655000035</v>
      </c>
      <c r="EN13" s="984">
        <f t="shared" si="17"/>
        <v>1078.9193012400006</v>
      </c>
      <c r="EO13" s="984">
        <f t="shared" si="17"/>
        <v>1102.2121073700007</v>
      </c>
      <c r="EP13" s="984">
        <f t="shared" si="17"/>
        <v>800.15209906500047</v>
      </c>
      <c r="EQ13" s="985">
        <f t="shared" si="17"/>
        <v>855.85024263915045</v>
      </c>
      <c r="ES13" s="983">
        <f>ES12*$DM$13</f>
        <v>515.25100000000009</v>
      </c>
      <c r="ET13" s="984">
        <f t="shared" ref="ET13:FD13" si="18">ET12*$DM$13</f>
        <v>426.02175000000011</v>
      </c>
      <c r="EU13" s="984">
        <f t="shared" si="18"/>
        <v>443.90115000000009</v>
      </c>
      <c r="EV13" s="984">
        <f t="shared" si="18"/>
        <v>491.45580000000012</v>
      </c>
      <c r="EW13" s="984">
        <f t="shared" si="18"/>
        <v>556.21764000000007</v>
      </c>
      <c r="EX13" s="984">
        <f t="shared" si="18"/>
        <v>616.52918250000016</v>
      </c>
      <c r="EY13" s="984">
        <f t="shared" si="18"/>
        <v>623.00383200000022</v>
      </c>
      <c r="EZ13" s="984">
        <f t="shared" si="18"/>
        <v>691.50394665000033</v>
      </c>
      <c r="FA13" s="984">
        <f t="shared" si="18"/>
        <v>784.5124364550004</v>
      </c>
      <c r="FB13" s="984">
        <f t="shared" si="18"/>
        <v>827.32220802000029</v>
      </c>
      <c r="FC13" s="984">
        <f t="shared" si="18"/>
        <v>945.90462299850049</v>
      </c>
      <c r="FD13" s="985">
        <f t="shared" si="18"/>
        <v>1047.9226205250006</v>
      </c>
      <c r="FF13" s="983">
        <f>FF12*$DM$13</f>
        <v>605.7700000000001</v>
      </c>
      <c r="FG13" s="984">
        <f t="shared" ref="FG13:FQ13" si="19">FG12*$DM$13</f>
        <v>472.32900000000006</v>
      </c>
      <c r="FH13" s="984">
        <f t="shared" si="19"/>
        <v>471.09150000000011</v>
      </c>
      <c r="FI13" s="984">
        <f t="shared" si="19"/>
        <v>487.37700000000007</v>
      </c>
      <c r="FJ13" s="984">
        <f t="shared" si="19"/>
        <v>513.44172000000015</v>
      </c>
      <c r="FK13" s="984">
        <f t="shared" si="19"/>
        <v>548.44054650000021</v>
      </c>
      <c r="FL13" s="984">
        <f t="shared" si="19"/>
        <v>532.05926400000021</v>
      </c>
      <c r="FM13" s="984">
        <f t="shared" si="19"/>
        <v>561.21075945000018</v>
      </c>
      <c r="FN13" s="984">
        <f t="shared" si="19"/>
        <v>612.5486206950003</v>
      </c>
      <c r="FO13" s="984">
        <f t="shared" si="19"/>
        <v>631.38434040000027</v>
      </c>
      <c r="FP13" s="984">
        <f t="shared" si="19"/>
        <v>707.06276897850034</v>
      </c>
      <c r="FQ13" s="985">
        <f t="shared" si="19"/>
        <v>770.53443364260045</v>
      </c>
      <c r="FS13" s="983">
        <f>FS12*$DM$13</f>
        <v>450.38400000000001</v>
      </c>
      <c r="FT13" s="984">
        <f t="shared" ref="FT13:GD13" si="20">FT12*$DM$13</f>
        <v>363.2706</v>
      </c>
      <c r="FU13" s="984">
        <f t="shared" si="20"/>
        <v>333.81810000000002</v>
      </c>
      <c r="FV13" s="984">
        <f t="shared" si="20"/>
        <v>309.41460000000001</v>
      </c>
      <c r="FW13" s="984">
        <f t="shared" si="20"/>
        <v>315.73377000000005</v>
      </c>
      <c r="FX13" s="984">
        <f t="shared" si="20"/>
        <v>323.78638050000006</v>
      </c>
      <c r="FY13" s="984">
        <f t="shared" si="20"/>
        <v>299.65468500000009</v>
      </c>
      <c r="FZ13" s="984">
        <f t="shared" si="20"/>
        <v>302.51527020000009</v>
      </c>
      <c r="GA13" s="984">
        <f t="shared" si="20"/>
        <v>312.43813474500013</v>
      </c>
      <c r="GB13" s="984">
        <f t="shared" si="20"/>
        <v>305.66191392000019</v>
      </c>
      <c r="GC13" s="984">
        <f t="shared" si="20"/>
        <v>336.2281053120002</v>
      </c>
      <c r="GD13" s="985">
        <f t="shared" si="20"/>
        <v>369.85091584320026</v>
      </c>
      <c r="GF13" s="983">
        <f>GF12*$DM$13</f>
        <v>231.96800000000005</v>
      </c>
      <c r="GG13" s="984">
        <f t="shared" ref="GG13:GQ13" si="21">GG12*$DM$13</f>
        <v>208.77120000000002</v>
      </c>
      <c r="GH13" s="984">
        <f t="shared" si="21"/>
        <v>208.77120000000002</v>
      </c>
      <c r="GI13" s="984">
        <f t="shared" si="21"/>
        <v>208.77120000000002</v>
      </c>
      <c r="GJ13" s="984">
        <f t="shared" si="21"/>
        <v>229.6483200000001</v>
      </c>
      <c r="GK13" s="984">
        <f t="shared" si="21"/>
        <v>252.61315200000004</v>
      </c>
      <c r="GL13" s="984">
        <f t="shared" si="21"/>
        <v>252.61315200000004</v>
      </c>
      <c r="GM13" s="984">
        <f t="shared" si="21"/>
        <v>277.87446720000008</v>
      </c>
      <c r="GN13" s="984">
        <f t="shared" si="21"/>
        <v>305.66191392000019</v>
      </c>
      <c r="GO13" s="984">
        <f t="shared" si="21"/>
        <v>305.66191392000019</v>
      </c>
      <c r="GP13" s="984">
        <f t="shared" si="21"/>
        <v>336.2281053120002</v>
      </c>
      <c r="GQ13" s="985">
        <f t="shared" si="21"/>
        <v>369.85091584320026</v>
      </c>
      <c r="GS13" s="983">
        <f>GS12*$DM$13</f>
        <v>231.96800000000005</v>
      </c>
      <c r="GT13" s="984">
        <f t="shared" ref="GT13:HD13" si="22">GT12*$DM$13</f>
        <v>208.77120000000002</v>
      </c>
      <c r="GU13" s="984">
        <f t="shared" si="22"/>
        <v>208.77120000000002</v>
      </c>
      <c r="GV13" s="984">
        <f t="shared" si="22"/>
        <v>208.77120000000002</v>
      </c>
      <c r="GW13" s="984">
        <f t="shared" si="22"/>
        <v>229.6483200000001</v>
      </c>
      <c r="GX13" s="984">
        <f t="shared" si="22"/>
        <v>252.61315200000004</v>
      </c>
      <c r="GY13" s="984">
        <f t="shared" si="22"/>
        <v>252.61315200000004</v>
      </c>
      <c r="GZ13" s="984">
        <f t="shared" si="22"/>
        <v>277.87446720000008</v>
      </c>
      <c r="HA13" s="984">
        <f t="shared" si="22"/>
        <v>305.66191392000019</v>
      </c>
      <c r="HB13" s="984">
        <f t="shared" si="22"/>
        <v>305.66191392000019</v>
      </c>
      <c r="HC13" s="984">
        <f t="shared" si="22"/>
        <v>336.2281053120002</v>
      </c>
      <c r="HD13" s="985">
        <f t="shared" si="22"/>
        <v>369.85091584320026</v>
      </c>
    </row>
    <row r="14" spans="1:215" ht="14.25">
      <c r="B14" s="967" t="s">
        <v>124</v>
      </c>
      <c r="C14" s="1007">
        <v>40</v>
      </c>
      <c r="D14" s="976">
        <v>3</v>
      </c>
      <c r="E14" s="1014"/>
      <c r="F14" s="1015">
        <v>7</v>
      </c>
      <c r="G14" s="1011">
        <f t="shared" si="0"/>
        <v>0.17499999999999999</v>
      </c>
      <c r="H14" s="1016"/>
      <c r="I14" s="31"/>
      <c r="N14" s="914"/>
      <c r="O14" s="933"/>
      <c r="AA14" s="914"/>
      <c r="AB14" s="933"/>
      <c r="DK14" s="914"/>
      <c r="DL14" s="933"/>
      <c r="DN14" s="954">
        <f>DN13/DN7</f>
        <v>5.1269341678251916E-2</v>
      </c>
      <c r="DO14" s="986">
        <f>DO13/DO7</f>
        <v>2.9988469666231705E-2</v>
      </c>
      <c r="DP14" s="986">
        <f>DP13/DP7</f>
        <v>3.9722255144586383E-2</v>
      </c>
      <c r="DQ14" s="986">
        <f>DQ13/DQ7</f>
        <v>3.794170375798013E-2</v>
      </c>
      <c r="DR14" s="955">
        <f>DR13/DR7</f>
        <v>2.8875502456444449E-2</v>
      </c>
      <c r="DT14" s="954">
        <f>DT13/DT7</f>
        <v>5.1269341678251916E-2</v>
      </c>
      <c r="DU14" s="986">
        <f>DU13/DU7</f>
        <v>3.4187592948592978E-2</v>
      </c>
      <c r="DV14" s="986">
        <f>DV13/DV7</f>
        <v>4.4545781927455765E-2</v>
      </c>
      <c r="DW14" s="986">
        <f>DW13/DW7</f>
        <v>4.3795929188987108E-2</v>
      </c>
      <c r="DX14" s="955">
        <f>DX13/DX7</f>
        <v>3.3855508270072235E-2</v>
      </c>
      <c r="DZ14" s="954">
        <f>DZ13/DZ7</f>
        <v>5.3055033573747419E-2</v>
      </c>
      <c r="EA14" s="986">
        <f>EA13/EA7</f>
        <v>3.2102483575474711E-2</v>
      </c>
      <c r="EB14" s="986">
        <f>EB13/EB7</f>
        <v>3.3988713649946684E-2</v>
      </c>
      <c r="EC14" s="986">
        <f>EC13/EC7</f>
        <v>3.3910475076633709E-2</v>
      </c>
      <c r="ED14" s="955">
        <f>ED13/ED7</f>
        <v>2.870762102305998E-2</v>
      </c>
      <c r="EF14" s="954">
        <f>EF13/EF7</f>
        <v>5.3443315991898735E-2</v>
      </c>
      <c r="EG14" s="986">
        <f t="shared" ref="EG14:EQ14" si="23">EG13/EG7</f>
        <v>4.3095528694509506E-2</v>
      </c>
      <c r="EH14" s="986">
        <f t="shared" si="23"/>
        <v>3.0301923076313245E-2</v>
      </c>
      <c r="EI14" s="986">
        <f t="shared" si="23"/>
        <v>2.3936664226901484E-2</v>
      </c>
      <c r="EJ14" s="986">
        <f t="shared" si="23"/>
        <v>1.6235904448179263E-2</v>
      </c>
      <c r="EK14" s="986">
        <f t="shared" si="23"/>
        <v>1.659970192095879E-2</v>
      </c>
      <c r="EL14" s="986">
        <f t="shared" si="23"/>
        <v>1.443296334183674E-2</v>
      </c>
      <c r="EM14" s="986">
        <f t="shared" si="23"/>
        <v>1.4659853130520871E-2</v>
      </c>
      <c r="EN14" s="986">
        <f t="shared" si="23"/>
        <v>1.4679174166530621E-2</v>
      </c>
      <c r="EO14" s="986">
        <f t="shared" si="23"/>
        <v>1.5840932845214151E-2</v>
      </c>
      <c r="EP14" s="986">
        <f t="shared" si="23"/>
        <v>1.0206021671747455E-2</v>
      </c>
      <c r="EQ14" s="955">
        <f t="shared" si="23"/>
        <v>9.6402134221013364E-3</v>
      </c>
      <c r="ES14" s="954">
        <f>ES13/ES7</f>
        <v>1.5318952378973303E-2</v>
      </c>
      <c r="ET14" s="986">
        <f t="shared" ref="ET14:FD14" si="24">ET13/ET7</f>
        <v>1.3479180255912033E-2</v>
      </c>
      <c r="EU14" s="986">
        <f t="shared" si="24"/>
        <v>6.4082060524941007E-3</v>
      </c>
      <c r="EV14" s="986">
        <f t="shared" si="24"/>
        <v>7.1232541881334245E-3</v>
      </c>
      <c r="EW14" s="986">
        <f t="shared" si="24"/>
        <v>6.9738591918049667E-3</v>
      </c>
      <c r="EX14" s="986">
        <f t="shared" si="24"/>
        <v>7.1336062769050993E-3</v>
      </c>
      <c r="EY14" s="986">
        <f t="shared" si="24"/>
        <v>7.662684692863477E-3</v>
      </c>
      <c r="EZ14" s="986">
        <f t="shared" si="24"/>
        <v>7.6558577314031189E-3</v>
      </c>
      <c r="FA14" s="986">
        <f t="shared" si="24"/>
        <v>7.8563798167201413E-3</v>
      </c>
      <c r="FB14" s="986">
        <f t="shared" si="24"/>
        <v>8.792402111356068E-3</v>
      </c>
      <c r="FC14" s="986">
        <f t="shared" si="24"/>
        <v>9.2074873776262778E-3</v>
      </c>
      <c r="FD14" s="955">
        <f t="shared" si="24"/>
        <v>9.4758900791105608E-3</v>
      </c>
      <c r="FF14" s="954">
        <f>FF13/FF7</f>
        <v>1.3078401994322739E-2</v>
      </c>
      <c r="FG14" s="986">
        <f t="shared" ref="FG14:FQ14" si="25">FG13/FG7</f>
        <v>1.0983072439750987E-2</v>
      </c>
      <c r="FH14" s="986">
        <f t="shared" si="25"/>
        <v>4.8004983993370992E-3</v>
      </c>
      <c r="FI14" s="986">
        <f t="shared" si="25"/>
        <v>5.0610347219204026E-3</v>
      </c>
      <c r="FJ14" s="986">
        <f t="shared" si="25"/>
        <v>4.6179957970414656E-3</v>
      </c>
      <c r="FK14" s="986">
        <f t="shared" si="25"/>
        <v>4.6009902873357855E-3</v>
      </c>
      <c r="FL14" s="986">
        <f t="shared" si="25"/>
        <v>4.6934467875623543E-3</v>
      </c>
      <c r="FM14" s="986">
        <f t="shared" si="25"/>
        <v>4.465102992863285E-3</v>
      </c>
      <c r="FN14" s="986">
        <f t="shared" si="25"/>
        <v>4.4143744738718675E-3</v>
      </c>
      <c r="FO14" s="986">
        <f t="shared" si="25"/>
        <v>4.7663711039577644E-3</v>
      </c>
      <c r="FP14" s="986">
        <f t="shared" si="25"/>
        <v>4.9142520005814967E-3</v>
      </c>
      <c r="FQ14" s="955">
        <f t="shared" si="25"/>
        <v>4.9600290426055149E-3</v>
      </c>
      <c r="FS14" s="954">
        <f>FS13/FS7</f>
        <v>7.3057479966185382E-3</v>
      </c>
      <c r="FT14" s="986">
        <f t="shared" ref="FT14:GD14" si="26">FT13/FT7</f>
        <v>6.3250005739876689E-3</v>
      </c>
      <c r="FU14" s="986">
        <f t="shared" si="26"/>
        <v>2.5837169983856899E-3</v>
      </c>
      <c r="FV14" s="986">
        <f t="shared" si="26"/>
        <v>2.411489865444726E-3</v>
      </c>
      <c r="FW14" s="986">
        <f t="shared" si="26"/>
        <v>2.149888546149498E-3</v>
      </c>
      <c r="FX14" s="986">
        <f t="shared" si="26"/>
        <v>2.0819028234716971E-3</v>
      </c>
      <c r="FY14" s="986">
        <f t="shared" si="26"/>
        <v>2.0192533822535243E-3</v>
      </c>
      <c r="FZ14" s="986">
        <f t="shared" si="26"/>
        <v>1.8550938420484292E-3</v>
      </c>
      <c r="GA14" s="986">
        <f t="shared" si="26"/>
        <v>1.7408518418094733E-3</v>
      </c>
      <c r="GB14" s="986">
        <f t="shared" si="26"/>
        <v>1.7998609643869292E-3</v>
      </c>
      <c r="GC14" s="986">
        <f t="shared" si="26"/>
        <v>1.8409438684785101E-3</v>
      </c>
      <c r="GD14" s="955">
        <f t="shared" si="26"/>
        <v>1.8880370720009169E-3</v>
      </c>
      <c r="GF14" s="954">
        <f>GF13/GF7</f>
        <v>2.9078303894037967E-3</v>
      </c>
      <c r="GG14" s="986">
        <f t="shared" ref="GG14:GQ14" si="27">GG13/GG7</f>
        <v>2.8227248689487328E-3</v>
      </c>
      <c r="GH14" s="986">
        <f t="shared" si="27"/>
        <v>1.2573117144859779E-3</v>
      </c>
      <c r="GI14" s="986">
        <f t="shared" si="27"/>
        <v>1.2645267811948789E-3</v>
      </c>
      <c r="GJ14" s="986">
        <f t="shared" si="27"/>
        <v>1.2154358857016023E-3</v>
      </c>
      <c r="GK14" s="986">
        <f t="shared" si="27"/>
        <v>1.2619955057328956E-3</v>
      </c>
      <c r="GL14" s="986">
        <f t="shared" si="27"/>
        <v>1.3219372442991944E-3</v>
      </c>
      <c r="GM14" s="986">
        <f t="shared" si="27"/>
        <v>1.3092400029240041E-3</v>
      </c>
      <c r="GN14" s="986">
        <f t="shared" si="27"/>
        <v>1.3071876924594362E-3</v>
      </c>
      <c r="GO14" s="986">
        <f t="shared" si="27"/>
        <v>1.3778635412050834E-3</v>
      </c>
      <c r="GP14" s="986">
        <f t="shared" si="27"/>
        <v>1.4002848431311327E-3</v>
      </c>
      <c r="GQ14" s="955">
        <f t="shared" si="27"/>
        <v>1.4326117750247597E-3</v>
      </c>
      <c r="GS14" s="954">
        <f>GS13/GS7</f>
        <v>2.2687871664637351E-3</v>
      </c>
      <c r="GT14" s="986">
        <f t="shared" ref="GT14:HD14" si="28">GT13/GT7</f>
        <v>2.1995726590957106E-3</v>
      </c>
      <c r="GU14" s="986">
        <f t="shared" si="28"/>
        <v>9.7841880398988573E-4</v>
      </c>
      <c r="GV14" s="986">
        <f t="shared" si="28"/>
        <v>9.8159322796360915E-4</v>
      </c>
      <c r="GW14" s="986">
        <f t="shared" si="28"/>
        <v>9.4208226988977536E-4</v>
      </c>
      <c r="GX14" s="986">
        <f t="shared" si="28"/>
        <v>9.7655597352123362E-4</v>
      </c>
      <c r="GY14" s="986">
        <f t="shared" si="28"/>
        <v>1.0213779440204668E-3</v>
      </c>
      <c r="GZ14" s="986">
        <f t="shared" si="28"/>
        <v>1.0121022139687318E-3</v>
      </c>
      <c r="HA14" s="986">
        <f t="shared" si="28"/>
        <v>1.0103072156601792E-3</v>
      </c>
      <c r="HB14" s="986">
        <f t="shared" si="28"/>
        <v>1.053009286163719E-3</v>
      </c>
      <c r="HC14" s="986">
        <f t="shared" si="28"/>
        <v>1.0599553601475368E-3</v>
      </c>
      <c r="HD14" s="955">
        <f t="shared" si="28"/>
        <v>1.0836024206624937E-3</v>
      </c>
    </row>
    <row r="15" spans="1:215" ht="14.25" customHeight="1">
      <c r="B15" s="967" t="s">
        <v>125</v>
      </c>
      <c r="C15" s="1007">
        <v>45</v>
      </c>
      <c r="D15" s="976">
        <v>4</v>
      </c>
      <c r="E15" s="1014"/>
      <c r="F15" s="1015">
        <v>11</v>
      </c>
      <c r="G15" s="1011">
        <f t="shared" si="0"/>
        <v>0.24444444444444444</v>
      </c>
      <c r="H15" s="1016"/>
      <c r="I15" s="31"/>
      <c r="N15" s="1899" t="s">
        <v>1057</v>
      </c>
      <c r="O15" s="940" t="s">
        <v>119</v>
      </c>
      <c r="P15" s="595">
        <v>27</v>
      </c>
      <c r="Q15" s="595">
        <v>18</v>
      </c>
      <c r="R15" s="595">
        <v>13</v>
      </c>
      <c r="S15" s="595">
        <v>46</v>
      </c>
      <c r="T15" s="595">
        <v>47</v>
      </c>
      <c r="U15" s="595">
        <v>106</v>
      </c>
      <c r="V15" s="595">
        <v>100</v>
      </c>
      <c r="AA15" s="1899" t="s">
        <v>1057</v>
      </c>
      <c r="AB15" s="940" t="s">
        <v>119</v>
      </c>
      <c r="DK15" s="1899" t="s">
        <v>1057</v>
      </c>
      <c r="DL15" s="940" t="s">
        <v>119</v>
      </c>
      <c r="DN15" s="952">
        <v>80</v>
      </c>
      <c r="DO15" s="978">
        <f>DN11*0.5+DO11*0.5</f>
        <v>98.5</v>
      </c>
      <c r="DP15" s="978">
        <f>DO11*0.5+DP11*0.5</f>
        <v>116.55000000000001</v>
      </c>
      <c r="DQ15" s="953">
        <f>DP11*0.5+DQ11*0.5</f>
        <v>112.05000000000001</v>
      </c>
      <c r="DR15" s="979">
        <f>DQ11*0.5+DR11*0.5</f>
        <v>108</v>
      </c>
      <c r="DT15" s="952">
        <v>80</v>
      </c>
      <c r="DU15" s="978">
        <f>DT11*0.5+DU11*0.5</f>
        <v>98.5</v>
      </c>
      <c r="DV15" s="978">
        <f>DU11*0.5+DV11*0.5</f>
        <v>116.55000000000001</v>
      </c>
      <c r="DW15" s="978">
        <f>DV11*0.5+DW11*0.5</f>
        <v>112.05000000000001</v>
      </c>
      <c r="DX15" s="979">
        <f>DW11*0.5+DX11*0.5</f>
        <v>108</v>
      </c>
      <c r="DZ15" s="952">
        <v>80</v>
      </c>
      <c r="EA15" s="978">
        <f>DZ11*0.5+EA11*0.5</f>
        <v>96.5</v>
      </c>
      <c r="EB15" s="978">
        <f>EA11*0.5+EB11*0.5</f>
        <v>117</v>
      </c>
      <c r="EC15" s="978">
        <f>EB11*0.5+EC11*0.5</f>
        <v>127.5</v>
      </c>
      <c r="ED15" s="979">
        <f>EC11*0.5+ED11*0.5</f>
        <v>117</v>
      </c>
      <c r="EF15" s="936">
        <f>SUM(P11:V11,DZ11:ED11)-SUM(P15:V15,DZ15:ED15)+EF11*0.5</f>
        <v>66.5</v>
      </c>
      <c r="EG15" s="950">
        <f>EF11*0.5+EG11*0.5</f>
        <v>63.5</v>
      </c>
      <c r="EH15" s="950">
        <f>EG11*0.5+EH11*0.5</f>
        <v>57.5</v>
      </c>
      <c r="EI15" s="950">
        <f t="shared" ref="EI15:EQ15" si="29">EH11*0.5+EI11*0.5</f>
        <v>25</v>
      </c>
      <c r="EJ15" s="950">
        <f t="shared" si="29"/>
        <v>21</v>
      </c>
      <c r="EK15" s="950">
        <f t="shared" si="29"/>
        <v>25.5</v>
      </c>
      <c r="EL15" s="950">
        <f t="shared" si="29"/>
        <v>35.5</v>
      </c>
      <c r="EM15" s="950">
        <f t="shared" si="29"/>
        <v>45</v>
      </c>
      <c r="EN15" s="950">
        <f t="shared" si="29"/>
        <v>45</v>
      </c>
      <c r="EO15" s="950">
        <f t="shared" si="29"/>
        <v>45</v>
      </c>
      <c r="EP15" s="950">
        <f t="shared" si="29"/>
        <v>41</v>
      </c>
      <c r="EQ15" s="937">
        <f t="shared" si="29"/>
        <v>37</v>
      </c>
      <c r="ES15" s="936">
        <f>EQ11*0.5+ES11*0.5</f>
        <v>26.5</v>
      </c>
      <c r="ET15" s="950">
        <f>ES11*0.5+ET11*0.5</f>
        <v>16</v>
      </c>
      <c r="EU15" s="950">
        <f>ET11*0.5+EU11*0.5</f>
        <v>32.5</v>
      </c>
      <c r="EV15" s="950">
        <f t="shared" ref="EV15" si="30">EU11*0.5+EV11*0.5</f>
        <v>49</v>
      </c>
      <c r="EW15" s="950">
        <f t="shared" ref="EW15" si="31">EV11*0.5+EW11*0.5</f>
        <v>47</v>
      </c>
      <c r="EX15" s="950">
        <f t="shared" ref="EX15" si="32">EW11*0.5+EX11*0.5</f>
        <v>45</v>
      </c>
      <c r="EY15" s="950">
        <f t="shared" ref="EY15" si="33">EX11*0.5+EY11*0.5</f>
        <v>45</v>
      </c>
      <c r="EZ15" s="950">
        <f t="shared" ref="EZ15" si="34">EY11*0.5+EZ11*0.5</f>
        <v>45</v>
      </c>
      <c r="FA15" s="950">
        <f t="shared" ref="FA15" si="35">EZ11*0.5+FA11*0.5</f>
        <v>45</v>
      </c>
      <c r="FB15" s="950">
        <f t="shared" ref="FB15" si="36">FA11*0.5+FB11*0.5</f>
        <v>45</v>
      </c>
      <c r="FC15" s="950">
        <f t="shared" ref="FC15" si="37">FB11*0.5+FC11*0.5</f>
        <v>45</v>
      </c>
      <c r="FD15" s="937">
        <f t="shared" ref="FD15" si="38">FC11*0.5+FD11*0.5</f>
        <v>45</v>
      </c>
      <c r="FF15" s="936">
        <f>FD11*0.5+FF11*0.5</f>
        <v>30.5</v>
      </c>
      <c r="FG15" s="950">
        <f>FF11*0.5+FG11*0.5</f>
        <v>16</v>
      </c>
      <c r="FH15" s="950">
        <f>FG11*0.5+FH11*0.5</f>
        <v>32.5</v>
      </c>
      <c r="FI15" s="950">
        <f t="shared" ref="FI15" si="39">FH11*0.5+FI11*0.5</f>
        <v>41</v>
      </c>
      <c r="FJ15" s="950">
        <f t="shared" ref="FJ15" si="40">FI11*0.5+FJ11*0.5</f>
        <v>33</v>
      </c>
      <c r="FK15" s="950">
        <f t="shared" ref="FK15" si="41">FJ11*0.5+FK11*0.5</f>
        <v>33</v>
      </c>
      <c r="FL15" s="950">
        <f t="shared" ref="FL15" si="42">FK11*0.5+FL11*0.5</f>
        <v>33</v>
      </c>
      <c r="FM15" s="950">
        <f t="shared" ref="FM15" si="43">FL11*0.5+FM11*0.5</f>
        <v>33</v>
      </c>
      <c r="FN15" s="950">
        <f t="shared" ref="FN15" si="44">FM11*0.5+FN11*0.5</f>
        <v>33</v>
      </c>
      <c r="FO15" s="950">
        <f t="shared" ref="FO15" si="45">FN11*0.5+FO11*0.5</f>
        <v>33</v>
      </c>
      <c r="FP15" s="950">
        <f t="shared" ref="FP15" si="46">FO11*0.5+FP11*0.5</f>
        <v>33</v>
      </c>
      <c r="FQ15" s="937">
        <f t="shared" ref="FQ15" si="47">FP11*0.5+FQ11*0.5</f>
        <v>33</v>
      </c>
      <c r="FS15" s="936">
        <f>FQ11*0.5+FS11*0.5</f>
        <v>24.5</v>
      </c>
      <c r="FT15" s="950">
        <f>FS11*0.5+FT11*0.5</f>
        <v>16</v>
      </c>
      <c r="FU15" s="950">
        <f>FT11*0.5+FU11*0.5</f>
        <v>16</v>
      </c>
      <c r="FV15" s="950">
        <f t="shared" ref="FV15" si="48">FU11*0.5+FV11*0.5</f>
        <v>16</v>
      </c>
      <c r="FW15" s="950">
        <f t="shared" ref="FW15" si="49">FV11*0.5+FW11*0.5</f>
        <v>16</v>
      </c>
      <c r="FX15" s="950">
        <f t="shared" ref="FX15" si="50">FW11*0.5+FX11*0.5</f>
        <v>16</v>
      </c>
      <c r="FY15" s="950">
        <f t="shared" ref="FY15" si="51">FX11*0.5+FY11*0.5</f>
        <v>16</v>
      </c>
      <c r="FZ15" s="950">
        <f t="shared" ref="FZ15" si="52">FY11*0.5+FZ11*0.5</f>
        <v>16</v>
      </c>
      <c r="GA15" s="950">
        <f t="shared" ref="GA15" si="53">FZ11*0.5+GA11*0.5</f>
        <v>16</v>
      </c>
      <c r="GB15" s="950">
        <f t="shared" ref="GB15" si="54">GA11*0.5+GB11*0.5</f>
        <v>16</v>
      </c>
      <c r="GC15" s="950">
        <f t="shared" ref="GC15" si="55">GB11*0.5+GC11*0.5</f>
        <v>16</v>
      </c>
      <c r="GD15" s="937">
        <f t="shared" ref="GD15" si="56">GC11*0.5+GD11*0.5</f>
        <v>16</v>
      </c>
      <c r="GF15" s="936">
        <f>GD11*0.5+GF11*0.5</f>
        <v>16</v>
      </c>
      <c r="GG15" s="950">
        <f>GF11*0.5+GG11*0.5</f>
        <v>16</v>
      </c>
      <c r="GH15" s="950">
        <f>GG11*0.5+GH11*0.5</f>
        <v>16</v>
      </c>
      <c r="GI15" s="950">
        <f t="shared" ref="GI15" si="57">GH11*0.5+GI11*0.5</f>
        <v>16</v>
      </c>
      <c r="GJ15" s="950">
        <f t="shared" ref="GJ15" si="58">GI11*0.5+GJ11*0.5</f>
        <v>16</v>
      </c>
      <c r="GK15" s="950">
        <f t="shared" ref="GK15" si="59">GJ11*0.5+GK11*0.5</f>
        <v>16</v>
      </c>
      <c r="GL15" s="950">
        <f t="shared" ref="GL15" si="60">GK11*0.5+GL11*0.5</f>
        <v>16</v>
      </c>
      <c r="GM15" s="950">
        <f t="shared" ref="GM15" si="61">GL11*0.5+GM11*0.5</f>
        <v>16</v>
      </c>
      <c r="GN15" s="950">
        <f t="shared" ref="GN15" si="62">GM11*0.5+GN11*0.5</f>
        <v>16</v>
      </c>
      <c r="GO15" s="950">
        <f t="shared" ref="GO15" si="63">GN11*0.5+GO11*0.5</f>
        <v>16</v>
      </c>
      <c r="GP15" s="950">
        <f t="shared" ref="GP15" si="64">GO11*0.5+GP11*0.5</f>
        <v>16</v>
      </c>
      <c r="GQ15" s="937">
        <f t="shared" ref="GQ15" si="65">GP11*0.5+GQ11*0.5</f>
        <v>16</v>
      </c>
      <c r="GS15" s="936">
        <f>GQ11*0.5+GS11*0.5</f>
        <v>16</v>
      </c>
      <c r="GT15" s="950">
        <f>GS11*0.5+GT11*0.5</f>
        <v>16</v>
      </c>
      <c r="GU15" s="950">
        <f>GT11*0.5+GU11*0.5</f>
        <v>16</v>
      </c>
      <c r="GV15" s="950">
        <f t="shared" ref="GV15" si="66">GU11*0.5+GV11*0.5</f>
        <v>16</v>
      </c>
      <c r="GW15" s="950">
        <f t="shared" ref="GW15" si="67">GV11*0.5+GW11*0.5</f>
        <v>16</v>
      </c>
      <c r="GX15" s="950">
        <f t="shared" ref="GX15" si="68">GW11*0.5+GX11*0.5</f>
        <v>16</v>
      </c>
      <c r="GY15" s="950">
        <f t="shared" ref="GY15" si="69">GX11*0.5+GY11*0.5</f>
        <v>16</v>
      </c>
      <c r="GZ15" s="950">
        <f t="shared" ref="GZ15" si="70">GY11*0.5+GZ11*0.5</f>
        <v>16</v>
      </c>
      <c r="HA15" s="950">
        <f t="shared" ref="HA15" si="71">GZ11*0.5+HA11*0.5</f>
        <v>16</v>
      </c>
      <c r="HB15" s="950">
        <f t="shared" ref="HB15" si="72">HA11*0.5+HB11*0.5</f>
        <v>16</v>
      </c>
      <c r="HC15" s="950">
        <f t="shared" ref="HC15" si="73">HB11*0.5+HC11*0.5</f>
        <v>16</v>
      </c>
      <c r="HD15" s="937">
        <f t="shared" ref="HD15" si="74">HC11*0.5+HD11*0.5</f>
        <v>16</v>
      </c>
    </row>
    <row r="16" spans="1:215" ht="14.25">
      <c r="B16" s="967" t="s">
        <v>126</v>
      </c>
      <c r="C16" s="1007">
        <v>45</v>
      </c>
      <c r="D16" s="976">
        <v>4</v>
      </c>
      <c r="E16" s="1014"/>
      <c r="F16" s="1015">
        <v>11</v>
      </c>
      <c r="G16" s="1011">
        <f>F16/C16</f>
        <v>0.24444444444444444</v>
      </c>
      <c r="H16" s="1016"/>
      <c r="I16" s="31"/>
      <c r="N16" s="1899"/>
      <c r="O16" s="940" t="s">
        <v>120</v>
      </c>
      <c r="P16" s="595">
        <v>58</v>
      </c>
      <c r="Q16" s="595">
        <v>27</v>
      </c>
      <c r="R16" s="595">
        <v>18</v>
      </c>
      <c r="S16" s="595">
        <v>13</v>
      </c>
      <c r="T16" s="595">
        <v>45</v>
      </c>
      <c r="U16" s="595">
        <v>47</v>
      </c>
      <c r="V16" s="595">
        <v>105</v>
      </c>
      <c r="AA16" s="1899"/>
      <c r="AB16" s="940" t="s">
        <v>120</v>
      </c>
      <c r="DK16" s="1899"/>
      <c r="DL16" s="940" t="s">
        <v>120</v>
      </c>
      <c r="DN16" s="952">
        <v>100</v>
      </c>
      <c r="DO16" s="953">
        <f>DN15</f>
        <v>80</v>
      </c>
      <c r="DP16" s="978">
        <f>DO15</f>
        <v>98.5</v>
      </c>
      <c r="DQ16" s="978">
        <f>DP15</f>
        <v>116.55000000000001</v>
      </c>
      <c r="DR16" s="979">
        <f>DQ15</f>
        <v>112.05000000000001</v>
      </c>
      <c r="DT16" s="952">
        <v>100</v>
      </c>
      <c r="DU16" s="978">
        <f>DT15</f>
        <v>80</v>
      </c>
      <c r="DV16" s="978">
        <f>DU15</f>
        <v>98.5</v>
      </c>
      <c r="DW16" s="978">
        <f>DV15</f>
        <v>116.55000000000001</v>
      </c>
      <c r="DX16" s="979">
        <f>DW15</f>
        <v>112.05000000000001</v>
      </c>
      <c r="DZ16" s="952">
        <v>100</v>
      </c>
      <c r="EA16" s="978">
        <f t="shared" ref="EA16:ED23" si="75">DZ15</f>
        <v>80</v>
      </c>
      <c r="EB16" s="978">
        <f t="shared" si="75"/>
        <v>96.5</v>
      </c>
      <c r="EC16" s="978">
        <f t="shared" si="75"/>
        <v>117</v>
      </c>
      <c r="ED16" s="979">
        <f t="shared" si="75"/>
        <v>127.5</v>
      </c>
      <c r="EF16" s="936">
        <f>ED15</f>
        <v>117</v>
      </c>
      <c r="EG16" s="950">
        <f t="shared" ref="EG16:EQ23" si="76">EF15</f>
        <v>66.5</v>
      </c>
      <c r="EH16" s="950">
        <f t="shared" si="76"/>
        <v>63.5</v>
      </c>
      <c r="EI16" s="950">
        <f t="shared" si="76"/>
        <v>57.5</v>
      </c>
      <c r="EJ16" s="950">
        <f t="shared" si="76"/>
        <v>25</v>
      </c>
      <c r="EK16" s="950">
        <f t="shared" si="76"/>
        <v>21</v>
      </c>
      <c r="EL16" s="950">
        <f t="shared" si="76"/>
        <v>25.5</v>
      </c>
      <c r="EM16" s="950">
        <f t="shared" si="76"/>
        <v>35.5</v>
      </c>
      <c r="EN16" s="950">
        <f t="shared" si="76"/>
        <v>45</v>
      </c>
      <c r="EO16" s="950">
        <f t="shared" si="76"/>
        <v>45</v>
      </c>
      <c r="EP16" s="950">
        <f t="shared" si="76"/>
        <v>45</v>
      </c>
      <c r="EQ16" s="937">
        <f t="shared" si="76"/>
        <v>41</v>
      </c>
      <c r="ES16" s="936">
        <f>EQ15</f>
        <v>37</v>
      </c>
      <c r="ET16" s="950">
        <f t="shared" ref="ET16:ET23" si="77">ES15</f>
        <v>26.5</v>
      </c>
      <c r="EU16" s="950">
        <f t="shared" ref="EU16" si="78">ET15</f>
        <v>16</v>
      </c>
      <c r="EV16" s="950">
        <f t="shared" ref="EV16:EV23" si="79">EU15</f>
        <v>32.5</v>
      </c>
      <c r="EW16" s="950">
        <f t="shared" ref="EW16:EW23" si="80">EV15</f>
        <v>49</v>
      </c>
      <c r="EX16" s="950">
        <f t="shared" ref="EX16:EX23" si="81">EW15</f>
        <v>47</v>
      </c>
      <c r="EY16" s="950">
        <f t="shared" ref="EY16:EY23" si="82">EX15</f>
        <v>45</v>
      </c>
      <c r="EZ16" s="950">
        <f t="shared" ref="EZ16:EZ23" si="83">EY15</f>
        <v>45</v>
      </c>
      <c r="FA16" s="950">
        <f t="shared" ref="FA16:FA23" si="84">EZ15</f>
        <v>45</v>
      </c>
      <c r="FB16" s="950">
        <f t="shared" ref="FB16:FB23" si="85">FA15</f>
        <v>45</v>
      </c>
      <c r="FC16" s="950">
        <f t="shared" ref="FC16:FC23" si="86">FB15</f>
        <v>45</v>
      </c>
      <c r="FD16" s="937">
        <f t="shared" ref="FD16:FD23" si="87">FC15</f>
        <v>45</v>
      </c>
      <c r="FF16" s="936">
        <f>FD15</f>
        <v>45</v>
      </c>
      <c r="FG16" s="950">
        <f t="shared" ref="FG16:FG23" si="88">FF15</f>
        <v>30.5</v>
      </c>
      <c r="FH16" s="950">
        <f t="shared" ref="FH16" si="89">FG15</f>
        <v>16</v>
      </c>
      <c r="FI16" s="950">
        <f t="shared" ref="FI16:FI23" si="90">FH15</f>
        <v>32.5</v>
      </c>
      <c r="FJ16" s="950">
        <f t="shared" ref="FJ16:FJ23" si="91">FI15</f>
        <v>41</v>
      </c>
      <c r="FK16" s="950">
        <f t="shared" ref="FK16:FK23" si="92">FJ15</f>
        <v>33</v>
      </c>
      <c r="FL16" s="950">
        <f t="shared" ref="FL16:FL23" si="93">FK15</f>
        <v>33</v>
      </c>
      <c r="FM16" s="950">
        <f t="shared" ref="FM16:FM23" si="94">FL15</f>
        <v>33</v>
      </c>
      <c r="FN16" s="950">
        <f t="shared" ref="FN16:FN23" si="95">FM15</f>
        <v>33</v>
      </c>
      <c r="FO16" s="950">
        <f t="shared" ref="FO16:FO23" si="96">FN15</f>
        <v>33</v>
      </c>
      <c r="FP16" s="950">
        <f t="shared" ref="FP16:FP23" si="97">FO15</f>
        <v>33</v>
      </c>
      <c r="FQ16" s="937">
        <f t="shared" ref="FQ16:FQ23" si="98">FP15</f>
        <v>33</v>
      </c>
      <c r="FS16" s="936">
        <f>FQ15</f>
        <v>33</v>
      </c>
      <c r="FT16" s="950">
        <f t="shared" ref="FT16:FT23" si="99">FS15</f>
        <v>24.5</v>
      </c>
      <c r="FU16" s="950">
        <f t="shared" ref="FU16" si="100">FT15</f>
        <v>16</v>
      </c>
      <c r="FV16" s="950">
        <f t="shared" ref="FV16:FV23" si="101">FU15</f>
        <v>16</v>
      </c>
      <c r="FW16" s="950">
        <f t="shared" ref="FW16:FW23" si="102">FV15</f>
        <v>16</v>
      </c>
      <c r="FX16" s="950">
        <f t="shared" ref="FX16:FX23" si="103">FW15</f>
        <v>16</v>
      </c>
      <c r="FY16" s="950">
        <f t="shared" ref="FY16:FY23" si="104">FX15</f>
        <v>16</v>
      </c>
      <c r="FZ16" s="950">
        <f t="shared" ref="FZ16:FZ23" si="105">FY15</f>
        <v>16</v>
      </c>
      <c r="GA16" s="950">
        <f t="shared" ref="GA16:GA23" si="106">FZ15</f>
        <v>16</v>
      </c>
      <c r="GB16" s="950">
        <f t="shared" ref="GB16:GB23" si="107">GA15</f>
        <v>16</v>
      </c>
      <c r="GC16" s="950">
        <f t="shared" ref="GC16:GC23" si="108">GB15</f>
        <v>16</v>
      </c>
      <c r="GD16" s="937">
        <f t="shared" ref="GD16:GD23" si="109">GC15</f>
        <v>16</v>
      </c>
      <c r="GF16" s="936">
        <f>GD15</f>
        <v>16</v>
      </c>
      <c r="GG16" s="950">
        <f t="shared" ref="GG16:GG23" si="110">GF15</f>
        <v>16</v>
      </c>
      <c r="GH16" s="950">
        <f t="shared" ref="GH16" si="111">GG15</f>
        <v>16</v>
      </c>
      <c r="GI16" s="950">
        <f t="shared" ref="GI16:GI23" si="112">GH15</f>
        <v>16</v>
      </c>
      <c r="GJ16" s="950">
        <f t="shared" ref="GJ16:GJ23" si="113">GI15</f>
        <v>16</v>
      </c>
      <c r="GK16" s="950">
        <f t="shared" ref="GK16:GK23" si="114">GJ15</f>
        <v>16</v>
      </c>
      <c r="GL16" s="950">
        <f t="shared" ref="GL16:GL23" si="115">GK15</f>
        <v>16</v>
      </c>
      <c r="GM16" s="950">
        <f t="shared" ref="GM16:GM23" si="116">GL15</f>
        <v>16</v>
      </c>
      <c r="GN16" s="950">
        <f t="shared" ref="GN16:GN23" si="117">GM15</f>
        <v>16</v>
      </c>
      <c r="GO16" s="950">
        <f t="shared" ref="GO16:GO23" si="118">GN15</f>
        <v>16</v>
      </c>
      <c r="GP16" s="950">
        <f t="shared" ref="GP16:GP23" si="119">GO15</f>
        <v>16</v>
      </c>
      <c r="GQ16" s="937">
        <f t="shared" ref="GQ16:GQ23" si="120">GP15</f>
        <v>16</v>
      </c>
      <c r="GS16" s="936">
        <f>GQ15</f>
        <v>16</v>
      </c>
      <c r="GT16" s="950">
        <f t="shared" ref="GT16:GT23" si="121">GS15</f>
        <v>16</v>
      </c>
      <c r="GU16" s="950">
        <f t="shared" ref="GU16" si="122">GT15</f>
        <v>16</v>
      </c>
      <c r="GV16" s="950">
        <f t="shared" ref="GV16:GV23" si="123">GU15</f>
        <v>16</v>
      </c>
      <c r="GW16" s="950">
        <f t="shared" ref="GW16:GW23" si="124">GV15</f>
        <v>16</v>
      </c>
      <c r="GX16" s="950">
        <f t="shared" ref="GX16:GX23" si="125">GW15</f>
        <v>16</v>
      </c>
      <c r="GY16" s="950">
        <f t="shared" ref="GY16:GY23" si="126">GX15</f>
        <v>16</v>
      </c>
      <c r="GZ16" s="950">
        <f t="shared" ref="GZ16:GZ23" si="127">GY15</f>
        <v>16</v>
      </c>
      <c r="HA16" s="950">
        <f t="shared" ref="HA16:HA23" si="128">GZ15</f>
        <v>16</v>
      </c>
      <c r="HB16" s="950">
        <f t="shared" ref="HB16:HB23" si="129">HA15</f>
        <v>16</v>
      </c>
      <c r="HC16" s="950">
        <f t="shared" ref="HC16:HC23" si="130">HB15</f>
        <v>16</v>
      </c>
      <c r="HD16" s="937">
        <f t="shared" ref="HD16:HD23" si="131">HC15</f>
        <v>16</v>
      </c>
    </row>
    <row r="17" spans="2:212" ht="14.25">
      <c r="B17" s="980" t="s">
        <v>127</v>
      </c>
      <c r="C17" s="1017">
        <v>50</v>
      </c>
      <c r="D17" s="981">
        <v>4</v>
      </c>
      <c r="E17" s="1018"/>
      <c r="F17" s="1019">
        <v>11</v>
      </c>
      <c r="G17" s="1011">
        <f>F17/C17</f>
        <v>0.22</v>
      </c>
      <c r="H17" s="1016"/>
      <c r="I17" s="31"/>
      <c r="N17" s="1899"/>
      <c r="O17" s="940" t="s">
        <v>121</v>
      </c>
      <c r="P17" s="595">
        <v>49</v>
      </c>
      <c r="Q17" s="595">
        <v>56</v>
      </c>
      <c r="R17" s="595">
        <v>26</v>
      </c>
      <c r="S17" s="595">
        <v>18</v>
      </c>
      <c r="T17" s="595">
        <v>13</v>
      </c>
      <c r="U17" s="595">
        <v>44</v>
      </c>
      <c r="V17" s="595">
        <v>43</v>
      </c>
      <c r="AA17" s="1899"/>
      <c r="AB17" s="940" t="s">
        <v>121</v>
      </c>
      <c r="DK17" s="1899"/>
      <c r="DL17" s="940" t="s">
        <v>121</v>
      </c>
      <c r="DN17" s="952">
        <v>103</v>
      </c>
      <c r="DO17" s="953">
        <v>101</v>
      </c>
      <c r="DP17" s="953">
        <f>DO16</f>
        <v>80</v>
      </c>
      <c r="DQ17" s="978">
        <f>DP16</f>
        <v>98.5</v>
      </c>
      <c r="DR17" s="979">
        <f>DQ16</f>
        <v>116.55000000000001</v>
      </c>
      <c r="DT17" s="952">
        <v>103</v>
      </c>
      <c r="DU17" s="978">
        <v>101</v>
      </c>
      <c r="DV17" s="978">
        <f>DU16</f>
        <v>80</v>
      </c>
      <c r="DW17" s="978">
        <f>DV16</f>
        <v>98.5</v>
      </c>
      <c r="DX17" s="979">
        <f>DW16</f>
        <v>116.55000000000001</v>
      </c>
      <c r="DZ17" s="952">
        <v>103</v>
      </c>
      <c r="EA17" s="978">
        <f t="shared" si="75"/>
        <v>100</v>
      </c>
      <c r="EB17" s="978">
        <f t="shared" si="75"/>
        <v>80</v>
      </c>
      <c r="EC17" s="978">
        <f t="shared" si="75"/>
        <v>96.5</v>
      </c>
      <c r="ED17" s="979">
        <f t="shared" si="75"/>
        <v>117</v>
      </c>
      <c r="EF17" s="936">
        <f t="shared" ref="EF17:EF23" si="132">ED16</f>
        <v>127.5</v>
      </c>
      <c r="EG17" s="950">
        <f t="shared" si="76"/>
        <v>117</v>
      </c>
      <c r="EH17" s="950">
        <f>EG16</f>
        <v>66.5</v>
      </c>
      <c r="EI17" s="950">
        <f t="shared" si="76"/>
        <v>63.5</v>
      </c>
      <c r="EJ17" s="950">
        <f t="shared" si="76"/>
        <v>57.5</v>
      </c>
      <c r="EK17" s="950">
        <f t="shared" si="76"/>
        <v>25</v>
      </c>
      <c r="EL17" s="950">
        <f t="shared" si="76"/>
        <v>21</v>
      </c>
      <c r="EM17" s="950">
        <f t="shared" si="76"/>
        <v>25.5</v>
      </c>
      <c r="EN17" s="950">
        <f t="shared" si="76"/>
        <v>35.5</v>
      </c>
      <c r="EO17" s="950">
        <f t="shared" si="76"/>
        <v>45</v>
      </c>
      <c r="EP17" s="950">
        <f t="shared" si="76"/>
        <v>45</v>
      </c>
      <c r="EQ17" s="937">
        <f t="shared" si="76"/>
        <v>45</v>
      </c>
      <c r="ES17" s="936">
        <f t="shared" ref="ES17:ES23" si="133">EQ16</f>
        <v>41</v>
      </c>
      <c r="ET17" s="950">
        <f t="shared" si="77"/>
        <v>37</v>
      </c>
      <c r="EU17" s="950">
        <f>ET16</f>
        <v>26.5</v>
      </c>
      <c r="EV17" s="950">
        <f t="shared" si="79"/>
        <v>16</v>
      </c>
      <c r="EW17" s="950">
        <f t="shared" si="80"/>
        <v>32.5</v>
      </c>
      <c r="EX17" s="950">
        <f t="shared" si="81"/>
        <v>49</v>
      </c>
      <c r="EY17" s="950">
        <f t="shared" si="82"/>
        <v>47</v>
      </c>
      <c r="EZ17" s="950">
        <f t="shared" si="83"/>
        <v>45</v>
      </c>
      <c r="FA17" s="950">
        <f t="shared" si="84"/>
        <v>45</v>
      </c>
      <c r="FB17" s="950">
        <f t="shared" si="85"/>
        <v>45</v>
      </c>
      <c r="FC17" s="950">
        <f t="shared" si="86"/>
        <v>45</v>
      </c>
      <c r="FD17" s="937">
        <f t="shared" si="87"/>
        <v>45</v>
      </c>
      <c r="FF17" s="936">
        <f t="shared" ref="FF17:FF23" si="134">FD16</f>
        <v>45</v>
      </c>
      <c r="FG17" s="950">
        <f t="shared" si="88"/>
        <v>45</v>
      </c>
      <c r="FH17" s="950">
        <f>FG16</f>
        <v>30.5</v>
      </c>
      <c r="FI17" s="950">
        <f t="shared" si="90"/>
        <v>16</v>
      </c>
      <c r="FJ17" s="950">
        <f t="shared" si="91"/>
        <v>32.5</v>
      </c>
      <c r="FK17" s="950">
        <f t="shared" si="92"/>
        <v>41</v>
      </c>
      <c r="FL17" s="950">
        <f t="shared" si="93"/>
        <v>33</v>
      </c>
      <c r="FM17" s="950">
        <f t="shared" si="94"/>
        <v>33</v>
      </c>
      <c r="FN17" s="950">
        <f t="shared" si="95"/>
        <v>33</v>
      </c>
      <c r="FO17" s="950">
        <f t="shared" si="96"/>
        <v>33</v>
      </c>
      <c r="FP17" s="950">
        <f t="shared" si="97"/>
        <v>33</v>
      </c>
      <c r="FQ17" s="937">
        <f t="shared" si="98"/>
        <v>33</v>
      </c>
      <c r="FS17" s="936">
        <f t="shared" ref="FS17:FS23" si="135">FQ16</f>
        <v>33</v>
      </c>
      <c r="FT17" s="950">
        <f t="shared" si="99"/>
        <v>33</v>
      </c>
      <c r="FU17" s="950">
        <f>FT16</f>
        <v>24.5</v>
      </c>
      <c r="FV17" s="950">
        <f t="shared" si="101"/>
        <v>16</v>
      </c>
      <c r="FW17" s="950">
        <f t="shared" si="102"/>
        <v>16</v>
      </c>
      <c r="FX17" s="950">
        <f t="shared" si="103"/>
        <v>16</v>
      </c>
      <c r="FY17" s="950">
        <f t="shared" si="104"/>
        <v>16</v>
      </c>
      <c r="FZ17" s="950">
        <f t="shared" si="105"/>
        <v>16</v>
      </c>
      <c r="GA17" s="950">
        <f t="shared" si="106"/>
        <v>16</v>
      </c>
      <c r="GB17" s="950">
        <f t="shared" si="107"/>
        <v>16</v>
      </c>
      <c r="GC17" s="950">
        <f t="shared" si="108"/>
        <v>16</v>
      </c>
      <c r="GD17" s="937">
        <f t="shared" si="109"/>
        <v>16</v>
      </c>
      <c r="GF17" s="936">
        <f t="shared" ref="GF17:GF23" si="136">GD16</f>
        <v>16</v>
      </c>
      <c r="GG17" s="950">
        <f t="shared" si="110"/>
        <v>16</v>
      </c>
      <c r="GH17" s="950">
        <f>GG16</f>
        <v>16</v>
      </c>
      <c r="GI17" s="950">
        <f t="shared" si="112"/>
        <v>16</v>
      </c>
      <c r="GJ17" s="950">
        <f t="shared" si="113"/>
        <v>16</v>
      </c>
      <c r="GK17" s="950">
        <f t="shared" si="114"/>
        <v>16</v>
      </c>
      <c r="GL17" s="950">
        <f t="shared" si="115"/>
        <v>16</v>
      </c>
      <c r="GM17" s="950">
        <f t="shared" si="116"/>
        <v>16</v>
      </c>
      <c r="GN17" s="950">
        <f t="shared" si="117"/>
        <v>16</v>
      </c>
      <c r="GO17" s="950">
        <f t="shared" si="118"/>
        <v>16</v>
      </c>
      <c r="GP17" s="950">
        <f t="shared" si="119"/>
        <v>16</v>
      </c>
      <c r="GQ17" s="937">
        <f t="shared" si="120"/>
        <v>16</v>
      </c>
      <c r="GS17" s="936">
        <f t="shared" ref="GS17:GS23" si="137">GQ16</f>
        <v>16</v>
      </c>
      <c r="GT17" s="950">
        <f t="shared" si="121"/>
        <v>16</v>
      </c>
      <c r="GU17" s="950">
        <f>GT16</f>
        <v>16</v>
      </c>
      <c r="GV17" s="950">
        <f t="shared" si="123"/>
        <v>16</v>
      </c>
      <c r="GW17" s="950">
        <f t="shared" si="124"/>
        <v>16</v>
      </c>
      <c r="GX17" s="950">
        <f t="shared" si="125"/>
        <v>16</v>
      </c>
      <c r="GY17" s="950">
        <f t="shared" si="126"/>
        <v>16</v>
      </c>
      <c r="GZ17" s="950">
        <f t="shared" si="127"/>
        <v>16</v>
      </c>
      <c r="HA17" s="950">
        <f t="shared" si="128"/>
        <v>16</v>
      </c>
      <c r="HB17" s="950">
        <f t="shared" si="129"/>
        <v>16</v>
      </c>
      <c r="HC17" s="950">
        <f t="shared" si="130"/>
        <v>16</v>
      </c>
      <c r="HD17" s="937">
        <f t="shared" si="131"/>
        <v>16</v>
      </c>
    </row>
    <row r="18" spans="2:212" ht="14.25">
      <c r="B18" s="596" t="s">
        <v>1058</v>
      </c>
      <c r="C18" s="1020">
        <f>SUM(C9:C17)</f>
        <v>300</v>
      </c>
      <c r="D18" s="1021">
        <f>SUM(D9:D17)</f>
        <v>24</v>
      </c>
      <c r="F18" s="1022">
        <f>SUM(F9:F17)</f>
        <v>69</v>
      </c>
      <c r="G18" s="1011">
        <f>F18/C18</f>
        <v>0.23</v>
      </c>
      <c r="H18" s="595" t="s">
        <v>1059</v>
      </c>
      <c r="I18" s="31"/>
      <c r="N18" s="1899"/>
      <c r="O18" s="940" t="s">
        <v>122</v>
      </c>
      <c r="P18" s="595">
        <v>65</v>
      </c>
      <c r="Q18" s="595">
        <v>48</v>
      </c>
      <c r="R18" s="595">
        <v>56</v>
      </c>
      <c r="S18" s="595">
        <v>26</v>
      </c>
      <c r="T18" s="595">
        <v>18</v>
      </c>
      <c r="U18" s="595">
        <v>12</v>
      </c>
      <c r="V18" s="595">
        <v>43</v>
      </c>
      <c r="AA18" s="1899"/>
      <c r="AB18" s="940" t="s">
        <v>122</v>
      </c>
      <c r="DK18" s="1899"/>
      <c r="DL18" s="940" t="s">
        <v>122</v>
      </c>
      <c r="DN18" s="952">
        <v>41</v>
      </c>
      <c r="DO18" s="953">
        <v>105</v>
      </c>
      <c r="DP18" s="953">
        <v>101</v>
      </c>
      <c r="DQ18" s="953">
        <f>DP17</f>
        <v>80</v>
      </c>
      <c r="DR18" s="979">
        <f>DQ17</f>
        <v>98.5</v>
      </c>
      <c r="DT18" s="952">
        <v>41</v>
      </c>
      <c r="DU18" s="978">
        <v>105</v>
      </c>
      <c r="DV18" s="978">
        <v>101</v>
      </c>
      <c r="DW18" s="978">
        <f>DV17</f>
        <v>80</v>
      </c>
      <c r="DX18" s="979">
        <f>DW17</f>
        <v>98.5</v>
      </c>
      <c r="DZ18" s="952">
        <v>41</v>
      </c>
      <c r="EA18" s="978">
        <f t="shared" si="75"/>
        <v>103</v>
      </c>
      <c r="EB18" s="978">
        <f t="shared" si="75"/>
        <v>100</v>
      </c>
      <c r="EC18" s="978">
        <f>EB17</f>
        <v>80</v>
      </c>
      <c r="ED18" s="979">
        <f>EC17</f>
        <v>96.5</v>
      </c>
      <c r="EF18" s="936">
        <f t="shared" si="132"/>
        <v>117</v>
      </c>
      <c r="EG18" s="950">
        <f t="shared" si="76"/>
        <v>127.5</v>
      </c>
      <c r="EH18" s="950">
        <f t="shared" si="76"/>
        <v>117</v>
      </c>
      <c r="EI18" s="950">
        <f t="shared" si="76"/>
        <v>66.5</v>
      </c>
      <c r="EJ18" s="950">
        <f t="shared" si="76"/>
        <v>63.5</v>
      </c>
      <c r="EK18" s="950">
        <f t="shared" si="76"/>
        <v>57.5</v>
      </c>
      <c r="EL18" s="950">
        <f t="shared" si="76"/>
        <v>25</v>
      </c>
      <c r="EM18" s="950">
        <f t="shared" si="76"/>
        <v>21</v>
      </c>
      <c r="EN18" s="950">
        <f t="shared" si="76"/>
        <v>25.5</v>
      </c>
      <c r="EO18" s="950">
        <f t="shared" si="76"/>
        <v>35.5</v>
      </c>
      <c r="EP18" s="950">
        <f t="shared" si="76"/>
        <v>45</v>
      </c>
      <c r="EQ18" s="937">
        <f t="shared" si="76"/>
        <v>45</v>
      </c>
      <c r="ES18" s="936">
        <f t="shared" si="133"/>
        <v>45</v>
      </c>
      <c r="ET18" s="950">
        <f t="shared" si="77"/>
        <v>41</v>
      </c>
      <c r="EU18" s="950">
        <f t="shared" ref="EU18:EU23" si="138">ET17</f>
        <v>37</v>
      </c>
      <c r="EV18" s="950">
        <f t="shared" si="79"/>
        <v>26.5</v>
      </c>
      <c r="EW18" s="950">
        <f t="shared" si="80"/>
        <v>16</v>
      </c>
      <c r="EX18" s="950">
        <f t="shared" si="81"/>
        <v>32.5</v>
      </c>
      <c r="EY18" s="950">
        <f t="shared" si="82"/>
        <v>49</v>
      </c>
      <c r="EZ18" s="950">
        <f t="shared" si="83"/>
        <v>47</v>
      </c>
      <c r="FA18" s="950">
        <f t="shared" si="84"/>
        <v>45</v>
      </c>
      <c r="FB18" s="950">
        <f t="shared" si="85"/>
        <v>45</v>
      </c>
      <c r="FC18" s="950">
        <f t="shared" si="86"/>
        <v>45</v>
      </c>
      <c r="FD18" s="937">
        <f t="shared" si="87"/>
        <v>45</v>
      </c>
      <c r="FF18" s="936">
        <f t="shared" si="134"/>
        <v>45</v>
      </c>
      <c r="FG18" s="950">
        <f t="shared" si="88"/>
        <v>45</v>
      </c>
      <c r="FH18" s="950">
        <f t="shared" ref="FH18:FH23" si="139">FG17</f>
        <v>45</v>
      </c>
      <c r="FI18" s="950">
        <f t="shared" si="90"/>
        <v>30.5</v>
      </c>
      <c r="FJ18" s="950">
        <f t="shared" si="91"/>
        <v>16</v>
      </c>
      <c r="FK18" s="950">
        <f t="shared" si="92"/>
        <v>32.5</v>
      </c>
      <c r="FL18" s="950">
        <f t="shared" si="93"/>
        <v>41</v>
      </c>
      <c r="FM18" s="950">
        <f t="shared" si="94"/>
        <v>33</v>
      </c>
      <c r="FN18" s="950">
        <f t="shared" si="95"/>
        <v>33</v>
      </c>
      <c r="FO18" s="950">
        <f t="shared" si="96"/>
        <v>33</v>
      </c>
      <c r="FP18" s="950">
        <f t="shared" si="97"/>
        <v>33</v>
      </c>
      <c r="FQ18" s="937">
        <f t="shared" si="98"/>
        <v>33</v>
      </c>
      <c r="FS18" s="936">
        <f t="shared" si="135"/>
        <v>33</v>
      </c>
      <c r="FT18" s="950">
        <f t="shared" si="99"/>
        <v>33</v>
      </c>
      <c r="FU18" s="950">
        <f t="shared" ref="FU18:FU23" si="140">FT17</f>
        <v>33</v>
      </c>
      <c r="FV18" s="950">
        <f t="shared" si="101"/>
        <v>24.5</v>
      </c>
      <c r="FW18" s="950">
        <f t="shared" si="102"/>
        <v>16</v>
      </c>
      <c r="FX18" s="950">
        <f t="shared" si="103"/>
        <v>16</v>
      </c>
      <c r="FY18" s="950">
        <f t="shared" si="104"/>
        <v>16</v>
      </c>
      <c r="FZ18" s="950">
        <f t="shared" si="105"/>
        <v>16</v>
      </c>
      <c r="GA18" s="950">
        <f t="shared" si="106"/>
        <v>16</v>
      </c>
      <c r="GB18" s="950">
        <f t="shared" si="107"/>
        <v>16</v>
      </c>
      <c r="GC18" s="950">
        <f t="shared" si="108"/>
        <v>16</v>
      </c>
      <c r="GD18" s="937">
        <f t="shared" si="109"/>
        <v>16</v>
      </c>
      <c r="GF18" s="936">
        <f t="shared" si="136"/>
        <v>16</v>
      </c>
      <c r="GG18" s="950">
        <f t="shared" si="110"/>
        <v>16</v>
      </c>
      <c r="GH18" s="950">
        <f t="shared" ref="GH18:GH23" si="141">GG17</f>
        <v>16</v>
      </c>
      <c r="GI18" s="950">
        <f t="shared" si="112"/>
        <v>16</v>
      </c>
      <c r="GJ18" s="950">
        <f t="shared" si="113"/>
        <v>16</v>
      </c>
      <c r="GK18" s="950">
        <f t="shared" si="114"/>
        <v>16</v>
      </c>
      <c r="GL18" s="950">
        <f t="shared" si="115"/>
        <v>16</v>
      </c>
      <c r="GM18" s="950">
        <f t="shared" si="116"/>
        <v>16</v>
      </c>
      <c r="GN18" s="950">
        <f t="shared" si="117"/>
        <v>16</v>
      </c>
      <c r="GO18" s="950">
        <f t="shared" si="118"/>
        <v>16</v>
      </c>
      <c r="GP18" s="950">
        <f t="shared" si="119"/>
        <v>16</v>
      </c>
      <c r="GQ18" s="937">
        <f t="shared" si="120"/>
        <v>16</v>
      </c>
      <c r="GS18" s="936">
        <f t="shared" si="137"/>
        <v>16</v>
      </c>
      <c r="GT18" s="950">
        <f t="shared" si="121"/>
        <v>16</v>
      </c>
      <c r="GU18" s="950">
        <f t="shared" ref="GU18:GU23" si="142">GT17</f>
        <v>16</v>
      </c>
      <c r="GV18" s="950">
        <f t="shared" si="123"/>
        <v>16</v>
      </c>
      <c r="GW18" s="950">
        <f t="shared" si="124"/>
        <v>16</v>
      </c>
      <c r="GX18" s="950">
        <f t="shared" si="125"/>
        <v>16</v>
      </c>
      <c r="GY18" s="950">
        <f t="shared" si="126"/>
        <v>16</v>
      </c>
      <c r="GZ18" s="950">
        <f t="shared" si="127"/>
        <v>16</v>
      </c>
      <c r="HA18" s="950">
        <f t="shared" si="128"/>
        <v>16</v>
      </c>
      <c r="HB18" s="950">
        <f t="shared" si="129"/>
        <v>16</v>
      </c>
      <c r="HC18" s="950">
        <f t="shared" si="130"/>
        <v>16</v>
      </c>
      <c r="HD18" s="937">
        <f t="shared" si="131"/>
        <v>16</v>
      </c>
    </row>
    <row r="19" spans="2:212" ht="14.25">
      <c r="B19" s="596"/>
      <c r="C19" s="1020"/>
      <c r="D19" s="1021"/>
      <c r="F19" s="1022"/>
      <c r="G19" s="1011">
        <f>(F9+F10+F11)/(C9+C10+C11)</f>
        <v>0.27272727272727271</v>
      </c>
      <c r="H19" s="595" t="s">
        <v>1042</v>
      </c>
      <c r="I19" s="31"/>
      <c r="N19" s="1899"/>
      <c r="O19" s="940" t="s">
        <v>123</v>
      </c>
      <c r="P19" s="595">
        <v>43</v>
      </c>
      <c r="Q19" s="595">
        <v>64</v>
      </c>
      <c r="R19" s="595">
        <v>48</v>
      </c>
      <c r="S19" s="595">
        <v>55</v>
      </c>
      <c r="T19" s="595">
        <v>26</v>
      </c>
      <c r="U19" s="595">
        <v>16</v>
      </c>
      <c r="V19" s="595">
        <v>11</v>
      </c>
      <c r="AA19" s="1899"/>
      <c r="AB19" s="940" t="s">
        <v>123</v>
      </c>
      <c r="DK19" s="1899"/>
      <c r="DL19" s="940" t="s">
        <v>123</v>
      </c>
      <c r="DN19" s="952">
        <v>42</v>
      </c>
      <c r="DO19" s="953">
        <v>44</v>
      </c>
      <c r="DP19" s="953">
        <v>105</v>
      </c>
      <c r="DQ19" s="953">
        <v>101</v>
      </c>
      <c r="DR19" s="933">
        <f>DQ18</f>
        <v>80</v>
      </c>
      <c r="DT19" s="952">
        <v>42</v>
      </c>
      <c r="DU19" s="978">
        <v>44</v>
      </c>
      <c r="DV19" s="978">
        <v>105</v>
      </c>
      <c r="DW19" s="978">
        <v>101</v>
      </c>
      <c r="DX19" s="979">
        <f>DW18</f>
        <v>80</v>
      </c>
      <c r="DZ19" s="952">
        <v>42</v>
      </c>
      <c r="EA19" s="978">
        <f t="shared" si="75"/>
        <v>41</v>
      </c>
      <c r="EB19" s="978">
        <f t="shared" si="75"/>
        <v>103</v>
      </c>
      <c r="EC19" s="978">
        <f t="shared" si="75"/>
        <v>100</v>
      </c>
      <c r="ED19" s="979">
        <f>EC18</f>
        <v>80</v>
      </c>
      <c r="EF19" s="936">
        <f t="shared" si="132"/>
        <v>96.5</v>
      </c>
      <c r="EG19" s="950">
        <f t="shared" si="76"/>
        <v>117</v>
      </c>
      <c r="EH19" s="950">
        <f t="shared" si="76"/>
        <v>127.5</v>
      </c>
      <c r="EI19" s="950">
        <f t="shared" si="76"/>
        <v>117</v>
      </c>
      <c r="EJ19" s="950">
        <f t="shared" si="76"/>
        <v>66.5</v>
      </c>
      <c r="EK19" s="950">
        <f t="shared" si="76"/>
        <v>63.5</v>
      </c>
      <c r="EL19" s="950">
        <f t="shared" si="76"/>
        <v>57.5</v>
      </c>
      <c r="EM19" s="950">
        <f t="shared" si="76"/>
        <v>25</v>
      </c>
      <c r="EN19" s="950">
        <f t="shared" si="76"/>
        <v>21</v>
      </c>
      <c r="EO19" s="950">
        <f t="shared" si="76"/>
        <v>25.5</v>
      </c>
      <c r="EP19" s="950">
        <f t="shared" si="76"/>
        <v>35.5</v>
      </c>
      <c r="EQ19" s="937">
        <f t="shared" si="76"/>
        <v>45</v>
      </c>
      <c r="ES19" s="936">
        <f t="shared" si="133"/>
        <v>45</v>
      </c>
      <c r="ET19" s="950">
        <f t="shared" si="77"/>
        <v>45</v>
      </c>
      <c r="EU19" s="950">
        <f t="shared" si="138"/>
        <v>41</v>
      </c>
      <c r="EV19" s="950">
        <f t="shared" si="79"/>
        <v>37</v>
      </c>
      <c r="EW19" s="950">
        <f t="shared" si="80"/>
        <v>26.5</v>
      </c>
      <c r="EX19" s="950">
        <f t="shared" si="81"/>
        <v>16</v>
      </c>
      <c r="EY19" s="950">
        <f t="shared" si="82"/>
        <v>32.5</v>
      </c>
      <c r="EZ19" s="950">
        <f t="shared" si="83"/>
        <v>49</v>
      </c>
      <c r="FA19" s="950">
        <f t="shared" si="84"/>
        <v>47</v>
      </c>
      <c r="FB19" s="950">
        <f t="shared" si="85"/>
        <v>45</v>
      </c>
      <c r="FC19" s="950">
        <f t="shared" si="86"/>
        <v>45</v>
      </c>
      <c r="FD19" s="937">
        <f t="shared" si="87"/>
        <v>45</v>
      </c>
      <c r="FF19" s="936">
        <f t="shared" si="134"/>
        <v>45</v>
      </c>
      <c r="FG19" s="950">
        <f t="shared" si="88"/>
        <v>45</v>
      </c>
      <c r="FH19" s="950">
        <f t="shared" si="139"/>
        <v>45</v>
      </c>
      <c r="FI19" s="950">
        <f t="shared" si="90"/>
        <v>45</v>
      </c>
      <c r="FJ19" s="950">
        <f t="shared" si="91"/>
        <v>30.5</v>
      </c>
      <c r="FK19" s="950">
        <f t="shared" si="92"/>
        <v>16</v>
      </c>
      <c r="FL19" s="950">
        <f t="shared" si="93"/>
        <v>32.5</v>
      </c>
      <c r="FM19" s="950">
        <f t="shared" si="94"/>
        <v>41</v>
      </c>
      <c r="FN19" s="950">
        <f t="shared" si="95"/>
        <v>33</v>
      </c>
      <c r="FO19" s="950">
        <f t="shared" si="96"/>
        <v>33</v>
      </c>
      <c r="FP19" s="950">
        <f t="shared" si="97"/>
        <v>33</v>
      </c>
      <c r="FQ19" s="937">
        <f t="shared" si="98"/>
        <v>33</v>
      </c>
      <c r="FS19" s="936">
        <f t="shared" si="135"/>
        <v>33</v>
      </c>
      <c r="FT19" s="950">
        <f t="shared" si="99"/>
        <v>33</v>
      </c>
      <c r="FU19" s="950">
        <f t="shared" si="140"/>
        <v>33</v>
      </c>
      <c r="FV19" s="950">
        <f t="shared" si="101"/>
        <v>33</v>
      </c>
      <c r="FW19" s="950">
        <f t="shared" si="102"/>
        <v>24.5</v>
      </c>
      <c r="FX19" s="950">
        <f t="shared" si="103"/>
        <v>16</v>
      </c>
      <c r="FY19" s="950">
        <f t="shared" si="104"/>
        <v>16</v>
      </c>
      <c r="FZ19" s="950">
        <f t="shared" si="105"/>
        <v>16</v>
      </c>
      <c r="GA19" s="950">
        <f t="shared" si="106"/>
        <v>16</v>
      </c>
      <c r="GB19" s="950">
        <f t="shared" si="107"/>
        <v>16</v>
      </c>
      <c r="GC19" s="950">
        <f t="shared" si="108"/>
        <v>16</v>
      </c>
      <c r="GD19" s="937">
        <f t="shared" si="109"/>
        <v>16</v>
      </c>
      <c r="GF19" s="936">
        <f t="shared" si="136"/>
        <v>16</v>
      </c>
      <c r="GG19" s="950">
        <f t="shared" si="110"/>
        <v>16</v>
      </c>
      <c r="GH19" s="950">
        <f t="shared" si="141"/>
        <v>16</v>
      </c>
      <c r="GI19" s="950">
        <f t="shared" si="112"/>
        <v>16</v>
      </c>
      <c r="GJ19" s="950">
        <f t="shared" si="113"/>
        <v>16</v>
      </c>
      <c r="GK19" s="950">
        <f t="shared" si="114"/>
        <v>16</v>
      </c>
      <c r="GL19" s="950">
        <f t="shared" si="115"/>
        <v>16</v>
      </c>
      <c r="GM19" s="950">
        <f t="shared" si="116"/>
        <v>16</v>
      </c>
      <c r="GN19" s="950">
        <f t="shared" si="117"/>
        <v>16</v>
      </c>
      <c r="GO19" s="950">
        <f t="shared" si="118"/>
        <v>16</v>
      </c>
      <c r="GP19" s="950">
        <f t="shared" si="119"/>
        <v>16</v>
      </c>
      <c r="GQ19" s="937">
        <f t="shared" si="120"/>
        <v>16</v>
      </c>
      <c r="GS19" s="936">
        <f t="shared" si="137"/>
        <v>16</v>
      </c>
      <c r="GT19" s="950">
        <f t="shared" si="121"/>
        <v>16</v>
      </c>
      <c r="GU19" s="950">
        <f t="shared" si="142"/>
        <v>16</v>
      </c>
      <c r="GV19" s="950">
        <f t="shared" si="123"/>
        <v>16</v>
      </c>
      <c r="GW19" s="950">
        <f t="shared" si="124"/>
        <v>16</v>
      </c>
      <c r="GX19" s="950">
        <f t="shared" si="125"/>
        <v>16</v>
      </c>
      <c r="GY19" s="950">
        <f t="shared" si="126"/>
        <v>16</v>
      </c>
      <c r="GZ19" s="950">
        <f t="shared" si="127"/>
        <v>16</v>
      </c>
      <c r="HA19" s="950">
        <f t="shared" si="128"/>
        <v>16</v>
      </c>
      <c r="HB19" s="950">
        <f t="shared" si="129"/>
        <v>16</v>
      </c>
      <c r="HC19" s="950">
        <f t="shared" si="130"/>
        <v>16</v>
      </c>
      <c r="HD19" s="937">
        <f t="shared" si="131"/>
        <v>16</v>
      </c>
    </row>
    <row r="20" spans="2:212" ht="14.25">
      <c r="C20" s="31"/>
      <c r="D20" s="31"/>
      <c r="E20" s="31"/>
      <c r="F20" s="1023"/>
      <c r="G20" s="1011"/>
      <c r="H20" s="31"/>
      <c r="I20" s="31"/>
      <c r="N20" s="1899"/>
      <c r="O20" s="940" t="s">
        <v>124</v>
      </c>
      <c r="P20" s="595">
        <v>46</v>
      </c>
      <c r="Q20" s="595">
        <v>42</v>
      </c>
      <c r="R20" s="595">
        <v>59</v>
      </c>
      <c r="S20" s="595">
        <v>46</v>
      </c>
      <c r="T20" s="595">
        <v>53</v>
      </c>
      <c r="U20" s="595">
        <v>24</v>
      </c>
      <c r="V20" s="595">
        <v>16</v>
      </c>
      <c r="AA20" s="1899"/>
      <c r="AB20" s="940" t="s">
        <v>124</v>
      </c>
      <c r="DK20" s="1899"/>
      <c r="DL20" s="940" t="s">
        <v>124</v>
      </c>
      <c r="DN20" s="952">
        <v>11</v>
      </c>
      <c r="DO20" s="953">
        <v>43</v>
      </c>
      <c r="DP20" s="953">
        <v>44</v>
      </c>
      <c r="DQ20" s="953">
        <v>105</v>
      </c>
      <c r="DR20" s="933">
        <v>101</v>
      </c>
      <c r="DT20" s="952">
        <v>11</v>
      </c>
      <c r="DU20" s="978">
        <v>43</v>
      </c>
      <c r="DV20" s="978">
        <v>44</v>
      </c>
      <c r="DW20" s="978">
        <v>105</v>
      </c>
      <c r="DX20" s="979">
        <v>101</v>
      </c>
      <c r="DZ20" s="952">
        <v>11</v>
      </c>
      <c r="EA20" s="978">
        <f t="shared" si="75"/>
        <v>42</v>
      </c>
      <c r="EB20" s="978">
        <f t="shared" si="75"/>
        <v>41</v>
      </c>
      <c r="EC20" s="978">
        <f t="shared" si="75"/>
        <v>103</v>
      </c>
      <c r="ED20" s="979">
        <f t="shared" si="75"/>
        <v>100</v>
      </c>
      <c r="EF20" s="936">
        <f t="shared" si="132"/>
        <v>80</v>
      </c>
      <c r="EG20" s="950">
        <f t="shared" si="76"/>
        <v>96.5</v>
      </c>
      <c r="EH20" s="950">
        <f t="shared" si="76"/>
        <v>117</v>
      </c>
      <c r="EI20" s="950">
        <f t="shared" si="76"/>
        <v>127.5</v>
      </c>
      <c r="EJ20" s="950">
        <f t="shared" si="76"/>
        <v>117</v>
      </c>
      <c r="EK20" s="950">
        <f t="shared" si="76"/>
        <v>66.5</v>
      </c>
      <c r="EL20" s="950">
        <f t="shared" si="76"/>
        <v>63.5</v>
      </c>
      <c r="EM20" s="950">
        <f t="shared" si="76"/>
        <v>57.5</v>
      </c>
      <c r="EN20" s="950">
        <f t="shared" si="76"/>
        <v>25</v>
      </c>
      <c r="EO20" s="950">
        <f t="shared" si="76"/>
        <v>21</v>
      </c>
      <c r="EP20" s="950">
        <f t="shared" si="76"/>
        <v>25.5</v>
      </c>
      <c r="EQ20" s="937">
        <f t="shared" si="76"/>
        <v>35.5</v>
      </c>
      <c r="ES20" s="936">
        <f t="shared" si="133"/>
        <v>45</v>
      </c>
      <c r="ET20" s="950">
        <f t="shared" si="77"/>
        <v>45</v>
      </c>
      <c r="EU20" s="950">
        <f t="shared" si="138"/>
        <v>45</v>
      </c>
      <c r="EV20" s="950">
        <f t="shared" si="79"/>
        <v>41</v>
      </c>
      <c r="EW20" s="950">
        <f t="shared" si="80"/>
        <v>37</v>
      </c>
      <c r="EX20" s="950">
        <f t="shared" si="81"/>
        <v>26.5</v>
      </c>
      <c r="EY20" s="950">
        <f t="shared" si="82"/>
        <v>16</v>
      </c>
      <c r="EZ20" s="950">
        <f t="shared" si="83"/>
        <v>32.5</v>
      </c>
      <c r="FA20" s="950">
        <f t="shared" si="84"/>
        <v>49</v>
      </c>
      <c r="FB20" s="950">
        <f t="shared" si="85"/>
        <v>47</v>
      </c>
      <c r="FC20" s="950">
        <f t="shared" si="86"/>
        <v>45</v>
      </c>
      <c r="FD20" s="937">
        <f t="shared" si="87"/>
        <v>45</v>
      </c>
      <c r="FF20" s="936">
        <f t="shared" si="134"/>
        <v>45</v>
      </c>
      <c r="FG20" s="950">
        <f t="shared" si="88"/>
        <v>45</v>
      </c>
      <c r="FH20" s="950">
        <f t="shared" si="139"/>
        <v>45</v>
      </c>
      <c r="FI20" s="950">
        <f t="shared" si="90"/>
        <v>45</v>
      </c>
      <c r="FJ20" s="950">
        <f t="shared" si="91"/>
        <v>45</v>
      </c>
      <c r="FK20" s="950">
        <f t="shared" si="92"/>
        <v>30.5</v>
      </c>
      <c r="FL20" s="950">
        <f t="shared" si="93"/>
        <v>16</v>
      </c>
      <c r="FM20" s="950">
        <f t="shared" si="94"/>
        <v>32.5</v>
      </c>
      <c r="FN20" s="950">
        <f t="shared" si="95"/>
        <v>41</v>
      </c>
      <c r="FO20" s="950">
        <f t="shared" si="96"/>
        <v>33</v>
      </c>
      <c r="FP20" s="950">
        <f t="shared" si="97"/>
        <v>33</v>
      </c>
      <c r="FQ20" s="937">
        <f t="shared" si="98"/>
        <v>33</v>
      </c>
      <c r="FS20" s="936">
        <f t="shared" si="135"/>
        <v>33</v>
      </c>
      <c r="FT20" s="950">
        <f t="shared" si="99"/>
        <v>33</v>
      </c>
      <c r="FU20" s="950">
        <f t="shared" si="140"/>
        <v>33</v>
      </c>
      <c r="FV20" s="950">
        <f t="shared" si="101"/>
        <v>33</v>
      </c>
      <c r="FW20" s="950">
        <f t="shared" si="102"/>
        <v>33</v>
      </c>
      <c r="FX20" s="950">
        <f t="shared" si="103"/>
        <v>24.5</v>
      </c>
      <c r="FY20" s="950">
        <f t="shared" si="104"/>
        <v>16</v>
      </c>
      <c r="FZ20" s="950">
        <f t="shared" si="105"/>
        <v>16</v>
      </c>
      <c r="GA20" s="950">
        <f t="shared" si="106"/>
        <v>16</v>
      </c>
      <c r="GB20" s="950">
        <f t="shared" si="107"/>
        <v>16</v>
      </c>
      <c r="GC20" s="950">
        <f t="shared" si="108"/>
        <v>16</v>
      </c>
      <c r="GD20" s="937">
        <f t="shared" si="109"/>
        <v>16</v>
      </c>
      <c r="GF20" s="936">
        <f t="shared" si="136"/>
        <v>16</v>
      </c>
      <c r="GG20" s="950">
        <f t="shared" si="110"/>
        <v>16</v>
      </c>
      <c r="GH20" s="950">
        <f t="shared" si="141"/>
        <v>16</v>
      </c>
      <c r="GI20" s="950">
        <f t="shared" si="112"/>
        <v>16</v>
      </c>
      <c r="GJ20" s="950">
        <f t="shared" si="113"/>
        <v>16</v>
      </c>
      <c r="GK20" s="950">
        <f t="shared" si="114"/>
        <v>16</v>
      </c>
      <c r="GL20" s="950">
        <f t="shared" si="115"/>
        <v>16</v>
      </c>
      <c r="GM20" s="950">
        <f t="shared" si="116"/>
        <v>16</v>
      </c>
      <c r="GN20" s="950">
        <f t="shared" si="117"/>
        <v>16</v>
      </c>
      <c r="GO20" s="950">
        <f t="shared" si="118"/>
        <v>16</v>
      </c>
      <c r="GP20" s="950">
        <f t="shared" si="119"/>
        <v>16</v>
      </c>
      <c r="GQ20" s="937">
        <f t="shared" si="120"/>
        <v>16</v>
      </c>
      <c r="GS20" s="936">
        <f t="shared" si="137"/>
        <v>16</v>
      </c>
      <c r="GT20" s="950">
        <f t="shared" si="121"/>
        <v>16</v>
      </c>
      <c r="GU20" s="950">
        <f t="shared" si="142"/>
        <v>16</v>
      </c>
      <c r="GV20" s="950">
        <f t="shared" si="123"/>
        <v>16</v>
      </c>
      <c r="GW20" s="950">
        <f t="shared" si="124"/>
        <v>16</v>
      </c>
      <c r="GX20" s="950">
        <f t="shared" si="125"/>
        <v>16</v>
      </c>
      <c r="GY20" s="950">
        <f t="shared" si="126"/>
        <v>16</v>
      </c>
      <c r="GZ20" s="950">
        <f t="shared" si="127"/>
        <v>16</v>
      </c>
      <c r="HA20" s="950">
        <f t="shared" si="128"/>
        <v>16</v>
      </c>
      <c r="HB20" s="950">
        <f t="shared" si="129"/>
        <v>16</v>
      </c>
      <c r="HC20" s="950">
        <f t="shared" si="130"/>
        <v>16</v>
      </c>
      <c r="HD20" s="937">
        <f t="shared" si="131"/>
        <v>16</v>
      </c>
    </row>
    <row r="21" spans="2:212" ht="14.25">
      <c r="B21" s="941" t="s">
        <v>1060</v>
      </c>
      <c r="C21" s="31"/>
      <c r="D21" s="31"/>
      <c r="E21" s="31"/>
      <c r="G21" s="1024"/>
      <c r="H21" s="31"/>
      <c r="I21" s="31"/>
      <c r="N21" s="1899"/>
      <c r="O21" s="940" t="s">
        <v>125</v>
      </c>
      <c r="P21" s="595">
        <v>25</v>
      </c>
      <c r="Q21" s="595">
        <v>33</v>
      </c>
      <c r="R21" s="595">
        <v>39</v>
      </c>
      <c r="S21" s="595">
        <v>51</v>
      </c>
      <c r="T21" s="595">
        <v>39</v>
      </c>
      <c r="U21" s="595">
        <v>31</v>
      </c>
      <c r="V21" s="595">
        <v>17</v>
      </c>
      <c r="AA21" s="1899"/>
      <c r="AB21" s="940" t="s">
        <v>125</v>
      </c>
      <c r="DK21" s="1899"/>
      <c r="DL21" s="940" t="s">
        <v>125</v>
      </c>
      <c r="DN21" s="952">
        <v>9</v>
      </c>
      <c r="DO21" s="953">
        <v>11</v>
      </c>
      <c r="DP21" s="953">
        <v>43</v>
      </c>
      <c r="DQ21" s="953">
        <v>44</v>
      </c>
      <c r="DR21" s="933">
        <v>105</v>
      </c>
      <c r="DT21" s="952">
        <v>9</v>
      </c>
      <c r="DU21" s="978">
        <v>11</v>
      </c>
      <c r="DV21" s="978">
        <v>43</v>
      </c>
      <c r="DW21" s="978">
        <v>44</v>
      </c>
      <c r="DX21" s="979">
        <v>105</v>
      </c>
      <c r="DZ21" s="952">
        <v>9</v>
      </c>
      <c r="EA21" s="978">
        <f t="shared" si="75"/>
        <v>11</v>
      </c>
      <c r="EB21" s="978">
        <f t="shared" si="75"/>
        <v>42</v>
      </c>
      <c r="EC21" s="978">
        <f t="shared" si="75"/>
        <v>41</v>
      </c>
      <c r="ED21" s="979">
        <f t="shared" si="75"/>
        <v>103</v>
      </c>
      <c r="EF21" s="936">
        <f t="shared" si="132"/>
        <v>100</v>
      </c>
      <c r="EG21" s="950">
        <f t="shared" si="76"/>
        <v>80</v>
      </c>
      <c r="EH21" s="950">
        <f t="shared" si="76"/>
        <v>96.5</v>
      </c>
      <c r="EI21" s="950">
        <f t="shared" si="76"/>
        <v>117</v>
      </c>
      <c r="EJ21" s="950">
        <f t="shared" si="76"/>
        <v>127.5</v>
      </c>
      <c r="EK21" s="950">
        <f t="shared" si="76"/>
        <v>117</v>
      </c>
      <c r="EL21" s="950">
        <f t="shared" si="76"/>
        <v>66.5</v>
      </c>
      <c r="EM21" s="950">
        <f t="shared" si="76"/>
        <v>63.5</v>
      </c>
      <c r="EN21" s="950">
        <f t="shared" si="76"/>
        <v>57.5</v>
      </c>
      <c r="EO21" s="950">
        <f t="shared" si="76"/>
        <v>25</v>
      </c>
      <c r="EP21" s="950">
        <f t="shared" si="76"/>
        <v>21</v>
      </c>
      <c r="EQ21" s="937">
        <f t="shared" si="76"/>
        <v>25.5</v>
      </c>
      <c r="ES21" s="936">
        <f t="shared" si="133"/>
        <v>35.5</v>
      </c>
      <c r="ET21" s="950">
        <f t="shared" si="77"/>
        <v>45</v>
      </c>
      <c r="EU21" s="950">
        <f t="shared" si="138"/>
        <v>45</v>
      </c>
      <c r="EV21" s="950">
        <f t="shared" si="79"/>
        <v>45</v>
      </c>
      <c r="EW21" s="950">
        <f t="shared" si="80"/>
        <v>41</v>
      </c>
      <c r="EX21" s="950">
        <f t="shared" si="81"/>
        <v>37</v>
      </c>
      <c r="EY21" s="950">
        <f t="shared" si="82"/>
        <v>26.5</v>
      </c>
      <c r="EZ21" s="950">
        <f t="shared" si="83"/>
        <v>16</v>
      </c>
      <c r="FA21" s="950">
        <f t="shared" si="84"/>
        <v>32.5</v>
      </c>
      <c r="FB21" s="950">
        <f t="shared" si="85"/>
        <v>49</v>
      </c>
      <c r="FC21" s="950">
        <f t="shared" si="86"/>
        <v>47</v>
      </c>
      <c r="FD21" s="937">
        <f t="shared" si="87"/>
        <v>45</v>
      </c>
      <c r="FF21" s="936">
        <f t="shared" si="134"/>
        <v>45</v>
      </c>
      <c r="FG21" s="950">
        <f t="shared" si="88"/>
        <v>45</v>
      </c>
      <c r="FH21" s="950">
        <f t="shared" si="139"/>
        <v>45</v>
      </c>
      <c r="FI21" s="950">
        <f t="shared" si="90"/>
        <v>45</v>
      </c>
      <c r="FJ21" s="950">
        <f t="shared" si="91"/>
        <v>45</v>
      </c>
      <c r="FK21" s="950">
        <f t="shared" si="92"/>
        <v>45</v>
      </c>
      <c r="FL21" s="950">
        <f t="shared" si="93"/>
        <v>30.5</v>
      </c>
      <c r="FM21" s="950">
        <f t="shared" si="94"/>
        <v>16</v>
      </c>
      <c r="FN21" s="950">
        <f t="shared" si="95"/>
        <v>32.5</v>
      </c>
      <c r="FO21" s="950">
        <f t="shared" si="96"/>
        <v>41</v>
      </c>
      <c r="FP21" s="950">
        <f t="shared" si="97"/>
        <v>33</v>
      </c>
      <c r="FQ21" s="937">
        <f t="shared" si="98"/>
        <v>33</v>
      </c>
      <c r="FS21" s="936">
        <f t="shared" si="135"/>
        <v>33</v>
      </c>
      <c r="FT21" s="950">
        <f t="shared" si="99"/>
        <v>33</v>
      </c>
      <c r="FU21" s="950">
        <f t="shared" si="140"/>
        <v>33</v>
      </c>
      <c r="FV21" s="950">
        <f t="shared" si="101"/>
        <v>33</v>
      </c>
      <c r="FW21" s="950">
        <f t="shared" si="102"/>
        <v>33</v>
      </c>
      <c r="FX21" s="950">
        <f t="shared" si="103"/>
        <v>33</v>
      </c>
      <c r="FY21" s="950">
        <f t="shared" si="104"/>
        <v>24.5</v>
      </c>
      <c r="FZ21" s="950">
        <f t="shared" si="105"/>
        <v>16</v>
      </c>
      <c r="GA21" s="950">
        <f t="shared" si="106"/>
        <v>16</v>
      </c>
      <c r="GB21" s="950">
        <f t="shared" si="107"/>
        <v>16</v>
      </c>
      <c r="GC21" s="950">
        <f t="shared" si="108"/>
        <v>16</v>
      </c>
      <c r="GD21" s="937">
        <f t="shared" si="109"/>
        <v>16</v>
      </c>
      <c r="GF21" s="936">
        <f t="shared" si="136"/>
        <v>16</v>
      </c>
      <c r="GG21" s="950">
        <f t="shared" si="110"/>
        <v>16</v>
      </c>
      <c r="GH21" s="950">
        <f t="shared" si="141"/>
        <v>16</v>
      </c>
      <c r="GI21" s="950">
        <f t="shared" si="112"/>
        <v>16</v>
      </c>
      <c r="GJ21" s="950">
        <f t="shared" si="113"/>
        <v>16</v>
      </c>
      <c r="GK21" s="950">
        <f t="shared" si="114"/>
        <v>16</v>
      </c>
      <c r="GL21" s="950">
        <f t="shared" si="115"/>
        <v>16</v>
      </c>
      <c r="GM21" s="950">
        <f t="shared" si="116"/>
        <v>16</v>
      </c>
      <c r="GN21" s="950">
        <f t="shared" si="117"/>
        <v>16</v>
      </c>
      <c r="GO21" s="950">
        <f t="shared" si="118"/>
        <v>16</v>
      </c>
      <c r="GP21" s="950">
        <f t="shared" si="119"/>
        <v>16</v>
      </c>
      <c r="GQ21" s="937">
        <f t="shared" si="120"/>
        <v>16</v>
      </c>
      <c r="GS21" s="936">
        <f t="shared" si="137"/>
        <v>16</v>
      </c>
      <c r="GT21" s="950">
        <f t="shared" si="121"/>
        <v>16</v>
      </c>
      <c r="GU21" s="950">
        <f t="shared" si="142"/>
        <v>16</v>
      </c>
      <c r="GV21" s="950">
        <f t="shared" si="123"/>
        <v>16</v>
      </c>
      <c r="GW21" s="950">
        <f t="shared" si="124"/>
        <v>16</v>
      </c>
      <c r="GX21" s="950">
        <f t="shared" si="125"/>
        <v>16</v>
      </c>
      <c r="GY21" s="950">
        <f t="shared" si="126"/>
        <v>16</v>
      </c>
      <c r="GZ21" s="950">
        <f t="shared" si="127"/>
        <v>16</v>
      </c>
      <c r="HA21" s="950">
        <f t="shared" si="128"/>
        <v>16</v>
      </c>
      <c r="HB21" s="950">
        <f t="shared" si="129"/>
        <v>16</v>
      </c>
      <c r="HC21" s="950">
        <f t="shared" si="130"/>
        <v>16</v>
      </c>
      <c r="HD21" s="937">
        <f t="shared" si="131"/>
        <v>16</v>
      </c>
    </row>
    <row r="22" spans="2:212" ht="14.25" customHeight="1">
      <c r="B22" s="941" t="s">
        <v>129</v>
      </c>
      <c r="C22" s="32"/>
      <c r="D22" s="32"/>
      <c r="E22" s="32"/>
      <c r="F22" s="32"/>
      <c r="G22" s="1025"/>
      <c r="H22" s="32"/>
      <c r="I22" s="31"/>
      <c r="N22" s="1899"/>
      <c r="O22" s="940" t="s">
        <v>126</v>
      </c>
      <c r="P22" s="595">
        <v>43</v>
      </c>
      <c r="Q22" s="595">
        <v>25</v>
      </c>
      <c r="R22" s="595">
        <v>32</v>
      </c>
      <c r="S22" s="595">
        <v>39</v>
      </c>
      <c r="T22" s="595">
        <v>48</v>
      </c>
      <c r="U22" s="595">
        <v>36</v>
      </c>
      <c r="V22" s="595">
        <v>29</v>
      </c>
      <c r="AA22" s="1899"/>
      <c r="AB22" s="940" t="s">
        <v>126</v>
      </c>
      <c r="DK22" s="1899"/>
      <c r="DL22" s="940" t="s">
        <v>126</v>
      </c>
      <c r="DN22" s="977">
        <v>17</v>
      </c>
      <c r="DO22" s="978">
        <v>16</v>
      </c>
      <c r="DP22" s="978">
        <v>11</v>
      </c>
      <c r="DQ22" s="978">
        <v>43</v>
      </c>
      <c r="DR22" s="979">
        <v>44</v>
      </c>
      <c r="DT22" s="977">
        <v>17</v>
      </c>
      <c r="DU22" s="978">
        <v>16</v>
      </c>
      <c r="DV22" s="978">
        <v>11</v>
      </c>
      <c r="DW22" s="978">
        <v>43</v>
      </c>
      <c r="DX22" s="979">
        <v>44</v>
      </c>
      <c r="DZ22" s="977">
        <v>17</v>
      </c>
      <c r="EA22" s="978">
        <f t="shared" si="75"/>
        <v>9</v>
      </c>
      <c r="EB22" s="978">
        <f t="shared" si="75"/>
        <v>11</v>
      </c>
      <c r="EC22" s="978">
        <f t="shared" si="75"/>
        <v>42</v>
      </c>
      <c r="ED22" s="979">
        <f t="shared" si="75"/>
        <v>41</v>
      </c>
      <c r="EF22" s="936">
        <f t="shared" si="132"/>
        <v>103</v>
      </c>
      <c r="EG22" s="950">
        <f t="shared" si="76"/>
        <v>100</v>
      </c>
      <c r="EH22" s="950">
        <f t="shared" si="76"/>
        <v>80</v>
      </c>
      <c r="EI22" s="950">
        <f t="shared" si="76"/>
        <v>96.5</v>
      </c>
      <c r="EJ22" s="950">
        <f t="shared" si="76"/>
        <v>117</v>
      </c>
      <c r="EK22" s="950">
        <f t="shared" si="76"/>
        <v>127.5</v>
      </c>
      <c r="EL22" s="950">
        <f t="shared" si="76"/>
        <v>117</v>
      </c>
      <c r="EM22" s="950">
        <f t="shared" si="76"/>
        <v>66.5</v>
      </c>
      <c r="EN22" s="950">
        <f t="shared" si="76"/>
        <v>63.5</v>
      </c>
      <c r="EO22" s="950">
        <f t="shared" si="76"/>
        <v>57.5</v>
      </c>
      <c r="EP22" s="950">
        <f t="shared" si="76"/>
        <v>25</v>
      </c>
      <c r="EQ22" s="937">
        <f t="shared" si="76"/>
        <v>21</v>
      </c>
      <c r="ES22" s="936">
        <f t="shared" si="133"/>
        <v>25.5</v>
      </c>
      <c r="ET22" s="950">
        <f t="shared" si="77"/>
        <v>35.5</v>
      </c>
      <c r="EU22" s="950">
        <f t="shared" si="138"/>
        <v>45</v>
      </c>
      <c r="EV22" s="950">
        <f t="shared" si="79"/>
        <v>45</v>
      </c>
      <c r="EW22" s="950">
        <f t="shared" si="80"/>
        <v>45</v>
      </c>
      <c r="EX22" s="950">
        <f t="shared" si="81"/>
        <v>41</v>
      </c>
      <c r="EY22" s="950">
        <f t="shared" si="82"/>
        <v>37</v>
      </c>
      <c r="EZ22" s="950">
        <f t="shared" si="83"/>
        <v>26.5</v>
      </c>
      <c r="FA22" s="950">
        <f t="shared" si="84"/>
        <v>16</v>
      </c>
      <c r="FB22" s="950">
        <f t="shared" si="85"/>
        <v>32.5</v>
      </c>
      <c r="FC22" s="950">
        <f t="shared" si="86"/>
        <v>49</v>
      </c>
      <c r="FD22" s="937">
        <f t="shared" si="87"/>
        <v>47</v>
      </c>
      <c r="FF22" s="936">
        <f t="shared" si="134"/>
        <v>45</v>
      </c>
      <c r="FG22" s="950">
        <f t="shared" si="88"/>
        <v>45</v>
      </c>
      <c r="FH22" s="950">
        <f t="shared" si="139"/>
        <v>45</v>
      </c>
      <c r="FI22" s="950">
        <f t="shared" si="90"/>
        <v>45</v>
      </c>
      <c r="FJ22" s="950">
        <f t="shared" si="91"/>
        <v>45</v>
      </c>
      <c r="FK22" s="950">
        <f t="shared" si="92"/>
        <v>45</v>
      </c>
      <c r="FL22" s="950">
        <f t="shared" si="93"/>
        <v>45</v>
      </c>
      <c r="FM22" s="950">
        <f t="shared" si="94"/>
        <v>30.5</v>
      </c>
      <c r="FN22" s="950">
        <f t="shared" si="95"/>
        <v>16</v>
      </c>
      <c r="FO22" s="950">
        <f t="shared" si="96"/>
        <v>32.5</v>
      </c>
      <c r="FP22" s="950">
        <f t="shared" si="97"/>
        <v>41</v>
      </c>
      <c r="FQ22" s="937">
        <f t="shared" si="98"/>
        <v>33</v>
      </c>
      <c r="FS22" s="936">
        <f t="shared" si="135"/>
        <v>33</v>
      </c>
      <c r="FT22" s="950">
        <f t="shared" si="99"/>
        <v>33</v>
      </c>
      <c r="FU22" s="950">
        <f t="shared" si="140"/>
        <v>33</v>
      </c>
      <c r="FV22" s="950">
        <f t="shared" si="101"/>
        <v>33</v>
      </c>
      <c r="FW22" s="950">
        <f t="shared" si="102"/>
        <v>33</v>
      </c>
      <c r="FX22" s="950">
        <f t="shared" si="103"/>
        <v>33</v>
      </c>
      <c r="FY22" s="950">
        <f t="shared" si="104"/>
        <v>33</v>
      </c>
      <c r="FZ22" s="950">
        <f t="shared" si="105"/>
        <v>24.5</v>
      </c>
      <c r="GA22" s="950">
        <f t="shared" si="106"/>
        <v>16</v>
      </c>
      <c r="GB22" s="950">
        <f t="shared" si="107"/>
        <v>16</v>
      </c>
      <c r="GC22" s="950">
        <f t="shared" si="108"/>
        <v>16</v>
      </c>
      <c r="GD22" s="937">
        <f t="shared" si="109"/>
        <v>16</v>
      </c>
      <c r="GF22" s="936">
        <f t="shared" si="136"/>
        <v>16</v>
      </c>
      <c r="GG22" s="950">
        <f t="shared" si="110"/>
        <v>16</v>
      </c>
      <c r="GH22" s="950">
        <f t="shared" si="141"/>
        <v>16</v>
      </c>
      <c r="GI22" s="950">
        <f t="shared" si="112"/>
        <v>16</v>
      </c>
      <c r="GJ22" s="950">
        <f t="shared" si="113"/>
        <v>16</v>
      </c>
      <c r="GK22" s="950">
        <f t="shared" si="114"/>
        <v>16</v>
      </c>
      <c r="GL22" s="950">
        <f t="shared" si="115"/>
        <v>16</v>
      </c>
      <c r="GM22" s="950">
        <f t="shared" si="116"/>
        <v>16</v>
      </c>
      <c r="GN22" s="950">
        <f t="shared" si="117"/>
        <v>16</v>
      </c>
      <c r="GO22" s="950">
        <f t="shared" si="118"/>
        <v>16</v>
      </c>
      <c r="GP22" s="950">
        <f t="shared" si="119"/>
        <v>16</v>
      </c>
      <c r="GQ22" s="937">
        <f t="shared" si="120"/>
        <v>16</v>
      </c>
      <c r="GS22" s="936">
        <f t="shared" si="137"/>
        <v>16</v>
      </c>
      <c r="GT22" s="950">
        <f t="shared" si="121"/>
        <v>16</v>
      </c>
      <c r="GU22" s="950">
        <f t="shared" si="142"/>
        <v>16</v>
      </c>
      <c r="GV22" s="950">
        <f t="shared" si="123"/>
        <v>16</v>
      </c>
      <c r="GW22" s="950">
        <f t="shared" si="124"/>
        <v>16</v>
      </c>
      <c r="GX22" s="950">
        <f t="shared" si="125"/>
        <v>16</v>
      </c>
      <c r="GY22" s="950">
        <f t="shared" si="126"/>
        <v>16</v>
      </c>
      <c r="GZ22" s="950">
        <f t="shared" si="127"/>
        <v>16</v>
      </c>
      <c r="HA22" s="950">
        <f t="shared" si="128"/>
        <v>16</v>
      </c>
      <c r="HB22" s="950">
        <f t="shared" si="129"/>
        <v>16</v>
      </c>
      <c r="HC22" s="950">
        <f t="shared" si="130"/>
        <v>16</v>
      </c>
      <c r="HD22" s="937">
        <f t="shared" si="131"/>
        <v>16</v>
      </c>
    </row>
    <row r="23" spans="2:212">
      <c r="B23" s="1026" t="s">
        <v>130</v>
      </c>
      <c r="C23" s="1027"/>
      <c r="D23" s="1027"/>
      <c r="E23" s="1027"/>
      <c r="F23" s="1027"/>
      <c r="G23" s="1027"/>
      <c r="H23" s="1027"/>
      <c r="I23" s="1027"/>
      <c r="N23" s="1899"/>
      <c r="O23" s="940" t="s">
        <v>127</v>
      </c>
      <c r="P23" s="595">
        <v>51</v>
      </c>
      <c r="Q23" s="595">
        <v>42</v>
      </c>
      <c r="R23" s="595">
        <v>25</v>
      </c>
      <c r="S23" s="595">
        <v>32</v>
      </c>
      <c r="T23" s="595">
        <v>36</v>
      </c>
      <c r="U23" s="595">
        <v>43</v>
      </c>
      <c r="V23" s="595">
        <v>34</v>
      </c>
      <c r="AA23" s="1899"/>
      <c r="AB23" s="940" t="s">
        <v>127</v>
      </c>
      <c r="DK23" s="1899"/>
      <c r="DL23" s="940" t="s">
        <v>127</v>
      </c>
      <c r="DN23" s="977">
        <v>29</v>
      </c>
      <c r="DO23" s="978">
        <v>22</v>
      </c>
      <c r="DP23" s="978">
        <v>16</v>
      </c>
      <c r="DQ23" s="978">
        <v>11</v>
      </c>
      <c r="DR23" s="979">
        <v>43</v>
      </c>
      <c r="DT23" s="977">
        <v>29</v>
      </c>
      <c r="DU23" s="978">
        <v>22</v>
      </c>
      <c r="DV23" s="978">
        <v>16</v>
      </c>
      <c r="DW23" s="978">
        <v>11</v>
      </c>
      <c r="DX23" s="979">
        <v>43</v>
      </c>
      <c r="DZ23" s="977">
        <v>29</v>
      </c>
      <c r="EA23" s="978">
        <f t="shared" si="75"/>
        <v>17</v>
      </c>
      <c r="EB23" s="978">
        <f t="shared" si="75"/>
        <v>9</v>
      </c>
      <c r="EC23" s="978">
        <f t="shared" si="75"/>
        <v>11</v>
      </c>
      <c r="ED23" s="979">
        <f t="shared" si="75"/>
        <v>42</v>
      </c>
      <c r="EF23" s="936">
        <f t="shared" si="132"/>
        <v>41</v>
      </c>
      <c r="EG23" s="950">
        <f t="shared" si="76"/>
        <v>103</v>
      </c>
      <c r="EH23" s="950">
        <f t="shared" si="76"/>
        <v>100</v>
      </c>
      <c r="EI23" s="950">
        <f t="shared" si="76"/>
        <v>80</v>
      </c>
      <c r="EJ23" s="950">
        <f t="shared" si="76"/>
        <v>96.5</v>
      </c>
      <c r="EK23" s="950">
        <f t="shared" si="76"/>
        <v>117</v>
      </c>
      <c r="EL23" s="950">
        <f t="shared" si="76"/>
        <v>127.5</v>
      </c>
      <c r="EM23" s="950">
        <f t="shared" si="76"/>
        <v>117</v>
      </c>
      <c r="EN23" s="950">
        <f t="shared" si="76"/>
        <v>66.5</v>
      </c>
      <c r="EO23" s="950">
        <f t="shared" si="76"/>
        <v>63.5</v>
      </c>
      <c r="EP23" s="950">
        <f t="shared" si="76"/>
        <v>57.5</v>
      </c>
      <c r="EQ23" s="937">
        <f t="shared" si="76"/>
        <v>25</v>
      </c>
      <c r="ES23" s="936">
        <f t="shared" si="133"/>
        <v>21</v>
      </c>
      <c r="ET23" s="950">
        <f t="shared" si="77"/>
        <v>25.5</v>
      </c>
      <c r="EU23" s="950">
        <f t="shared" si="138"/>
        <v>35.5</v>
      </c>
      <c r="EV23" s="950">
        <f t="shared" si="79"/>
        <v>45</v>
      </c>
      <c r="EW23" s="950">
        <f t="shared" si="80"/>
        <v>45</v>
      </c>
      <c r="EX23" s="950">
        <f t="shared" si="81"/>
        <v>45</v>
      </c>
      <c r="EY23" s="950">
        <f t="shared" si="82"/>
        <v>41</v>
      </c>
      <c r="EZ23" s="950">
        <f t="shared" si="83"/>
        <v>37</v>
      </c>
      <c r="FA23" s="950">
        <f t="shared" si="84"/>
        <v>26.5</v>
      </c>
      <c r="FB23" s="950">
        <f t="shared" si="85"/>
        <v>16</v>
      </c>
      <c r="FC23" s="950">
        <f t="shared" si="86"/>
        <v>32.5</v>
      </c>
      <c r="FD23" s="937">
        <f t="shared" si="87"/>
        <v>49</v>
      </c>
      <c r="FF23" s="936">
        <f t="shared" si="134"/>
        <v>47</v>
      </c>
      <c r="FG23" s="950">
        <f t="shared" si="88"/>
        <v>45</v>
      </c>
      <c r="FH23" s="950">
        <f t="shared" si="139"/>
        <v>45</v>
      </c>
      <c r="FI23" s="950">
        <f t="shared" si="90"/>
        <v>45</v>
      </c>
      <c r="FJ23" s="950">
        <f t="shared" si="91"/>
        <v>45</v>
      </c>
      <c r="FK23" s="950">
        <f t="shared" si="92"/>
        <v>45</v>
      </c>
      <c r="FL23" s="950">
        <f t="shared" si="93"/>
        <v>45</v>
      </c>
      <c r="FM23" s="950">
        <f t="shared" si="94"/>
        <v>45</v>
      </c>
      <c r="FN23" s="950">
        <f t="shared" si="95"/>
        <v>30.5</v>
      </c>
      <c r="FO23" s="950">
        <f t="shared" si="96"/>
        <v>16</v>
      </c>
      <c r="FP23" s="950">
        <f t="shared" si="97"/>
        <v>32.5</v>
      </c>
      <c r="FQ23" s="937">
        <f t="shared" si="98"/>
        <v>41</v>
      </c>
      <c r="FS23" s="936">
        <f t="shared" si="135"/>
        <v>33</v>
      </c>
      <c r="FT23" s="950">
        <f t="shared" si="99"/>
        <v>33</v>
      </c>
      <c r="FU23" s="950">
        <f t="shared" si="140"/>
        <v>33</v>
      </c>
      <c r="FV23" s="950">
        <f t="shared" si="101"/>
        <v>33</v>
      </c>
      <c r="FW23" s="950">
        <f t="shared" si="102"/>
        <v>33</v>
      </c>
      <c r="FX23" s="950">
        <f t="shared" si="103"/>
        <v>33</v>
      </c>
      <c r="FY23" s="950">
        <f t="shared" si="104"/>
        <v>33</v>
      </c>
      <c r="FZ23" s="950">
        <f t="shared" si="105"/>
        <v>33</v>
      </c>
      <c r="GA23" s="950">
        <f t="shared" si="106"/>
        <v>24.5</v>
      </c>
      <c r="GB23" s="950">
        <f t="shared" si="107"/>
        <v>16</v>
      </c>
      <c r="GC23" s="950">
        <f t="shared" si="108"/>
        <v>16</v>
      </c>
      <c r="GD23" s="937">
        <f t="shared" si="109"/>
        <v>16</v>
      </c>
      <c r="GF23" s="936">
        <f t="shared" si="136"/>
        <v>16</v>
      </c>
      <c r="GG23" s="950">
        <f t="shared" si="110"/>
        <v>16</v>
      </c>
      <c r="GH23" s="950">
        <f t="shared" si="141"/>
        <v>16</v>
      </c>
      <c r="GI23" s="950">
        <f t="shared" si="112"/>
        <v>16</v>
      </c>
      <c r="GJ23" s="950">
        <f t="shared" si="113"/>
        <v>16</v>
      </c>
      <c r="GK23" s="950">
        <f t="shared" si="114"/>
        <v>16</v>
      </c>
      <c r="GL23" s="950">
        <f t="shared" si="115"/>
        <v>16</v>
      </c>
      <c r="GM23" s="950">
        <f t="shared" si="116"/>
        <v>16</v>
      </c>
      <c r="GN23" s="950">
        <f t="shared" si="117"/>
        <v>16</v>
      </c>
      <c r="GO23" s="950">
        <f t="shared" si="118"/>
        <v>16</v>
      </c>
      <c r="GP23" s="950">
        <f t="shared" si="119"/>
        <v>16</v>
      </c>
      <c r="GQ23" s="937">
        <f t="shared" si="120"/>
        <v>16</v>
      </c>
      <c r="GS23" s="936">
        <f t="shared" si="137"/>
        <v>16</v>
      </c>
      <c r="GT23" s="950">
        <f t="shared" si="121"/>
        <v>16</v>
      </c>
      <c r="GU23" s="950">
        <f t="shared" si="142"/>
        <v>16</v>
      </c>
      <c r="GV23" s="950">
        <f t="shared" si="123"/>
        <v>16</v>
      </c>
      <c r="GW23" s="950">
        <f t="shared" si="124"/>
        <v>16</v>
      </c>
      <c r="GX23" s="950">
        <f t="shared" si="125"/>
        <v>16</v>
      </c>
      <c r="GY23" s="950">
        <f t="shared" si="126"/>
        <v>16</v>
      </c>
      <c r="GZ23" s="950">
        <f t="shared" si="127"/>
        <v>16</v>
      </c>
      <c r="HA23" s="950">
        <f t="shared" si="128"/>
        <v>16</v>
      </c>
      <c r="HB23" s="950">
        <f t="shared" si="129"/>
        <v>16</v>
      </c>
      <c r="HC23" s="950">
        <f t="shared" si="130"/>
        <v>16</v>
      </c>
      <c r="HD23" s="937">
        <f t="shared" si="131"/>
        <v>16</v>
      </c>
    </row>
    <row r="24" spans="2:212">
      <c r="B24" s="1028" t="s">
        <v>131</v>
      </c>
      <c r="C24" s="1027"/>
      <c r="D24" s="1027"/>
      <c r="E24" s="1027"/>
      <c r="F24" s="1029"/>
      <c r="G24" s="1027"/>
      <c r="H24" s="1027"/>
      <c r="I24" s="1027"/>
      <c r="N24" s="1030"/>
      <c r="O24" s="940" t="s">
        <v>1061</v>
      </c>
      <c r="AA24" s="1030"/>
      <c r="AB24" s="940" t="s">
        <v>1061</v>
      </c>
      <c r="DK24" s="1431"/>
      <c r="DL24" s="940" t="s">
        <v>1061</v>
      </c>
      <c r="DN24" s="977"/>
      <c r="DO24" s="978"/>
      <c r="DP24" s="978"/>
      <c r="DQ24" s="978"/>
      <c r="DR24" s="979"/>
      <c r="DT24" s="977"/>
      <c r="DU24" s="978"/>
      <c r="DV24" s="978"/>
      <c r="DW24" s="978"/>
      <c r="DX24" s="979"/>
      <c r="DZ24" s="977"/>
      <c r="EA24" s="978"/>
      <c r="EB24" s="978"/>
      <c r="EC24" s="978"/>
      <c r="ED24" s="979"/>
      <c r="EF24" s="977"/>
      <c r="EG24" s="978"/>
      <c r="EH24" s="978"/>
      <c r="EI24" s="978"/>
      <c r="EJ24" s="978"/>
      <c r="EK24" s="978"/>
      <c r="EL24" s="978"/>
      <c r="EM24" s="978"/>
      <c r="EN24" s="978"/>
      <c r="EO24" s="978"/>
      <c r="EP24" s="978"/>
      <c r="EQ24" s="979"/>
      <c r="ES24" s="977"/>
      <c r="ET24" s="978"/>
      <c r="EU24" s="978"/>
      <c r="EV24" s="978"/>
      <c r="EW24" s="978"/>
      <c r="EX24" s="978"/>
      <c r="EY24" s="978"/>
      <c r="EZ24" s="978"/>
      <c r="FA24" s="978"/>
      <c r="FB24" s="978"/>
      <c r="FC24" s="978"/>
      <c r="FD24" s="979"/>
      <c r="FF24" s="977"/>
      <c r="FG24" s="978"/>
      <c r="FH24" s="978"/>
      <c r="FI24" s="978"/>
      <c r="FJ24" s="978"/>
      <c r="FK24" s="978"/>
      <c r="FL24" s="978"/>
      <c r="FM24" s="978"/>
      <c r="FN24" s="978"/>
      <c r="FO24" s="978"/>
      <c r="FP24" s="978"/>
      <c r="FQ24" s="979"/>
      <c r="FS24" s="977"/>
      <c r="FT24" s="978"/>
      <c r="FU24" s="978"/>
      <c r="FV24" s="978"/>
      <c r="FW24" s="978"/>
      <c r="FX24" s="978"/>
      <c r="FY24" s="978"/>
      <c r="FZ24" s="978"/>
      <c r="GA24" s="978"/>
      <c r="GB24" s="978"/>
      <c r="GC24" s="978"/>
      <c r="GD24" s="979"/>
      <c r="GF24" s="977"/>
      <c r="GG24" s="978"/>
      <c r="GH24" s="978"/>
      <c r="GI24" s="978"/>
      <c r="GJ24" s="978"/>
      <c r="GK24" s="978"/>
      <c r="GL24" s="978"/>
      <c r="GM24" s="978"/>
      <c r="GN24" s="978"/>
      <c r="GO24" s="978"/>
      <c r="GP24" s="978"/>
      <c r="GQ24" s="979"/>
      <c r="GS24" s="977"/>
      <c r="GT24" s="978"/>
      <c r="GU24" s="978"/>
      <c r="GV24" s="978"/>
      <c r="GW24" s="978"/>
      <c r="GX24" s="978"/>
      <c r="GY24" s="978"/>
      <c r="GZ24" s="978"/>
      <c r="HA24" s="978"/>
      <c r="HB24" s="978"/>
      <c r="HC24" s="978"/>
      <c r="HD24" s="979"/>
    </row>
    <row r="25" spans="2:212">
      <c r="B25" s="1028" t="s">
        <v>132</v>
      </c>
      <c r="C25" s="1031"/>
      <c r="D25" s="1031"/>
      <c r="E25" s="1031"/>
      <c r="F25" s="1032"/>
      <c r="G25" s="1031"/>
      <c r="H25" s="1031"/>
      <c r="I25" s="1031"/>
      <c r="O25" s="940"/>
      <c r="AB25" s="940"/>
      <c r="AK25" s="939">
        <v>1</v>
      </c>
      <c r="AL25" s="939">
        <v>1.1000000000000001</v>
      </c>
      <c r="AM25" s="939">
        <v>1</v>
      </c>
      <c r="AN25" s="939">
        <v>1.1000000000000001</v>
      </c>
      <c r="AO25" s="939">
        <v>1.1000000000000001</v>
      </c>
      <c r="AP25" s="939">
        <v>1</v>
      </c>
      <c r="AQ25" s="939">
        <v>0.9</v>
      </c>
      <c r="AR25" s="939">
        <v>1</v>
      </c>
      <c r="AS25" s="939">
        <v>1</v>
      </c>
      <c r="AT25" s="939">
        <v>1.1000000000000001</v>
      </c>
      <c r="AU25" s="939">
        <v>1.1000000000000001</v>
      </c>
      <c r="AV25" s="939">
        <v>1</v>
      </c>
      <c r="AW25" s="939">
        <v>1.1000000000000001</v>
      </c>
      <c r="AX25" s="939">
        <v>1.1000000000000001</v>
      </c>
      <c r="AY25" s="939">
        <v>1</v>
      </c>
      <c r="AZ25" s="939">
        <v>1.1000000000000001</v>
      </c>
      <c r="BA25" s="939">
        <v>1.1000000000000001</v>
      </c>
      <c r="BB25" s="939">
        <v>1</v>
      </c>
      <c r="BC25" s="939">
        <v>0.9</v>
      </c>
      <c r="BD25" s="939">
        <v>1</v>
      </c>
      <c r="BE25" s="939">
        <v>1</v>
      </c>
      <c r="BF25" s="939">
        <v>1.1000000000000001</v>
      </c>
      <c r="BG25" s="939">
        <v>1.1000000000000001</v>
      </c>
      <c r="BH25" s="939">
        <v>1</v>
      </c>
      <c r="BI25" s="939">
        <v>1.1000000000000001</v>
      </c>
      <c r="BJ25" s="939">
        <v>1.1000000000000001</v>
      </c>
      <c r="BK25" s="939">
        <v>1</v>
      </c>
      <c r="BL25" s="939">
        <v>1.1000000000000001</v>
      </c>
      <c r="BM25" s="939">
        <v>1.1000000000000001</v>
      </c>
      <c r="BN25" s="939">
        <v>1</v>
      </c>
      <c r="BO25" s="939">
        <v>0.9</v>
      </c>
      <c r="BP25" s="939">
        <v>1</v>
      </c>
      <c r="BQ25" s="939">
        <v>1</v>
      </c>
      <c r="BR25" s="939">
        <v>1.1000000000000001</v>
      </c>
      <c r="BS25" s="939">
        <v>1.1000000000000001</v>
      </c>
      <c r="BT25" s="939">
        <v>1</v>
      </c>
      <c r="BU25" s="939">
        <v>1.1000000000000001</v>
      </c>
      <c r="BV25" s="939">
        <v>1.1000000000000001</v>
      </c>
      <c r="BW25" s="939">
        <v>1</v>
      </c>
      <c r="BX25" s="939">
        <v>1.1000000000000001</v>
      </c>
      <c r="BY25" s="939">
        <v>1.1000000000000001</v>
      </c>
      <c r="BZ25" s="939">
        <v>1</v>
      </c>
      <c r="CA25" s="939">
        <v>0.9</v>
      </c>
      <c r="CB25" s="939">
        <v>1</v>
      </c>
      <c r="CC25" s="939">
        <v>1</v>
      </c>
      <c r="CD25" s="939">
        <v>1.1000000000000001</v>
      </c>
      <c r="CE25" s="939">
        <v>1.1000000000000001</v>
      </c>
      <c r="CF25" s="939">
        <v>1</v>
      </c>
      <c r="CG25" s="939">
        <v>1.1000000000000001</v>
      </c>
      <c r="CH25" s="939">
        <v>1.1000000000000001</v>
      </c>
      <c r="CI25" s="939">
        <v>1</v>
      </c>
      <c r="CJ25" s="939">
        <v>1.1000000000000001</v>
      </c>
      <c r="CK25" s="939">
        <v>1.1000000000000001</v>
      </c>
      <c r="CL25" s="939">
        <v>1</v>
      </c>
      <c r="CM25" s="939">
        <v>0.9</v>
      </c>
      <c r="CN25" s="939">
        <v>1</v>
      </c>
      <c r="CO25" s="939">
        <v>1</v>
      </c>
      <c r="CP25" s="939">
        <v>1.1000000000000001</v>
      </c>
      <c r="CQ25" s="939">
        <v>1.1000000000000001</v>
      </c>
      <c r="CR25" s="939">
        <v>1</v>
      </c>
      <c r="CS25" s="939">
        <v>1.1000000000000001</v>
      </c>
      <c r="CT25" s="939">
        <v>1.1000000000000001</v>
      </c>
      <c r="CU25" s="939">
        <v>1</v>
      </c>
      <c r="CV25" s="939">
        <v>1.1000000000000001</v>
      </c>
      <c r="CW25" s="939">
        <v>1.1000000000000001</v>
      </c>
      <c r="CX25" s="939">
        <v>1</v>
      </c>
      <c r="CY25" s="939">
        <v>0.9</v>
      </c>
      <c r="CZ25" s="939">
        <v>1</v>
      </c>
      <c r="DA25" s="939">
        <v>1</v>
      </c>
      <c r="DB25" s="939">
        <v>1.1000000000000001</v>
      </c>
      <c r="DC25" s="939">
        <v>1.1000000000000001</v>
      </c>
      <c r="DD25" s="939">
        <v>1</v>
      </c>
      <c r="DE25" s="939">
        <v>1.1000000000000001</v>
      </c>
      <c r="DF25" s="939">
        <v>1.1000000000000001</v>
      </c>
      <c r="DG25" s="939">
        <v>1</v>
      </c>
      <c r="DH25" s="939">
        <v>1.1000000000000001</v>
      </c>
      <c r="DI25" s="939">
        <v>1.1000000000000001</v>
      </c>
      <c r="DL25" s="940"/>
      <c r="DN25" s="977"/>
      <c r="DO25" s="978"/>
      <c r="DP25" s="978"/>
      <c r="DQ25" s="978"/>
      <c r="DR25" s="979"/>
      <c r="DT25" s="977"/>
      <c r="DU25" s="978"/>
      <c r="DV25" s="978"/>
      <c r="DW25" s="978"/>
      <c r="DX25" s="979"/>
      <c r="DZ25" s="977"/>
      <c r="EA25" s="978"/>
      <c r="EB25" s="978"/>
      <c r="EC25" s="978"/>
      <c r="ED25" s="979"/>
      <c r="EF25" s="977"/>
      <c r="EG25" s="978"/>
      <c r="EH25" s="978"/>
      <c r="EI25" s="978"/>
      <c r="EJ25" s="978"/>
      <c r="EK25" s="978"/>
      <c r="EL25" s="978"/>
      <c r="EM25" s="978"/>
      <c r="EN25" s="978"/>
      <c r="EO25" s="978"/>
      <c r="EP25" s="978"/>
      <c r="EQ25" s="979"/>
      <c r="ES25" s="977"/>
      <c r="ET25" s="978"/>
      <c r="EU25" s="978"/>
      <c r="EV25" s="978"/>
      <c r="EW25" s="978"/>
      <c r="EX25" s="978"/>
      <c r="EY25" s="978"/>
      <c r="EZ25" s="978"/>
      <c r="FA25" s="978"/>
      <c r="FB25" s="978"/>
      <c r="FC25" s="978"/>
      <c r="FD25" s="979"/>
      <c r="FF25" s="977"/>
      <c r="FG25" s="978"/>
      <c r="FH25" s="978"/>
      <c r="FI25" s="978"/>
      <c r="FJ25" s="978"/>
      <c r="FK25" s="978"/>
      <c r="FL25" s="978"/>
      <c r="FM25" s="978"/>
      <c r="FN25" s="978"/>
      <c r="FO25" s="978"/>
      <c r="FP25" s="978"/>
      <c r="FQ25" s="979"/>
      <c r="FS25" s="977"/>
      <c r="FT25" s="978"/>
      <c r="FU25" s="978"/>
      <c r="FV25" s="978"/>
      <c r="FW25" s="978"/>
      <c r="FX25" s="978"/>
      <c r="FY25" s="978"/>
      <c r="FZ25" s="978"/>
      <c r="GA25" s="978"/>
      <c r="GB25" s="978"/>
      <c r="GC25" s="978"/>
      <c r="GD25" s="979"/>
      <c r="GF25" s="977"/>
      <c r="GG25" s="978"/>
      <c r="GH25" s="978"/>
      <c r="GI25" s="978"/>
      <c r="GJ25" s="978"/>
      <c r="GK25" s="978"/>
      <c r="GL25" s="978"/>
      <c r="GM25" s="978"/>
      <c r="GN25" s="978"/>
      <c r="GO25" s="978"/>
      <c r="GP25" s="978"/>
      <c r="GQ25" s="979"/>
      <c r="GS25" s="977"/>
      <c r="GT25" s="978"/>
      <c r="GU25" s="978"/>
      <c r="GV25" s="978"/>
      <c r="GW25" s="978"/>
      <c r="GX25" s="978"/>
      <c r="GY25" s="978"/>
      <c r="GZ25" s="978"/>
      <c r="HA25" s="978"/>
      <c r="HB25" s="978"/>
      <c r="HC25" s="978"/>
      <c r="HD25" s="979"/>
    </row>
    <row r="26" spans="2:212" ht="12.75" customHeight="1">
      <c r="B26" s="1033" t="s">
        <v>133</v>
      </c>
      <c r="C26" s="1034"/>
      <c r="D26" s="1034"/>
      <c r="E26" s="1034"/>
      <c r="F26" s="1034"/>
      <c r="G26" s="1035"/>
      <c r="H26" s="1034"/>
      <c r="I26" s="1027"/>
      <c r="N26" s="1899" t="s">
        <v>1043</v>
      </c>
      <c r="O26" s="940" t="s">
        <v>119</v>
      </c>
      <c r="P26" s="595">
        <v>20</v>
      </c>
      <c r="Q26" s="595">
        <v>7</v>
      </c>
      <c r="R26" s="595">
        <v>9</v>
      </c>
      <c r="S26" s="595">
        <v>32</v>
      </c>
      <c r="T26" s="595">
        <v>29</v>
      </c>
      <c r="U26" s="595">
        <v>81</v>
      </c>
      <c r="V26" s="595">
        <v>62</v>
      </c>
      <c r="AA26" s="1899" t="s">
        <v>1043</v>
      </c>
      <c r="AB26" s="940" t="s">
        <v>119</v>
      </c>
      <c r="AC26" s="599">
        <f>P26/P15</f>
        <v>0.7407407407407407</v>
      </c>
      <c r="AD26" s="599">
        <f t="shared" ref="AC26:AI34" si="143">Q26/Q15</f>
        <v>0.3888888888888889</v>
      </c>
      <c r="AE26" s="599">
        <f t="shared" si="143"/>
        <v>0.69230769230769229</v>
      </c>
      <c r="AF26" s="599">
        <f t="shared" si="143"/>
        <v>0.69565217391304346</v>
      </c>
      <c r="AG26" s="599">
        <f t="shared" si="143"/>
        <v>0.61702127659574468</v>
      </c>
      <c r="AH26" s="599">
        <f t="shared" si="143"/>
        <v>0.76415094339622647</v>
      </c>
      <c r="AI26" s="599">
        <f t="shared" si="143"/>
        <v>0.62</v>
      </c>
      <c r="AJ26" s="935">
        <f t="shared" ref="AJ26:AJ34" si="144">AVERAGE(AC26:AI26)</f>
        <v>0.64553738797747662</v>
      </c>
      <c r="AK26" s="935">
        <f t="shared" ref="AK26:AK34" si="145">AI26*$AK$25</f>
        <v>0.62</v>
      </c>
      <c r="AL26" s="935">
        <f t="shared" ref="AL26:AL34" si="146">AK26*$AL$25</f>
        <v>0.68200000000000005</v>
      </c>
      <c r="AM26" s="935">
        <f t="shared" ref="AM26:AM34" si="147">AL26*$AM$25</f>
        <v>0.68200000000000005</v>
      </c>
      <c r="AN26" s="935">
        <f t="shared" ref="AN26:AN34" si="148">AM26*$AN$25</f>
        <v>0.75020000000000009</v>
      </c>
      <c r="AO26" s="935">
        <f t="shared" ref="AO26:AO34" si="149">AN26*$AO$25</f>
        <v>0.82522000000000018</v>
      </c>
      <c r="AP26" s="1036">
        <v>0.6</v>
      </c>
      <c r="AQ26" s="1036">
        <f t="shared" ref="AQ26:BA34" si="150">AP26*AQ$25</f>
        <v>0.54</v>
      </c>
      <c r="AR26" s="1036">
        <f t="shared" si="150"/>
        <v>0.54</v>
      </c>
      <c r="AS26" s="1036">
        <f t="shared" si="150"/>
        <v>0.54</v>
      </c>
      <c r="AT26" s="1036">
        <f t="shared" si="150"/>
        <v>0.59400000000000008</v>
      </c>
      <c r="AU26" s="1036">
        <f t="shared" si="150"/>
        <v>0.65340000000000009</v>
      </c>
      <c r="AV26" s="1036">
        <f t="shared" si="150"/>
        <v>0.65340000000000009</v>
      </c>
      <c r="AW26" s="1036">
        <f t="shared" si="150"/>
        <v>0.71874000000000016</v>
      </c>
      <c r="AX26" s="1036">
        <f t="shared" si="150"/>
        <v>0.79061400000000026</v>
      </c>
      <c r="AY26" s="1036">
        <f t="shared" si="150"/>
        <v>0.79061400000000026</v>
      </c>
      <c r="AZ26" s="1036">
        <f t="shared" si="150"/>
        <v>0.86967540000000032</v>
      </c>
      <c r="BA26" s="1036">
        <f t="shared" si="150"/>
        <v>0.95664294000000039</v>
      </c>
      <c r="BB26" s="1036">
        <v>0.6</v>
      </c>
      <c r="BC26" s="1036">
        <f t="shared" ref="BC26:BC34" si="151">BB26*BC$25</f>
        <v>0.54</v>
      </c>
      <c r="BD26" s="1036">
        <f t="shared" ref="BD26:BD34" si="152">BC26*BD$25</f>
        <v>0.54</v>
      </c>
      <c r="BE26" s="1036">
        <f t="shared" ref="BE26:BE34" si="153">BD26*BE$25</f>
        <v>0.54</v>
      </c>
      <c r="BF26" s="1036">
        <f t="shared" ref="BF26:BF34" si="154">BE26*BF$25</f>
        <v>0.59400000000000008</v>
      </c>
      <c r="BG26" s="1036">
        <f t="shared" ref="BG26:BG34" si="155">BF26*BG$25</f>
        <v>0.65340000000000009</v>
      </c>
      <c r="BH26" s="1036">
        <f t="shared" ref="BH26:BH34" si="156">BG26*BH$25</f>
        <v>0.65340000000000009</v>
      </c>
      <c r="BI26" s="1036">
        <f t="shared" ref="BI26:BI34" si="157">BH26*BI$25</f>
        <v>0.71874000000000016</v>
      </c>
      <c r="BJ26" s="1036">
        <f t="shared" ref="BJ26:BJ34" si="158">BI26*BJ$25</f>
        <v>0.79061400000000026</v>
      </c>
      <c r="BK26" s="1036">
        <f t="shared" ref="BK26:BK34" si="159">BJ26*BK$25</f>
        <v>0.79061400000000026</v>
      </c>
      <c r="BL26" s="1036">
        <f t="shared" ref="BL26:BL34" si="160">BK26*BL$25</f>
        <v>0.86967540000000032</v>
      </c>
      <c r="BM26" s="1036">
        <f t="shared" ref="BM26:BM34" si="161">BL26*BM$25</f>
        <v>0.95664294000000039</v>
      </c>
      <c r="BN26" s="1036">
        <v>0.6</v>
      </c>
      <c r="BO26" s="1036">
        <f t="shared" ref="BO26:BO34" si="162">BN26*BO$25</f>
        <v>0.54</v>
      </c>
      <c r="BP26" s="1036">
        <f t="shared" ref="BP26:BP34" si="163">BO26*BP$25</f>
        <v>0.54</v>
      </c>
      <c r="BQ26" s="1036">
        <f t="shared" ref="BQ26:BQ34" si="164">BP26*BQ$25</f>
        <v>0.54</v>
      </c>
      <c r="BR26" s="1036">
        <f t="shared" ref="BR26:BR34" si="165">BQ26*BR$25</f>
        <v>0.59400000000000008</v>
      </c>
      <c r="BS26" s="1036">
        <f t="shared" ref="BS26:BS34" si="166">BR26*BS$25</f>
        <v>0.65340000000000009</v>
      </c>
      <c r="BT26" s="1036">
        <f t="shared" ref="BT26:BT34" si="167">BS26*BT$25</f>
        <v>0.65340000000000009</v>
      </c>
      <c r="BU26" s="1036">
        <f t="shared" ref="BU26:BU34" si="168">BT26*BU$25</f>
        <v>0.71874000000000016</v>
      </c>
      <c r="BV26" s="1036">
        <f t="shared" ref="BV26:BV34" si="169">BU26*BV$25</f>
        <v>0.79061400000000026</v>
      </c>
      <c r="BW26" s="1036">
        <f t="shared" ref="BW26:BW34" si="170">BV26*BW$25</f>
        <v>0.79061400000000026</v>
      </c>
      <c r="BX26" s="1036">
        <f t="shared" ref="BX26:BX34" si="171">BW26*BX$25</f>
        <v>0.86967540000000032</v>
      </c>
      <c r="BY26" s="1036">
        <f t="shared" ref="BY26:BY34" si="172">BX26*BY$25</f>
        <v>0.95664294000000039</v>
      </c>
      <c r="BZ26" s="1036">
        <v>0.6</v>
      </c>
      <c r="CA26" s="1036">
        <f t="shared" ref="CA26:CA34" si="173">BZ26*CA$25</f>
        <v>0.54</v>
      </c>
      <c r="CB26" s="1036">
        <f t="shared" ref="CB26:CB34" si="174">CA26*CB$25</f>
        <v>0.54</v>
      </c>
      <c r="CC26" s="1036">
        <f t="shared" ref="CC26:CC34" si="175">CB26*CC$25</f>
        <v>0.54</v>
      </c>
      <c r="CD26" s="1036">
        <f t="shared" ref="CD26:CD34" si="176">CC26*CD$25</f>
        <v>0.59400000000000008</v>
      </c>
      <c r="CE26" s="1036">
        <f t="shared" ref="CE26:CE34" si="177">CD26*CE$25</f>
        <v>0.65340000000000009</v>
      </c>
      <c r="CF26" s="1036">
        <f t="shared" ref="CF26:CF34" si="178">CE26*CF$25</f>
        <v>0.65340000000000009</v>
      </c>
      <c r="CG26" s="1036">
        <f t="shared" ref="CG26:CG34" si="179">CF26*CG$25</f>
        <v>0.71874000000000016</v>
      </c>
      <c r="CH26" s="1036">
        <f t="shared" ref="CH26:CH34" si="180">CG26*CH$25</f>
        <v>0.79061400000000026</v>
      </c>
      <c r="CI26" s="1036">
        <f t="shared" ref="CI26:CI34" si="181">CH26*CI$25</f>
        <v>0.79061400000000026</v>
      </c>
      <c r="CJ26" s="1036">
        <f t="shared" ref="CJ26:CJ34" si="182">CI26*CJ$25</f>
        <v>0.86967540000000032</v>
      </c>
      <c r="CK26" s="1036">
        <f t="shared" ref="CK26:CK34" si="183">CJ26*CK$25</f>
        <v>0.95664294000000039</v>
      </c>
      <c r="CL26" s="1036">
        <v>0.6</v>
      </c>
      <c r="CM26" s="1036">
        <f t="shared" ref="CM26:CM34" si="184">CL26*CM$25</f>
        <v>0.54</v>
      </c>
      <c r="CN26" s="1036">
        <f t="shared" ref="CN26:CN34" si="185">CM26*CN$25</f>
        <v>0.54</v>
      </c>
      <c r="CO26" s="1036">
        <f t="shared" ref="CO26:CO34" si="186">CN26*CO$25</f>
        <v>0.54</v>
      </c>
      <c r="CP26" s="1036">
        <f t="shared" ref="CP26:CP34" si="187">CO26*CP$25</f>
        <v>0.59400000000000008</v>
      </c>
      <c r="CQ26" s="1036">
        <f t="shared" ref="CQ26:CQ34" si="188">CP26*CQ$25</f>
        <v>0.65340000000000009</v>
      </c>
      <c r="CR26" s="1036">
        <f t="shared" ref="CR26:CR34" si="189">CQ26*CR$25</f>
        <v>0.65340000000000009</v>
      </c>
      <c r="CS26" s="1036">
        <f t="shared" ref="CS26:CS34" si="190">CR26*CS$25</f>
        <v>0.71874000000000016</v>
      </c>
      <c r="CT26" s="1036">
        <f t="shared" ref="CT26:CT34" si="191">CS26*CT$25</f>
        <v>0.79061400000000026</v>
      </c>
      <c r="CU26" s="1036">
        <f t="shared" ref="CU26:CU34" si="192">CT26*CU$25</f>
        <v>0.79061400000000026</v>
      </c>
      <c r="CV26" s="1036">
        <f t="shared" ref="CV26:CV34" si="193">CU26*CV$25</f>
        <v>0.86967540000000032</v>
      </c>
      <c r="CW26" s="1036">
        <f t="shared" ref="CW26:CW34" si="194">CV26*CW$25</f>
        <v>0.95664294000000039</v>
      </c>
      <c r="CX26" s="1036">
        <v>0.6</v>
      </c>
      <c r="CY26" s="1036">
        <f t="shared" ref="CY26:CY34" si="195">CX26*CY$25</f>
        <v>0.54</v>
      </c>
      <c r="CZ26" s="1036">
        <f t="shared" ref="CZ26:CZ34" si="196">CY26*CZ$25</f>
        <v>0.54</v>
      </c>
      <c r="DA26" s="1036">
        <f t="shared" ref="DA26:DA34" si="197">CZ26*DA$25</f>
        <v>0.54</v>
      </c>
      <c r="DB26" s="1036">
        <f t="shared" ref="DB26:DB34" si="198">DA26*DB$25</f>
        <v>0.59400000000000008</v>
      </c>
      <c r="DC26" s="1036">
        <f t="shared" ref="DC26:DC34" si="199">DB26*DC$25</f>
        <v>0.65340000000000009</v>
      </c>
      <c r="DD26" s="1036">
        <f t="shared" ref="DD26:DD34" si="200">DC26*DD$25</f>
        <v>0.65340000000000009</v>
      </c>
      <c r="DE26" s="1036">
        <f t="shared" ref="DE26:DE34" si="201">DD26*DE$25</f>
        <v>0.71874000000000016</v>
      </c>
      <c r="DF26" s="1036">
        <f t="shared" ref="DF26:DF34" si="202">DE26*DF$25</f>
        <v>0.79061400000000026</v>
      </c>
      <c r="DG26" s="1036">
        <f t="shared" ref="DG26:DG34" si="203">DF26*DG$25</f>
        <v>0.79061400000000026</v>
      </c>
      <c r="DH26" s="1036">
        <f t="shared" ref="DH26:DH34" si="204">DG26*DH$25</f>
        <v>0.86967540000000032</v>
      </c>
      <c r="DI26" s="1036">
        <f t="shared" ref="DI26:DI34" si="205">DH26*DI$25</f>
        <v>0.95664294000000039</v>
      </c>
      <c r="DK26" s="1899" t="s">
        <v>1043</v>
      </c>
      <c r="DL26" s="940" t="s">
        <v>119</v>
      </c>
      <c r="DN26" s="977">
        <v>44</v>
      </c>
      <c r="DO26" s="978">
        <f>DO15*$AJ$26</f>
        <v>63.585432715781444</v>
      </c>
      <c r="DP26" s="978">
        <f>DP15*$AJ$26</f>
        <v>75.237382568774905</v>
      </c>
      <c r="DQ26" s="978">
        <f>DQ15*$AJ$26</f>
        <v>72.332464322876262</v>
      </c>
      <c r="DR26" s="979">
        <f>DR15*$AJ$26</f>
        <v>69.71803790156747</v>
      </c>
      <c r="DT26" s="977">
        <v>44</v>
      </c>
      <c r="DU26" s="978">
        <f>DU15*$AH$26</f>
        <v>75.268867924528308</v>
      </c>
      <c r="DV26" s="978">
        <f>DV15*$AH$26</f>
        <v>89.061792452830204</v>
      </c>
      <c r="DW26" s="978">
        <f>DW15*$AH$26</f>
        <v>85.623113207547178</v>
      </c>
      <c r="DX26" s="979">
        <f>DX15*$AH$26</f>
        <v>82.528301886792462</v>
      </c>
      <c r="DZ26" s="977">
        <v>44</v>
      </c>
      <c r="EA26" s="978">
        <f>EA15*AL$26</f>
        <v>65.813000000000002</v>
      </c>
      <c r="EB26" s="978">
        <f>EB15*AM$26</f>
        <v>79.794000000000011</v>
      </c>
      <c r="EC26" s="978">
        <f>EC15*AN$26</f>
        <v>95.650500000000008</v>
      </c>
      <c r="ED26" s="979">
        <f>ED15*AO$26</f>
        <v>96.550740000000019</v>
      </c>
      <c r="EF26" s="977">
        <f>EF15*$AP26</f>
        <v>39.9</v>
      </c>
      <c r="EG26" s="978">
        <f t="shared" ref="EG26:EQ26" si="206">EG15*AQ$26</f>
        <v>34.29</v>
      </c>
      <c r="EH26" s="978">
        <f t="shared" si="206"/>
        <v>31.05</v>
      </c>
      <c r="EI26" s="978">
        <f t="shared" si="206"/>
        <v>13.5</v>
      </c>
      <c r="EJ26" s="978">
        <f t="shared" si="206"/>
        <v>12.474000000000002</v>
      </c>
      <c r="EK26" s="978">
        <f t="shared" si="206"/>
        <v>16.661700000000003</v>
      </c>
      <c r="EL26" s="978">
        <f t="shared" si="206"/>
        <v>23.195700000000002</v>
      </c>
      <c r="EM26" s="978">
        <f t="shared" si="206"/>
        <v>32.343300000000006</v>
      </c>
      <c r="EN26" s="978">
        <f t="shared" si="206"/>
        <v>35.577630000000013</v>
      </c>
      <c r="EO26" s="978">
        <f t="shared" si="206"/>
        <v>35.577630000000013</v>
      </c>
      <c r="EP26" s="978">
        <f t="shared" si="206"/>
        <v>35.656691400000014</v>
      </c>
      <c r="EQ26" s="979">
        <f t="shared" si="206"/>
        <v>35.395788780000011</v>
      </c>
      <c r="ES26" s="977">
        <f>ES15*BB26</f>
        <v>15.899999999999999</v>
      </c>
      <c r="ET26" s="978">
        <f t="shared" ref="ET26:FD34" si="207">ET15*BC26</f>
        <v>8.64</v>
      </c>
      <c r="EU26" s="978">
        <f t="shared" si="207"/>
        <v>17.55</v>
      </c>
      <c r="EV26" s="978">
        <f t="shared" si="207"/>
        <v>26.46</v>
      </c>
      <c r="EW26" s="978">
        <f t="shared" si="207"/>
        <v>27.918000000000003</v>
      </c>
      <c r="EX26" s="978">
        <f t="shared" si="207"/>
        <v>29.403000000000006</v>
      </c>
      <c r="EY26" s="978">
        <f t="shared" si="207"/>
        <v>29.403000000000006</v>
      </c>
      <c r="EZ26" s="978">
        <f t="shared" si="207"/>
        <v>32.343300000000006</v>
      </c>
      <c r="FA26" s="978">
        <f t="shared" si="207"/>
        <v>35.577630000000013</v>
      </c>
      <c r="FB26" s="978">
        <f t="shared" si="207"/>
        <v>35.577630000000013</v>
      </c>
      <c r="FC26" s="978">
        <f t="shared" si="207"/>
        <v>39.135393000000015</v>
      </c>
      <c r="FD26" s="979">
        <f t="shared" si="207"/>
        <v>43.048932300000018</v>
      </c>
      <c r="FF26" s="977">
        <f>FF15*BN26</f>
        <v>18.3</v>
      </c>
      <c r="FG26" s="978">
        <f t="shared" ref="FG26:FQ34" si="208">FG15*BO26</f>
        <v>8.64</v>
      </c>
      <c r="FH26" s="978">
        <f t="shared" si="208"/>
        <v>17.55</v>
      </c>
      <c r="FI26" s="978">
        <f t="shared" si="208"/>
        <v>22.14</v>
      </c>
      <c r="FJ26" s="978">
        <f t="shared" si="208"/>
        <v>19.602000000000004</v>
      </c>
      <c r="FK26" s="978">
        <f t="shared" si="208"/>
        <v>21.562200000000004</v>
      </c>
      <c r="FL26" s="978">
        <f t="shared" si="208"/>
        <v>21.562200000000004</v>
      </c>
      <c r="FM26" s="978">
        <f t="shared" si="208"/>
        <v>23.718420000000005</v>
      </c>
      <c r="FN26" s="978">
        <f t="shared" si="208"/>
        <v>26.09026200000001</v>
      </c>
      <c r="FO26" s="978">
        <f t="shared" si="208"/>
        <v>26.09026200000001</v>
      </c>
      <c r="FP26" s="978">
        <f t="shared" si="208"/>
        <v>28.699288200000012</v>
      </c>
      <c r="FQ26" s="979">
        <f t="shared" si="208"/>
        <v>31.569217020000014</v>
      </c>
      <c r="FS26" s="977">
        <f>FS15*BZ26</f>
        <v>14.7</v>
      </c>
      <c r="FT26" s="978">
        <f t="shared" ref="FT26:GD34" si="209">FT15*CA26</f>
        <v>8.64</v>
      </c>
      <c r="FU26" s="978">
        <f t="shared" si="209"/>
        <v>8.64</v>
      </c>
      <c r="FV26" s="978">
        <f t="shared" si="209"/>
        <v>8.64</v>
      </c>
      <c r="FW26" s="978">
        <f t="shared" si="209"/>
        <v>9.5040000000000013</v>
      </c>
      <c r="FX26" s="978">
        <f t="shared" si="209"/>
        <v>10.454400000000001</v>
      </c>
      <c r="FY26" s="978">
        <f t="shared" si="209"/>
        <v>10.454400000000001</v>
      </c>
      <c r="FZ26" s="978">
        <f t="shared" si="209"/>
        <v>11.499840000000003</v>
      </c>
      <c r="GA26" s="978">
        <f t="shared" si="209"/>
        <v>12.649824000000004</v>
      </c>
      <c r="GB26" s="978">
        <f t="shared" si="209"/>
        <v>12.649824000000004</v>
      </c>
      <c r="GC26" s="978">
        <f t="shared" si="209"/>
        <v>13.914806400000005</v>
      </c>
      <c r="GD26" s="979">
        <f t="shared" si="209"/>
        <v>15.306287040000006</v>
      </c>
      <c r="GF26" s="977">
        <f>GF15*CL26</f>
        <v>9.6</v>
      </c>
      <c r="GG26" s="978">
        <f t="shared" ref="GG26:GQ34" si="210">GG15*CM26</f>
        <v>8.64</v>
      </c>
      <c r="GH26" s="978">
        <f t="shared" si="210"/>
        <v>8.64</v>
      </c>
      <c r="GI26" s="978">
        <f t="shared" si="210"/>
        <v>8.64</v>
      </c>
      <c r="GJ26" s="978">
        <f t="shared" si="210"/>
        <v>9.5040000000000013</v>
      </c>
      <c r="GK26" s="978">
        <f t="shared" si="210"/>
        <v>10.454400000000001</v>
      </c>
      <c r="GL26" s="978">
        <f t="shared" si="210"/>
        <v>10.454400000000001</v>
      </c>
      <c r="GM26" s="978">
        <f t="shared" si="210"/>
        <v>11.499840000000003</v>
      </c>
      <c r="GN26" s="978">
        <f t="shared" si="210"/>
        <v>12.649824000000004</v>
      </c>
      <c r="GO26" s="978">
        <f t="shared" si="210"/>
        <v>12.649824000000004</v>
      </c>
      <c r="GP26" s="978">
        <f t="shared" si="210"/>
        <v>13.914806400000005</v>
      </c>
      <c r="GQ26" s="979">
        <f t="shared" si="210"/>
        <v>15.306287040000006</v>
      </c>
      <c r="GS26" s="977">
        <f>GS15*CX26</f>
        <v>9.6</v>
      </c>
      <c r="GT26" s="978">
        <f t="shared" ref="GT26:HD34" si="211">GT15*CY26</f>
        <v>8.64</v>
      </c>
      <c r="GU26" s="978">
        <f t="shared" si="211"/>
        <v>8.64</v>
      </c>
      <c r="GV26" s="978">
        <f t="shared" si="211"/>
        <v>8.64</v>
      </c>
      <c r="GW26" s="978">
        <f t="shared" si="211"/>
        <v>9.5040000000000013</v>
      </c>
      <c r="GX26" s="978">
        <f t="shared" si="211"/>
        <v>10.454400000000001</v>
      </c>
      <c r="GY26" s="978">
        <f t="shared" si="211"/>
        <v>10.454400000000001</v>
      </c>
      <c r="GZ26" s="978">
        <f t="shared" si="211"/>
        <v>11.499840000000003</v>
      </c>
      <c r="HA26" s="978">
        <f t="shared" si="211"/>
        <v>12.649824000000004</v>
      </c>
      <c r="HB26" s="978">
        <f t="shared" si="211"/>
        <v>12.649824000000004</v>
      </c>
      <c r="HC26" s="978">
        <f t="shared" si="211"/>
        <v>13.914806400000005</v>
      </c>
      <c r="HD26" s="979">
        <f t="shared" si="211"/>
        <v>15.306287040000006</v>
      </c>
    </row>
    <row r="27" spans="2:212">
      <c r="B27" s="963"/>
      <c r="D27" s="931"/>
      <c r="E27" s="931"/>
      <c r="F27" s="931"/>
      <c r="G27" s="989"/>
      <c r="H27" s="931"/>
      <c r="I27" s="596"/>
      <c r="N27" s="1899"/>
      <c r="O27" s="940" t="s">
        <v>120</v>
      </c>
      <c r="P27" s="595">
        <v>13</v>
      </c>
      <c r="Q27" s="595">
        <v>11</v>
      </c>
      <c r="R27" s="595">
        <v>6</v>
      </c>
      <c r="S27" s="595">
        <v>5</v>
      </c>
      <c r="T27" s="595">
        <v>19</v>
      </c>
      <c r="U27" s="595">
        <v>17</v>
      </c>
      <c r="V27" s="595">
        <v>58</v>
      </c>
      <c r="AA27" s="1899"/>
      <c r="AB27" s="940" t="s">
        <v>120</v>
      </c>
      <c r="AC27" s="599">
        <f t="shared" si="143"/>
        <v>0.22413793103448276</v>
      </c>
      <c r="AD27" s="599">
        <f t="shared" si="143"/>
        <v>0.40740740740740738</v>
      </c>
      <c r="AE27" s="599">
        <f t="shared" si="143"/>
        <v>0.33333333333333331</v>
      </c>
      <c r="AF27" s="599">
        <f t="shared" si="143"/>
        <v>0.38461538461538464</v>
      </c>
      <c r="AG27" s="599">
        <f t="shared" si="143"/>
        <v>0.42222222222222222</v>
      </c>
      <c r="AH27" s="599">
        <f t="shared" si="143"/>
        <v>0.36170212765957449</v>
      </c>
      <c r="AI27" s="599">
        <f t="shared" si="143"/>
        <v>0.55238095238095242</v>
      </c>
      <c r="AJ27" s="935">
        <f t="shared" si="144"/>
        <v>0.3836856226647653</v>
      </c>
      <c r="AK27" s="935">
        <f t="shared" si="145"/>
        <v>0.55238095238095242</v>
      </c>
      <c r="AL27" s="935">
        <f t="shared" si="146"/>
        <v>0.60761904761904773</v>
      </c>
      <c r="AM27" s="935">
        <f t="shared" si="147"/>
        <v>0.60761904761904773</v>
      </c>
      <c r="AN27" s="935">
        <f t="shared" si="148"/>
        <v>0.66838095238095252</v>
      </c>
      <c r="AO27" s="935">
        <f t="shared" si="149"/>
        <v>0.73521904761904788</v>
      </c>
      <c r="AP27" s="1036">
        <v>0.4</v>
      </c>
      <c r="AQ27" s="1036">
        <f t="shared" si="150"/>
        <v>0.36000000000000004</v>
      </c>
      <c r="AR27" s="1036">
        <f t="shared" si="150"/>
        <v>0.36000000000000004</v>
      </c>
      <c r="AS27" s="1036">
        <f t="shared" si="150"/>
        <v>0.36000000000000004</v>
      </c>
      <c r="AT27" s="1036">
        <f t="shared" si="150"/>
        <v>0.39600000000000007</v>
      </c>
      <c r="AU27" s="1036">
        <f t="shared" si="150"/>
        <v>0.4356000000000001</v>
      </c>
      <c r="AV27" s="1036">
        <f t="shared" si="150"/>
        <v>0.4356000000000001</v>
      </c>
      <c r="AW27" s="1036">
        <f t="shared" si="150"/>
        <v>0.47916000000000014</v>
      </c>
      <c r="AX27" s="1036">
        <f t="shared" si="150"/>
        <v>0.52707600000000021</v>
      </c>
      <c r="AY27" s="1036">
        <f t="shared" si="150"/>
        <v>0.52707600000000021</v>
      </c>
      <c r="AZ27" s="1036">
        <f t="shared" si="150"/>
        <v>0.57978360000000029</v>
      </c>
      <c r="BA27" s="1036">
        <f t="shared" si="150"/>
        <v>0.63776196000000041</v>
      </c>
      <c r="BB27" s="1036">
        <v>0.4</v>
      </c>
      <c r="BC27" s="1036">
        <f t="shared" si="151"/>
        <v>0.36000000000000004</v>
      </c>
      <c r="BD27" s="1036">
        <f t="shared" si="152"/>
        <v>0.36000000000000004</v>
      </c>
      <c r="BE27" s="1036">
        <f t="shared" si="153"/>
        <v>0.36000000000000004</v>
      </c>
      <c r="BF27" s="1036">
        <f t="shared" si="154"/>
        <v>0.39600000000000007</v>
      </c>
      <c r="BG27" s="1036">
        <f t="shared" si="155"/>
        <v>0.4356000000000001</v>
      </c>
      <c r="BH27" s="1036">
        <f t="shared" si="156"/>
        <v>0.4356000000000001</v>
      </c>
      <c r="BI27" s="1036">
        <f t="shared" si="157"/>
        <v>0.47916000000000014</v>
      </c>
      <c r="BJ27" s="1036">
        <f t="shared" si="158"/>
        <v>0.52707600000000021</v>
      </c>
      <c r="BK27" s="1036">
        <f t="shared" si="159"/>
        <v>0.52707600000000021</v>
      </c>
      <c r="BL27" s="1036">
        <f t="shared" si="160"/>
        <v>0.57978360000000029</v>
      </c>
      <c r="BM27" s="1036">
        <f t="shared" si="161"/>
        <v>0.63776196000000041</v>
      </c>
      <c r="BN27" s="1036">
        <v>0.4</v>
      </c>
      <c r="BO27" s="1036">
        <f t="shared" si="162"/>
        <v>0.36000000000000004</v>
      </c>
      <c r="BP27" s="1036">
        <f t="shared" si="163"/>
        <v>0.36000000000000004</v>
      </c>
      <c r="BQ27" s="1036">
        <f t="shared" si="164"/>
        <v>0.36000000000000004</v>
      </c>
      <c r="BR27" s="1036">
        <f t="shared" si="165"/>
        <v>0.39600000000000007</v>
      </c>
      <c r="BS27" s="1036">
        <f t="shared" si="166"/>
        <v>0.4356000000000001</v>
      </c>
      <c r="BT27" s="1036">
        <f t="shared" si="167"/>
        <v>0.4356000000000001</v>
      </c>
      <c r="BU27" s="1036">
        <f t="shared" si="168"/>
        <v>0.47916000000000014</v>
      </c>
      <c r="BV27" s="1036">
        <f t="shared" si="169"/>
        <v>0.52707600000000021</v>
      </c>
      <c r="BW27" s="1036">
        <f t="shared" si="170"/>
        <v>0.52707600000000021</v>
      </c>
      <c r="BX27" s="1036">
        <f t="shared" si="171"/>
        <v>0.57978360000000029</v>
      </c>
      <c r="BY27" s="1036">
        <f t="shared" si="172"/>
        <v>0.63776196000000041</v>
      </c>
      <c r="BZ27" s="1036">
        <v>0.4</v>
      </c>
      <c r="CA27" s="1036">
        <f t="shared" si="173"/>
        <v>0.36000000000000004</v>
      </c>
      <c r="CB27" s="1036">
        <f t="shared" si="174"/>
        <v>0.36000000000000004</v>
      </c>
      <c r="CC27" s="1036">
        <f t="shared" si="175"/>
        <v>0.36000000000000004</v>
      </c>
      <c r="CD27" s="1036">
        <f t="shared" si="176"/>
        <v>0.39600000000000007</v>
      </c>
      <c r="CE27" s="1036">
        <f t="shared" si="177"/>
        <v>0.4356000000000001</v>
      </c>
      <c r="CF27" s="1036">
        <f t="shared" si="178"/>
        <v>0.4356000000000001</v>
      </c>
      <c r="CG27" s="1036">
        <f t="shared" si="179"/>
        <v>0.47916000000000014</v>
      </c>
      <c r="CH27" s="1036">
        <f t="shared" si="180"/>
        <v>0.52707600000000021</v>
      </c>
      <c r="CI27" s="1036">
        <f t="shared" si="181"/>
        <v>0.52707600000000021</v>
      </c>
      <c r="CJ27" s="1036">
        <f t="shared" si="182"/>
        <v>0.57978360000000029</v>
      </c>
      <c r="CK27" s="1036">
        <f t="shared" si="183"/>
        <v>0.63776196000000041</v>
      </c>
      <c r="CL27" s="1036">
        <v>0.4</v>
      </c>
      <c r="CM27" s="1036">
        <f t="shared" si="184"/>
        <v>0.36000000000000004</v>
      </c>
      <c r="CN27" s="1036">
        <f t="shared" si="185"/>
        <v>0.36000000000000004</v>
      </c>
      <c r="CO27" s="1036">
        <f t="shared" si="186"/>
        <v>0.36000000000000004</v>
      </c>
      <c r="CP27" s="1036">
        <f t="shared" si="187"/>
        <v>0.39600000000000007</v>
      </c>
      <c r="CQ27" s="1036">
        <f t="shared" si="188"/>
        <v>0.4356000000000001</v>
      </c>
      <c r="CR27" s="1036">
        <f t="shared" si="189"/>
        <v>0.4356000000000001</v>
      </c>
      <c r="CS27" s="1036">
        <f t="shared" si="190"/>
        <v>0.47916000000000014</v>
      </c>
      <c r="CT27" s="1036">
        <f t="shared" si="191"/>
        <v>0.52707600000000021</v>
      </c>
      <c r="CU27" s="1036">
        <f t="shared" si="192"/>
        <v>0.52707600000000021</v>
      </c>
      <c r="CV27" s="1036">
        <f t="shared" si="193"/>
        <v>0.57978360000000029</v>
      </c>
      <c r="CW27" s="1036">
        <f t="shared" si="194"/>
        <v>0.63776196000000041</v>
      </c>
      <c r="CX27" s="1036">
        <v>0.4</v>
      </c>
      <c r="CY27" s="1036">
        <f t="shared" si="195"/>
        <v>0.36000000000000004</v>
      </c>
      <c r="CZ27" s="1036">
        <f t="shared" si="196"/>
        <v>0.36000000000000004</v>
      </c>
      <c r="DA27" s="1036">
        <f t="shared" si="197"/>
        <v>0.36000000000000004</v>
      </c>
      <c r="DB27" s="1036">
        <f t="shared" si="198"/>
        <v>0.39600000000000007</v>
      </c>
      <c r="DC27" s="1036">
        <f t="shared" si="199"/>
        <v>0.4356000000000001</v>
      </c>
      <c r="DD27" s="1036">
        <f t="shared" si="200"/>
        <v>0.4356000000000001</v>
      </c>
      <c r="DE27" s="1036">
        <f t="shared" si="201"/>
        <v>0.47916000000000014</v>
      </c>
      <c r="DF27" s="1036">
        <f t="shared" si="202"/>
        <v>0.52707600000000021</v>
      </c>
      <c r="DG27" s="1036">
        <f t="shared" si="203"/>
        <v>0.52707600000000021</v>
      </c>
      <c r="DH27" s="1036">
        <f t="shared" si="204"/>
        <v>0.57978360000000029</v>
      </c>
      <c r="DI27" s="1036">
        <f t="shared" si="205"/>
        <v>0.63776196000000041</v>
      </c>
      <c r="DK27" s="1899"/>
      <c r="DL27" s="940" t="s">
        <v>120</v>
      </c>
      <c r="DN27" s="977">
        <v>34</v>
      </c>
      <c r="DO27" s="978">
        <f>DO16*$AJ$27</f>
        <v>30.694849813181225</v>
      </c>
      <c r="DP27" s="978">
        <f>DP16*$AJ$27</f>
        <v>37.793033832479381</v>
      </c>
      <c r="DQ27" s="978">
        <f>DQ16*$AJ$27</f>
        <v>44.718559321578404</v>
      </c>
      <c r="DR27" s="979">
        <f>DR16*$AJ$27</f>
        <v>42.991974019586955</v>
      </c>
      <c r="DT27" s="977">
        <v>34</v>
      </c>
      <c r="DU27" s="978">
        <f>DU16*$AH$27</f>
        <v>28.936170212765958</v>
      </c>
      <c r="DV27" s="978">
        <f>DV16*$AH$27</f>
        <v>35.62765957446809</v>
      </c>
      <c r="DW27" s="978">
        <f>DW16*$AH$27</f>
        <v>42.156382978723414</v>
      </c>
      <c r="DX27" s="979">
        <f>DX16*$AH$27</f>
        <v>40.528723404255324</v>
      </c>
      <c r="DZ27" s="977">
        <v>34</v>
      </c>
      <c r="EA27" s="978">
        <f>EA16*AL$27</f>
        <v>48.609523809523822</v>
      </c>
      <c r="EB27" s="978">
        <f>EB16*AM$27</f>
        <v>58.635238095238108</v>
      </c>
      <c r="EC27" s="978">
        <f>EC16*AN$27</f>
        <v>78.20057142857145</v>
      </c>
      <c r="ED27" s="979">
        <f>ED16*AO$27</f>
        <v>93.740428571428609</v>
      </c>
      <c r="EF27" s="977">
        <f t="shared" ref="EF27:EQ27" si="212">EF16*AP$27</f>
        <v>46.800000000000004</v>
      </c>
      <c r="EG27" s="978">
        <f t="shared" si="212"/>
        <v>23.94</v>
      </c>
      <c r="EH27" s="978">
        <f t="shared" si="212"/>
        <v>22.860000000000003</v>
      </c>
      <c r="EI27" s="978">
        <f t="shared" si="212"/>
        <v>20.700000000000003</v>
      </c>
      <c r="EJ27" s="978">
        <f t="shared" si="212"/>
        <v>9.9000000000000021</v>
      </c>
      <c r="EK27" s="978">
        <f t="shared" si="212"/>
        <v>9.1476000000000024</v>
      </c>
      <c r="EL27" s="978">
        <f t="shared" si="212"/>
        <v>11.107800000000003</v>
      </c>
      <c r="EM27" s="978">
        <f t="shared" si="212"/>
        <v>17.010180000000005</v>
      </c>
      <c r="EN27" s="978">
        <f t="shared" si="212"/>
        <v>23.718420000000009</v>
      </c>
      <c r="EO27" s="978">
        <f t="shared" si="212"/>
        <v>23.718420000000009</v>
      </c>
      <c r="EP27" s="978">
        <f t="shared" si="212"/>
        <v>26.090262000000013</v>
      </c>
      <c r="EQ27" s="979">
        <f t="shared" si="212"/>
        <v>26.148240360000017</v>
      </c>
      <c r="ES27" s="977">
        <f t="shared" ref="ES27:ES34" si="213">ES16*BB27</f>
        <v>14.8</v>
      </c>
      <c r="ET27" s="978">
        <f t="shared" si="207"/>
        <v>9.5400000000000009</v>
      </c>
      <c r="EU27" s="978">
        <f t="shared" si="207"/>
        <v>5.7600000000000007</v>
      </c>
      <c r="EV27" s="978">
        <f t="shared" si="207"/>
        <v>11.700000000000001</v>
      </c>
      <c r="EW27" s="978">
        <f t="shared" si="207"/>
        <v>19.404000000000003</v>
      </c>
      <c r="EX27" s="978">
        <f t="shared" si="207"/>
        <v>20.473200000000006</v>
      </c>
      <c r="EY27" s="978">
        <f t="shared" si="207"/>
        <v>19.602000000000004</v>
      </c>
      <c r="EZ27" s="978">
        <f t="shared" si="207"/>
        <v>21.562200000000008</v>
      </c>
      <c r="FA27" s="978">
        <f t="shared" si="207"/>
        <v>23.718420000000009</v>
      </c>
      <c r="FB27" s="978">
        <f t="shared" si="207"/>
        <v>23.718420000000009</v>
      </c>
      <c r="FC27" s="978">
        <f t="shared" si="207"/>
        <v>26.090262000000013</v>
      </c>
      <c r="FD27" s="979">
        <f t="shared" si="207"/>
        <v>28.699288200000019</v>
      </c>
      <c r="FF27" s="977">
        <f t="shared" ref="FF27:FF34" si="214">FF16*BN27</f>
        <v>18</v>
      </c>
      <c r="FG27" s="978">
        <f t="shared" si="208"/>
        <v>10.98</v>
      </c>
      <c r="FH27" s="978">
        <f t="shared" si="208"/>
        <v>5.7600000000000007</v>
      </c>
      <c r="FI27" s="978">
        <f t="shared" si="208"/>
        <v>11.700000000000001</v>
      </c>
      <c r="FJ27" s="978">
        <f t="shared" si="208"/>
        <v>16.236000000000004</v>
      </c>
      <c r="FK27" s="978">
        <f t="shared" si="208"/>
        <v>14.374800000000004</v>
      </c>
      <c r="FL27" s="978">
        <f t="shared" si="208"/>
        <v>14.374800000000004</v>
      </c>
      <c r="FM27" s="978">
        <f t="shared" si="208"/>
        <v>15.812280000000005</v>
      </c>
      <c r="FN27" s="978">
        <f t="shared" si="208"/>
        <v>17.393508000000008</v>
      </c>
      <c r="FO27" s="978">
        <f t="shared" si="208"/>
        <v>17.393508000000008</v>
      </c>
      <c r="FP27" s="978">
        <f t="shared" si="208"/>
        <v>19.132858800000008</v>
      </c>
      <c r="FQ27" s="979">
        <f t="shared" si="208"/>
        <v>21.046144680000012</v>
      </c>
      <c r="FS27" s="977">
        <f t="shared" ref="FS27:FS34" si="215">FS16*BZ27</f>
        <v>13.200000000000001</v>
      </c>
      <c r="FT27" s="978">
        <f t="shared" si="209"/>
        <v>8.82</v>
      </c>
      <c r="FU27" s="978">
        <f t="shared" si="209"/>
        <v>5.7600000000000007</v>
      </c>
      <c r="FV27" s="978">
        <f t="shared" si="209"/>
        <v>5.7600000000000007</v>
      </c>
      <c r="FW27" s="978">
        <f t="shared" si="209"/>
        <v>6.3360000000000012</v>
      </c>
      <c r="FX27" s="978">
        <f t="shared" si="209"/>
        <v>6.9696000000000016</v>
      </c>
      <c r="FY27" s="978">
        <f t="shared" si="209"/>
        <v>6.9696000000000016</v>
      </c>
      <c r="FZ27" s="978">
        <f t="shared" si="209"/>
        <v>7.6665600000000023</v>
      </c>
      <c r="GA27" s="978">
        <f t="shared" si="209"/>
        <v>8.4332160000000034</v>
      </c>
      <c r="GB27" s="978">
        <f t="shared" si="209"/>
        <v>8.4332160000000034</v>
      </c>
      <c r="GC27" s="978">
        <f t="shared" si="209"/>
        <v>9.2765376000000046</v>
      </c>
      <c r="GD27" s="979">
        <f t="shared" si="209"/>
        <v>10.204191360000006</v>
      </c>
      <c r="GF27" s="977">
        <f t="shared" ref="GF27:GF34" si="216">GF16*CL27</f>
        <v>6.4</v>
      </c>
      <c r="GG27" s="978">
        <f t="shared" si="210"/>
        <v>5.7600000000000007</v>
      </c>
      <c r="GH27" s="978">
        <f t="shared" si="210"/>
        <v>5.7600000000000007</v>
      </c>
      <c r="GI27" s="978">
        <f t="shared" si="210"/>
        <v>5.7600000000000007</v>
      </c>
      <c r="GJ27" s="978">
        <f t="shared" si="210"/>
        <v>6.3360000000000012</v>
      </c>
      <c r="GK27" s="978">
        <f t="shared" si="210"/>
        <v>6.9696000000000016</v>
      </c>
      <c r="GL27" s="978">
        <f t="shared" si="210"/>
        <v>6.9696000000000016</v>
      </c>
      <c r="GM27" s="978">
        <f t="shared" si="210"/>
        <v>7.6665600000000023</v>
      </c>
      <c r="GN27" s="978">
        <f t="shared" si="210"/>
        <v>8.4332160000000034</v>
      </c>
      <c r="GO27" s="978">
        <f t="shared" si="210"/>
        <v>8.4332160000000034</v>
      </c>
      <c r="GP27" s="978">
        <f t="shared" si="210"/>
        <v>9.2765376000000046</v>
      </c>
      <c r="GQ27" s="979">
        <f t="shared" si="210"/>
        <v>10.204191360000006</v>
      </c>
      <c r="GS27" s="977">
        <f t="shared" ref="GS27:GS34" si="217">GS16*CX27</f>
        <v>6.4</v>
      </c>
      <c r="GT27" s="978">
        <f t="shared" si="211"/>
        <v>5.7600000000000007</v>
      </c>
      <c r="GU27" s="978">
        <f t="shared" si="211"/>
        <v>5.7600000000000007</v>
      </c>
      <c r="GV27" s="978">
        <f t="shared" si="211"/>
        <v>5.7600000000000007</v>
      </c>
      <c r="GW27" s="978">
        <f t="shared" si="211"/>
        <v>6.3360000000000012</v>
      </c>
      <c r="GX27" s="978">
        <f t="shared" si="211"/>
        <v>6.9696000000000016</v>
      </c>
      <c r="GY27" s="978">
        <f t="shared" si="211"/>
        <v>6.9696000000000016</v>
      </c>
      <c r="GZ27" s="978">
        <f t="shared" si="211"/>
        <v>7.6665600000000023</v>
      </c>
      <c r="HA27" s="978">
        <f t="shared" si="211"/>
        <v>8.4332160000000034</v>
      </c>
      <c r="HB27" s="978">
        <f t="shared" si="211"/>
        <v>8.4332160000000034</v>
      </c>
      <c r="HC27" s="978">
        <f t="shared" si="211"/>
        <v>9.2765376000000046</v>
      </c>
      <c r="HD27" s="979">
        <f t="shared" si="211"/>
        <v>10.204191360000006</v>
      </c>
    </row>
    <row r="28" spans="2:212">
      <c r="B28" s="960"/>
      <c r="C28" s="966" t="s">
        <v>1044</v>
      </c>
      <c r="D28" s="966"/>
      <c r="E28" s="966"/>
      <c r="F28" s="966"/>
      <c r="G28" s="966"/>
      <c r="H28" s="965"/>
      <c r="I28" s="965"/>
      <c r="N28" s="1899"/>
      <c r="O28" s="940" t="s">
        <v>121</v>
      </c>
      <c r="P28" s="595">
        <v>8</v>
      </c>
      <c r="Q28" s="595">
        <v>6</v>
      </c>
      <c r="R28" s="595">
        <v>6</v>
      </c>
      <c r="S28" s="595">
        <v>2</v>
      </c>
      <c r="T28" s="595">
        <v>5</v>
      </c>
      <c r="U28" s="595">
        <v>13</v>
      </c>
      <c r="V28" s="595">
        <v>12</v>
      </c>
      <c r="AA28" s="1899"/>
      <c r="AB28" s="940" t="s">
        <v>121</v>
      </c>
      <c r="AC28" s="599">
        <f t="shared" si="143"/>
        <v>0.16326530612244897</v>
      </c>
      <c r="AD28" s="599">
        <f t="shared" si="143"/>
        <v>0.10714285714285714</v>
      </c>
      <c r="AE28" s="599">
        <f t="shared" si="143"/>
        <v>0.23076923076923078</v>
      </c>
      <c r="AF28" s="599">
        <f t="shared" si="143"/>
        <v>0.1111111111111111</v>
      </c>
      <c r="AG28" s="599">
        <f t="shared" si="143"/>
        <v>0.38461538461538464</v>
      </c>
      <c r="AH28" s="599">
        <f t="shared" si="143"/>
        <v>0.29545454545454547</v>
      </c>
      <c r="AI28" s="599">
        <f t="shared" si="143"/>
        <v>0.27906976744186046</v>
      </c>
      <c r="AJ28" s="935">
        <f t="shared" si="144"/>
        <v>0.22448974323677692</v>
      </c>
      <c r="AK28" s="935">
        <f t="shared" si="145"/>
        <v>0.27906976744186046</v>
      </c>
      <c r="AL28" s="935">
        <f t="shared" si="146"/>
        <v>0.30697674418604654</v>
      </c>
      <c r="AM28" s="935">
        <f t="shared" si="147"/>
        <v>0.30697674418604654</v>
      </c>
      <c r="AN28" s="935">
        <f t="shared" si="148"/>
        <v>0.33767441860465119</v>
      </c>
      <c r="AO28" s="935">
        <f t="shared" si="149"/>
        <v>0.37144186046511635</v>
      </c>
      <c r="AP28" s="1036">
        <v>0.3</v>
      </c>
      <c r="AQ28" s="1036">
        <f t="shared" si="150"/>
        <v>0.27</v>
      </c>
      <c r="AR28" s="1036">
        <f t="shared" si="150"/>
        <v>0.27</v>
      </c>
      <c r="AS28" s="1036">
        <f t="shared" si="150"/>
        <v>0.27</v>
      </c>
      <c r="AT28" s="1036">
        <f t="shared" si="150"/>
        <v>0.29700000000000004</v>
      </c>
      <c r="AU28" s="1036">
        <f t="shared" si="150"/>
        <v>0.32670000000000005</v>
      </c>
      <c r="AV28" s="1036">
        <f t="shared" si="150"/>
        <v>0.32670000000000005</v>
      </c>
      <c r="AW28" s="1036">
        <f t="shared" si="150"/>
        <v>0.35937000000000008</v>
      </c>
      <c r="AX28" s="1036">
        <f t="shared" si="150"/>
        <v>0.39530700000000013</v>
      </c>
      <c r="AY28" s="1036">
        <f t="shared" si="150"/>
        <v>0.39530700000000013</v>
      </c>
      <c r="AZ28" s="1036">
        <f t="shared" si="150"/>
        <v>0.43483770000000016</v>
      </c>
      <c r="BA28" s="1036">
        <f t="shared" si="150"/>
        <v>0.47832147000000019</v>
      </c>
      <c r="BB28" s="1036">
        <v>0.3</v>
      </c>
      <c r="BC28" s="1036">
        <f t="shared" si="151"/>
        <v>0.27</v>
      </c>
      <c r="BD28" s="1036">
        <f t="shared" si="152"/>
        <v>0.27</v>
      </c>
      <c r="BE28" s="1036">
        <f t="shared" si="153"/>
        <v>0.27</v>
      </c>
      <c r="BF28" s="1036">
        <f t="shared" si="154"/>
        <v>0.29700000000000004</v>
      </c>
      <c r="BG28" s="1036">
        <f t="shared" si="155"/>
        <v>0.32670000000000005</v>
      </c>
      <c r="BH28" s="1036">
        <f t="shared" si="156"/>
        <v>0.32670000000000005</v>
      </c>
      <c r="BI28" s="1036">
        <f t="shared" si="157"/>
        <v>0.35937000000000008</v>
      </c>
      <c r="BJ28" s="1036">
        <f t="shared" si="158"/>
        <v>0.39530700000000013</v>
      </c>
      <c r="BK28" s="1036">
        <f t="shared" si="159"/>
        <v>0.39530700000000013</v>
      </c>
      <c r="BL28" s="1036">
        <f t="shared" si="160"/>
        <v>0.43483770000000016</v>
      </c>
      <c r="BM28" s="1036">
        <f t="shared" si="161"/>
        <v>0.47832147000000019</v>
      </c>
      <c r="BN28" s="1036">
        <v>0.3</v>
      </c>
      <c r="BO28" s="1036">
        <f t="shared" si="162"/>
        <v>0.27</v>
      </c>
      <c r="BP28" s="1036">
        <f t="shared" si="163"/>
        <v>0.27</v>
      </c>
      <c r="BQ28" s="1036">
        <f t="shared" si="164"/>
        <v>0.27</v>
      </c>
      <c r="BR28" s="1036">
        <f t="shared" si="165"/>
        <v>0.29700000000000004</v>
      </c>
      <c r="BS28" s="1036">
        <f t="shared" si="166"/>
        <v>0.32670000000000005</v>
      </c>
      <c r="BT28" s="1036">
        <f t="shared" si="167"/>
        <v>0.32670000000000005</v>
      </c>
      <c r="BU28" s="1036">
        <f t="shared" si="168"/>
        <v>0.35937000000000008</v>
      </c>
      <c r="BV28" s="1036">
        <f t="shared" si="169"/>
        <v>0.39530700000000013</v>
      </c>
      <c r="BW28" s="1036">
        <f t="shared" si="170"/>
        <v>0.39530700000000013</v>
      </c>
      <c r="BX28" s="1036">
        <f t="shared" si="171"/>
        <v>0.43483770000000016</v>
      </c>
      <c r="BY28" s="1036">
        <f t="shared" si="172"/>
        <v>0.47832147000000019</v>
      </c>
      <c r="BZ28" s="1036">
        <v>0.3</v>
      </c>
      <c r="CA28" s="1036">
        <f t="shared" si="173"/>
        <v>0.27</v>
      </c>
      <c r="CB28" s="1036">
        <f t="shared" si="174"/>
        <v>0.27</v>
      </c>
      <c r="CC28" s="1036">
        <f t="shared" si="175"/>
        <v>0.27</v>
      </c>
      <c r="CD28" s="1036">
        <f t="shared" si="176"/>
        <v>0.29700000000000004</v>
      </c>
      <c r="CE28" s="1036">
        <f t="shared" si="177"/>
        <v>0.32670000000000005</v>
      </c>
      <c r="CF28" s="1036">
        <f t="shared" si="178"/>
        <v>0.32670000000000005</v>
      </c>
      <c r="CG28" s="1036">
        <f t="shared" si="179"/>
        <v>0.35937000000000008</v>
      </c>
      <c r="CH28" s="1036">
        <f t="shared" si="180"/>
        <v>0.39530700000000013</v>
      </c>
      <c r="CI28" s="1036">
        <f t="shared" si="181"/>
        <v>0.39530700000000013</v>
      </c>
      <c r="CJ28" s="1036">
        <f t="shared" si="182"/>
        <v>0.43483770000000016</v>
      </c>
      <c r="CK28" s="1036">
        <f t="shared" si="183"/>
        <v>0.47832147000000019</v>
      </c>
      <c r="CL28" s="1036">
        <v>0.3</v>
      </c>
      <c r="CM28" s="1036">
        <f t="shared" si="184"/>
        <v>0.27</v>
      </c>
      <c r="CN28" s="1036">
        <f t="shared" si="185"/>
        <v>0.27</v>
      </c>
      <c r="CO28" s="1036">
        <f t="shared" si="186"/>
        <v>0.27</v>
      </c>
      <c r="CP28" s="1036">
        <f t="shared" si="187"/>
        <v>0.29700000000000004</v>
      </c>
      <c r="CQ28" s="1036">
        <f t="shared" si="188"/>
        <v>0.32670000000000005</v>
      </c>
      <c r="CR28" s="1036">
        <f t="shared" si="189"/>
        <v>0.32670000000000005</v>
      </c>
      <c r="CS28" s="1036">
        <f t="shared" si="190"/>
        <v>0.35937000000000008</v>
      </c>
      <c r="CT28" s="1036">
        <f t="shared" si="191"/>
        <v>0.39530700000000013</v>
      </c>
      <c r="CU28" s="1036">
        <f t="shared" si="192"/>
        <v>0.39530700000000013</v>
      </c>
      <c r="CV28" s="1036">
        <f t="shared" si="193"/>
        <v>0.43483770000000016</v>
      </c>
      <c r="CW28" s="1036">
        <f t="shared" si="194"/>
        <v>0.47832147000000019</v>
      </c>
      <c r="CX28" s="1036">
        <v>0.3</v>
      </c>
      <c r="CY28" s="1036">
        <f t="shared" si="195"/>
        <v>0.27</v>
      </c>
      <c r="CZ28" s="1036">
        <f t="shared" si="196"/>
        <v>0.27</v>
      </c>
      <c r="DA28" s="1036">
        <f t="shared" si="197"/>
        <v>0.27</v>
      </c>
      <c r="DB28" s="1036">
        <f t="shared" si="198"/>
        <v>0.29700000000000004</v>
      </c>
      <c r="DC28" s="1036">
        <f t="shared" si="199"/>
        <v>0.32670000000000005</v>
      </c>
      <c r="DD28" s="1036">
        <f t="shared" si="200"/>
        <v>0.32670000000000005</v>
      </c>
      <c r="DE28" s="1036">
        <f t="shared" si="201"/>
        <v>0.35937000000000008</v>
      </c>
      <c r="DF28" s="1036">
        <f t="shared" si="202"/>
        <v>0.39530700000000013</v>
      </c>
      <c r="DG28" s="1036">
        <f t="shared" si="203"/>
        <v>0.39530700000000013</v>
      </c>
      <c r="DH28" s="1036">
        <f t="shared" si="204"/>
        <v>0.43483770000000016</v>
      </c>
      <c r="DI28" s="1036">
        <f t="shared" si="205"/>
        <v>0.47832147000000019</v>
      </c>
      <c r="DK28" s="1899"/>
      <c r="DL28" s="940" t="s">
        <v>121</v>
      </c>
      <c r="DN28" s="977">
        <v>47</v>
      </c>
      <c r="DO28" s="978">
        <f>DO17*$AJ$28</f>
        <v>22.67346406691447</v>
      </c>
      <c r="DP28" s="978">
        <f>DP17*$AJ$28</f>
        <v>17.959179458942153</v>
      </c>
      <c r="DQ28" s="978">
        <f>DQ17*$AJ$28</f>
        <v>22.112239708822528</v>
      </c>
      <c r="DR28" s="979">
        <f>DR17*$AJ$28</f>
        <v>26.164279574246354</v>
      </c>
      <c r="DT28" s="977">
        <v>47</v>
      </c>
      <c r="DU28" s="978">
        <f>DU17*$AH$28</f>
        <v>29.840909090909093</v>
      </c>
      <c r="DV28" s="978">
        <f>DV17*$AH$28</f>
        <v>23.636363636363637</v>
      </c>
      <c r="DW28" s="978">
        <f>DW17*$AH$28</f>
        <v>29.10227272727273</v>
      </c>
      <c r="DX28" s="979">
        <f>DX17*$AH$28</f>
        <v>34.435227272727275</v>
      </c>
      <c r="DZ28" s="977">
        <v>47</v>
      </c>
      <c r="EA28" s="978">
        <f>EA17*AL$28</f>
        <v>30.697674418604652</v>
      </c>
      <c r="EB28" s="978">
        <f>EB17*AM$28</f>
        <v>24.558139534883722</v>
      </c>
      <c r="EC28" s="978">
        <f>EC17*AN$28</f>
        <v>32.585581395348839</v>
      </c>
      <c r="ED28" s="979">
        <f>ED17*AO$28</f>
        <v>43.458697674418616</v>
      </c>
      <c r="EF28" s="977">
        <f t="shared" ref="EF28:EQ28" si="218">EF17*AP$28</f>
        <v>38.25</v>
      </c>
      <c r="EG28" s="978">
        <f t="shared" si="218"/>
        <v>31.590000000000003</v>
      </c>
      <c r="EH28" s="978">
        <f t="shared" si="218"/>
        <v>17.955000000000002</v>
      </c>
      <c r="EI28" s="978">
        <f t="shared" si="218"/>
        <v>17.145</v>
      </c>
      <c r="EJ28" s="978">
        <f t="shared" si="218"/>
        <v>17.077500000000004</v>
      </c>
      <c r="EK28" s="978">
        <f t="shared" si="218"/>
        <v>8.1675000000000004</v>
      </c>
      <c r="EL28" s="978">
        <f t="shared" si="218"/>
        <v>6.8607000000000014</v>
      </c>
      <c r="EM28" s="978">
        <f t="shared" si="218"/>
        <v>9.1639350000000022</v>
      </c>
      <c r="EN28" s="978">
        <f t="shared" si="218"/>
        <v>14.033398500000004</v>
      </c>
      <c r="EO28" s="978">
        <f t="shared" si="218"/>
        <v>17.788815000000007</v>
      </c>
      <c r="EP28" s="978">
        <f t="shared" si="218"/>
        <v>19.567696500000007</v>
      </c>
      <c r="EQ28" s="979">
        <f t="shared" si="218"/>
        <v>21.524466150000009</v>
      </c>
      <c r="ES28" s="977">
        <f t="shared" si="213"/>
        <v>12.299999999999999</v>
      </c>
      <c r="ET28" s="978">
        <f t="shared" si="207"/>
        <v>9.99</v>
      </c>
      <c r="EU28" s="978">
        <f t="shared" si="207"/>
        <v>7.1550000000000002</v>
      </c>
      <c r="EV28" s="978">
        <f t="shared" si="207"/>
        <v>4.32</v>
      </c>
      <c r="EW28" s="978">
        <f t="shared" si="207"/>
        <v>9.6525000000000016</v>
      </c>
      <c r="EX28" s="978">
        <f t="shared" si="207"/>
        <v>16.008300000000002</v>
      </c>
      <c r="EY28" s="978">
        <f t="shared" si="207"/>
        <v>15.354900000000002</v>
      </c>
      <c r="EZ28" s="978">
        <f t="shared" si="207"/>
        <v>16.171650000000003</v>
      </c>
      <c r="FA28" s="978">
        <f t="shared" si="207"/>
        <v>17.788815000000007</v>
      </c>
      <c r="FB28" s="978">
        <f t="shared" si="207"/>
        <v>17.788815000000007</v>
      </c>
      <c r="FC28" s="978">
        <f t="shared" si="207"/>
        <v>19.567696500000007</v>
      </c>
      <c r="FD28" s="979">
        <f t="shared" si="207"/>
        <v>21.524466150000009</v>
      </c>
      <c r="FF28" s="977">
        <f t="shared" si="214"/>
        <v>13.5</v>
      </c>
      <c r="FG28" s="978">
        <f t="shared" si="208"/>
        <v>12.15</v>
      </c>
      <c r="FH28" s="978">
        <f t="shared" si="208"/>
        <v>8.2350000000000012</v>
      </c>
      <c r="FI28" s="978">
        <f t="shared" si="208"/>
        <v>4.32</v>
      </c>
      <c r="FJ28" s="978">
        <f t="shared" si="208"/>
        <v>9.6525000000000016</v>
      </c>
      <c r="FK28" s="978">
        <f t="shared" si="208"/>
        <v>13.394700000000002</v>
      </c>
      <c r="FL28" s="978">
        <f t="shared" si="208"/>
        <v>10.781100000000002</v>
      </c>
      <c r="FM28" s="978">
        <f t="shared" si="208"/>
        <v>11.859210000000003</v>
      </c>
      <c r="FN28" s="978">
        <f t="shared" si="208"/>
        <v>13.045131000000005</v>
      </c>
      <c r="FO28" s="978">
        <f t="shared" si="208"/>
        <v>13.045131000000005</v>
      </c>
      <c r="FP28" s="978">
        <f t="shared" si="208"/>
        <v>14.349644100000006</v>
      </c>
      <c r="FQ28" s="979">
        <f t="shared" si="208"/>
        <v>15.784608510000007</v>
      </c>
      <c r="FS28" s="977">
        <f t="shared" si="215"/>
        <v>9.9</v>
      </c>
      <c r="FT28" s="978">
        <f t="shared" si="209"/>
        <v>8.91</v>
      </c>
      <c r="FU28" s="978">
        <f t="shared" si="209"/>
        <v>6.6150000000000002</v>
      </c>
      <c r="FV28" s="978">
        <f t="shared" si="209"/>
        <v>4.32</v>
      </c>
      <c r="FW28" s="978">
        <f t="shared" si="209"/>
        <v>4.7520000000000007</v>
      </c>
      <c r="FX28" s="978">
        <f t="shared" si="209"/>
        <v>5.2272000000000007</v>
      </c>
      <c r="FY28" s="978">
        <f t="shared" si="209"/>
        <v>5.2272000000000007</v>
      </c>
      <c r="FZ28" s="978">
        <f t="shared" si="209"/>
        <v>5.7499200000000013</v>
      </c>
      <c r="GA28" s="978">
        <f t="shared" si="209"/>
        <v>6.3249120000000021</v>
      </c>
      <c r="GB28" s="978">
        <f t="shared" si="209"/>
        <v>6.3249120000000021</v>
      </c>
      <c r="GC28" s="978">
        <f t="shared" si="209"/>
        <v>6.9574032000000026</v>
      </c>
      <c r="GD28" s="979">
        <f t="shared" si="209"/>
        <v>7.6531435200000031</v>
      </c>
      <c r="GF28" s="977">
        <f t="shared" si="216"/>
        <v>4.8</v>
      </c>
      <c r="GG28" s="978">
        <f t="shared" si="210"/>
        <v>4.32</v>
      </c>
      <c r="GH28" s="978">
        <f t="shared" si="210"/>
        <v>4.32</v>
      </c>
      <c r="GI28" s="978">
        <f t="shared" si="210"/>
        <v>4.32</v>
      </c>
      <c r="GJ28" s="978">
        <f t="shared" si="210"/>
        <v>4.7520000000000007</v>
      </c>
      <c r="GK28" s="978">
        <f t="shared" si="210"/>
        <v>5.2272000000000007</v>
      </c>
      <c r="GL28" s="978">
        <f t="shared" si="210"/>
        <v>5.2272000000000007</v>
      </c>
      <c r="GM28" s="978">
        <f t="shared" si="210"/>
        <v>5.7499200000000013</v>
      </c>
      <c r="GN28" s="978">
        <f t="shared" si="210"/>
        <v>6.3249120000000021</v>
      </c>
      <c r="GO28" s="978">
        <f t="shared" si="210"/>
        <v>6.3249120000000021</v>
      </c>
      <c r="GP28" s="978">
        <f t="shared" si="210"/>
        <v>6.9574032000000026</v>
      </c>
      <c r="GQ28" s="979">
        <f t="shared" si="210"/>
        <v>7.6531435200000031</v>
      </c>
      <c r="GS28" s="977">
        <f t="shared" si="217"/>
        <v>4.8</v>
      </c>
      <c r="GT28" s="978">
        <f t="shared" si="211"/>
        <v>4.32</v>
      </c>
      <c r="GU28" s="978">
        <f t="shared" si="211"/>
        <v>4.32</v>
      </c>
      <c r="GV28" s="978">
        <f t="shared" si="211"/>
        <v>4.32</v>
      </c>
      <c r="GW28" s="978">
        <f t="shared" si="211"/>
        <v>4.7520000000000007</v>
      </c>
      <c r="GX28" s="978">
        <f t="shared" si="211"/>
        <v>5.2272000000000007</v>
      </c>
      <c r="GY28" s="978">
        <f t="shared" si="211"/>
        <v>5.2272000000000007</v>
      </c>
      <c r="GZ28" s="978">
        <f t="shared" si="211"/>
        <v>5.7499200000000013</v>
      </c>
      <c r="HA28" s="978">
        <f t="shared" si="211"/>
        <v>6.3249120000000021</v>
      </c>
      <c r="HB28" s="978">
        <f t="shared" si="211"/>
        <v>6.3249120000000021</v>
      </c>
      <c r="HC28" s="978">
        <f t="shared" si="211"/>
        <v>6.9574032000000026</v>
      </c>
      <c r="HD28" s="979">
        <f t="shared" si="211"/>
        <v>7.6531435200000031</v>
      </c>
    </row>
    <row r="29" spans="2:212">
      <c r="B29" s="960"/>
      <c r="C29" s="990" t="s">
        <v>1045</v>
      </c>
      <c r="D29" s="960"/>
      <c r="E29" s="960"/>
      <c r="F29" s="960"/>
      <c r="G29" s="960"/>
      <c r="H29" s="964"/>
      <c r="I29" s="964"/>
      <c r="N29" s="1899"/>
      <c r="O29" s="940" t="s">
        <v>122</v>
      </c>
      <c r="P29" s="595">
        <v>10</v>
      </c>
      <c r="Q29" s="595">
        <v>4</v>
      </c>
      <c r="R29" s="595">
        <v>11</v>
      </c>
      <c r="S29" s="595">
        <v>6</v>
      </c>
      <c r="T29" s="595">
        <v>4</v>
      </c>
      <c r="U29" s="595">
        <v>2</v>
      </c>
      <c r="V29" s="595">
        <v>9</v>
      </c>
      <c r="AA29" s="1899"/>
      <c r="AB29" s="940" t="s">
        <v>122</v>
      </c>
      <c r="AC29" s="599">
        <f t="shared" si="143"/>
        <v>0.15384615384615385</v>
      </c>
      <c r="AD29" s="599">
        <f t="shared" si="143"/>
        <v>8.3333333333333329E-2</v>
      </c>
      <c r="AE29" s="599">
        <f t="shared" si="143"/>
        <v>0.19642857142857142</v>
      </c>
      <c r="AF29" s="599">
        <f t="shared" si="143"/>
        <v>0.23076923076923078</v>
      </c>
      <c r="AG29" s="599">
        <f t="shared" si="143"/>
        <v>0.22222222222222221</v>
      </c>
      <c r="AH29" s="599">
        <f t="shared" si="143"/>
        <v>0.16666666666666666</v>
      </c>
      <c r="AI29" s="599">
        <f t="shared" si="143"/>
        <v>0.20930232558139536</v>
      </c>
      <c r="AJ29" s="935">
        <f t="shared" si="144"/>
        <v>0.18036692912108193</v>
      </c>
      <c r="AK29" s="935">
        <f t="shared" si="145"/>
        <v>0.20930232558139536</v>
      </c>
      <c r="AL29" s="935">
        <f t="shared" si="146"/>
        <v>0.23023255813953492</v>
      </c>
      <c r="AM29" s="935">
        <f t="shared" si="147"/>
        <v>0.23023255813953492</v>
      </c>
      <c r="AN29" s="935">
        <f t="shared" si="148"/>
        <v>0.25325581395348845</v>
      </c>
      <c r="AO29" s="935">
        <f t="shared" si="149"/>
        <v>0.2785813953488373</v>
      </c>
      <c r="AP29" s="1036">
        <v>0.2</v>
      </c>
      <c r="AQ29" s="1036">
        <f t="shared" si="150"/>
        <v>0.18000000000000002</v>
      </c>
      <c r="AR29" s="1036">
        <f t="shared" si="150"/>
        <v>0.18000000000000002</v>
      </c>
      <c r="AS29" s="1036">
        <f t="shared" si="150"/>
        <v>0.18000000000000002</v>
      </c>
      <c r="AT29" s="1036">
        <f t="shared" si="150"/>
        <v>0.19800000000000004</v>
      </c>
      <c r="AU29" s="1036">
        <f t="shared" si="150"/>
        <v>0.21780000000000005</v>
      </c>
      <c r="AV29" s="1036">
        <f t="shared" si="150"/>
        <v>0.21780000000000005</v>
      </c>
      <c r="AW29" s="1036">
        <f t="shared" si="150"/>
        <v>0.23958000000000007</v>
      </c>
      <c r="AX29" s="1036">
        <f t="shared" si="150"/>
        <v>0.26353800000000011</v>
      </c>
      <c r="AY29" s="1036">
        <f t="shared" si="150"/>
        <v>0.26353800000000011</v>
      </c>
      <c r="AZ29" s="1036">
        <f t="shared" si="150"/>
        <v>0.28989180000000014</v>
      </c>
      <c r="BA29" s="1036">
        <f t="shared" si="150"/>
        <v>0.3188809800000002</v>
      </c>
      <c r="BB29" s="1036">
        <v>0.2</v>
      </c>
      <c r="BC29" s="1036">
        <f t="shared" si="151"/>
        <v>0.18000000000000002</v>
      </c>
      <c r="BD29" s="1036">
        <f t="shared" si="152"/>
        <v>0.18000000000000002</v>
      </c>
      <c r="BE29" s="1036">
        <f t="shared" si="153"/>
        <v>0.18000000000000002</v>
      </c>
      <c r="BF29" s="1036">
        <f t="shared" si="154"/>
        <v>0.19800000000000004</v>
      </c>
      <c r="BG29" s="1036">
        <f t="shared" si="155"/>
        <v>0.21780000000000005</v>
      </c>
      <c r="BH29" s="1036">
        <f t="shared" si="156"/>
        <v>0.21780000000000005</v>
      </c>
      <c r="BI29" s="1036">
        <f t="shared" si="157"/>
        <v>0.23958000000000007</v>
      </c>
      <c r="BJ29" s="1036">
        <f t="shared" si="158"/>
        <v>0.26353800000000011</v>
      </c>
      <c r="BK29" s="1036">
        <f t="shared" si="159"/>
        <v>0.26353800000000011</v>
      </c>
      <c r="BL29" s="1036">
        <f t="shared" si="160"/>
        <v>0.28989180000000014</v>
      </c>
      <c r="BM29" s="1036">
        <f t="shared" si="161"/>
        <v>0.3188809800000002</v>
      </c>
      <c r="BN29" s="1036">
        <v>0.2</v>
      </c>
      <c r="BO29" s="1036">
        <f t="shared" si="162"/>
        <v>0.18000000000000002</v>
      </c>
      <c r="BP29" s="1036">
        <f t="shared" si="163"/>
        <v>0.18000000000000002</v>
      </c>
      <c r="BQ29" s="1036">
        <f t="shared" si="164"/>
        <v>0.18000000000000002</v>
      </c>
      <c r="BR29" s="1036">
        <f t="shared" si="165"/>
        <v>0.19800000000000004</v>
      </c>
      <c r="BS29" s="1036">
        <f t="shared" si="166"/>
        <v>0.21780000000000005</v>
      </c>
      <c r="BT29" s="1036">
        <f t="shared" si="167"/>
        <v>0.21780000000000005</v>
      </c>
      <c r="BU29" s="1036">
        <f t="shared" si="168"/>
        <v>0.23958000000000007</v>
      </c>
      <c r="BV29" s="1036">
        <f t="shared" si="169"/>
        <v>0.26353800000000011</v>
      </c>
      <c r="BW29" s="1036">
        <f t="shared" si="170"/>
        <v>0.26353800000000011</v>
      </c>
      <c r="BX29" s="1036">
        <f t="shared" si="171"/>
        <v>0.28989180000000014</v>
      </c>
      <c r="BY29" s="1036">
        <f t="shared" si="172"/>
        <v>0.3188809800000002</v>
      </c>
      <c r="BZ29" s="1036">
        <v>0.2</v>
      </c>
      <c r="CA29" s="1036">
        <f t="shared" si="173"/>
        <v>0.18000000000000002</v>
      </c>
      <c r="CB29" s="1036">
        <f t="shared" si="174"/>
        <v>0.18000000000000002</v>
      </c>
      <c r="CC29" s="1036">
        <f t="shared" si="175"/>
        <v>0.18000000000000002</v>
      </c>
      <c r="CD29" s="1036">
        <f t="shared" si="176"/>
        <v>0.19800000000000004</v>
      </c>
      <c r="CE29" s="1036">
        <f t="shared" si="177"/>
        <v>0.21780000000000005</v>
      </c>
      <c r="CF29" s="1036">
        <f t="shared" si="178"/>
        <v>0.21780000000000005</v>
      </c>
      <c r="CG29" s="1036">
        <f t="shared" si="179"/>
        <v>0.23958000000000007</v>
      </c>
      <c r="CH29" s="1036">
        <f t="shared" si="180"/>
        <v>0.26353800000000011</v>
      </c>
      <c r="CI29" s="1036">
        <f t="shared" si="181"/>
        <v>0.26353800000000011</v>
      </c>
      <c r="CJ29" s="1036">
        <f t="shared" si="182"/>
        <v>0.28989180000000014</v>
      </c>
      <c r="CK29" s="1036">
        <f t="shared" si="183"/>
        <v>0.3188809800000002</v>
      </c>
      <c r="CL29" s="1036">
        <v>0.2</v>
      </c>
      <c r="CM29" s="1036">
        <f t="shared" si="184"/>
        <v>0.18000000000000002</v>
      </c>
      <c r="CN29" s="1036">
        <f t="shared" si="185"/>
        <v>0.18000000000000002</v>
      </c>
      <c r="CO29" s="1036">
        <f t="shared" si="186"/>
        <v>0.18000000000000002</v>
      </c>
      <c r="CP29" s="1036">
        <f t="shared" si="187"/>
        <v>0.19800000000000004</v>
      </c>
      <c r="CQ29" s="1036">
        <f t="shared" si="188"/>
        <v>0.21780000000000005</v>
      </c>
      <c r="CR29" s="1036">
        <f t="shared" si="189"/>
        <v>0.21780000000000005</v>
      </c>
      <c r="CS29" s="1036">
        <f t="shared" si="190"/>
        <v>0.23958000000000007</v>
      </c>
      <c r="CT29" s="1036">
        <f t="shared" si="191"/>
        <v>0.26353800000000011</v>
      </c>
      <c r="CU29" s="1036">
        <f t="shared" si="192"/>
        <v>0.26353800000000011</v>
      </c>
      <c r="CV29" s="1036">
        <f t="shared" si="193"/>
        <v>0.28989180000000014</v>
      </c>
      <c r="CW29" s="1036">
        <f t="shared" si="194"/>
        <v>0.3188809800000002</v>
      </c>
      <c r="CX29" s="1036">
        <v>0.2</v>
      </c>
      <c r="CY29" s="1036">
        <f t="shared" si="195"/>
        <v>0.18000000000000002</v>
      </c>
      <c r="CZ29" s="1036">
        <f t="shared" si="196"/>
        <v>0.18000000000000002</v>
      </c>
      <c r="DA29" s="1036">
        <f t="shared" si="197"/>
        <v>0.18000000000000002</v>
      </c>
      <c r="DB29" s="1036">
        <f t="shared" si="198"/>
        <v>0.19800000000000004</v>
      </c>
      <c r="DC29" s="1036">
        <f t="shared" si="199"/>
        <v>0.21780000000000005</v>
      </c>
      <c r="DD29" s="1036">
        <f t="shared" si="200"/>
        <v>0.21780000000000005</v>
      </c>
      <c r="DE29" s="1036">
        <f t="shared" si="201"/>
        <v>0.23958000000000007</v>
      </c>
      <c r="DF29" s="1036">
        <f t="shared" si="202"/>
        <v>0.26353800000000011</v>
      </c>
      <c r="DG29" s="1036">
        <f t="shared" si="203"/>
        <v>0.26353800000000011</v>
      </c>
      <c r="DH29" s="1036">
        <f t="shared" si="204"/>
        <v>0.28989180000000014</v>
      </c>
      <c r="DI29" s="1036">
        <f t="shared" si="205"/>
        <v>0.3188809800000002</v>
      </c>
      <c r="DK29" s="1899"/>
      <c r="DL29" s="940" t="s">
        <v>122</v>
      </c>
      <c r="DN29" s="977">
        <v>8</v>
      </c>
      <c r="DO29" s="978">
        <f>DO18*$AJ$29</f>
        <v>18.938527557713602</v>
      </c>
      <c r="DP29" s="978">
        <f>DP18*$AJ$29</f>
        <v>18.217059841229275</v>
      </c>
      <c r="DQ29" s="978">
        <f>DQ18*$AJ$29</f>
        <v>14.429354329686554</v>
      </c>
      <c r="DR29" s="979">
        <f>DR18*$AJ$29</f>
        <v>17.76614251842657</v>
      </c>
      <c r="DT29" s="977">
        <v>8</v>
      </c>
      <c r="DU29" s="978">
        <f>DU18*$AH$29</f>
        <v>17.5</v>
      </c>
      <c r="DV29" s="978">
        <f>DV18*$AH$29</f>
        <v>16.833333333333332</v>
      </c>
      <c r="DW29" s="978">
        <f>DW18*$AH$29</f>
        <v>13.333333333333332</v>
      </c>
      <c r="DX29" s="979">
        <f>DX18*$AH$29</f>
        <v>16.416666666666664</v>
      </c>
      <c r="DZ29" s="977">
        <v>8</v>
      </c>
      <c r="EA29" s="978">
        <f>EA18*AL$29</f>
        <v>23.713953488372095</v>
      </c>
      <c r="EB29" s="978">
        <f>EB18*AM$29</f>
        <v>23.02325581395349</v>
      </c>
      <c r="EC29" s="978">
        <f>EC18*AN$29</f>
        <v>20.260465116279075</v>
      </c>
      <c r="ED29" s="979">
        <f>ED18*AO$29</f>
        <v>26.8831046511628</v>
      </c>
      <c r="EF29" s="977">
        <f t="shared" ref="EF29:EQ29" si="219">EF18*AP$29</f>
        <v>23.400000000000002</v>
      </c>
      <c r="EG29" s="978">
        <f t="shared" si="219"/>
        <v>22.950000000000003</v>
      </c>
      <c r="EH29" s="978">
        <f t="shared" si="219"/>
        <v>21.060000000000002</v>
      </c>
      <c r="EI29" s="978">
        <f t="shared" si="219"/>
        <v>11.97</v>
      </c>
      <c r="EJ29" s="978">
        <f t="shared" si="219"/>
        <v>12.573000000000002</v>
      </c>
      <c r="EK29" s="978">
        <f t="shared" si="219"/>
        <v>12.523500000000002</v>
      </c>
      <c r="EL29" s="978">
        <f t="shared" si="219"/>
        <v>5.4450000000000012</v>
      </c>
      <c r="EM29" s="978">
        <f t="shared" si="219"/>
        <v>5.0311800000000018</v>
      </c>
      <c r="EN29" s="978">
        <f t="shared" si="219"/>
        <v>6.7202190000000028</v>
      </c>
      <c r="EO29" s="978">
        <f t="shared" si="219"/>
        <v>9.3555990000000033</v>
      </c>
      <c r="EP29" s="978">
        <f t="shared" si="219"/>
        <v>13.045131000000007</v>
      </c>
      <c r="EQ29" s="979">
        <f t="shared" si="219"/>
        <v>14.34964410000001</v>
      </c>
      <c r="ES29" s="977">
        <f t="shared" si="213"/>
        <v>9</v>
      </c>
      <c r="ET29" s="978">
        <f t="shared" si="207"/>
        <v>7.3800000000000008</v>
      </c>
      <c r="EU29" s="978">
        <f t="shared" si="207"/>
        <v>6.660000000000001</v>
      </c>
      <c r="EV29" s="978">
        <f t="shared" si="207"/>
        <v>4.7700000000000005</v>
      </c>
      <c r="EW29" s="978">
        <f t="shared" si="207"/>
        <v>3.1680000000000006</v>
      </c>
      <c r="EX29" s="978">
        <f t="shared" si="207"/>
        <v>7.0785000000000018</v>
      </c>
      <c r="EY29" s="978">
        <f t="shared" si="207"/>
        <v>10.672200000000002</v>
      </c>
      <c r="EZ29" s="978">
        <f t="shared" si="207"/>
        <v>11.260260000000004</v>
      </c>
      <c r="FA29" s="978">
        <f t="shared" si="207"/>
        <v>11.859210000000004</v>
      </c>
      <c r="FB29" s="978">
        <f t="shared" si="207"/>
        <v>11.859210000000004</v>
      </c>
      <c r="FC29" s="978">
        <f t="shared" si="207"/>
        <v>13.045131000000007</v>
      </c>
      <c r="FD29" s="979">
        <f t="shared" si="207"/>
        <v>14.34964410000001</v>
      </c>
      <c r="FF29" s="977">
        <f t="shared" si="214"/>
        <v>9</v>
      </c>
      <c r="FG29" s="978">
        <f t="shared" si="208"/>
        <v>8.1000000000000014</v>
      </c>
      <c r="FH29" s="978">
        <f t="shared" si="208"/>
        <v>8.1000000000000014</v>
      </c>
      <c r="FI29" s="978">
        <f t="shared" si="208"/>
        <v>5.49</v>
      </c>
      <c r="FJ29" s="978">
        <f t="shared" si="208"/>
        <v>3.1680000000000006</v>
      </c>
      <c r="FK29" s="978">
        <f t="shared" si="208"/>
        <v>7.0785000000000018</v>
      </c>
      <c r="FL29" s="978">
        <f t="shared" si="208"/>
        <v>8.929800000000002</v>
      </c>
      <c r="FM29" s="978">
        <f t="shared" si="208"/>
        <v>7.9061400000000024</v>
      </c>
      <c r="FN29" s="978">
        <f t="shared" si="208"/>
        <v>8.6967540000000039</v>
      </c>
      <c r="FO29" s="978">
        <f t="shared" si="208"/>
        <v>8.6967540000000039</v>
      </c>
      <c r="FP29" s="978">
        <f t="shared" si="208"/>
        <v>9.5664294000000041</v>
      </c>
      <c r="FQ29" s="979">
        <f t="shared" si="208"/>
        <v>10.523072340000006</v>
      </c>
      <c r="FS29" s="977">
        <f t="shared" si="215"/>
        <v>6.6000000000000005</v>
      </c>
      <c r="FT29" s="978">
        <f t="shared" si="209"/>
        <v>5.94</v>
      </c>
      <c r="FU29" s="978">
        <f t="shared" si="209"/>
        <v>5.94</v>
      </c>
      <c r="FV29" s="978">
        <f t="shared" si="209"/>
        <v>4.41</v>
      </c>
      <c r="FW29" s="978">
        <f t="shared" si="209"/>
        <v>3.1680000000000006</v>
      </c>
      <c r="FX29" s="978">
        <f t="shared" si="209"/>
        <v>3.4848000000000008</v>
      </c>
      <c r="FY29" s="978">
        <f t="shared" si="209"/>
        <v>3.4848000000000008</v>
      </c>
      <c r="FZ29" s="978">
        <f t="shared" si="209"/>
        <v>3.8332800000000011</v>
      </c>
      <c r="GA29" s="978">
        <f t="shared" si="209"/>
        <v>4.2166080000000017</v>
      </c>
      <c r="GB29" s="978">
        <f t="shared" si="209"/>
        <v>4.2166080000000017</v>
      </c>
      <c r="GC29" s="978">
        <f t="shared" si="209"/>
        <v>4.6382688000000023</v>
      </c>
      <c r="GD29" s="979">
        <f t="shared" si="209"/>
        <v>5.1020956800000032</v>
      </c>
      <c r="GF29" s="977">
        <f t="shared" si="216"/>
        <v>3.2</v>
      </c>
      <c r="GG29" s="978">
        <f t="shared" si="210"/>
        <v>2.8800000000000003</v>
      </c>
      <c r="GH29" s="978">
        <f t="shared" si="210"/>
        <v>2.8800000000000003</v>
      </c>
      <c r="GI29" s="978">
        <f t="shared" si="210"/>
        <v>2.8800000000000003</v>
      </c>
      <c r="GJ29" s="978">
        <f t="shared" si="210"/>
        <v>3.1680000000000006</v>
      </c>
      <c r="GK29" s="978">
        <f t="shared" si="210"/>
        <v>3.4848000000000008</v>
      </c>
      <c r="GL29" s="978">
        <f t="shared" si="210"/>
        <v>3.4848000000000008</v>
      </c>
      <c r="GM29" s="978">
        <f t="shared" si="210"/>
        <v>3.8332800000000011</v>
      </c>
      <c r="GN29" s="978">
        <f t="shared" si="210"/>
        <v>4.2166080000000017</v>
      </c>
      <c r="GO29" s="978">
        <f t="shared" si="210"/>
        <v>4.2166080000000017</v>
      </c>
      <c r="GP29" s="978">
        <f t="shared" si="210"/>
        <v>4.6382688000000023</v>
      </c>
      <c r="GQ29" s="979">
        <f t="shared" si="210"/>
        <v>5.1020956800000032</v>
      </c>
      <c r="GS29" s="977">
        <f t="shared" si="217"/>
        <v>3.2</v>
      </c>
      <c r="GT29" s="978">
        <f t="shared" si="211"/>
        <v>2.8800000000000003</v>
      </c>
      <c r="GU29" s="978">
        <f t="shared" si="211"/>
        <v>2.8800000000000003</v>
      </c>
      <c r="GV29" s="978">
        <f t="shared" si="211"/>
        <v>2.8800000000000003</v>
      </c>
      <c r="GW29" s="978">
        <f t="shared" si="211"/>
        <v>3.1680000000000006</v>
      </c>
      <c r="GX29" s="978">
        <f t="shared" si="211"/>
        <v>3.4848000000000008</v>
      </c>
      <c r="GY29" s="978">
        <f t="shared" si="211"/>
        <v>3.4848000000000008</v>
      </c>
      <c r="GZ29" s="978">
        <f t="shared" si="211"/>
        <v>3.8332800000000011</v>
      </c>
      <c r="HA29" s="978">
        <f t="shared" si="211"/>
        <v>4.2166080000000017</v>
      </c>
      <c r="HB29" s="978">
        <f t="shared" si="211"/>
        <v>4.2166080000000017</v>
      </c>
      <c r="HC29" s="978">
        <f t="shared" si="211"/>
        <v>4.6382688000000023</v>
      </c>
      <c r="HD29" s="979">
        <f t="shared" si="211"/>
        <v>5.1020956800000032</v>
      </c>
    </row>
    <row r="30" spans="2:212">
      <c r="B30" s="960"/>
      <c r="C30" s="960" t="s">
        <v>1046</v>
      </c>
      <c r="D30" s="960"/>
      <c r="E30" s="960"/>
      <c r="F30" s="960"/>
      <c r="G30" s="960"/>
      <c r="H30" s="964"/>
      <c r="I30" s="964"/>
      <c r="N30" s="1899"/>
      <c r="O30" s="940" t="s">
        <v>123</v>
      </c>
      <c r="P30" s="595">
        <v>1</v>
      </c>
      <c r="Q30" s="595">
        <v>6</v>
      </c>
      <c r="R30" s="595">
        <v>12</v>
      </c>
      <c r="S30" s="595">
        <v>7</v>
      </c>
      <c r="T30" s="595">
        <v>7</v>
      </c>
      <c r="U30" s="595">
        <v>2</v>
      </c>
      <c r="V30" s="595">
        <v>2</v>
      </c>
      <c r="AA30" s="1899"/>
      <c r="AB30" s="940" t="s">
        <v>123</v>
      </c>
      <c r="AC30" s="599">
        <f t="shared" si="143"/>
        <v>2.3255813953488372E-2</v>
      </c>
      <c r="AD30" s="599">
        <f t="shared" si="143"/>
        <v>9.375E-2</v>
      </c>
      <c r="AE30" s="599">
        <f t="shared" si="143"/>
        <v>0.25</v>
      </c>
      <c r="AF30" s="599">
        <f t="shared" si="143"/>
        <v>0.12727272727272726</v>
      </c>
      <c r="AG30" s="599">
        <f t="shared" si="143"/>
        <v>0.26923076923076922</v>
      </c>
      <c r="AH30" s="599">
        <f t="shared" si="143"/>
        <v>0.125</v>
      </c>
      <c r="AI30" s="599">
        <f t="shared" si="143"/>
        <v>0.18181818181818182</v>
      </c>
      <c r="AJ30" s="935">
        <f t="shared" si="144"/>
        <v>0.15290392746788095</v>
      </c>
      <c r="AK30" s="935">
        <f t="shared" si="145"/>
        <v>0.18181818181818182</v>
      </c>
      <c r="AL30" s="935">
        <f t="shared" si="146"/>
        <v>0.2</v>
      </c>
      <c r="AM30" s="935">
        <f t="shared" si="147"/>
        <v>0.2</v>
      </c>
      <c r="AN30" s="935">
        <f t="shared" si="148"/>
        <v>0.22000000000000003</v>
      </c>
      <c r="AO30" s="935">
        <f t="shared" si="149"/>
        <v>0.24200000000000005</v>
      </c>
      <c r="AP30" s="1036">
        <v>0.18</v>
      </c>
      <c r="AQ30" s="1036">
        <f t="shared" si="150"/>
        <v>0.16200000000000001</v>
      </c>
      <c r="AR30" s="1036">
        <f t="shared" si="150"/>
        <v>0.16200000000000001</v>
      </c>
      <c r="AS30" s="1036">
        <f t="shared" si="150"/>
        <v>0.16200000000000001</v>
      </c>
      <c r="AT30" s="1036">
        <f t="shared" si="150"/>
        <v>0.17820000000000003</v>
      </c>
      <c r="AU30" s="1036">
        <f t="shared" si="150"/>
        <v>0.19602000000000006</v>
      </c>
      <c r="AV30" s="1036">
        <f t="shared" si="150"/>
        <v>0.19602000000000006</v>
      </c>
      <c r="AW30" s="1036">
        <f t="shared" si="150"/>
        <v>0.21562200000000009</v>
      </c>
      <c r="AX30" s="1036">
        <f t="shared" si="150"/>
        <v>0.23718420000000012</v>
      </c>
      <c r="AY30" s="1036">
        <f t="shared" si="150"/>
        <v>0.23718420000000012</v>
      </c>
      <c r="AZ30" s="1036">
        <f t="shared" si="150"/>
        <v>0.26090262000000014</v>
      </c>
      <c r="BA30" s="1036">
        <f t="shared" si="150"/>
        <v>0.28699288200000017</v>
      </c>
      <c r="BB30" s="1036">
        <v>0.18</v>
      </c>
      <c r="BC30" s="1036">
        <f t="shared" si="151"/>
        <v>0.16200000000000001</v>
      </c>
      <c r="BD30" s="1036">
        <f t="shared" si="152"/>
        <v>0.16200000000000001</v>
      </c>
      <c r="BE30" s="1036">
        <f t="shared" si="153"/>
        <v>0.16200000000000001</v>
      </c>
      <c r="BF30" s="1036">
        <f t="shared" si="154"/>
        <v>0.17820000000000003</v>
      </c>
      <c r="BG30" s="1036">
        <f t="shared" si="155"/>
        <v>0.19602000000000006</v>
      </c>
      <c r="BH30" s="1036">
        <f t="shared" si="156"/>
        <v>0.19602000000000006</v>
      </c>
      <c r="BI30" s="1036">
        <f t="shared" si="157"/>
        <v>0.21562200000000009</v>
      </c>
      <c r="BJ30" s="1036">
        <f t="shared" si="158"/>
        <v>0.23718420000000012</v>
      </c>
      <c r="BK30" s="1036">
        <f t="shared" si="159"/>
        <v>0.23718420000000012</v>
      </c>
      <c r="BL30" s="1036">
        <f t="shared" si="160"/>
        <v>0.26090262000000014</v>
      </c>
      <c r="BM30" s="1036">
        <f t="shared" si="161"/>
        <v>0.28699288200000017</v>
      </c>
      <c r="BN30" s="1036">
        <v>0.18</v>
      </c>
      <c r="BO30" s="1036">
        <f t="shared" si="162"/>
        <v>0.16200000000000001</v>
      </c>
      <c r="BP30" s="1036">
        <f t="shared" si="163"/>
        <v>0.16200000000000001</v>
      </c>
      <c r="BQ30" s="1036">
        <f t="shared" si="164"/>
        <v>0.16200000000000001</v>
      </c>
      <c r="BR30" s="1036">
        <f t="shared" si="165"/>
        <v>0.17820000000000003</v>
      </c>
      <c r="BS30" s="1036">
        <f t="shared" si="166"/>
        <v>0.19602000000000006</v>
      </c>
      <c r="BT30" s="1036">
        <f t="shared" si="167"/>
        <v>0.19602000000000006</v>
      </c>
      <c r="BU30" s="1036">
        <f t="shared" si="168"/>
        <v>0.21562200000000009</v>
      </c>
      <c r="BV30" s="1036">
        <f t="shared" si="169"/>
        <v>0.23718420000000012</v>
      </c>
      <c r="BW30" s="1036">
        <f t="shared" si="170"/>
        <v>0.23718420000000012</v>
      </c>
      <c r="BX30" s="1036">
        <f t="shared" si="171"/>
        <v>0.26090262000000014</v>
      </c>
      <c r="BY30" s="1036">
        <f t="shared" si="172"/>
        <v>0.28699288200000017</v>
      </c>
      <c r="BZ30" s="1036">
        <v>0.18</v>
      </c>
      <c r="CA30" s="1036">
        <f t="shared" si="173"/>
        <v>0.16200000000000001</v>
      </c>
      <c r="CB30" s="1036">
        <f t="shared" si="174"/>
        <v>0.16200000000000001</v>
      </c>
      <c r="CC30" s="1036">
        <f t="shared" si="175"/>
        <v>0.16200000000000001</v>
      </c>
      <c r="CD30" s="1036">
        <f t="shared" si="176"/>
        <v>0.17820000000000003</v>
      </c>
      <c r="CE30" s="1036">
        <f t="shared" si="177"/>
        <v>0.19602000000000006</v>
      </c>
      <c r="CF30" s="1036">
        <f t="shared" si="178"/>
        <v>0.19602000000000006</v>
      </c>
      <c r="CG30" s="1036">
        <f t="shared" si="179"/>
        <v>0.21562200000000009</v>
      </c>
      <c r="CH30" s="1036">
        <f t="shared" si="180"/>
        <v>0.23718420000000012</v>
      </c>
      <c r="CI30" s="1036">
        <f t="shared" si="181"/>
        <v>0.23718420000000012</v>
      </c>
      <c r="CJ30" s="1036">
        <f t="shared" si="182"/>
        <v>0.26090262000000014</v>
      </c>
      <c r="CK30" s="1036">
        <f t="shared" si="183"/>
        <v>0.28699288200000017</v>
      </c>
      <c r="CL30" s="1036">
        <v>0.18</v>
      </c>
      <c r="CM30" s="1036">
        <f t="shared" si="184"/>
        <v>0.16200000000000001</v>
      </c>
      <c r="CN30" s="1036">
        <f t="shared" si="185"/>
        <v>0.16200000000000001</v>
      </c>
      <c r="CO30" s="1036">
        <f t="shared" si="186"/>
        <v>0.16200000000000001</v>
      </c>
      <c r="CP30" s="1036">
        <f t="shared" si="187"/>
        <v>0.17820000000000003</v>
      </c>
      <c r="CQ30" s="1036">
        <f t="shared" si="188"/>
        <v>0.19602000000000006</v>
      </c>
      <c r="CR30" s="1036">
        <f t="shared" si="189"/>
        <v>0.19602000000000006</v>
      </c>
      <c r="CS30" s="1036">
        <f t="shared" si="190"/>
        <v>0.21562200000000009</v>
      </c>
      <c r="CT30" s="1036">
        <f t="shared" si="191"/>
        <v>0.23718420000000012</v>
      </c>
      <c r="CU30" s="1036">
        <f t="shared" si="192"/>
        <v>0.23718420000000012</v>
      </c>
      <c r="CV30" s="1036">
        <f t="shared" si="193"/>
        <v>0.26090262000000014</v>
      </c>
      <c r="CW30" s="1036">
        <f t="shared" si="194"/>
        <v>0.28699288200000017</v>
      </c>
      <c r="CX30" s="1036">
        <v>0.18</v>
      </c>
      <c r="CY30" s="1036">
        <f t="shared" si="195"/>
        <v>0.16200000000000001</v>
      </c>
      <c r="CZ30" s="1036">
        <f t="shared" si="196"/>
        <v>0.16200000000000001</v>
      </c>
      <c r="DA30" s="1036">
        <f t="shared" si="197"/>
        <v>0.16200000000000001</v>
      </c>
      <c r="DB30" s="1036">
        <f t="shared" si="198"/>
        <v>0.17820000000000003</v>
      </c>
      <c r="DC30" s="1036">
        <f t="shared" si="199"/>
        <v>0.19602000000000006</v>
      </c>
      <c r="DD30" s="1036">
        <f t="shared" si="200"/>
        <v>0.19602000000000006</v>
      </c>
      <c r="DE30" s="1036">
        <f t="shared" si="201"/>
        <v>0.21562200000000009</v>
      </c>
      <c r="DF30" s="1036">
        <f t="shared" si="202"/>
        <v>0.23718420000000012</v>
      </c>
      <c r="DG30" s="1036">
        <f t="shared" si="203"/>
        <v>0.23718420000000012</v>
      </c>
      <c r="DH30" s="1036">
        <f t="shared" si="204"/>
        <v>0.26090262000000014</v>
      </c>
      <c r="DI30" s="1036">
        <f t="shared" si="205"/>
        <v>0.28699288200000017</v>
      </c>
      <c r="DK30" s="1899"/>
      <c r="DL30" s="940" t="s">
        <v>123</v>
      </c>
      <c r="DN30" s="977">
        <v>5</v>
      </c>
      <c r="DO30" s="978">
        <f>DO19*$AJ$30</f>
        <v>6.7277728085867619</v>
      </c>
      <c r="DP30" s="978">
        <f>DP19*$AJ$30</f>
        <v>16.054912384127501</v>
      </c>
      <c r="DQ30" s="978">
        <f>DQ19*$AJ$30</f>
        <v>15.443296674255976</v>
      </c>
      <c r="DR30" s="979">
        <f>DR19*$AJ$30</f>
        <v>12.232314197430476</v>
      </c>
      <c r="DT30" s="977">
        <v>5</v>
      </c>
      <c r="DU30" s="978">
        <f>DU19*$AH$30</f>
        <v>5.5</v>
      </c>
      <c r="DV30" s="978">
        <f>DV19*$AH$30</f>
        <v>13.125</v>
      </c>
      <c r="DW30" s="978">
        <f>DW19*$AH$30</f>
        <v>12.625</v>
      </c>
      <c r="DX30" s="979">
        <f>DX19*$AH$30</f>
        <v>10</v>
      </c>
      <c r="DZ30" s="977">
        <v>5</v>
      </c>
      <c r="EA30" s="978">
        <f>EA19*AL$30</f>
        <v>8.2000000000000011</v>
      </c>
      <c r="EB30" s="978">
        <f>EB19*AM$30</f>
        <v>20.6</v>
      </c>
      <c r="EC30" s="978">
        <f>EC19*AN$30</f>
        <v>22.000000000000004</v>
      </c>
      <c r="ED30" s="979">
        <f>ED19*AO$30</f>
        <v>19.360000000000003</v>
      </c>
      <c r="EF30" s="977">
        <f t="shared" ref="EF30:EQ30" si="220">EF19*AP$30</f>
        <v>17.37</v>
      </c>
      <c r="EG30" s="978">
        <f t="shared" si="220"/>
        <v>18.954000000000001</v>
      </c>
      <c r="EH30" s="978">
        <f t="shared" si="220"/>
        <v>20.655000000000001</v>
      </c>
      <c r="EI30" s="978">
        <f t="shared" si="220"/>
        <v>18.954000000000001</v>
      </c>
      <c r="EJ30" s="978">
        <f t="shared" si="220"/>
        <v>11.850300000000002</v>
      </c>
      <c r="EK30" s="978">
        <f t="shared" si="220"/>
        <v>12.447270000000003</v>
      </c>
      <c r="EL30" s="978">
        <f t="shared" si="220"/>
        <v>11.271150000000004</v>
      </c>
      <c r="EM30" s="978">
        <f t="shared" si="220"/>
        <v>5.390550000000002</v>
      </c>
      <c r="EN30" s="978">
        <f t="shared" si="220"/>
        <v>4.9808682000000024</v>
      </c>
      <c r="EO30" s="978">
        <f t="shared" si="220"/>
        <v>6.048197100000003</v>
      </c>
      <c r="EP30" s="978">
        <f t="shared" si="220"/>
        <v>9.2620430100000046</v>
      </c>
      <c r="EQ30" s="979">
        <f t="shared" si="220"/>
        <v>12.914679690000007</v>
      </c>
      <c r="ES30" s="977">
        <f t="shared" si="213"/>
        <v>8.1</v>
      </c>
      <c r="ET30" s="978">
        <f t="shared" si="207"/>
        <v>7.29</v>
      </c>
      <c r="EU30" s="978">
        <f t="shared" si="207"/>
        <v>6.6420000000000003</v>
      </c>
      <c r="EV30" s="978">
        <f t="shared" si="207"/>
        <v>5.9939999999999998</v>
      </c>
      <c r="EW30" s="978">
        <f t="shared" si="207"/>
        <v>4.7223000000000006</v>
      </c>
      <c r="EX30" s="978">
        <f t="shared" si="207"/>
        <v>3.1363200000000009</v>
      </c>
      <c r="EY30" s="978">
        <f t="shared" si="207"/>
        <v>6.3706500000000021</v>
      </c>
      <c r="EZ30" s="978">
        <f t="shared" si="207"/>
        <v>10.565478000000004</v>
      </c>
      <c r="FA30" s="978">
        <f t="shared" si="207"/>
        <v>11.147657400000005</v>
      </c>
      <c r="FB30" s="978">
        <f t="shared" si="207"/>
        <v>10.673289000000006</v>
      </c>
      <c r="FC30" s="978">
        <f t="shared" si="207"/>
        <v>11.740617900000005</v>
      </c>
      <c r="FD30" s="979">
        <f t="shared" si="207"/>
        <v>12.914679690000007</v>
      </c>
      <c r="FF30" s="977">
        <f t="shared" si="214"/>
        <v>8.1</v>
      </c>
      <c r="FG30" s="978">
        <f t="shared" si="208"/>
        <v>7.29</v>
      </c>
      <c r="FH30" s="978">
        <f t="shared" si="208"/>
        <v>7.29</v>
      </c>
      <c r="FI30" s="978">
        <f t="shared" si="208"/>
        <v>7.29</v>
      </c>
      <c r="FJ30" s="978">
        <f t="shared" si="208"/>
        <v>5.4351000000000012</v>
      </c>
      <c r="FK30" s="978">
        <f t="shared" si="208"/>
        <v>3.1363200000000009</v>
      </c>
      <c r="FL30" s="978">
        <f t="shared" si="208"/>
        <v>6.3706500000000021</v>
      </c>
      <c r="FM30" s="978">
        <f t="shared" si="208"/>
        <v>8.8405020000000043</v>
      </c>
      <c r="FN30" s="978">
        <f t="shared" si="208"/>
        <v>7.8270786000000037</v>
      </c>
      <c r="FO30" s="978">
        <f t="shared" si="208"/>
        <v>7.8270786000000037</v>
      </c>
      <c r="FP30" s="978">
        <f t="shared" si="208"/>
        <v>8.609786460000004</v>
      </c>
      <c r="FQ30" s="979">
        <f t="shared" si="208"/>
        <v>9.4707651060000053</v>
      </c>
      <c r="FS30" s="977">
        <f t="shared" si="215"/>
        <v>5.9399999999999995</v>
      </c>
      <c r="FT30" s="978">
        <f t="shared" si="209"/>
        <v>5.3460000000000001</v>
      </c>
      <c r="FU30" s="978">
        <f t="shared" si="209"/>
        <v>5.3460000000000001</v>
      </c>
      <c r="FV30" s="978">
        <f t="shared" si="209"/>
        <v>5.3460000000000001</v>
      </c>
      <c r="FW30" s="978">
        <f t="shared" si="209"/>
        <v>4.3659000000000008</v>
      </c>
      <c r="FX30" s="978">
        <f t="shared" si="209"/>
        <v>3.1363200000000009</v>
      </c>
      <c r="FY30" s="978">
        <f t="shared" si="209"/>
        <v>3.1363200000000009</v>
      </c>
      <c r="FZ30" s="978">
        <f t="shared" si="209"/>
        <v>3.4499520000000015</v>
      </c>
      <c r="GA30" s="978">
        <f t="shared" si="209"/>
        <v>3.794947200000002</v>
      </c>
      <c r="GB30" s="978">
        <f t="shared" si="209"/>
        <v>3.794947200000002</v>
      </c>
      <c r="GC30" s="978">
        <f t="shared" si="209"/>
        <v>4.1744419200000022</v>
      </c>
      <c r="GD30" s="979">
        <f t="shared" si="209"/>
        <v>4.5918861120000027</v>
      </c>
      <c r="GF30" s="977">
        <f t="shared" si="216"/>
        <v>2.88</v>
      </c>
      <c r="GG30" s="978">
        <f t="shared" si="210"/>
        <v>2.5920000000000001</v>
      </c>
      <c r="GH30" s="978">
        <f t="shared" si="210"/>
        <v>2.5920000000000001</v>
      </c>
      <c r="GI30" s="978">
        <f t="shared" si="210"/>
        <v>2.5920000000000001</v>
      </c>
      <c r="GJ30" s="978">
        <f t="shared" si="210"/>
        <v>2.8512000000000004</v>
      </c>
      <c r="GK30" s="978">
        <f t="shared" si="210"/>
        <v>3.1363200000000009</v>
      </c>
      <c r="GL30" s="978">
        <f t="shared" si="210"/>
        <v>3.1363200000000009</v>
      </c>
      <c r="GM30" s="978">
        <f t="shared" si="210"/>
        <v>3.4499520000000015</v>
      </c>
      <c r="GN30" s="978">
        <f t="shared" si="210"/>
        <v>3.794947200000002</v>
      </c>
      <c r="GO30" s="978">
        <f t="shared" si="210"/>
        <v>3.794947200000002</v>
      </c>
      <c r="GP30" s="978">
        <f t="shared" si="210"/>
        <v>4.1744419200000022</v>
      </c>
      <c r="GQ30" s="979">
        <f t="shared" si="210"/>
        <v>4.5918861120000027</v>
      </c>
      <c r="GS30" s="977">
        <f t="shared" si="217"/>
        <v>2.88</v>
      </c>
      <c r="GT30" s="978">
        <f t="shared" si="211"/>
        <v>2.5920000000000001</v>
      </c>
      <c r="GU30" s="978">
        <f t="shared" si="211"/>
        <v>2.5920000000000001</v>
      </c>
      <c r="GV30" s="978">
        <f t="shared" si="211"/>
        <v>2.5920000000000001</v>
      </c>
      <c r="GW30" s="978">
        <f t="shared" si="211"/>
        <v>2.8512000000000004</v>
      </c>
      <c r="GX30" s="978">
        <f t="shared" si="211"/>
        <v>3.1363200000000009</v>
      </c>
      <c r="GY30" s="978">
        <f t="shared" si="211"/>
        <v>3.1363200000000009</v>
      </c>
      <c r="GZ30" s="978">
        <f t="shared" si="211"/>
        <v>3.4499520000000015</v>
      </c>
      <c r="HA30" s="978">
        <f t="shared" si="211"/>
        <v>3.794947200000002</v>
      </c>
      <c r="HB30" s="978">
        <f t="shared" si="211"/>
        <v>3.794947200000002</v>
      </c>
      <c r="HC30" s="978">
        <f t="shared" si="211"/>
        <v>4.1744419200000022</v>
      </c>
      <c r="HD30" s="979">
        <f t="shared" si="211"/>
        <v>4.5918861120000027</v>
      </c>
    </row>
    <row r="31" spans="2:212">
      <c r="B31" s="1031"/>
      <c r="C31" s="1034"/>
      <c r="D31" s="1034"/>
      <c r="E31" s="1034"/>
      <c r="F31" s="1034"/>
      <c r="G31" s="1035"/>
      <c r="H31" s="1034"/>
      <c r="I31" s="1027"/>
      <c r="N31" s="1899"/>
      <c r="O31" s="940" t="s">
        <v>124</v>
      </c>
      <c r="P31" s="595">
        <v>1</v>
      </c>
      <c r="Q31" s="595">
        <v>3</v>
      </c>
      <c r="R31" s="595">
        <v>9</v>
      </c>
      <c r="S31" s="595">
        <v>4</v>
      </c>
      <c r="T31" s="595">
        <v>4</v>
      </c>
      <c r="U31" s="595">
        <v>7</v>
      </c>
      <c r="V31" s="595">
        <v>3</v>
      </c>
      <c r="AA31" s="1899"/>
      <c r="AB31" s="940" t="s">
        <v>124</v>
      </c>
      <c r="AC31" s="599">
        <f t="shared" si="143"/>
        <v>2.1739130434782608E-2</v>
      </c>
      <c r="AD31" s="599">
        <f t="shared" si="143"/>
        <v>7.1428571428571425E-2</v>
      </c>
      <c r="AE31" s="599">
        <f t="shared" si="143"/>
        <v>0.15254237288135594</v>
      </c>
      <c r="AF31" s="599">
        <f t="shared" si="143"/>
        <v>8.6956521739130432E-2</v>
      </c>
      <c r="AG31" s="599">
        <f t="shared" si="143"/>
        <v>7.5471698113207544E-2</v>
      </c>
      <c r="AH31" s="599">
        <f t="shared" si="143"/>
        <v>0.29166666666666669</v>
      </c>
      <c r="AI31" s="599">
        <f t="shared" si="143"/>
        <v>0.1875</v>
      </c>
      <c r="AJ31" s="935">
        <f t="shared" si="144"/>
        <v>0.12675785160910208</v>
      </c>
      <c r="AK31" s="935">
        <f t="shared" si="145"/>
        <v>0.1875</v>
      </c>
      <c r="AL31" s="935">
        <f t="shared" si="146"/>
        <v>0.20625000000000002</v>
      </c>
      <c r="AM31" s="935">
        <f t="shared" si="147"/>
        <v>0.20625000000000002</v>
      </c>
      <c r="AN31" s="935">
        <f t="shared" si="148"/>
        <v>0.22687500000000005</v>
      </c>
      <c r="AO31" s="935">
        <f t="shared" si="149"/>
        <v>0.24956250000000008</v>
      </c>
      <c r="AP31" s="1036">
        <v>0.15</v>
      </c>
      <c r="AQ31" s="1036">
        <f t="shared" si="150"/>
        <v>0.13500000000000001</v>
      </c>
      <c r="AR31" s="1036">
        <f t="shared" si="150"/>
        <v>0.13500000000000001</v>
      </c>
      <c r="AS31" s="1036">
        <f t="shared" si="150"/>
        <v>0.13500000000000001</v>
      </c>
      <c r="AT31" s="1036">
        <f t="shared" si="150"/>
        <v>0.14850000000000002</v>
      </c>
      <c r="AU31" s="1036">
        <f t="shared" si="150"/>
        <v>0.16335000000000002</v>
      </c>
      <c r="AV31" s="1036">
        <f t="shared" si="150"/>
        <v>0.16335000000000002</v>
      </c>
      <c r="AW31" s="1036">
        <f t="shared" si="150"/>
        <v>0.17968500000000004</v>
      </c>
      <c r="AX31" s="1036">
        <f t="shared" si="150"/>
        <v>0.19765350000000007</v>
      </c>
      <c r="AY31" s="1036">
        <f t="shared" si="150"/>
        <v>0.19765350000000007</v>
      </c>
      <c r="AZ31" s="1036">
        <f t="shared" si="150"/>
        <v>0.21741885000000008</v>
      </c>
      <c r="BA31" s="1036">
        <f t="shared" si="150"/>
        <v>0.2391607350000001</v>
      </c>
      <c r="BB31" s="1036">
        <v>0.15</v>
      </c>
      <c r="BC31" s="1036">
        <f t="shared" si="151"/>
        <v>0.13500000000000001</v>
      </c>
      <c r="BD31" s="1036">
        <f t="shared" si="152"/>
        <v>0.13500000000000001</v>
      </c>
      <c r="BE31" s="1036">
        <f t="shared" si="153"/>
        <v>0.13500000000000001</v>
      </c>
      <c r="BF31" s="1036">
        <f t="shared" si="154"/>
        <v>0.14850000000000002</v>
      </c>
      <c r="BG31" s="1036">
        <f t="shared" si="155"/>
        <v>0.16335000000000002</v>
      </c>
      <c r="BH31" s="1036">
        <f t="shared" si="156"/>
        <v>0.16335000000000002</v>
      </c>
      <c r="BI31" s="1036">
        <f t="shared" si="157"/>
        <v>0.17968500000000004</v>
      </c>
      <c r="BJ31" s="1036">
        <f t="shared" si="158"/>
        <v>0.19765350000000007</v>
      </c>
      <c r="BK31" s="1036">
        <f t="shared" si="159"/>
        <v>0.19765350000000007</v>
      </c>
      <c r="BL31" s="1036">
        <f t="shared" si="160"/>
        <v>0.21741885000000008</v>
      </c>
      <c r="BM31" s="1036">
        <f t="shared" si="161"/>
        <v>0.2391607350000001</v>
      </c>
      <c r="BN31" s="1036">
        <v>0.15</v>
      </c>
      <c r="BO31" s="1036">
        <f t="shared" si="162"/>
        <v>0.13500000000000001</v>
      </c>
      <c r="BP31" s="1036">
        <f t="shared" si="163"/>
        <v>0.13500000000000001</v>
      </c>
      <c r="BQ31" s="1036">
        <f t="shared" si="164"/>
        <v>0.13500000000000001</v>
      </c>
      <c r="BR31" s="1036">
        <f t="shared" si="165"/>
        <v>0.14850000000000002</v>
      </c>
      <c r="BS31" s="1036">
        <f t="shared" si="166"/>
        <v>0.16335000000000002</v>
      </c>
      <c r="BT31" s="1036">
        <f t="shared" si="167"/>
        <v>0.16335000000000002</v>
      </c>
      <c r="BU31" s="1036">
        <f t="shared" si="168"/>
        <v>0.17968500000000004</v>
      </c>
      <c r="BV31" s="1036">
        <f t="shared" si="169"/>
        <v>0.19765350000000007</v>
      </c>
      <c r="BW31" s="1036">
        <f t="shared" si="170"/>
        <v>0.19765350000000007</v>
      </c>
      <c r="BX31" s="1036">
        <f t="shared" si="171"/>
        <v>0.21741885000000008</v>
      </c>
      <c r="BY31" s="1036">
        <f t="shared" si="172"/>
        <v>0.2391607350000001</v>
      </c>
      <c r="BZ31" s="1036">
        <v>0.15</v>
      </c>
      <c r="CA31" s="1036">
        <f t="shared" si="173"/>
        <v>0.13500000000000001</v>
      </c>
      <c r="CB31" s="1036">
        <f t="shared" si="174"/>
        <v>0.13500000000000001</v>
      </c>
      <c r="CC31" s="1036">
        <f t="shared" si="175"/>
        <v>0.13500000000000001</v>
      </c>
      <c r="CD31" s="1036">
        <f t="shared" si="176"/>
        <v>0.14850000000000002</v>
      </c>
      <c r="CE31" s="1036">
        <f t="shared" si="177"/>
        <v>0.16335000000000002</v>
      </c>
      <c r="CF31" s="1036">
        <f t="shared" si="178"/>
        <v>0.16335000000000002</v>
      </c>
      <c r="CG31" s="1036">
        <f t="shared" si="179"/>
        <v>0.17968500000000004</v>
      </c>
      <c r="CH31" s="1036">
        <f t="shared" si="180"/>
        <v>0.19765350000000007</v>
      </c>
      <c r="CI31" s="1036">
        <f t="shared" si="181"/>
        <v>0.19765350000000007</v>
      </c>
      <c r="CJ31" s="1036">
        <f t="shared" si="182"/>
        <v>0.21741885000000008</v>
      </c>
      <c r="CK31" s="1036">
        <f t="shared" si="183"/>
        <v>0.2391607350000001</v>
      </c>
      <c r="CL31" s="1036">
        <v>0.15</v>
      </c>
      <c r="CM31" s="1036">
        <f t="shared" si="184"/>
        <v>0.13500000000000001</v>
      </c>
      <c r="CN31" s="1036">
        <f t="shared" si="185"/>
        <v>0.13500000000000001</v>
      </c>
      <c r="CO31" s="1036">
        <f t="shared" si="186"/>
        <v>0.13500000000000001</v>
      </c>
      <c r="CP31" s="1036">
        <f t="shared" si="187"/>
        <v>0.14850000000000002</v>
      </c>
      <c r="CQ31" s="1036">
        <f t="shared" si="188"/>
        <v>0.16335000000000002</v>
      </c>
      <c r="CR31" s="1036">
        <f t="shared" si="189"/>
        <v>0.16335000000000002</v>
      </c>
      <c r="CS31" s="1036">
        <f t="shared" si="190"/>
        <v>0.17968500000000004</v>
      </c>
      <c r="CT31" s="1036">
        <f t="shared" si="191"/>
        <v>0.19765350000000007</v>
      </c>
      <c r="CU31" s="1036">
        <f t="shared" si="192"/>
        <v>0.19765350000000007</v>
      </c>
      <c r="CV31" s="1036">
        <f t="shared" si="193"/>
        <v>0.21741885000000008</v>
      </c>
      <c r="CW31" s="1036">
        <f t="shared" si="194"/>
        <v>0.2391607350000001</v>
      </c>
      <c r="CX31" s="1036">
        <v>0.15</v>
      </c>
      <c r="CY31" s="1036">
        <f t="shared" si="195"/>
        <v>0.13500000000000001</v>
      </c>
      <c r="CZ31" s="1036">
        <f t="shared" si="196"/>
        <v>0.13500000000000001</v>
      </c>
      <c r="DA31" s="1036">
        <f t="shared" si="197"/>
        <v>0.13500000000000001</v>
      </c>
      <c r="DB31" s="1036">
        <f t="shared" si="198"/>
        <v>0.14850000000000002</v>
      </c>
      <c r="DC31" s="1036">
        <f t="shared" si="199"/>
        <v>0.16335000000000002</v>
      </c>
      <c r="DD31" s="1036">
        <f t="shared" si="200"/>
        <v>0.16335000000000002</v>
      </c>
      <c r="DE31" s="1036">
        <f t="shared" si="201"/>
        <v>0.17968500000000004</v>
      </c>
      <c r="DF31" s="1036">
        <f t="shared" si="202"/>
        <v>0.19765350000000007</v>
      </c>
      <c r="DG31" s="1036">
        <f t="shared" si="203"/>
        <v>0.19765350000000007</v>
      </c>
      <c r="DH31" s="1036">
        <f t="shared" si="204"/>
        <v>0.21741885000000008</v>
      </c>
      <c r="DI31" s="1036">
        <f t="shared" si="205"/>
        <v>0.2391607350000001</v>
      </c>
      <c r="DK31" s="1899"/>
      <c r="DL31" s="940" t="s">
        <v>124</v>
      </c>
      <c r="DN31" s="977">
        <v>1</v>
      </c>
      <c r="DO31" s="978">
        <f>DO20*$AJ$31</f>
        <v>5.4505876191913893</v>
      </c>
      <c r="DP31" s="978">
        <f>DP20*$AJ$31</f>
        <v>5.5773454708004913</v>
      </c>
      <c r="DQ31" s="978">
        <f>DQ20*$AJ$31</f>
        <v>13.309574418955718</v>
      </c>
      <c r="DR31" s="979">
        <f>DR20*$AJ$31</f>
        <v>12.80254301251931</v>
      </c>
      <c r="DT31" s="977">
        <v>1</v>
      </c>
      <c r="DU31" s="978">
        <f>DU20*$AH$31</f>
        <v>12.541666666666668</v>
      </c>
      <c r="DV31" s="978">
        <f>DV20*$AH$31</f>
        <v>12.833333333333334</v>
      </c>
      <c r="DW31" s="978">
        <f>DW20*$AH$31</f>
        <v>30.625000000000004</v>
      </c>
      <c r="DX31" s="979">
        <f>DX20*$AH$31</f>
        <v>29.458333333333336</v>
      </c>
      <c r="DZ31" s="977">
        <v>1</v>
      </c>
      <c r="EA31" s="978">
        <f>EA20*AL$31</f>
        <v>8.6625000000000014</v>
      </c>
      <c r="EB31" s="978">
        <f>EB20*AM$31</f>
        <v>8.4562500000000007</v>
      </c>
      <c r="EC31" s="978">
        <f>EC20*AN$31</f>
        <v>23.368125000000006</v>
      </c>
      <c r="ED31" s="979">
        <f>ED20*AO$31</f>
        <v>24.956250000000008</v>
      </c>
      <c r="EF31" s="977">
        <f t="shared" ref="EF31:EQ31" si="221">EF20*AP$31</f>
        <v>12</v>
      </c>
      <c r="EG31" s="978">
        <f t="shared" si="221"/>
        <v>13.027500000000002</v>
      </c>
      <c r="EH31" s="978">
        <f t="shared" si="221"/>
        <v>15.795000000000002</v>
      </c>
      <c r="EI31" s="978">
        <f t="shared" si="221"/>
        <v>17.212500000000002</v>
      </c>
      <c r="EJ31" s="978">
        <f t="shared" si="221"/>
        <v>17.374500000000001</v>
      </c>
      <c r="EK31" s="978">
        <f t="shared" si="221"/>
        <v>10.862775000000001</v>
      </c>
      <c r="EL31" s="978">
        <f t="shared" si="221"/>
        <v>10.372725000000001</v>
      </c>
      <c r="EM31" s="978">
        <f t="shared" si="221"/>
        <v>10.331887500000002</v>
      </c>
      <c r="EN31" s="978">
        <f t="shared" si="221"/>
        <v>4.9413375000000013</v>
      </c>
      <c r="EO31" s="978">
        <f t="shared" si="221"/>
        <v>4.1507235000000016</v>
      </c>
      <c r="EP31" s="978">
        <f t="shared" si="221"/>
        <v>5.5441806750000024</v>
      </c>
      <c r="EQ31" s="979">
        <f t="shared" si="221"/>
        <v>8.4902060925000029</v>
      </c>
      <c r="ES31" s="977">
        <f t="shared" si="213"/>
        <v>6.75</v>
      </c>
      <c r="ET31" s="978">
        <f t="shared" si="207"/>
        <v>6.0750000000000002</v>
      </c>
      <c r="EU31" s="978">
        <f t="shared" si="207"/>
        <v>6.0750000000000002</v>
      </c>
      <c r="EV31" s="978">
        <f t="shared" si="207"/>
        <v>5.5350000000000001</v>
      </c>
      <c r="EW31" s="978">
        <f t="shared" si="207"/>
        <v>5.4945000000000004</v>
      </c>
      <c r="EX31" s="978">
        <f t="shared" si="207"/>
        <v>4.3287750000000003</v>
      </c>
      <c r="EY31" s="978">
        <f t="shared" si="207"/>
        <v>2.6136000000000004</v>
      </c>
      <c r="EZ31" s="978">
        <f t="shared" si="207"/>
        <v>5.8397625000000009</v>
      </c>
      <c r="FA31" s="978">
        <f t="shared" si="207"/>
        <v>9.6850215000000031</v>
      </c>
      <c r="FB31" s="978">
        <f t="shared" si="207"/>
        <v>9.2897145000000023</v>
      </c>
      <c r="FC31" s="978">
        <f t="shared" si="207"/>
        <v>9.7838482500000037</v>
      </c>
      <c r="FD31" s="979">
        <f t="shared" si="207"/>
        <v>10.762233075000005</v>
      </c>
      <c r="FF31" s="977">
        <f t="shared" si="214"/>
        <v>6.75</v>
      </c>
      <c r="FG31" s="978">
        <f t="shared" si="208"/>
        <v>6.0750000000000002</v>
      </c>
      <c r="FH31" s="978">
        <f t="shared" si="208"/>
        <v>6.0750000000000002</v>
      </c>
      <c r="FI31" s="978">
        <f t="shared" si="208"/>
        <v>6.0750000000000002</v>
      </c>
      <c r="FJ31" s="978">
        <f t="shared" si="208"/>
        <v>6.682500000000001</v>
      </c>
      <c r="FK31" s="978">
        <f t="shared" si="208"/>
        <v>4.9821750000000007</v>
      </c>
      <c r="FL31" s="978">
        <f t="shared" si="208"/>
        <v>2.6136000000000004</v>
      </c>
      <c r="FM31" s="978">
        <f t="shared" si="208"/>
        <v>5.8397625000000009</v>
      </c>
      <c r="FN31" s="978">
        <f t="shared" si="208"/>
        <v>8.1037935000000019</v>
      </c>
      <c r="FO31" s="978">
        <f t="shared" si="208"/>
        <v>6.5225655000000025</v>
      </c>
      <c r="FP31" s="978">
        <f t="shared" si="208"/>
        <v>7.1748220500000031</v>
      </c>
      <c r="FQ31" s="979">
        <f t="shared" si="208"/>
        <v>7.8923042550000035</v>
      </c>
      <c r="FS31" s="977">
        <f t="shared" si="215"/>
        <v>4.95</v>
      </c>
      <c r="FT31" s="978">
        <f t="shared" si="209"/>
        <v>4.4550000000000001</v>
      </c>
      <c r="FU31" s="978">
        <f t="shared" si="209"/>
        <v>4.4550000000000001</v>
      </c>
      <c r="FV31" s="978">
        <f t="shared" si="209"/>
        <v>4.4550000000000001</v>
      </c>
      <c r="FW31" s="978">
        <f t="shared" si="209"/>
        <v>4.900500000000001</v>
      </c>
      <c r="FX31" s="978">
        <f t="shared" si="209"/>
        <v>4.0020750000000005</v>
      </c>
      <c r="FY31" s="978">
        <f t="shared" si="209"/>
        <v>2.6136000000000004</v>
      </c>
      <c r="FZ31" s="978">
        <f t="shared" si="209"/>
        <v>2.8749600000000006</v>
      </c>
      <c r="GA31" s="978">
        <f t="shared" si="209"/>
        <v>3.162456000000001</v>
      </c>
      <c r="GB31" s="978">
        <f t="shared" si="209"/>
        <v>3.162456000000001</v>
      </c>
      <c r="GC31" s="978">
        <f t="shared" si="209"/>
        <v>3.4787016000000013</v>
      </c>
      <c r="GD31" s="979">
        <f t="shared" si="209"/>
        <v>3.8265717600000015</v>
      </c>
      <c r="GF31" s="977">
        <f t="shared" si="216"/>
        <v>2.4</v>
      </c>
      <c r="GG31" s="978">
        <f t="shared" si="210"/>
        <v>2.16</v>
      </c>
      <c r="GH31" s="978">
        <f t="shared" si="210"/>
        <v>2.16</v>
      </c>
      <c r="GI31" s="978">
        <f t="shared" si="210"/>
        <v>2.16</v>
      </c>
      <c r="GJ31" s="978">
        <f t="shared" si="210"/>
        <v>2.3760000000000003</v>
      </c>
      <c r="GK31" s="978">
        <f t="shared" si="210"/>
        <v>2.6136000000000004</v>
      </c>
      <c r="GL31" s="978">
        <f t="shared" si="210"/>
        <v>2.6136000000000004</v>
      </c>
      <c r="GM31" s="978">
        <f t="shared" si="210"/>
        <v>2.8749600000000006</v>
      </c>
      <c r="GN31" s="978">
        <f t="shared" si="210"/>
        <v>3.162456000000001</v>
      </c>
      <c r="GO31" s="978">
        <f t="shared" si="210"/>
        <v>3.162456000000001</v>
      </c>
      <c r="GP31" s="978">
        <f t="shared" si="210"/>
        <v>3.4787016000000013</v>
      </c>
      <c r="GQ31" s="979">
        <f t="shared" si="210"/>
        <v>3.8265717600000015</v>
      </c>
      <c r="GS31" s="977">
        <f t="shared" si="217"/>
        <v>2.4</v>
      </c>
      <c r="GT31" s="978">
        <f t="shared" si="211"/>
        <v>2.16</v>
      </c>
      <c r="GU31" s="978">
        <f t="shared" si="211"/>
        <v>2.16</v>
      </c>
      <c r="GV31" s="978">
        <f t="shared" si="211"/>
        <v>2.16</v>
      </c>
      <c r="GW31" s="978">
        <f t="shared" si="211"/>
        <v>2.3760000000000003</v>
      </c>
      <c r="GX31" s="978">
        <f t="shared" si="211"/>
        <v>2.6136000000000004</v>
      </c>
      <c r="GY31" s="978">
        <f t="shared" si="211"/>
        <v>2.6136000000000004</v>
      </c>
      <c r="GZ31" s="978">
        <f t="shared" si="211"/>
        <v>2.8749600000000006</v>
      </c>
      <c r="HA31" s="978">
        <f t="shared" si="211"/>
        <v>3.162456000000001</v>
      </c>
      <c r="HB31" s="978">
        <f t="shared" si="211"/>
        <v>3.162456000000001</v>
      </c>
      <c r="HC31" s="978">
        <f t="shared" si="211"/>
        <v>3.4787016000000013</v>
      </c>
      <c r="HD31" s="979">
        <f t="shared" si="211"/>
        <v>3.8265717600000015</v>
      </c>
    </row>
    <row r="32" spans="2:212">
      <c r="B32" s="1037" t="s">
        <v>1062</v>
      </c>
      <c r="C32" s="1038"/>
      <c r="D32" s="1038"/>
      <c r="E32" s="1039"/>
      <c r="F32" s="1039"/>
      <c r="G32" s="1040"/>
      <c r="H32" s="1039"/>
      <c r="I32" s="1039"/>
      <c r="N32" s="1899"/>
      <c r="O32" s="940" t="s">
        <v>125</v>
      </c>
      <c r="P32" s="595">
        <v>0</v>
      </c>
      <c r="Q32" s="595">
        <v>1</v>
      </c>
      <c r="R32" s="595">
        <v>3</v>
      </c>
      <c r="S32" s="595">
        <v>4</v>
      </c>
      <c r="T32" s="595">
        <v>2</v>
      </c>
      <c r="U32" s="595">
        <v>3</v>
      </c>
      <c r="V32" s="595">
        <v>4</v>
      </c>
      <c r="AA32" s="1899"/>
      <c r="AB32" s="940" t="s">
        <v>125</v>
      </c>
      <c r="AC32" s="599">
        <f t="shared" si="143"/>
        <v>0</v>
      </c>
      <c r="AD32" s="599">
        <f t="shared" si="143"/>
        <v>3.0303030303030304E-2</v>
      </c>
      <c r="AE32" s="599">
        <f t="shared" si="143"/>
        <v>7.6923076923076927E-2</v>
      </c>
      <c r="AF32" s="599">
        <f t="shared" si="143"/>
        <v>7.8431372549019607E-2</v>
      </c>
      <c r="AG32" s="599">
        <f t="shared" si="143"/>
        <v>5.128205128205128E-2</v>
      </c>
      <c r="AH32" s="599">
        <f t="shared" si="143"/>
        <v>9.6774193548387094E-2</v>
      </c>
      <c r="AI32" s="599">
        <f t="shared" si="143"/>
        <v>0.23529411764705882</v>
      </c>
      <c r="AJ32" s="935">
        <f t="shared" si="144"/>
        <v>8.1286834607517733E-2</v>
      </c>
      <c r="AK32" s="935">
        <f t="shared" si="145"/>
        <v>0.23529411764705882</v>
      </c>
      <c r="AL32" s="935">
        <f t="shared" si="146"/>
        <v>0.25882352941176473</v>
      </c>
      <c r="AM32" s="935">
        <f t="shared" si="147"/>
        <v>0.25882352941176473</v>
      </c>
      <c r="AN32" s="935">
        <f t="shared" si="148"/>
        <v>0.28470588235294125</v>
      </c>
      <c r="AO32" s="935">
        <f t="shared" si="149"/>
        <v>0.31317647058823539</v>
      </c>
      <c r="AP32" s="1036">
        <v>0.12</v>
      </c>
      <c r="AQ32" s="1036">
        <f t="shared" si="150"/>
        <v>0.108</v>
      </c>
      <c r="AR32" s="1036">
        <f t="shared" si="150"/>
        <v>0.108</v>
      </c>
      <c r="AS32" s="1036">
        <f t="shared" si="150"/>
        <v>0.108</v>
      </c>
      <c r="AT32" s="1036">
        <f t="shared" si="150"/>
        <v>0.1188</v>
      </c>
      <c r="AU32" s="1036">
        <f t="shared" si="150"/>
        <v>0.13068000000000002</v>
      </c>
      <c r="AV32" s="1036">
        <f t="shared" si="150"/>
        <v>0.13068000000000002</v>
      </c>
      <c r="AW32" s="1036">
        <f t="shared" si="150"/>
        <v>0.14374800000000004</v>
      </c>
      <c r="AX32" s="1036">
        <f t="shared" si="150"/>
        <v>0.15812280000000006</v>
      </c>
      <c r="AY32" s="1036">
        <f t="shared" si="150"/>
        <v>0.15812280000000006</v>
      </c>
      <c r="AZ32" s="1036">
        <f t="shared" si="150"/>
        <v>0.17393508000000008</v>
      </c>
      <c r="BA32" s="1036">
        <f t="shared" si="150"/>
        <v>0.1913285880000001</v>
      </c>
      <c r="BB32" s="1036">
        <v>0.12</v>
      </c>
      <c r="BC32" s="1036">
        <f t="shared" si="151"/>
        <v>0.108</v>
      </c>
      <c r="BD32" s="1036">
        <f t="shared" si="152"/>
        <v>0.108</v>
      </c>
      <c r="BE32" s="1036">
        <f t="shared" si="153"/>
        <v>0.108</v>
      </c>
      <c r="BF32" s="1036">
        <f t="shared" si="154"/>
        <v>0.1188</v>
      </c>
      <c r="BG32" s="1036">
        <f t="shared" si="155"/>
        <v>0.13068000000000002</v>
      </c>
      <c r="BH32" s="1036">
        <f t="shared" si="156"/>
        <v>0.13068000000000002</v>
      </c>
      <c r="BI32" s="1036">
        <f t="shared" si="157"/>
        <v>0.14374800000000004</v>
      </c>
      <c r="BJ32" s="1036">
        <f t="shared" si="158"/>
        <v>0.15812280000000006</v>
      </c>
      <c r="BK32" s="1036">
        <f t="shared" si="159"/>
        <v>0.15812280000000006</v>
      </c>
      <c r="BL32" s="1036">
        <f t="shared" si="160"/>
        <v>0.17393508000000008</v>
      </c>
      <c r="BM32" s="1036">
        <f t="shared" si="161"/>
        <v>0.1913285880000001</v>
      </c>
      <c r="BN32" s="1036">
        <v>0.12</v>
      </c>
      <c r="BO32" s="1036">
        <f t="shared" si="162"/>
        <v>0.108</v>
      </c>
      <c r="BP32" s="1036">
        <f t="shared" si="163"/>
        <v>0.108</v>
      </c>
      <c r="BQ32" s="1036">
        <f t="shared" si="164"/>
        <v>0.108</v>
      </c>
      <c r="BR32" s="1036">
        <f t="shared" si="165"/>
        <v>0.1188</v>
      </c>
      <c r="BS32" s="1036">
        <f t="shared" si="166"/>
        <v>0.13068000000000002</v>
      </c>
      <c r="BT32" s="1036">
        <f t="shared" si="167"/>
        <v>0.13068000000000002</v>
      </c>
      <c r="BU32" s="1036">
        <f t="shared" si="168"/>
        <v>0.14374800000000004</v>
      </c>
      <c r="BV32" s="1036">
        <f t="shared" si="169"/>
        <v>0.15812280000000006</v>
      </c>
      <c r="BW32" s="1036">
        <f t="shared" si="170"/>
        <v>0.15812280000000006</v>
      </c>
      <c r="BX32" s="1036">
        <f t="shared" si="171"/>
        <v>0.17393508000000008</v>
      </c>
      <c r="BY32" s="1036">
        <f t="shared" si="172"/>
        <v>0.1913285880000001</v>
      </c>
      <c r="BZ32" s="1036">
        <v>0.12</v>
      </c>
      <c r="CA32" s="1036">
        <f t="shared" si="173"/>
        <v>0.108</v>
      </c>
      <c r="CB32" s="1036">
        <f t="shared" si="174"/>
        <v>0.108</v>
      </c>
      <c r="CC32" s="1036">
        <f t="shared" si="175"/>
        <v>0.108</v>
      </c>
      <c r="CD32" s="1036">
        <f t="shared" si="176"/>
        <v>0.1188</v>
      </c>
      <c r="CE32" s="1036">
        <f t="shared" si="177"/>
        <v>0.13068000000000002</v>
      </c>
      <c r="CF32" s="1036">
        <f t="shared" si="178"/>
        <v>0.13068000000000002</v>
      </c>
      <c r="CG32" s="1036">
        <f t="shared" si="179"/>
        <v>0.14374800000000004</v>
      </c>
      <c r="CH32" s="1036">
        <f t="shared" si="180"/>
        <v>0.15812280000000006</v>
      </c>
      <c r="CI32" s="1036">
        <f t="shared" si="181"/>
        <v>0.15812280000000006</v>
      </c>
      <c r="CJ32" s="1036">
        <f t="shared" si="182"/>
        <v>0.17393508000000008</v>
      </c>
      <c r="CK32" s="1036">
        <f t="shared" si="183"/>
        <v>0.1913285880000001</v>
      </c>
      <c r="CL32" s="1036">
        <v>0.12</v>
      </c>
      <c r="CM32" s="1036">
        <f t="shared" si="184"/>
        <v>0.108</v>
      </c>
      <c r="CN32" s="1036">
        <f t="shared" si="185"/>
        <v>0.108</v>
      </c>
      <c r="CO32" s="1036">
        <f t="shared" si="186"/>
        <v>0.108</v>
      </c>
      <c r="CP32" s="1036">
        <f t="shared" si="187"/>
        <v>0.1188</v>
      </c>
      <c r="CQ32" s="1036">
        <f t="shared" si="188"/>
        <v>0.13068000000000002</v>
      </c>
      <c r="CR32" s="1036">
        <f t="shared" si="189"/>
        <v>0.13068000000000002</v>
      </c>
      <c r="CS32" s="1036">
        <f t="shared" si="190"/>
        <v>0.14374800000000004</v>
      </c>
      <c r="CT32" s="1036">
        <f t="shared" si="191"/>
        <v>0.15812280000000006</v>
      </c>
      <c r="CU32" s="1036">
        <f t="shared" si="192"/>
        <v>0.15812280000000006</v>
      </c>
      <c r="CV32" s="1036">
        <f t="shared" si="193"/>
        <v>0.17393508000000008</v>
      </c>
      <c r="CW32" s="1036">
        <f t="shared" si="194"/>
        <v>0.1913285880000001</v>
      </c>
      <c r="CX32" s="1036">
        <v>0.12</v>
      </c>
      <c r="CY32" s="1036">
        <f t="shared" si="195"/>
        <v>0.108</v>
      </c>
      <c r="CZ32" s="1036">
        <f t="shared" si="196"/>
        <v>0.108</v>
      </c>
      <c r="DA32" s="1036">
        <f t="shared" si="197"/>
        <v>0.108</v>
      </c>
      <c r="DB32" s="1036">
        <f t="shared" si="198"/>
        <v>0.1188</v>
      </c>
      <c r="DC32" s="1036">
        <f t="shared" si="199"/>
        <v>0.13068000000000002</v>
      </c>
      <c r="DD32" s="1036">
        <f t="shared" si="200"/>
        <v>0.13068000000000002</v>
      </c>
      <c r="DE32" s="1036">
        <f t="shared" si="201"/>
        <v>0.14374800000000004</v>
      </c>
      <c r="DF32" s="1036">
        <f t="shared" si="202"/>
        <v>0.15812280000000006</v>
      </c>
      <c r="DG32" s="1036">
        <f t="shared" si="203"/>
        <v>0.15812280000000006</v>
      </c>
      <c r="DH32" s="1036">
        <f t="shared" si="204"/>
        <v>0.17393508000000008</v>
      </c>
      <c r="DI32" s="1036">
        <f t="shared" si="205"/>
        <v>0.1913285880000001</v>
      </c>
      <c r="DK32" s="1899"/>
      <c r="DL32" s="940" t="s">
        <v>125</v>
      </c>
      <c r="DN32" s="977">
        <v>1</v>
      </c>
      <c r="DO32" s="978">
        <f>DO21*$AJ$32</f>
        <v>0.89415518068269506</v>
      </c>
      <c r="DP32" s="978">
        <f>DP21*$AJ$32</f>
        <v>3.4953338881232625</v>
      </c>
      <c r="DQ32" s="978">
        <f>DQ21*$AJ$32</f>
        <v>3.5766207227307802</v>
      </c>
      <c r="DR32" s="979">
        <f>DR21*$AJ$32</f>
        <v>8.5351176337893619</v>
      </c>
      <c r="DT32" s="977">
        <v>1</v>
      </c>
      <c r="DU32" s="978">
        <f>DU21*$AH$32</f>
        <v>1.064516129032258</v>
      </c>
      <c r="DV32" s="978">
        <f>DV21*$AH$32</f>
        <v>4.161290322580645</v>
      </c>
      <c r="DW32" s="978">
        <f>DW21*$AH$32</f>
        <v>4.258064516129032</v>
      </c>
      <c r="DX32" s="979">
        <f>DX21*$AH$32</f>
        <v>10.161290322580644</v>
      </c>
      <c r="DZ32" s="977">
        <v>1</v>
      </c>
      <c r="EA32" s="978">
        <f>EA21*AL$32</f>
        <v>2.8470588235294119</v>
      </c>
      <c r="EB32" s="978">
        <f>EB21*AM$32</f>
        <v>10.870588235294118</v>
      </c>
      <c r="EC32" s="978">
        <f>EC21*AN$32</f>
        <v>11.672941176470591</v>
      </c>
      <c r="ED32" s="979">
        <f>ED21*AO$32</f>
        <v>32.257176470588249</v>
      </c>
      <c r="EF32" s="977">
        <f t="shared" ref="EF32:EQ32" si="222">EF21*AP$32</f>
        <v>12</v>
      </c>
      <c r="EG32" s="978">
        <f t="shared" si="222"/>
        <v>8.64</v>
      </c>
      <c r="EH32" s="978">
        <f t="shared" si="222"/>
        <v>10.422000000000001</v>
      </c>
      <c r="EI32" s="978">
        <f t="shared" si="222"/>
        <v>12.635999999999999</v>
      </c>
      <c r="EJ32" s="978">
        <f t="shared" si="222"/>
        <v>15.147</v>
      </c>
      <c r="EK32" s="978">
        <f t="shared" si="222"/>
        <v>15.289560000000002</v>
      </c>
      <c r="EL32" s="978">
        <f t="shared" si="222"/>
        <v>8.6902200000000018</v>
      </c>
      <c r="EM32" s="978">
        <f t="shared" si="222"/>
        <v>9.1279980000000034</v>
      </c>
      <c r="EN32" s="978">
        <f t="shared" si="222"/>
        <v>9.0920610000000028</v>
      </c>
      <c r="EO32" s="978">
        <f t="shared" si="222"/>
        <v>3.9530700000000016</v>
      </c>
      <c r="EP32" s="978">
        <f t="shared" si="222"/>
        <v>3.6526366800000014</v>
      </c>
      <c r="EQ32" s="979">
        <f t="shared" si="222"/>
        <v>4.8788789940000026</v>
      </c>
      <c r="ES32" s="977">
        <f t="shared" si="213"/>
        <v>4.26</v>
      </c>
      <c r="ET32" s="978">
        <f t="shared" si="207"/>
        <v>4.8600000000000003</v>
      </c>
      <c r="EU32" s="978">
        <f t="shared" si="207"/>
        <v>4.8600000000000003</v>
      </c>
      <c r="EV32" s="978">
        <f t="shared" si="207"/>
        <v>4.8600000000000003</v>
      </c>
      <c r="EW32" s="978">
        <f t="shared" si="207"/>
        <v>4.8708</v>
      </c>
      <c r="EX32" s="978">
        <f t="shared" si="207"/>
        <v>4.835160000000001</v>
      </c>
      <c r="EY32" s="978">
        <f t="shared" si="207"/>
        <v>3.4630200000000007</v>
      </c>
      <c r="EZ32" s="978">
        <f t="shared" si="207"/>
        <v>2.2999680000000007</v>
      </c>
      <c r="FA32" s="978">
        <f t="shared" si="207"/>
        <v>5.1389910000000016</v>
      </c>
      <c r="FB32" s="978">
        <f t="shared" si="207"/>
        <v>7.7480172000000032</v>
      </c>
      <c r="FC32" s="978">
        <f t="shared" si="207"/>
        <v>8.174948760000003</v>
      </c>
      <c r="FD32" s="979">
        <f t="shared" si="207"/>
        <v>8.609786460000004</v>
      </c>
      <c r="FF32" s="977">
        <f t="shared" si="214"/>
        <v>5.3999999999999995</v>
      </c>
      <c r="FG32" s="978">
        <f t="shared" si="208"/>
        <v>4.8600000000000003</v>
      </c>
      <c r="FH32" s="978">
        <f t="shared" si="208"/>
        <v>4.8600000000000003</v>
      </c>
      <c r="FI32" s="978">
        <f t="shared" si="208"/>
        <v>4.8600000000000003</v>
      </c>
      <c r="FJ32" s="978">
        <f t="shared" si="208"/>
        <v>5.3460000000000001</v>
      </c>
      <c r="FK32" s="978">
        <f t="shared" si="208"/>
        <v>5.8806000000000012</v>
      </c>
      <c r="FL32" s="978">
        <f t="shared" si="208"/>
        <v>3.9857400000000007</v>
      </c>
      <c r="FM32" s="978">
        <f t="shared" si="208"/>
        <v>2.2999680000000007</v>
      </c>
      <c r="FN32" s="978">
        <f t="shared" si="208"/>
        <v>5.1389910000000016</v>
      </c>
      <c r="FO32" s="978">
        <f t="shared" si="208"/>
        <v>6.4830348000000022</v>
      </c>
      <c r="FP32" s="978">
        <f t="shared" si="208"/>
        <v>5.7398576400000021</v>
      </c>
      <c r="FQ32" s="979">
        <f t="shared" si="208"/>
        <v>6.3138434040000035</v>
      </c>
      <c r="FS32" s="977">
        <f t="shared" si="215"/>
        <v>3.96</v>
      </c>
      <c r="FT32" s="978">
        <f t="shared" si="209"/>
        <v>3.5640000000000001</v>
      </c>
      <c r="FU32" s="978">
        <f t="shared" si="209"/>
        <v>3.5640000000000001</v>
      </c>
      <c r="FV32" s="978">
        <f t="shared" si="209"/>
        <v>3.5640000000000001</v>
      </c>
      <c r="FW32" s="978">
        <f t="shared" si="209"/>
        <v>3.9203999999999999</v>
      </c>
      <c r="FX32" s="978">
        <f t="shared" si="209"/>
        <v>4.3124400000000005</v>
      </c>
      <c r="FY32" s="978">
        <f t="shared" si="209"/>
        <v>3.2016600000000004</v>
      </c>
      <c r="FZ32" s="978">
        <f t="shared" si="209"/>
        <v>2.2999680000000007</v>
      </c>
      <c r="GA32" s="978">
        <f t="shared" si="209"/>
        <v>2.529964800000001</v>
      </c>
      <c r="GB32" s="978">
        <f t="shared" si="209"/>
        <v>2.529964800000001</v>
      </c>
      <c r="GC32" s="978">
        <f t="shared" si="209"/>
        <v>2.7829612800000012</v>
      </c>
      <c r="GD32" s="979">
        <f t="shared" si="209"/>
        <v>3.0612574080000017</v>
      </c>
      <c r="GF32" s="977">
        <f t="shared" si="216"/>
        <v>1.92</v>
      </c>
      <c r="GG32" s="978">
        <f t="shared" si="210"/>
        <v>1.728</v>
      </c>
      <c r="GH32" s="978">
        <f t="shared" si="210"/>
        <v>1.728</v>
      </c>
      <c r="GI32" s="978">
        <f t="shared" si="210"/>
        <v>1.728</v>
      </c>
      <c r="GJ32" s="978">
        <f t="shared" si="210"/>
        <v>1.9008</v>
      </c>
      <c r="GK32" s="978">
        <f t="shared" si="210"/>
        <v>2.0908800000000003</v>
      </c>
      <c r="GL32" s="978">
        <f t="shared" si="210"/>
        <v>2.0908800000000003</v>
      </c>
      <c r="GM32" s="978">
        <f t="shared" si="210"/>
        <v>2.2999680000000007</v>
      </c>
      <c r="GN32" s="978">
        <f t="shared" si="210"/>
        <v>2.529964800000001</v>
      </c>
      <c r="GO32" s="978">
        <f t="shared" si="210"/>
        <v>2.529964800000001</v>
      </c>
      <c r="GP32" s="978">
        <f t="shared" si="210"/>
        <v>2.7829612800000012</v>
      </c>
      <c r="GQ32" s="979">
        <f t="shared" si="210"/>
        <v>3.0612574080000017</v>
      </c>
      <c r="GS32" s="977">
        <f t="shared" si="217"/>
        <v>1.92</v>
      </c>
      <c r="GT32" s="978">
        <f t="shared" si="211"/>
        <v>1.728</v>
      </c>
      <c r="GU32" s="978">
        <f t="shared" si="211"/>
        <v>1.728</v>
      </c>
      <c r="GV32" s="978">
        <f t="shared" si="211"/>
        <v>1.728</v>
      </c>
      <c r="GW32" s="978">
        <f t="shared" si="211"/>
        <v>1.9008</v>
      </c>
      <c r="GX32" s="978">
        <f t="shared" si="211"/>
        <v>2.0908800000000003</v>
      </c>
      <c r="GY32" s="978">
        <f t="shared" si="211"/>
        <v>2.0908800000000003</v>
      </c>
      <c r="GZ32" s="978">
        <f t="shared" si="211"/>
        <v>2.2999680000000007</v>
      </c>
      <c r="HA32" s="978">
        <f t="shared" si="211"/>
        <v>2.529964800000001</v>
      </c>
      <c r="HB32" s="978">
        <f t="shared" si="211"/>
        <v>2.529964800000001</v>
      </c>
      <c r="HC32" s="978">
        <f t="shared" si="211"/>
        <v>2.7829612800000012</v>
      </c>
      <c r="HD32" s="979">
        <f t="shared" si="211"/>
        <v>3.0612574080000017</v>
      </c>
    </row>
    <row r="33" spans="1:212" ht="15">
      <c r="B33" s="1041">
        <v>25</v>
      </c>
      <c r="C33" s="1042" t="s">
        <v>1063</v>
      </c>
      <c r="D33" s="1043"/>
      <c r="E33" s="1043"/>
      <c r="F33" s="1043"/>
      <c r="G33" s="1043"/>
      <c r="H33" s="1043"/>
      <c r="I33" s="1044"/>
      <c r="N33" s="1899"/>
      <c r="O33" s="940" t="s">
        <v>126</v>
      </c>
      <c r="P33" s="595">
        <v>1</v>
      </c>
      <c r="Q33" s="595">
        <v>0</v>
      </c>
      <c r="R33" s="595">
        <v>4</v>
      </c>
      <c r="S33" s="595">
        <v>2</v>
      </c>
      <c r="T33" s="595">
        <v>4</v>
      </c>
      <c r="U33" s="595">
        <v>3</v>
      </c>
      <c r="V33" s="595">
        <v>2</v>
      </c>
      <c r="AA33" s="1899"/>
      <c r="AB33" s="940" t="s">
        <v>126</v>
      </c>
      <c r="AC33" s="599">
        <f t="shared" si="143"/>
        <v>2.3255813953488372E-2</v>
      </c>
      <c r="AD33" s="599">
        <f t="shared" si="143"/>
        <v>0</v>
      </c>
      <c r="AE33" s="599">
        <f t="shared" si="143"/>
        <v>0.125</v>
      </c>
      <c r="AF33" s="599">
        <f t="shared" si="143"/>
        <v>5.128205128205128E-2</v>
      </c>
      <c r="AG33" s="599">
        <f t="shared" si="143"/>
        <v>8.3333333333333329E-2</v>
      </c>
      <c r="AH33" s="599">
        <f t="shared" si="143"/>
        <v>8.3333333333333329E-2</v>
      </c>
      <c r="AI33" s="599">
        <f t="shared" si="143"/>
        <v>6.8965517241379309E-2</v>
      </c>
      <c r="AJ33" s="935">
        <f t="shared" si="144"/>
        <v>6.2167149877655085E-2</v>
      </c>
      <c r="AK33" s="935">
        <f t="shared" si="145"/>
        <v>6.8965517241379309E-2</v>
      </c>
      <c r="AL33" s="935">
        <f t="shared" si="146"/>
        <v>7.586206896551724E-2</v>
      </c>
      <c r="AM33" s="935">
        <f t="shared" si="147"/>
        <v>7.586206896551724E-2</v>
      </c>
      <c r="AN33" s="935">
        <f t="shared" si="148"/>
        <v>8.3448275862068974E-2</v>
      </c>
      <c r="AO33" s="935">
        <f t="shared" si="149"/>
        <v>9.1793103448275876E-2</v>
      </c>
      <c r="AP33" s="1036">
        <v>0.1</v>
      </c>
      <c r="AQ33" s="1036">
        <f t="shared" si="150"/>
        <v>9.0000000000000011E-2</v>
      </c>
      <c r="AR33" s="1036">
        <f t="shared" si="150"/>
        <v>9.0000000000000011E-2</v>
      </c>
      <c r="AS33" s="1036">
        <f t="shared" si="150"/>
        <v>9.0000000000000011E-2</v>
      </c>
      <c r="AT33" s="1036">
        <f t="shared" si="150"/>
        <v>9.9000000000000019E-2</v>
      </c>
      <c r="AU33" s="1036">
        <f t="shared" si="150"/>
        <v>0.10890000000000002</v>
      </c>
      <c r="AV33" s="1036">
        <f t="shared" si="150"/>
        <v>0.10890000000000002</v>
      </c>
      <c r="AW33" s="1036">
        <f t="shared" si="150"/>
        <v>0.11979000000000004</v>
      </c>
      <c r="AX33" s="1036">
        <f t="shared" si="150"/>
        <v>0.13176900000000005</v>
      </c>
      <c r="AY33" s="1036">
        <f t="shared" si="150"/>
        <v>0.13176900000000005</v>
      </c>
      <c r="AZ33" s="1036">
        <f t="shared" si="150"/>
        <v>0.14494590000000007</v>
      </c>
      <c r="BA33" s="1036">
        <f t="shared" si="150"/>
        <v>0.1594404900000001</v>
      </c>
      <c r="BB33" s="1036">
        <v>0.1</v>
      </c>
      <c r="BC33" s="1036">
        <f t="shared" si="151"/>
        <v>9.0000000000000011E-2</v>
      </c>
      <c r="BD33" s="1036">
        <f t="shared" si="152"/>
        <v>9.0000000000000011E-2</v>
      </c>
      <c r="BE33" s="1036">
        <f t="shared" si="153"/>
        <v>9.0000000000000011E-2</v>
      </c>
      <c r="BF33" s="1036">
        <f t="shared" si="154"/>
        <v>9.9000000000000019E-2</v>
      </c>
      <c r="BG33" s="1036">
        <f t="shared" si="155"/>
        <v>0.10890000000000002</v>
      </c>
      <c r="BH33" s="1036">
        <f t="shared" si="156"/>
        <v>0.10890000000000002</v>
      </c>
      <c r="BI33" s="1036">
        <f t="shared" si="157"/>
        <v>0.11979000000000004</v>
      </c>
      <c r="BJ33" s="1036">
        <f t="shared" si="158"/>
        <v>0.13176900000000005</v>
      </c>
      <c r="BK33" s="1036">
        <f t="shared" si="159"/>
        <v>0.13176900000000005</v>
      </c>
      <c r="BL33" s="1036">
        <f t="shared" si="160"/>
        <v>0.14494590000000007</v>
      </c>
      <c r="BM33" s="1036">
        <f t="shared" si="161"/>
        <v>0.1594404900000001</v>
      </c>
      <c r="BN33" s="1036">
        <v>0.1</v>
      </c>
      <c r="BO33" s="1036">
        <f t="shared" si="162"/>
        <v>9.0000000000000011E-2</v>
      </c>
      <c r="BP33" s="1036">
        <f t="shared" si="163"/>
        <v>9.0000000000000011E-2</v>
      </c>
      <c r="BQ33" s="1036">
        <f t="shared" si="164"/>
        <v>9.0000000000000011E-2</v>
      </c>
      <c r="BR33" s="1036">
        <f t="shared" si="165"/>
        <v>9.9000000000000019E-2</v>
      </c>
      <c r="BS33" s="1036">
        <f t="shared" si="166"/>
        <v>0.10890000000000002</v>
      </c>
      <c r="BT33" s="1036">
        <f t="shared" si="167"/>
        <v>0.10890000000000002</v>
      </c>
      <c r="BU33" s="1036">
        <f t="shared" si="168"/>
        <v>0.11979000000000004</v>
      </c>
      <c r="BV33" s="1036">
        <f t="shared" si="169"/>
        <v>0.13176900000000005</v>
      </c>
      <c r="BW33" s="1036">
        <f t="shared" si="170"/>
        <v>0.13176900000000005</v>
      </c>
      <c r="BX33" s="1036">
        <f t="shared" si="171"/>
        <v>0.14494590000000007</v>
      </c>
      <c r="BY33" s="1036">
        <f t="shared" si="172"/>
        <v>0.1594404900000001</v>
      </c>
      <c r="BZ33" s="1036">
        <v>0.1</v>
      </c>
      <c r="CA33" s="1036">
        <f t="shared" si="173"/>
        <v>9.0000000000000011E-2</v>
      </c>
      <c r="CB33" s="1036">
        <f t="shared" si="174"/>
        <v>9.0000000000000011E-2</v>
      </c>
      <c r="CC33" s="1036">
        <f t="shared" si="175"/>
        <v>9.0000000000000011E-2</v>
      </c>
      <c r="CD33" s="1036">
        <f t="shared" si="176"/>
        <v>9.9000000000000019E-2</v>
      </c>
      <c r="CE33" s="1036">
        <f t="shared" si="177"/>
        <v>0.10890000000000002</v>
      </c>
      <c r="CF33" s="1036">
        <f t="shared" si="178"/>
        <v>0.10890000000000002</v>
      </c>
      <c r="CG33" s="1036">
        <f t="shared" si="179"/>
        <v>0.11979000000000004</v>
      </c>
      <c r="CH33" s="1036">
        <f t="shared" si="180"/>
        <v>0.13176900000000005</v>
      </c>
      <c r="CI33" s="1036">
        <f t="shared" si="181"/>
        <v>0.13176900000000005</v>
      </c>
      <c r="CJ33" s="1036">
        <f t="shared" si="182"/>
        <v>0.14494590000000007</v>
      </c>
      <c r="CK33" s="1036">
        <f t="shared" si="183"/>
        <v>0.1594404900000001</v>
      </c>
      <c r="CL33" s="1036">
        <v>0.1</v>
      </c>
      <c r="CM33" s="1036">
        <f t="shared" si="184"/>
        <v>9.0000000000000011E-2</v>
      </c>
      <c r="CN33" s="1036">
        <f t="shared" si="185"/>
        <v>9.0000000000000011E-2</v>
      </c>
      <c r="CO33" s="1036">
        <f t="shared" si="186"/>
        <v>9.0000000000000011E-2</v>
      </c>
      <c r="CP33" s="1036">
        <f t="shared" si="187"/>
        <v>9.9000000000000019E-2</v>
      </c>
      <c r="CQ33" s="1036">
        <f t="shared" si="188"/>
        <v>0.10890000000000002</v>
      </c>
      <c r="CR33" s="1036">
        <f t="shared" si="189"/>
        <v>0.10890000000000002</v>
      </c>
      <c r="CS33" s="1036">
        <f t="shared" si="190"/>
        <v>0.11979000000000004</v>
      </c>
      <c r="CT33" s="1036">
        <f t="shared" si="191"/>
        <v>0.13176900000000005</v>
      </c>
      <c r="CU33" s="1036">
        <f t="shared" si="192"/>
        <v>0.13176900000000005</v>
      </c>
      <c r="CV33" s="1036">
        <f t="shared" si="193"/>
        <v>0.14494590000000007</v>
      </c>
      <c r="CW33" s="1036">
        <f t="shared" si="194"/>
        <v>0.1594404900000001</v>
      </c>
      <c r="CX33" s="1036">
        <v>0.1</v>
      </c>
      <c r="CY33" s="1036">
        <f t="shared" si="195"/>
        <v>9.0000000000000011E-2</v>
      </c>
      <c r="CZ33" s="1036">
        <f t="shared" si="196"/>
        <v>9.0000000000000011E-2</v>
      </c>
      <c r="DA33" s="1036">
        <f t="shared" si="197"/>
        <v>9.0000000000000011E-2</v>
      </c>
      <c r="DB33" s="1036">
        <f t="shared" si="198"/>
        <v>9.9000000000000019E-2</v>
      </c>
      <c r="DC33" s="1036">
        <f t="shared" si="199"/>
        <v>0.10890000000000002</v>
      </c>
      <c r="DD33" s="1036">
        <f t="shared" si="200"/>
        <v>0.10890000000000002</v>
      </c>
      <c r="DE33" s="1036">
        <f t="shared" si="201"/>
        <v>0.11979000000000004</v>
      </c>
      <c r="DF33" s="1036">
        <f t="shared" si="202"/>
        <v>0.13176900000000005</v>
      </c>
      <c r="DG33" s="1036">
        <f t="shared" si="203"/>
        <v>0.13176900000000005</v>
      </c>
      <c r="DH33" s="1036">
        <f t="shared" si="204"/>
        <v>0.14494590000000007</v>
      </c>
      <c r="DI33" s="1036">
        <f t="shared" si="205"/>
        <v>0.1594404900000001</v>
      </c>
      <c r="DK33" s="1899"/>
      <c r="DL33" s="940" t="s">
        <v>126</v>
      </c>
      <c r="DN33" s="977">
        <v>5</v>
      </c>
      <c r="DO33" s="978">
        <f>DO22*$AJ$33</f>
        <v>0.99467439804248137</v>
      </c>
      <c r="DP33" s="978">
        <f>DP22*$AJ$33</f>
        <v>0.68383864865420596</v>
      </c>
      <c r="DQ33" s="978">
        <f>DQ22*$AJ$33</f>
        <v>2.6731874447391686</v>
      </c>
      <c r="DR33" s="979">
        <f>DR22*$AJ$33</f>
        <v>2.7353545946168238</v>
      </c>
      <c r="DT33" s="977">
        <v>5</v>
      </c>
      <c r="DU33" s="978">
        <f>DU22*$AH$33</f>
        <v>1.3333333333333333</v>
      </c>
      <c r="DV33" s="978">
        <f>DV22*$AH$33</f>
        <v>0.91666666666666663</v>
      </c>
      <c r="DW33" s="978">
        <f>DW22*$AH$33</f>
        <v>3.583333333333333</v>
      </c>
      <c r="DX33" s="979">
        <f>DX22*$AH$33</f>
        <v>3.6666666666666665</v>
      </c>
      <c r="DZ33" s="977">
        <v>5</v>
      </c>
      <c r="EA33" s="978">
        <f>EA22*AL$33</f>
        <v>0.6827586206896552</v>
      </c>
      <c r="EB33" s="978">
        <f>EB22*AM$33</f>
        <v>0.83448275862068966</v>
      </c>
      <c r="EC33" s="978">
        <f>EC22*AN$33</f>
        <v>3.5048275862068969</v>
      </c>
      <c r="ED33" s="979">
        <f>ED22*AO$33</f>
        <v>3.763517241379311</v>
      </c>
      <c r="EF33" s="977">
        <f t="shared" ref="EF33:EQ33" si="223">EF22*AP$33</f>
        <v>10.3</v>
      </c>
      <c r="EG33" s="978">
        <f t="shared" si="223"/>
        <v>9.0000000000000018</v>
      </c>
      <c r="EH33" s="978">
        <f t="shared" si="223"/>
        <v>7.2000000000000011</v>
      </c>
      <c r="EI33" s="978">
        <f t="shared" si="223"/>
        <v>8.6850000000000005</v>
      </c>
      <c r="EJ33" s="978">
        <f t="shared" si="223"/>
        <v>11.583000000000002</v>
      </c>
      <c r="EK33" s="978">
        <f t="shared" si="223"/>
        <v>13.884750000000004</v>
      </c>
      <c r="EL33" s="978">
        <f t="shared" si="223"/>
        <v>12.741300000000003</v>
      </c>
      <c r="EM33" s="978">
        <f t="shared" si="223"/>
        <v>7.9660350000000024</v>
      </c>
      <c r="EN33" s="978">
        <f t="shared" si="223"/>
        <v>8.3673315000000041</v>
      </c>
      <c r="EO33" s="978">
        <f t="shared" si="223"/>
        <v>7.5767175000000027</v>
      </c>
      <c r="EP33" s="978">
        <f t="shared" si="223"/>
        <v>3.6236475000000019</v>
      </c>
      <c r="EQ33" s="979">
        <f t="shared" si="223"/>
        <v>3.348250290000002</v>
      </c>
      <c r="ES33" s="977">
        <f t="shared" si="213"/>
        <v>2.5500000000000003</v>
      </c>
      <c r="ET33" s="978">
        <f t="shared" si="207"/>
        <v>3.1950000000000003</v>
      </c>
      <c r="EU33" s="978">
        <f t="shared" si="207"/>
        <v>4.0500000000000007</v>
      </c>
      <c r="EV33" s="978">
        <f t="shared" si="207"/>
        <v>4.0500000000000007</v>
      </c>
      <c r="EW33" s="978">
        <f t="shared" si="207"/>
        <v>4.455000000000001</v>
      </c>
      <c r="EX33" s="978">
        <f t="shared" si="207"/>
        <v>4.464900000000001</v>
      </c>
      <c r="EY33" s="978">
        <f t="shared" si="207"/>
        <v>4.029300000000001</v>
      </c>
      <c r="EZ33" s="978">
        <f t="shared" si="207"/>
        <v>3.1744350000000008</v>
      </c>
      <c r="FA33" s="978">
        <f t="shared" si="207"/>
        <v>2.1083040000000008</v>
      </c>
      <c r="FB33" s="978">
        <f t="shared" si="207"/>
        <v>4.2824925000000018</v>
      </c>
      <c r="FC33" s="978">
        <f t="shared" si="207"/>
        <v>7.1023491000000032</v>
      </c>
      <c r="FD33" s="979">
        <f t="shared" si="207"/>
        <v>7.4937030300000051</v>
      </c>
      <c r="FF33" s="977">
        <f t="shared" si="214"/>
        <v>4.5</v>
      </c>
      <c r="FG33" s="978">
        <f t="shared" si="208"/>
        <v>4.0500000000000007</v>
      </c>
      <c r="FH33" s="978">
        <f t="shared" si="208"/>
        <v>4.0500000000000007</v>
      </c>
      <c r="FI33" s="978">
        <f t="shared" si="208"/>
        <v>4.0500000000000007</v>
      </c>
      <c r="FJ33" s="978">
        <f t="shared" si="208"/>
        <v>4.455000000000001</v>
      </c>
      <c r="FK33" s="978">
        <f t="shared" si="208"/>
        <v>4.900500000000001</v>
      </c>
      <c r="FL33" s="978">
        <f t="shared" si="208"/>
        <v>4.900500000000001</v>
      </c>
      <c r="FM33" s="978">
        <f t="shared" si="208"/>
        <v>3.653595000000001</v>
      </c>
      <c r="FN33" s="978">
        <f t="shared" si="208"/>
        <v>2.1083040000000008</v>
      </c>
      <c r="FO33" s="978">
        <f t="shared" si="208"/>
        <v>4.2824925000000018</v>
      </c>
      <c r="FP33" s="978">
        <f t="shared" si="208"/>
        <v>5.9427819000000026</v>
      </c>
      <c r="FQ33" s="979">
        <f t="shared" si="208"/>
        <v>5.261536170000003</v>
      </c>
      <c r="FS33" s="977">
        <f t="shared" si="215"/>
        <v>3.3000000000000003</v>
      </c>
      <c r="FT33" s="978">
        <f t="shared" si="209"/>
        <v>2.97</v>
      </c>
      <c r="FU33" s="978">
        <f t="shared" si="209"/>
        <v>2.97</v>
      </c>
      <c r="FV33" s="978">
        <f t="shared" si="209"/>
        <v>2.97</v>
      </c>
      <c r="FW33" s="978">
        <f t="shared" si="209"/>
        <v>3.2670000000000008</v>
      </c>
      <c r="FX33" s="978">
        <f t="shared" si="209"/>
        <v>3.593700000000001</v>
      </c>
      <c r="FY33" s="978">
        <f t="shared" si="209"/>
        <v>3.593700000000001</v>
      </c>
      <c r="FZ33" s="978">
        <f t="shared" si="209"/>
        <v>2.9348550000000007</v>
      </c>
      <c r="GA33" s="978">
        <f t="shared" si="209"/>
        <v>2.1083040000000008</v>
      </c>
      <c r="GB33" s="978">
        <f t="shared" si="209"/>
        <v>2.1083040000000008</v>
      </c>
      <c r="GC33" s="978">
        <f t="shared" si="209"/>
        <v>2.3191344000000012</v>
      </c>
      <c r="GD33" s="979">
        <f t="shared" si="209"/>
        <v>2.5510478400000016</v>
      </c>
      <c r="GF33" s="977">
        <f t="shared" si="216"/>
        <v>1.6</v>
      </c>
      <c r="GG33" s="978">
        <f t="shared" si="210"/>
        <v>1.4400000000000002</v>
      </c>
      <c r="GH33" s="978">
        <f t="shared" si="210"/>
        <v>1.4400000000000002</v>
      </c>
      <c r="GI33" s="978">
        <f t="shared" si="210"/>
        <v>1.4400000000000002</v>
      </c>
      <c r="GJ33" s="978">
        <f t="shared" si="210"/>
        <v>1.5840000000000003</v>
      </c>
      <c r="GK33" s="978">
        <f t="shared" si="210"/>
        <v>1.7424000000000004</v>
      </c>
      <c r="GL33" s="978">
        <f t="shared" si="210"/>
        <v>1.7424000000000004</v>
      </c>
      <c r="GM33" s="978">
        <f t="shared" si="210"/>
        <v>1.9166400000000006</v>
      </c>
      <c r="GN33" s="978">
        <f t="shared" si="210"/>
        <v>2.1083040000000008</v>
      </c>
      <c r="GO33" s="978">
        <f t="shared" si="210"/>
        <v>2.1083040000000008</v>
      </c>
      <c r="GP33" s="978">
        <f t="shared" si="210"/>
        <v>2.3191344000000012</v>
      </c>
      <c r="GQ33" s="979">
        <f t="shared" si="210"/>
        <v>2.5510478400000016</v>
      </c>
      <c r="GS33" s="977">
        <f t="shared" si="217"/>
        <v>1.6</v>
      </c>
      <c r="GT33" s="978">
        <f t="shared" si="211"/>
        <v>1.4400000000000002</v>
      </c>
      <c r="GU33" s="978">
        <f t="shared" si="211"/>
        <v>1.4400000000000002</v>
      </c>
      <c r="GV33" s="978">
        <f t="shared" si="211"/>
        <v>1.4400000000000002</v>
      </c>
      <c r="GW33" s="978">
        <f t="shared" si="211"/>
        <v>1.5840000000000003</v>
      </c>
      <c r="GX33" s="978">
        <f t="shared" si="211"/>
        <v>1.7424000000000004</v>
      </c>
      <c r="GY33" s="978">
        <f t="shared" si="211"/>
        <v>1.7424000000000004</v>
      </c>
      <c r="GZ33" s="978">
        <f t="shared" si="211"/>
        <v>1.9166400000000006</v>
      </c>
      <c r="HA33" s="978">
        <f t="shared" si="211"/>
        <v>2.1083040000000008</v>
      </c>
      <c r="HB33" s="978">
        <f t="shared" si="211"/>
        <v>2.1083040000000008</v>
      </c>
      <c r="HC33" s="978">
        <f t="shared" si="211"/>
        <v>2.3191344000000012</v>
      </c>
      <c r="HD33" s="979">
        <f t="shared" si="211"/>
        <v>2.5510478400000016</v>
      </c>
    </row>
    <row r="34" spans="1:212" ht="15">
      <c r="B34" s="963"/>
      <c r="D34" s="974"/>
      <c r="E34" s="596"/>
      <c r="F34" s="1042" t="s">
        <v>1064</v>
      </c>
      <c r="G34" s="988"/>
      <c r="I34" s="974"/>
      <c r="N34" s="1899"/>
      <c r="O34" s="940" t="s">
        <v>127</v>
      </c>
      <c r="P34" s="595">
        <v>1</v>
      </c>
      <c r="Q34" s="595">
        <v>1</v>
      </c>
      <c r="R34" s="595">
        <v>0</v>
      </c>
      <c r="S34" s="595">
        <v>5</v>
      </c>
      <c r="T34" s="595">
        <v>3</v>
      </c>
      <c r="U34" s="595">
        <v>7</v>
      </c>
      <c r="V34" s="595">
        <v>0</v>
      </c>
      <c r="AA34" s="1899"/>
      <c r="AB34" s="940" t="s">
        <v>127</v>
      </c>
      <c r="AC34" s="599">
        <f t="shared" si="143"/>
        <v>1.9607843137254902E-2</v>
      </c>
      <c r="AD34" s="599">
        <f t="shared" si="143"/>
        <v>2.3809523809523808E-2</v>
      </c>
      <c r="AE34" s="599">
        <f t="shared" si="143"/>
        <v>0</v>
      </c>
      <c r="AF34" s="599">
        <f t="shared" si="143"/>
        <v>0.15625</v>
      </c>
      <c r="AG34" s="599">
        <f t="shared" si="143"/>
        <v>8.3333333333333329E-2</v>
      </c>
      <c r="AH34" s="599">
        <f t="shared" si="143"/>
        <v>0.16279069767441862</v>
      </c>
      <c r="AI34" s="599">
        <f t="shared" si="143"/>
        <v>0</v>
      </c>
      <c r="AJ34" s="935">
        <f t="shared" si="144"/>
        <v>6.3684485422075804E-2</v>
      </c>
      <c r="AK34" s="935">
        <f t="shared" si="145"/>
        <v>0</v>
      </c>
      <c r="AL34" s="935">
        <f t="shared" si="146"/>
        <v>0</v>
      </c>
      <c r="AM34" s="935">
        <f t="shared" si="147"/>
        <v>0</v>
      </c>
      <c r="AN34" s="935">
        <f t="shared" si="148"/>
        <v>0</v>
      </c>
      <c r="AO34" s="935">
        <f t="shared" si="149"/>
        <v>0</v>
      </c>
      <c r="AP34" s="1036">
        <v>0.05</v>
      </c>
      <c r="AQ34" s="1036">
        <f t="shared" si="150"/>
        <v>4.5000000000000005E-2</v>
      </c>
      <c r="AR34" s="1036">
        <f t="shared" si="150"/>
        <v>4.5000000000000005E-2</v>
      </c>
      <c r="AS34" s="1036">
        <f t="shared" si="150"/>
        <v>4.5000000000000005E-2</v>
      </c>
      <c r="AT34" s="1036">
        <f t="shared" si="150"/>
        <v>4.9500000000000009E-2</v>
      </c>
      <c r="AU34" s="1036">
        <f t="shared" si="150"/>
        <v>5.4450000000000012E-2</v>
      </c>
      <c r="AV34" s="1036">
        <f t="shared" si="150"/>
        <v>5.4450000000000012E-2</v>
      </c>
      <c r="AW34" s="1036">
        <f t="shared" si="150"/>
        <v>5.9895000000000018E-2</v>
      </c>
      <c r="AX34" s="1036">
        <f t="shared" si="150"/>
        <v>6.5884500000000026E-2</v>
      </c>
      <c r="AY34" s="1036">
        <f t="shared" si="150"/>
        <v>6.5884500000000026E-2</v>
      </c>
      <c r="AZ34" s="1036">
        <f t="shared" si="150"/>
        <v>7.2472950000000036E-2</v>
      </c>
      <c r="BA34" s="1036">
        <f t="shared" si="150"/>
        <v>7.9720245000000051E-2</v>
      </c>
      <c r="BB34" s="1036">
        <v>0.05</v>
      </c>
      <c r="BC34" s="1036">
        <f t="shared" si="151"/>
        <v>4.5000000000000005E-2</v>
      </c>
      <c r="BD34" s="1036">
        <f t="shared" si="152"/>
        <v>4.5000000000000005E-2</v>
      </c>
      <c r="BE34" s="1036">
        <f t="shared" si="153"/>
        <v>4.5000000000000005E-2</v>
      </c>
      <c r="BF34" s="1036">
        <f t="shared" si="154"/>
        <v>4.9500000000000009E-2</v>
      </c>
      <c r="BG34" s="1036">
        <f t="shared" si="155"/>
        <v>5.4450000000000012E-2</v>
      </c>
      <c r="BH34" s="1036">
        <f t="shared" si="156"/>
        <v>5.4450000000000012E-2</v>
      </c>
      <c r="BI34" s="1036">
        <f t="shared" si="157"/>
        <v>5.9895000000000018E-2</v>
      </c>
      <c r="BJ34" s="1036">
        <f t="shared" si="158"/>
        <v>6.5884500000000026E-2</v>
      </c>
      <c r="BK34" s="1036">
        <f t="shared" si="159"/>
        <v>6.5884500000000026E-2</v>
      </c>
      <c r="BL34" s="1036">
        <f t="shared" si="160"/>
        <v>7.2472950000000036E-2</v>
      </c>
      <c r="BM34" s="1036">
        <f t="shared" si="161"/>
        <v>7.9720245000000051E-2</v>
      </c>
      <c r="BN34" s="1036">
        <v>0.05</v>
      </c>
      <c r="BO34" s="1036">
        <f t="shared" si="162"/>
        <v>4.5000000000000005E-2</v>
      </c>
      <c r="BP34" s="1036">
        <f t="shared" si="163"/>
        <v>4.5000000000000005E-2</v>
      </c>
      <c r="BQ34" s="1036">
        <f t="shared" si="164"/>
        <v>4.5000000000000005E-2</v>
      </c>
      <c r="BR34" s="1036">
        <f t="shared" si="165"/>
        <v>4.9500000000000009E-2</v>
      </c>
      <c r="BS34" s="1036">
        <f t="shared" si="166"/>
        <v>5.4450000000000012E-2</v>
      </c>
      <c r="BT34" s="1036">
        <f t="shared" si="167"/>
        <v>5.4450000000000012E-2</v>
      </c>
      <c r="BU34" s="1036">
        <f t="shared" si="168"/>
        <v>5.9895000000000018E-2</v>
      </c>
      <c r="BV34" s="1036">
        <f t="shared" si="169"/>
        <v>6.5884500000000026E-2</v>
      </c>
      <c r="BW34" s="1036">
        <f t="shared" si="170"/>
        <v>6.5884500000000026E-2</v>
      </c>
      <c r="BX34" s="1036">
        <f t="shared" si="171"/>
        <v>7.2472950000000036E-2</v>
      </c>
      <c r="BY34" s="1036">
        <f t="shared" si="172"/>
        <v>7.9720245000000051E-2</v>
      </c>
      <c r="BZ34" s="1036">
        <v>0.05</v>
      </c>
      <c r="CA34" s="1036">
        <f t="shared" si="173"/>
        <v>4.5000000000000005E-2</v>
      </c>
      <c r="CB34" s="1036">
        <f t="shared" si="174"/>
        <v>4.5000000000000005E-2</v>
      </c>
      <c r="CC34" s="1036">
        <f t="shared" si="175"/>
        <v>4.5000000000000005E-2</v>
      </c>
      <c r="CD34" s="1036">
        <f t="shared" si="176"/>
        <v>4.9500000000000009E-2</v>
      </c>
      <c r="CE34" s="1036">
        <f t="shared" si="177"/>
        <v>5.4450000000000012E-2</v>
      </c>
      <c r="CF34" s="1036">
        <f t="shared" si="178"/>
        <v>5.4450000000000012E-2</v>
      </c>
      <c r="CG34" s="1036">
        <f t="shared" si="179"/>
        <v>5.9895000000000018E-2</v>
      </c>
      <c r="CH34" s="1036">
        <f t="shared" si="180"/>
        <v>6.5884500000000026E-2</v>
      </c>
      <c r="CI34" s="1036">
        <f t="shared" si="181"/>
        <v>6.5884500000000026E-2</v>
      </c>
      <c r="CJ34" s="1036">
        <f t="shared" si="182"/>
        <v>7.2472950000000036E-2</v>
      </c>
      <c r="CK34" s="1036">
        <f t="shared" si="183"/>
        <v>7.9720245000000051E-2</v>
      </c>
      <c r="CL34" s="1036">
        <v>0.05</v>
      </c>
      <c r="CM34" s="1036">
        <f t="shared" si="184"/>
        <v>4.5000000000000005E-2</v>
      </c>
      <c r="CN34" s="1036">
        <f t="shared" si="185"/>
        <v>4.5000000000000005E-2</v>
      </c>
      <c r="CO34" s="1036">
        <f t="shared" si="186"/>
        <v>4.5000000000000005E-2</v>
      </c>
      <c r="CP34" s="1036">
        <f t="shared" si="187"/>
        <v>4.9500000000000009E-2</v>
      </c>
      <c r="CQ34" s="1036">
        <f t="shared" si="188"/>
        <v>5.4450000000000012E-2</v>
      </c>
      <c r="CR34" s="1036">
        <f t="shared" si="189"/>
        <v>5.4450000000000012E-2</v>
      </c>
      <c r="CS34" s="1036">
        <f t="shared" si="190"/>
        <v>5.9895000000000018E-2</v>
      </c>
      <c r="CT34" s="1036">
        <f t="shared" si="191"/>
        <v>6.5884500000000026E-2</v>
      </c>
      <c r="CU34" s="1036">
        <f t="shared" si="192"/>
        <v>6.5884500000000026E-2</v>
      </c>
      <c r="CV34" s="1036">
        <f t="shared" si="193"/>
        <v>7.2472950000000036E-2</v>
      </c>
      <c r="CW34" s="1036">
        <f t="shared" si="194"/>
        <v>7.9720245000000051E-2</v>
      </c>
      <c r="CX34" s="1036">
        <v>0.05</v>
      </c>
      <c r="CY34" s="1036">
        <f t="shared" si="195"/>
        <v>4.5000000000000005E-2</v>
      </c>
      <c r="CZ34" s="1036">
        <f t="shared" si="196"/>
        <v>4.5000000000000005E-2</v>
      </c>
      <c r="DA34" s="1036">
        <f t="shared" si="197"/>
        <v>4.5000000000000005E-2</v>
      </c>
      <c r="DB34" s="1036">
        <f t="shared" si="198"/>
        <v>4.9500000000000009E-2</v>
      </c>
      <c r="DC34" s="1036">
        <f t="shared" si="199"/>
        <v>5.4450000000000012E-2</v>
      </c>
      <c r="DD34" s="1036">
        <f t="shared" si="200"/>
        <v>5.4450000000000012E-2</v>
      </c>
      <c r="DE34" s="1036">
        <f t="shared" si="201"/>
        <v>5.9895000000000018E-2</v>
      </c>
      <c r="DF34" s="1036">
        <f t="shared" si="202"/>
        <v>6.5884500000000026E-2</v>
      </c>
      <c r="DG34" s="1036">
        <f t="shared" si="203"/>
        <v>6.5884500000000026E-2</v>
      </c>
      <c r="DH34" s="1036">
        <f t="shared" si="204"/>
        <v>7.2472950000000036E-2</v>
      </c>
      <c r="DI34" s="1036">
        <f t="shared" si="205"/>
        <v>7.9720245000000051E-2</v>
      </c>
      <c r="DK34" s="1899"/>
      <c r="DL34" s="940" t="s">
        <v>127</v>
      </c>
      <c r="DN34" s="977">
        <v>2</v>
      </c>
      <c r="DO34" s="978">
        <f>DO23*$AJ$34</f>
        <v>1.4010586792856676</v>
      </c>
      <c r="DP34" s="978">
        <f>DP23*$AJ$34</f>
        <v>1.0189517667532129</v>
      </c>
      <c r="DQ34" s="978">
        <f>DQ23*$AJ$34</f>
        <v>0.70052933964283381</v>
      </c>
      <c r="DR34" s="979">
        <f>DR23*$AJ$34</f>
        <v>2.7384328731492595</v>
      </c>
      <c r="DT34" s="977">
        <v>2</v>
      </c>
      <c r="DU34" s="978">
        <f>DU23*$AH$34</f>
        <v>3.5813953488372094</v>
      </c>
      <c r="DV34" s="978">
        <f>DV23*$AH$34</f>
        <v>2.6046511627906979</v>
      </c>
      <c r="DW34" s="978">
        <f>DW23*$AH$34</f>
        <v>1.7906976744186047</v>
      </c>
      <c r="DX34" s="979">
        <f>DX23*$AH$34</f>
        <v>7.0000000000000009</v>
      </c>
      <c r="DZ34" s="977">
        <v>2</v>
      </c>
      <c r="EA34" s="978">
        <f>EA23*AL$34</f>
        <v>0</v>
      </c>
      <c r="EB34" s="978">
        <f>EB23*AM$34</f>
        <v>0</v>
      </c>
      <c r="EC34" s="978">
        <f>EC23*AN$34</f>
        <v>0</v>
      </c>
      <c r="ED34" s="979">
        <f>ED23*AO$34</f>
        <v>0</v>
      </c>
      <c r="EF34" s="977">
        <f t="shared" ref="EF34:EQ34" si="224">EF23*AP$34</f>
        <v>2.0500000000000003</v>
      </c>
      <c r="EG34" s="978">
        <f t="shared" si="224"/>
        <v>4.6350000000000007</v>
      </c>
      <c r="EH34" s="978">
        <f t="shared" si="224"/>
        <v>4.5000000000000009</v>
      </c>
      <c r="EI34" s="978">
        <f t="shared" si="224"/>
        <v>3.6000000000000005</v>
      </c>
      <c r="EJ34" s="978">
        <f t="shared" si="224"/>
        <v>4.7767500000000007</v>
      </c>
      <c r="EK34" s="978">
        <f t="shared" si="224"/>
        <v>6.3706500000000013</v>
      </c>
      <c r="EL34" s="978">
        <f t="shared" si="224"/>
        <v>6.942375000000002</v>
      </c>
      <c r="EM34" s="978">
        <f t="shared" si="224"/>
        <v>7.0077150000000019</v>
      </c>
      <c r="EN34" s="978">
        <f t="shared" si="224"/>
        <v>4.3813192500000016</v>
      </c>
      <c r="EO34" s="978">
        <f t="shared" si="224"/>
        <v>4.1836657500000021</v>
      </c>
      <c r="EP34" s="978">
        <f t="shared" si="224"/>
        <v>4.1671946250000023</v>
      </c>
      <c r="EQ34" s="979">
        <f t="shared" si="224"/>
        <v>1.9930061250000013</v>
      </c>
      <c r="ES34" s="977">
        <f t="shared" si="213"/>
        <v>1.05</v>
      </c>
      <c r="ET34" s="978">
        <f t="shared" si="207"/>
        <v>1.1475000000000002</v>
      </c>
      <c r="EU34" s="978">
        <f t="shared" si="207"/>
        <v>1.5975000000000001</v>
      </c>
      <c r="EV34" s="978">
        <f t="shared" si="207"/>
        <v>2.0250000000000004</v>
      </c>
      <c r="EW34" s="978">
        <f t="shared" si="207"/>
        <v>2.2275000000000005</v>
      </c>
      <c r="EX34" s="978">
        <f t="shared" si="207"/>
        <v>2.4502500000000005</v>
      </c>
      <c r="EY34" s="978">
        <f t="shared" si="207"/>
        <v>2.2324500000000005</v>
      </c>
      <c r="EZ34" s="978">
        <f t="shared" si="207"/>
        <v>2.2161150000000007</v>
      </c>
      <c r="FA34" s="978">
        <f t="shared" si="207"/>
        <v>1.7459392500000006</v>
      </c>
      <c r="FB34" s="978">
        <f t="shared" si="207"/>
        <v>1.0541520000000004</v>
      </c>
      <c r="FC34" s="978">
        <f t="shared" si="207"/>
        <v>2.3553708750000011</v>
      </c>
      <c r="FD34" s="979">
        <f t="shared" si="207"/>
        <v>3.9062920050000023</v>
      </c>
      <c r="FF34" s="977">
        <f t="shared" si="214"/>
        <v>2.35</v>
      </c>
      <c r="FG34" s="978">
        <f t="shared" si="208"/>
        <v>2.0250000000000004</v>
      </c>
      <c r="FH34" s="978">
        <f t="shared" si="208"/>
        <v>2.0250000000000004</v>
      </c>
      <c r="FI34" s="978">
        <f t="shared" si="208"/>
        <v>2.0250000000000004</v>
      </c>
      <c r="FJ34" s="978">
        <f t="shared" si="208"/>
        <v>2.2275000000000005</v>
      </c>
      <c r="FK34" s="978">
        <f t="shared" si="208"/>
        <v>2.4502500000000005</v>
      </c>
      <c r="FL34" s="978">
        <f t="shared" si="208"/>
        <v>2.4502500000000005</v>
      </c>
      <c r="FM34" s="978">
        <f t="shared" si="208"/>
        <v>2.695275000000001</v>
      </c>
      <c r="FN34" s="978">
        <f t="shared" si="208"/>
        <v>2.0094772500000007</v>
      </c>
      <c r="FO34" s="978">
        <f t="shared" si="208"/>
        <v>1.0541520000000004</v>
      </c>
      <c r="FP34" s="978">
        <f t="shared" si="208"/>
        <v>2.3553708750000011</v>
      </c>
      <c r="FQ34" s="979">
        <f t="shared" si="208"/>
        <v>3.2685300450000021</v>
      </c>
      <c r="FS34" s="977">
        <f t="shared" si="215"/>
        <v>1.6500000000000001</v>
      </c>
      <c r="FT34" s="978">
        <f t="shared" si="209"/>
        <v>1.4850000000000001</v>
      </c>
      <c r="FU34" s="978">
        <f t="shared" si="209"/>
        <v>1.4850000000000001</v>
      </c>
      <c r="FV34" s="978">
        <f t="shared" si="209"/>
        <v>1.4850000000000001</v>
      </c>
      <c r="FW34" s="978">
        <f t="shared" si="209"/>
        <v>1.6335000000000004</v>
      </c>
      <c r="FX34" s="978">
        <f t="shared" si="209"/>
        <v>1.7968500000000005</v>
      </c>
      <c r="FY34" s="978">
        <f t="shared" si="209"/>
        <v>1.7968500000000005</v>
      </c>
      <c r="FZ34" s="978">
        <f t="shared" si="209"/>
        <v>1.9765350000000006</v>
      </c>
      <c r="GA34" s="978">
        <f t="shared" si="209"/>
        <v>1.6141702500000006</v>
      </c>
      <c r="GB34" s="978">
        <f t="shared" si="209"/>
        <v>1.0541520000000004</v>
      </c>
      <c r="GC34" s="978">
        <f t="shared" si="209"/>
        <v>1.1595672000000006</v>
      </c>
      <c r="GD34" s="979">
        <f t="shared" si="209"/>
        <v>1.2755239200000008</v>
      </c>
      <c r="GF34" s="977">
        <f t="shared" si="216"/>
        <v>0.8</v>
      </c>
      <c r="GG34" s="978">
        <f t="shared" si="210"/>
        <v>0.72000000000000008</v>
      </c>
      <c r="GH34" s="978">
        <f t="shared" si="210"/>
        <v>0.72000000000000008</v>
      </c>
      <c r="GI34" s="978">
        <f t="shared" si="210"/>
        <v>0.72000000000000008</v>
      </c>
      <c r="GJ34" s="978">
        <f t="shared" si="210"/>
        <v>0.79200000000000015</v>
      </c>
      <c r="GK34" s="978">
        <f t="shared" si="210"/>
        <v>0.8712000000000002</v>
      </c>
      <c r="GL34" s="978">
        <f t="shared" si="210"/>
        <v>0.8712000000000002</v>
      </c>
      <c r="GM34" s="978">
        <f t="shared" si="210"/>
        <v>0.95832000000000028</v>
      </c>
      <c r="GN34" s="978">
        <f t="shared" si="210"/>
        <v>1.0541520000000004</v>
      </c>
      <c r="GO34" s="978">
        <f t="shared" si="210"/>
        <v>1.0541520000000004</v>
      </c>
      <c r="GP34" s="978">
        <f t="shared" si="210"/>
        <v>1.1595672000000006</v>
      </c>
      <c r="GQ34" s="979">
        <f t="shared" si="210"/>
        <v>1.2755239200000008</v>
      </c>
      <c r="GS34" s="977">
        <f t="shared" si="217"/>
        <v>0.8</v>
      </c>
      <c r="GT34" s="978">
        <f t="shared" si="211"/>
        <v>0.72000000000000008</v>
      </c>
      <c r="GU34" s="978">
        <f t="shared" si="211"/>
        <v>0.72000000000000008</v>
      </c>
      <c r="GV34" s="978">
        <f t="shared" si="211"/>
        <v>0.72000000000000008</v>
      </c>
      <c r="GW34" s="978">
        <f t="shared" si="211"/>
        <v>0.79200000000000015</v>
      </c>
      <c r="GX34" s="978">
        <f t="shared" si="211"/>
        <v>0.8712000000000002</v>
      </c>
      <c r="GY34" s="978">
        <f t="shared" si="211"/>
        <v>0.8712000000000002</v>
      </c>
      <c r="GZ34" s="978">
        <f t="shared" si="211"/>
        <v>0.95832000000000028</v>
      </c>
      <c r="HA34" s="978">
        <f t="shared" si="211"/>
        <v>1.0541520000000004</v>
      </c>
      <c r="HB34" s="978">
        <f t="shared" si="211"/>
        <v>1.0541520000000004</v>
      </c>
      <c r="HC34" s="978">
        <f t="shared" si="211"/>
        <v>1.1595672000000006</v>
      </c>
      <c r="HD34" s="979">
        <f t="shared" si="211"/>
        <v>1.2755239200000008</v>
      </c>
    </row>
    <row r="35" spans="1:212" ht="15">
      <c r="B35" s="957"/>
      <c r="C35" s="957"/>
      <c r="D35" s="957"/>
      <c r="E35" s="957"/>
      <c r="F35" s="957"/>
      <c r="G35" s="957"/>
      <c r="H35" s="957"/>
      <c r="I35" s="1045"/>
      <c r="O35" s="940" t="s">
        <v>1061</v>
      </c>
      <c r="P35" s="595">
        <v>3</v>
      </c>
      <c r="Q35" s="595">
        <v>4</v>
      </c>
      <c r="R35" s="595">
        <v>3</v>
      </c>
      <c r="S35" s="595">
        <v>6</v>
      </c>
      <c r="T35" s="595">
        <v>6</v>
      </c>
      <c r="U35" s="595">
        <v>5</v>
      </c>
      <c r="V35" s="595">
        <v>5</v>
      </c>
      <c r="AB35" s="940" t="s">
        <v>1061</v>
      </c>
      <c r="DL35" s="940" t="s">
        <v>1061</v>
      </c>
      <c r="DN35" s="1046">
        <v>2</v>
      </c>
      <c r="DO35" s="603">
        <v>6</v>
      </c>
      <c r="DP35" s="603">
        <v>4</v>
      </c>
      <c r="DQ35" s="603">
        <v>5</v>
      </c>
      <c r="DR35" s="930">
        <v>3</v>
      </c>
      <c r="DT35" s="1046">
        <v>2</v>
      </c>
      <c r="DU35" s="603">
        <v>6</v>
      </c>
      <c r="DV35" s="603">
        <v>4</v>
      </c>
      <c r="DW35" s="603">
        <v>5</v>
      </c>
      <c r="DX35" s="930">
        <v>3</v>
      </c>
      <c r="DZ35" s="1046">
        <v>2</v>
      </c>
      <c r="EA35" s="603">
        <v>7</v>
      </c>
      <c r="EB35" s="603">
        <v>4</v>
      </c>
      <c r="EC35" s="603">
        <v>5</v>
      </c>
      <c r="ED35" s="930">
        <v>3</v>
      </c>
      <c r="EF35" s="1046"/>
      <c r="EG35" s="603"/>
      <c r="EH35" s="603"/>
      <c r="EI35" s="603"/>
      <c r="EJ35" s="603"/>
      <c r="EK35" s="603"/>
      <c r="EL35" s="603"/>
      <c r="EM35" s="603"/>
      <c r="EN35" s="603"/>
      <c r="EO35" s="603"/>
      <c r="EP35" s="603"/>
      <c r="EQ35" s="930"/>
      <c r="ES35" s="1046"/>
      <c r="ET35" s="603"/>
      <c r="EU35" s="603"/>
      <c r="EV35" s="603"/>
      <c r="EW35" s="603"/>
      <c r="EX35" s="603"/>
      <c r="EY35" s="603"/>
      <c r="EZ35" s="603"/>
      <c r="FA35" s="603"/>
      <c r="FB35" s="603"/>
      <c r="FC35" s="603"/>
      <c r="FD35" s="930"/>
      <c r="FF35" s="1046"/>
      <c r="FG35" s="603"/>
      <c r="FH35" s="603"/>
      <c r="FI35" s="603"/>
      <c r="FJ35" s="603"/>
      <c r="FK35" s="603"/>
      <c r="FL35" s="603"/>
      <c r="FM35" s="603"/>
      <c r="FN35" s="603"/>
      <c r="FO35" s="603"/>
      <c r="FP35" s="603"/>
      <c r="FQ35" s="930"/>
      <c r="FS35" s="1046"/>
      <c r="FT35" s="603"/>
      <c r="FU35" s="603"/>
      <c r="FV35" s="603"/>
      <c r="FW35" s="603"/>
      <c r="FX35" s="603"/>
      <c r="FY35" s="603"/>
      <c r="FZ35" s="603"/>
      <c r="GA35" s="603"/>
      <c r="GB35" s="603"/>
      <c r="GC35" s="603"/>
      <c r="GD35" s="930"/>
      <c r="GF35" s="1046"/>
      <c r="GG35" s="603"/>
      <c r="GH35" s="603"/>
      <c r="GI35" s="603"/>
      <c r="GJ35" s="603"/>
      <c r="GK35" s="603"/>
      <c r="GL35" s="603"/>
      <c r="GM35" s="603"/>
      <c r="GN35" s="603"/>
      <c r="GO35" s="603"/>
      <c r="GP35" s="603"/>
      <c r="GQ35" s="930"/>
      <c r="GS35" s="1046"/>
      <c r="GT35" s="603"/>
      <c r="GU35" s="603"/>
      <c r="GV35" s="603"/>
      <c r="GW35" s="603"/>
      <c r="GX35" s="603"/>
      <c r="GY35" s="603"/>
      <c r="GZ35" s="603"/>
      <c r="HA35" s="603"/>
      <c r="HB35" s="603"/>
      <c r="HC35" s="603"/>
      <c r="HD35" s="930"/>
    </row>
    <row r="36" spans="1:212">
      <c r="D36" s="927"/>
      <c r="E36" s="927"/>
      <c r="H36" s="1047"/>
      <c r="O36" s="1107" t="s">
        <v>221</v>
      </c>
      <c r="P36" s="1107">
        <f>SUM(P26:P35)</f>
        <v>58</v>
      </c>
      <c r="Q36" s="1107">
        <f t="shared" ref="Q36:V36" si="225">SUM(Q26:Q35)</f>
        <v>43</v>
      </c>
      <c r="R36" s="1107">
        <f t="shared" si="225"/>
        <v>63</v>
      </c>
      <c r="S36" s="1107">
        <f t="shared" si="225"/>
        <v>73</v>
      </c>
      <c r="T36" s="1107">
        <f t="shared" si="225"/>
        <v>83</v>
      </c>
      <c r="U36" s="1107">
        <f t="shared" si="225"/>
        <v>140</v>
      </c>
      <c r="V36" s="1107">
        <f t="shared" si="225"/>
        <v>157</v>
      </c>
      <c r="DN36" s="928" t="s">
        <v>1035</v>
      </c>
      <c r="DT36" s="928" t="s">
        <v>1037</v>
      </c>
      <c r="DZ36" s="928" t="s">
        <v>1038</v>
      </c>
      <c r="EF36" s="1106">
        <f>SUM(EF26:EF34)</f>
        <v>202.07000000000002</v>
      </c>
      <c r="EG36" s="1106">
        <f t="shared" ref="EG36:EQ36" si="226">SUM(EG26:EG34)</f>
        <v>167.0265</v>
      </c>
      <c r="EH36" s="1106">
        <f t="shared" si="226"/>
        <v>151.49699999999999</v>
      </c>
      <c r="EI36" s="1106">
        <f t="shared" si="226"/>
        <v>124.4025</v>
      </c>
      <c r="EJ36" s="1106">
        <f t="shared" si="226"/>
        <v>112.75605000000003</v>
      </c>
      <c r="EK36" s="1106">
        <f t="shared" si="226"/>
        <v>105.355305</v>
      </c>
      <c r="EL36" s="1106">
        <f t="shared" si="226"/>
        <v>96.62697</v>
      </c>
      <c r="EM36" s="1106">
        <f t="shared" si="226"/>
        <v>103.37278050000003</v>
      </c>
      <c r="EN36" s="1106">
        <f t="shared" si="226"/>
        <v>111.81258495000004</v>
      </c>
      <c r="EO36" s="1106">
        <f t="shared" si="226"/>
        <v>112.35283785000003</v>
      </c>
      <c r="EP36" s="1106">
        <f t="shared" si="226"/>
        <v>120.60948339000007</v>
      </c>
      <c r="EQ36" s="1106">
        <f t="shared" si="226"/>
        <v>129.04316058150008</v>
      </c>
      <c r="ES36" s="1106">
        <f>SUM(ES26:ES34)</f>
        <v>74.709999999999994</v>
      </c>
      <c r="ET36" s="1106">
        <f t="shared" ref="ET36:FD36" si="227">SUM(ET26:ET34)</f>
        <v>58.117500000000007</v>
      </c>
      <c r="EU36" s="1106">
        <f t="shared" si="227"/>
        <v>60.349500000000006</v>
      </c>
      <c r="EV36" s="1106">
        <f t="shared" si="227"/>
        <v>69.714000000000013</v>
      </c>
      <c r="EW36" s="1106">
        <f t="shared" si="227"/>
        <v>81.912600000000012</v>
      </c>
      <c r="EX36" s="1106">
        <f t="shared" si="227"/>
        <v>92.178405000000012</v>
      </c>
      <c r="EY36" s="1106">
        <f t="shared" si="227"/>
        <v>93.741120000000024</v>
      </c>
      <c r="EZ36" s="1106">
        <f t="shared" si="227"/>
        <v>105.43316850000004</v>
      </c>
      <c r="FA36" s="1106">
        <f t="shared" si="227"/>
        <v>118.76998815000006</v>
      </c>
      <c r="FB36" s="1106">
        <f t="shared" si="227"/>
        <v>121.99174020000007</v>
      </c>
      <c r="FC36" s="1106">
        <f t="shared" si="227"/>
        <v>136.99561738500009</v>
      </c>
      <c r="FD36" s="1106">
        <f t="shared" si="227"/>
        <v>151.30902501000008</v>
      </c>
      <c r="FF36" s="1106">
        <f>SUM(FF26:FF34)</f>
        <v>85.899999999999991</v>
      </c>
      <c r="FG36" s="1106">
        <f t="shared" ref="FG36:FQ36" si="228">SUM(FG26:FG34)</f>
        <v>64.170000000000016</v>
      </c>
      <c r="FH36" s="1106">
        <f t="shared" si="228"/>
        <v>63.945</v>
      </c>
      <c r="FI36" s="1106">
        <f t="shared" si="228"/>
        <v>67.950000000000017</v>
      </c>
      <c r="FJ36" s="1106">
        <f t="shared" si="228"/>
        <v>72.804600000000022</v>
      </c>
      <c r="FK36" s="1106">
        <f t="shared" si="228"/>
        <v>77.760045000000005</v>
      </c>
      <c r="FL36" s="1106">
        <f t="shared" si="228"/>
        <v>75.968640000000036</v>
      </c>
      <c r="FM36" s="1106">
        <f t="shared" si="228"/>
        <v>82.625152500000027</v>
      </c>
      <c r="FN36" s="1106">
        <f t="shared" si="228"/>
        <v>90.413299350000045</v>
      </c>
      <c r="FO36" s="1106">
        <f t="shared" si="228"/>
        <v>91.394978400000042</v>
      </c>
      <c r="FP36" s="1106">
        <f t="shared" si="228"/>
        <v>101.57083942500005</v>
      </c>
      <c r="FQ36" s="1106">
        <f t="shared" si="228"/>
        <v>111.13002153000005</v>
      </c>
      <c r="FS36" s="1106">
        <f>SUM(FS26:FS34)</f>
        <v>64.2</v>
      </c>
      <c r="FT36" s="1106">
        <f t="shared" ref="FT36:GD36" si="229">SUM(FT26:FT34)</f>
        <v>50.13</v>
      </c>
      <c r="FU36" s="1106">
        <f t="shared" si="229"/>
        <v>44.774999999999999</v>
      </c>
      <c r="FV36" s="1106">
        <f t="shared" si="229"/>
        <v>40.950000000000003</v>
      </c>
      <c r="FW36" s="1106">
        <f t="shared" si="229"/>
        <v>41.847300000000011</v>
      </c>
      <c r="FX36" s="1106">
        <f t="shared" si="229"/>
        <v>42.977385000000005</v>
      </c>
      <c r="FY36" s="1106">
        <f t="shared" si="229"/>
        <v>40.47813</v>
      </c>
      <c r="FZ36" s="1106">
        <f t="shared" si="229"/>
        <v>42.28587000000001</v>
      </c>
      <c r="GA36" s="1106">
        <f t="shared" si="229"/>
        <v>44.834402250000018</v>
      </c>
      <c r="GB36" s="1106">
        <f t="shared" si="229"/>
        <v>44.274384000000019</v>
      </c>
      <c r="GC36" s="1106">
        <f t="shared" si="229"/>
        <v>48.701822400000012</v>
      </c>
      <c r="GD36" s="1106">
        <f t="shared" si="229"/>
        <v>53.572004640000024</v>
      </c>
      <c r="GF36" s="1106">
        <f>SUM(GF26:GF34)</f>
        <v>33.599999999999994</v>
      </c>
      <c r="GG36" s="1106">
        <f t="shared" ref="GG36:GQ36" si="230">SUM(GG26:GG34)</f>
        <v>30.240000000000002</v>
      </c>
      <c r="GH36" s="1106">
        <f t="shared" si="230"/>
        <v>30.240000000000002</v>
      </c>
      <c r="GI36" s="1106">
        <f t="shared" si="230"/>
        <v>30.240000000000002</v>
      </c>
      <c r="GJ36" s="1106">
        <f t="shared" si="230"/>
        <v>33.26400000000001</v>
      </c>
      <c r="GK36" s="1106">
        <f t="shared" si="230"/>
        <v>36.59040000000001</v>
      </c>
      <c r="GL36" s="1106">
        <f t="shared" si="230"/>
        <v>36.59040000000001</v>
      </c>
      <c r="GM36" s="1106">
        <f t="shared" si="230"/>
        <v>40.249440000000014</v>
      </c>
      <c r="GN36" s="1106">
        <f t="shared" si="230"/>
        <v>44.274384000000019</v>
      </c>
      <c r="GO36" s="1106">
        <f t="shared" si="230"/>
        <v>44.274384000000019</v>
      </c>
      <c r="GP36" s="1106">
        <f t="shared" si="230"/>
        <v>48.701822400000012</v>
      </c>
      <c r="GQ36" s="1106">
        <f t="shared" si="230"/>
        <v>53.572004640000024</v>
      </c>
      <c r="GS36" s="1106">
        <f>SUM(GS26:GS34)</f>
        <v>33.599999999999994</v>
      </c>
      <c r="GT36" s="1106">
        <f t="shared" ref="GT36:HD36" si="231">SUM(GT26:GT34)</f>
        <v>30.240000000000002</v>
      </c>
      <c r="GU36" s="1106">
        <f t="shared" si="231"/>
        <v>30.240000000000002</v>
      </c>
      <c r="GV36" s="1106">
        <f t="shared" si="231"/>
        <v>30.240000000000002</v>
      </c>
      <c r="GW36" s="1106">
        <f t="shared" si="231"/>
        <v>33.26400000000001</v>
      </c>
      <c r="GX36" s="1106">
        <f t="shared" si="231"/>
        <v>36.59040000000001</v>
      </c>
      <c r="GY36" s="1106">
        <f t="shared" si="231"/>
        <v>36.59040000000001</v>
      </c>
      <c r="GZ36" s="1106">
        <f t="shared" si="231"/>
        <v>40.249440000000014</v>
      </c>
      <c r="HA36" s="1106">
        <f t="shared" si="231"/>
        <v>44.274384000000019</v>
      </c>
      <c r="HB36" s="1106">
        <f t="shared" si="231"/>
        <v>44.274384000000019</v>
      </c>
      <c r="HC36" s="1106">
        <f t="shared" si="231"/>
        <v>48.701822400000012</v>
      </c>
      <c r="HD36" s="1106">
        <f t="shared" si="231"/>
        <v>53.572004640000024</v>
      </c>
    </row>
    <row r="37" spans="1:212">
      <c r="B37" s="1048" t="s">
        <v>1036</v>
      </c>
      <c r="D37" s="1049"/>
      <c r="E37" s="918"/>
      <c r="H37" s="1047"/>
      <c r="P37" s="956">
        <f>P36/P10</f>
        <v>0.14250614250614252</v>
      </c>
      <c r="Q37" s="956">
        <f t="shared" ref="Q37:V37" si="232">Q36/Q10</f>
        <v>0.12112676056338029</v>
      </c>
      <c r="R37" s="956">
        <f t="shared" si="232"/>
        <v>0.19936708860759494</v>
      </c>
      <c r="S37" s="956">
        <f t="shared" si="232"/>
        <v>0.22392638036809817</v>
      </c>
      <c r="T37" s="956">
        <f t="shared" si="232"/>
        <v>0.25538461538461538</v>
      </c>
      <c r="U37" s="956">
        <f t="shared" si="232"/>
        <v>0.38997214484679665</v>
      </c>
      <c r="V37" s="956">
        <f t="shared" si="232"/>
        <v>0.39447236180904521</v>
      </c>
      <c r="DN37" s="928" t="s">
        <v>1065</v>
      </c>
      <c r="DT37" s="928" t="s">
        <v>1065</v>
      </c>
      <c r="DZ37" s="928" t="s">
        <v>1065</v>
      </c>
      <c r="EF37" s="956">
        <f>EF36/EF10</f>
        <v>0.23814967589864469</v>
      </c>
      <c r="EG37" s="956">
        <f t="shared" ref="EG37:EQ37" si="233">EG36/EG10</f>
        <v>0.19176406429391504</v>
      </c>
      <c r="EH37" s="956">
        <f t="shared" si="233"/>
        <v>0.18352150211992729</v>
      </c>
      <c r="EI37" s="956">
        <f t="shared" si="233"/>
        <v>0.16575949367088608</v>
      </c>
      <c r="EJ37" s="956">
        <f t="shared" si="233"/>
        <v>0.16306008676789593</v>
      </c>
      <c r="EK37" s="956">
        <f t="shared" si="233"/>
        <v>0.16979098307816276</v>
      </c>
      <c r="EL37" s="956">
        <f t="shared" si="233"/>
        <v>0.17927081632653061</v>
      </c>
      <c r="EM37" s="956">
        <f t="shared" si="233"/>
        <v>0.22644639759036153</v>
      </c>
      <c r="EN37" s="956">
        <f t="shared" si="233"/>
        <v>0.2907999608582576</v>
      </c>
      <c r="EO37" s="956">
        <f t="shared" si="233"/>
        <v>0.30951195000000009</v>
      </c>
      <c r="EP37" s="956">
        <f t="shared" si="233"/>
        <v>0.35421287339207069</v>
      </c>
      <c r="EQ37" s="956">
        <f t="shared" si="233"/>
        <v>0.40325987681718772</v>
      </c>
      <c r="ES37" s="956">
        <f>ES36/ES10</f>
        <v>0.23237947122861585</v>
      </c>
      <c r="ET37" s="956">
        <f t="shared" ref="ET37:FD37" si="234">ET36/ET10</f>
        <v>0.18362559241706164</v>
      </c>
      <c r="EU37" s="956">
        <f t="shared" si="234"/>
        <v>0.18655177743431223</v>
      </c>
      <c r="EV37" s="956">
        <f t="shared" si="234"/>
        <v>0.20686646884272999</v>
      </c>
      <c r="EW37" s="956">
        <f t="shared" si="234"/>
        <v>0.24163008849557527</v>
      </c>
      <c r="EX37" s="956">
        <f t="shared" si="234"/>
        <v>0.27191269911504429</v>
      </c>
      <c r="EY37" s="956">
        <f t="shared" si="234"/>
        <v>0.27652247787610629</v>
      </c>
      <c r="EZ37" s="956">
        <f t="shared" si="234"/>
        <v>0.30738533090379017</v>
      </c>
      <c r="FA37" s="956">
        <f t="shared" si="234"/>
        <v>0.33837603461538479</v>
      </c>
      <c r="FB37" s="956">
        <f t="shared" si="234"/>
        <v>0.330153559404601</v>
      </c>
      <c r="FC37" s="956">
        <f t="shared" si="234"/>
        <v>0.3437782117565874</v>
      </c>
      <c r="FD37" s="956">
        <f t="shared" si="234"/>
        <v>0.36814847934306588</v>
      </c>
      <c r="FF37" s="956">
        <f>FF36/FF10</f>
        <v>0.21885350318471336</v>
      </c>
      <c r="FG37" s="956">
        <f t="shared" ref="FG37:FQ37" si="235">FG36/FG10</f>
        <v>0.17751037344398346</v>
      </c>
      <c r="FH37" s="956">
        <f t="shared" si="235"/>
        <v>0.18322349570200575</v>
      </c>
      <c r="FI37" s="956">
        <f t="shared" si="235"/>
        <v>0.19695652173913047</v>
      </c>
      <c r="FJ37" s="956">
        <f t="shared" si="235"/>
        <v>0.21863243243243249</v>
      </c>
      <c r="FK37" s="956">
        <f t="shared" si="235"/>
        <v>0.24224313084112151</v>
      </c>
      <c r="FL37" s="956">
        <f t="shared" si="235"/>
        <v>0.24585320388349527</v>
      </c>
      <c r="FM37" s="956">
        <f t="shared" si="235"/>
        <v>0.27819916666666678</v>
      </c>
      <c r="FN37" s="956">
        <f t="shared" si="235"/>
        <v>0.31723964684210543</v>
      </c>
      <c r="FO37" s="956">
        <f t="shared" si="235"/>
        <v>0.31789557704347843</v>
      </c>
      <c r="FP37" s="956">
        <f t="shared" si="235"/>
        <v>0.33356597512315284</v>
      </c>
      <c r="FQ37" s="956">
        <f t="shared" si="235"/>
        <v>0.36436072632786903</v>
      </c>
      <c r="FS37" s="956">
        <f>FS36/FS10</f>
        <v>0.22253032928942809</v>
      </c>
      <c r="FT37" s="956">
        <f t="shared" ref="FT37:GD37" si="236">FT36/FT10</f>
        <v>0.18464088397790057</v>
      </c>
      <c r="FU37" s="956">
        <f t="shared" si="236"/>
        <v>0.17593320235756385</v>
      </c>
      <c r="FV37" s="956">
        <f t="shared" si="236"/>
        <v>0.17242105263157895</v>
      </c>
      <c r="FW37" s="956">
        <f t="shared" si="236"/>
        <v>0.18978367346938779</v>
      </c>
      <c r="FX37" s="956">
        <f t="shared" si="236"/>
        <v>0.21119108108108112</v>
      </c>
      <c r="FY37" s="956">
        <f t="shared" si="236"/>
        <v>0.21704091152815014</v>
      </c>
      <c r="FZ37" s="956">
        <f t="shared" si="236"/>
        <v>0.24947415929203545</v>
      </c>
      <c r="GA37" s="956">
        <f t="shared" si="236"/>
        <v>0.29399608032786895</v>
      </c>
      <c r="GB37" s="956">
        <f t="shared" si="236"/>
        <v>0.30746100000000015</v>
      </c>
      <c r="GC37" s="956">
        <f t="shared" si="236"/>
        <v>0.33820710000000009</v>
      </c>
      <c r="GD37" s="956">
        <f t="shared" si="236"/>
        <v>0.37202781000000018</v>
      </c>
      <c r="GF37" s="956">
        <f>GF36/GF10</f>
        <v>0.23333333333333328</v>
      </c>
      <c r="GG37" s="956">
        <f t="shared" ref="GG37:GQ37" si="237">GG36/GG10</f>
        <v>0.21000000000000002</v>
      </c>
      <c r="GH37" s="956">
        <f t="shared" si="237"/>
        <v>0.21000000000000002</v>
      </c>
      <c r="GI37" s="956">
        <f t="shared" si="237"/>
        <v>0.21000000000000002</v>
      </c>
      <c r="GJ37" s="956">
        <f t="shared" si="237"/>
        <v>0.23100000000000007</v>
      </c>
      <c r="GK37" s="956">
        <f t="shared" si="237"/>
        <v>0.25410000000000005</v>
      </c>
      <c r="GL37" s="956">
        <f t="shared" si="237"/>
        <v>0.25410000000000005</v>
      </c>
      <c r="GM37" s="956">
        <f t="shared" si="237"/>
        <v>0.27951000000000009</v>
      </c>
      <c r="GN37" s="956">
        <f t="shared" si="237"/>
        <v>0.30746100000000015</v>
      </c>
      <c r="GO37" s="956">
        <f t="shared" si="237"/>
        <v>0.30746100000000015</v>
      </c>
      <c r="GP37" s="956">
        <f t="shared" si="237"/>
        <v>0.33820710000000009</v>
      </c>
      <c r="GQ37" s="956">
        <f t="shared" si="237"/>
        <v>0.37202781000000018</v>
      </c>
      <c r="GS37" s="956">
        <f>GS36/GS10</f>
        <v>0.23333333333333328</v>
      </c>
      <c r="GT37" s="956">
        <f t="shared" ref="GT37:HD37" si="238">GT36/GT10</f>
        <v>0.21000000000000002</v>
      </c>
      <c r="GU37" s="956">
        <f t="shared" si="238"/>
        <v>0.21000000000000002</v>
      </c>
      <c r="GV37" s="956">
        <f t="shared" si="238"/>
        <v>0.21000000000000002</v>
      </c>
      <c r="GW37" s="956">
        <f t="shared" si="238"/>
        <v>0.23100000000000007</v>
      </c>
      <c r="GX37" s="956">
        <f t="shared" si="238"/>
        <v>0.25410000000000005</v>
      </c>
      <c r="GY37" s="956">
        <f t="shared" si="238"/>
        <v>0.25410000000000005</v>
      </c>
      <c r="GZ37" s="956">
        <f t="shared" si="238"/>
        <v>0.27951000000000009</v>
      </c>
      <c r="HA37" s="956">
        <f t="shared" si="238"/>
        <v>0.30746100000000015</v>
      </c>
      <c r="HB37" s="956">
        <f t="shared" si="238"/>
        <v>0.30746100000000015</v>
      </c>
      <c r="HC37" s="956">
        <f t="shared" si="238"/>
        <v>0.33820710000000009</v>
      </c>
      <c r="HD37" s="956">
        <f t="shared" si="238"/>
        <v>0.37202781000000018</v>
      </c>
    </row>
    <row r="38" spans="1:212">
      <c r="B38" s="1050" t="s">
        <v>1066</v>
      </c>
      <c r="D38" s="1049"/>
      <c r="E38" s="1051"/>
      <c r="DN38" s="928" t="s">
        <v>1047</v>
      </c>
      <c r="DT38" s="928" t="s">
        <v>1047</v>
      </c>
      <c r="DZ38" s="928" t="s">
        <v>1047</v>
      </c>
    </row>
    <row r="39" spans="1:212">
      <c r="B39" s="1052" t="s">
        <v>1067</v>
      </c>
      <c r="D39" s="596"/>
      <c r="E39" s="1053"/>
      <c r="F39" s="1053"/>
      <c r="G39" s="1053"/>
      <c r="H39" s="1053"/>
      <c r="I39" s="1053"/>
      <c r="EF39" s="928" t="s">
        <v>1038</v>
      </c>
      <c r="ES39" s="928" t="s">
        <v>1038</v>
      </c>
      <c r="FF39" s="928" t="s">
        <v>1038</v>
      </c>
      <c r="FS39" s="928" t="s">
        <v>1038</v>
      </c>
      <c r="GF39" s="928" t="s">
        <v>1038</v>
      </c>
      <c r="GS39" s="928" t="s">
        <v>1038</v>
      </c>
    </row>
    <row r="40" spans="1:212">
      <c r="D40" s="596"/>
      <c r="E40" s="1053"/>
      <c r="F40" s="1053"/>
      <c r="G40" s="1053"/>
      <c r="H40" s="1053"/>
      <c r="I40" s="1053"/>
      <c r="EF40" s="928" t="s">
        <v>1065</v>
      </c>
      <c r="ES40" s="928" t="s">
        <v>1065</v>
      </c>
      <c r="FF40" s="928" t="s">
        <v>1065</v>
      </c>
      <c r="FS40" s="928" t="s">
        <v>1065</v>
      </c>
      <c r="GF40" s="928" t="s">
        <v>1065</v>
      </c>
      <c r="GS40" s="928" t="s">
        <v>1065</v>
      </c>
    </row>
    <row r="41" spans="1:212">
      <c r="EF41" s="928" t="s">
        <v>1231</v>
      </c>
      <c r="ES41" s="928" t="s">
        <v>1231</v>
      </c>
      <c r="FF41" s="928" t="s">
        <v>1231</v>
      </c>
      <c r="FS41" s="928" t="s">
        <v>1231</v>
      </c>
      <c r="GF41" s="928" t="s">
        <v>1231</v>
      </c>
      <c r="GS41" s="928" t="s">
        <v>1231</v>
      </c>
    </row>
    <row r="44" spans="1:212" s="918" customFormat="1">
      <c r="A44" s="915" t="s">
        <v>1068</v>
      </c>
      <c r="B44" s="916" t="s">
        <v>1069</v>
      </c>
      <c r="C44" s="917"/>
      <c r="D44" s="917"/>
      <c r="E44" s="917"/>
      <c r="F44" s="917"/>
      <c r="G44" s="917"/>
      <c r="H44" s="917"/>
      <c r="I44" s="917"/>
      <c r="J44" s="917"/>
      <c r="K44" s="917"/>
      <c r="L44" s="917"/>
      <c r="M44" s="917"/>
      <c r="N44" s="917"/>
      <c r="O44" s="917"/>
      <c r="P44" s="917"/>
      <c r="Q44" s="917"/>
      <c r="R44" s="917"/>
      <c r="S44" s="917"/>
      <c r="T44" s="917"/>
      <c r="U44" s="917"/>
      <c r="V44" s="917"/>
      <c r="W44" s="917"/>
      <c r="X44" s="917"/>
      <c r="Y44" s="917"/>
      <c r="Z44" s="917"/>
      <c r="AA44" s="917"/>
      <c r="AB44" s="917"/>
      <c r="AC44" s="917"/>
      <c r="AD44" s="917"/>
      <c r="AE44" s="917"/>
      <c r="AF44" s="917"/>
      <c r="AG44" s="917"/>
      <c r="AH44" s="917"/>
      <c r="AI44" s="917"/>
      <c r="AJ44" s="917"/>
      <c r="AK44" s="917"/>
      <c r="AL44" s="917"/>
      <c r="AM44" s="917"/>
      <c r="AN44" s="917"/>
      <c r="AO44" s="917"/>
      <c r="AP44" s="917"/>
      <c r="AQ44" s="917"/>
      <c r="AR44" s="917"/>
      <c r="AS44" s="917"/>
      <c r="AT44" s="917"/>
      <c r="AU44" s="917"/>
      <c r="AV44" s="917"/>
      <c r="AW44" s="917"/>
      <c r="AX44" s="917"/>
      <c r="AY44" s="917"/>
      <c r="AZ44" s="917"/>
      <c r="BA44" s="917"/>
      <c r="BB44" s="917"/>
      <c r="BC44" s="917"/>
      <c r="BD44" s="917"/>
      <c r="BE44" s="917"/>
      <c r="BF44" s="917"/>
      <c r="BG44" s="917"/>
      <c r="BH44" s="917"/>
      <c r="BI44" s="917"/>
      <c r="BJ44" s="917"/>
      <c r="BK44" s="917"/>
      <c r="BL44" s="917"/>
      <c r="BM44" s="917"/>
      <c r="BN44" s="917"/>
      <c r="BO44" s="917"/>
      <c r="BP44" s="917"/>
      <c r="BQ44" s="917"/>
      <c r="BR44" s="917"/>
      <c r="BS44" s="917"/>
      <c r="BT44" s="917"/>
      <c r="BU44" s="917"/>
      <c r="BV44" s="917"/>
      <c r="BW44" s="917"/>
      <c r="BX44" s="917"/>
      <c r="BY44" s="917"/>
      <c r="BZ44" s="917"/>
      <c r="CA44" s="917"/>
      <c r="CB44" s="917"/>
      <c r="CC44" s="917"/>
      <c r="CD44" s="917"/>
      <c r="CE44" s="917"/>
      <c r="CF44" s="917"/>
      <c r="CG44" s="917"/>
      <c r="CH44" s="917"/>
      <c r="CI44" s="917"/>
      <c r="CJ44" s="917"/>
      <c r="CK44" s="917"/>
      <c r="CL44" s="917"/>
      <c r="CM44" s="917"/>
      <c r="CN44" s="917"/>
      <c r="CO44" s="917"/>
      <c r="CP44" s="917"/>
      <c r="CQ44" s="917"/>
      <c r="CR44" s="917"/>
      <c r="CS44" s="917"/>
      <c r="CT44" s="917"/>
      <c r="CU44" s="917"/>
      <c r="CV44" s="917"/>
      <c r="CW44" s="917"/>
      <c r="CX44" s="917"/>
      <c r="CY44" s="917"/>
      <c r="CZ44" s="917"/>
      <c r="DA44" s="917"/>
      <c r="DB44" s="917"/>
      <c r="DC44" s="917"/>
      <c r="DD44" s="917"/>
      <c r="DE44" s="917"/>
      <c r="DF44" s="917"/>
      <c r="DG44" s="917"/>
      <c r="DH44" s="917"/>
      <c r="DI44" s="917"/>
      <c r="DJ44" s="917"/>
      <c r="DK44" s="917"/>
      <c r="DL44" s="917"/>
      <c r="DM44" s="917"/>
      <c r="DN44" s="917"/>
      <c r="DO44" s="917"/>
      <c r="DP44" s="917"/>
      <c r="DQ44" s="917"/>
      <c r="DR44" s="917"/>
      <c r="DS44" s="917"/>
      <c r="DT44" s="917"/>
      <c r="DU44" s="917"/>
      <c r="DV44" s="917"/>
      <c r="DW44" s="917"/>
      <c r="DX44" s="917"/>
      <c r="DY44" s="917"/>
      <c r="DZ44" s="917"/>
      <c r="EA44" s="917"/>
      <c r="EB44" s="917"/>
      <c r="EC44" s="917"/>
      <c r="ED44" s="917"/>
      <c r="EE44" s="917"/>
      <c r="EF44" s="917"/>
      <c r="EG44" s="917"/>
      <c r="EH44" s="917"/>
      <c r="EI44" s="917"/>
      <c r="EJ44" s="917"/>
      <c r="EK44" s="917"/>
      <c r="EL44" s="917"/>
      <c r="EM44" s="917"/>
      <c r="EN44" s="917"/>
      <c r="EO44" s="917"/>
      <c r="EP44" s="917"/>
      <c r="EQ44" s="917"/>
      <c r="ES44" s="917"/>
      <c r="ET44" s="917"/>
      <c r="EU44" s="917"/>
      <c r="EV44" s="917"/>
      <c r="EW44" s="917"/>
      <c r="EX44" s="917"/>
      <c r="EY44" s="917"/>
      <c r="EZ44" s="917"/>
      <c r="FA44" s="917"/>
      <c r="FB44" s="917"/>
      <c r="FC44" s="917"/>
      <c r="FD44" s="917"/>
      <c r="FF44" s="917"/>
      <c r="FG44" s="917"/>
      <c r="FH44" s="917"/>
      <c r="FI44" s="917"/>
      <c r="FJ44" s="917"/>
      <c r="FK44" s="917"/>
      <c r="FL44" s="917"/>
      <c r="FM44" s="917"/>
      <c r="FN44" s="917"/>
      <c r="FO44" s="917"/>
      <c r="FP44" s="917"/>
      <c r="FQ44" s="917"/>
      <c r="FS44" s="917"/>
      <c r="FT44" s="917"/>
      <c r="FU44" s="917"/>
      <c r="FV44" s="917"/>
      <c r="FW44" s="917"/>
      <c r="FX44" s="917"/>
      <c r="FY44" s="917"/>
      <c r="FZ44" s="917"/>
      <c r="GA44" s="917"/>
      <c r="GB44" s="917"/>
      <c r="GC44" s="917"/>
      <c r="GD44" s="917"/>
      <c r="GF44" s="917"/>
      <c r="GG44" s="917"/>
      <c r="GH44" s="917"/>
      <c r="GI44" s="917"/>
      <c r="GJ44" s="917"/>
      <c r="GK44" s="917"/>
      <c r="GL44" s="917"/>
      <c r="GM44" s="917"/>
      <c r="GN44" s="917"/>
      <c r="GO44" s="917"/>
      <c r="GP44" s="917"/>
      <c r="GQ44" s="917"/>
      <c r="GS44" s="917"/>
      <c r="GT44" s="917"/>
      <c r="GU44" s="917"/>
      <c r="GV44" s="917"/>
      <c r="GW44" s="917"/>
      <c r="GX44" s="917"/>
      <c r="GY44" s="917"/>
      <c r="GZ44" s="917"/>
      <c r="HA44" s="917"/>
      <c r="HB44" s="917"/>
      <c r="HC44" s="917"/>
      <c r="HD44" s="917"/>
    </row>
    <row r="46" spans="1:212">
      <c r="B46" s="919" t="s">
        <v>1029</v>
      </c>
      <c r="C46" s="920"/>
      <c r="D46" s="920"/>
      <c r="E46" s="920"/>
      <c r="F46" s="920"/>
      <c r="G46" s="920"/>
      <c r="H46" s="920"/>
      <c r="I46" s="920"/>
      <c r="J46" s="920"/>
      <c r="K46" s="920"/>
      <c r="L46" s="920"/>
      <c r="N46" s="921" t="s">
        <v>1030</v>
      </c>
      <c r="O46" s="922"/>
      <c r="P46" s="922"/>
      <c r="Q46" s="922"/>
      <c r="R46" s="922"/>
      <c r="S46" s="922"/>
      <c r="T46" s="922"/>
      <c r="U46" s="922"/>
      <c r="V46" s="922"/>
      <c r="W46" s="922"/>
      <c r="X46" s="922"/>
      <c r="Y46" s="922"/>
      <c r="AA46" s="923" t="s">
        <v>1031</v>
      </c>
      <c r="AB46" s="924"/>
      <c r="AC46" s="924"/>
      <c r="AD46" s="924"/>
      <c r="AE46" s="924"/>
      <c r="AF46" s="924"/>
      <c r="AG46" s="924"/>
      <c r="AH46" s="924"/>
      <c r="AI46" s="924"/>
      <c r="AJ46" s="924"/>
      <c r="AK46" s="924"/>
      <c r="AL46" s="924"/>
      <c r="AM46" s="924"/>
      <c r="AN46" s="924"/>
      <c r="AO46" s="924"/>
      <c r="AP46" s="924"/>
      <c r="AQ46" s="924"/>
      <c r="AR46" s="924"/>
      <c r="AS46" s="924"/>
      <c r="AT46" s="924"/>
      <c r="AU46" s="924"/>
      <c r="AV46" s="924"/>
      <c r="AW46" s="924"/>
      <c r="AX46" s="924"/>
      <c r="AY46" s="924"/>
      <c r="AZ46" s="924"/>
      <c r="BA46" s="924"/>
      <c r="BB46" s="924"/>
      <c r="BC46" s="924"/>
      <c r="BD46" s="924"/>
      <c r="BE46" s="924"/>
      <c r="BF46" s="924"/>
      <c r="BG46" s="924"/>
      <c r="BH46" s="924"/>
      <c r="BI46" s="924"/>
      <c r="BJ46" s="924"/>
      <c r="BK46" s="924"/>
      <c r="BL46" s="924"/>
      <c r="BM46" s="924"/>
      <c r="BN46" s="924"/>
      <c r="BO46" s="924"/>
      <c r="BP46" s="924"/>
      <c r="BQ46" s="924"/>
      <c r="BR46" s="924"/>
      <c r="BS46" s="924"/>
      <c r="BT46" s="924"/>
      <c r="BU46" s="924"/>
      <c r="BV46" s="924"/>
      <c r="BW46" s="924"/>
      <c r="BX46" s="924"/>
      <c r="BY46" s="924"/>
      <c r="BZ46" s="924"/>
      <c r="CA46" s="924"/>
      <c r="CB46" s="924"/>
      <c r="CC46" s="924"/>
      <c r="CD46" s="924"/>
      <c r="CE46" s="924"/>
      <c r="CF46" s="924"/>
      <c r="CG46" s="924"/>
      <c r="CH46" s="924"/>
      <c r="CI46" s="924"/>
      <c r="CJ46" s="924"/>
      <c r="CK46" s="924"/>
      <c r="CL46" s="924"/>
      <c r="CM46" s="924"/>
      <c r="CN46" s="924"/>
      <c r="CO46" s="924"/>
      <c r="CP46" s="924"/>
      <c r="CQ46" s="924"/>
      <c r="CR46" s="924"/>
      <c r="CS46" s="924"/>
      <c r="CT46" s="924"/>
      <c r="CU46" s="924"/>
      <c r="CV46" s="924"/>
      <c r="CW46" s="924"/>
      <c r="CX46" s="924"/>
      <c r="CY46" s="924"/>
      <c r="CZ46" s="924"/>
      <c r="DA46" s="924"/>
      <c r="DB46" s="924"/>
      <c r="DC46" s="924"/>
      <c r="DD46" s="924"/>
      <c r="DE46" s="924"/>
      <c r="DF46" s="924"/>
      <c r="DG46" s="924"/>
      <c r="DH46" s="924"/>
      <c r="DI46" s="924"/>
      <c r="DK46" s="925" t="s">
        <v>1032</v>
      </c>
      <c r="DL46" s="926"/>
      <c r="DM46" s="926"/>
      <c r="DN46" s="926"/>
      <c r="DO46" s="926"/>
      <c r="DP46" s="926"/>
      <c r="DQ46" s="926"/>
      <c r="DR46" s="926"/>
      <c r="DS46" s="926"/>
      <c r="DT46" s="926"/>
      <c r="DU46" s="926"/>
      <c r="DV46" s="926"/>
      <c r="DW46" s="926"/>
      <c r="DX46" s="926"/>
      <c r="DY46" s="926"/>
      <c r="DZ46" s="926"/>
      <c r="EA46" s="926"/>
      <c r="EB46" s="926"/>
      <c r="EC46" s="926"/>
      <c r="ED46" s="926"/>
      <c r="EE46" s="926"/>
      <c r="EF46" s="926"/>
      <c r="EG46" s="926"/>
      <c r="EH46" s="926"/>
      <c r="EI46" s="926"/>
      <c r="EJ46" s="926"/>
      <c r="EK46" s="926"/>
      <c r="EL46" s="926"/>
      <c r="EM46" s="926"/>
      <c r="EN46" s="926"/>
      <c r="EO46" s="926"/>
      <c r="EP46" s="926"/>
      <c r="EQ46" s="926"/>
      <c r="ES46" s="926"/>
      <c r="ET46" s="926"/>
      <c r="EU46" s="926"/>
      <c r="EV46" s="926"/>
      <c r="EW46" s="926"/>
      <c r="EX46" s="926"/>
      <c r="EY46" s="926"/>
      <c r="EZ46" s="926"/>
      <c r="FA46" s="926"/>
      <c r="FB46" s="926"/>
      <c r="FC46" s="926"/>
      <c r="FD46" s="926"/>
      <c r="FF46" s="926"/>
      <c r="FG46" s="926"/>
      <c r="FH46" s="926"/>
      <c r="FI46" s="926"/>
      <c r="FJ46" s="926"/>
      <c r="FK46" s="926"/>
      <c r="FL46" s="926"/>
      <c r="FM46" s="926"/>
      <c r="FN46" s="926"/>
      <c r="FO46" s="926"/>
      <c r="FP46" s="926"/>
      <c r="FQ46" s="926"/>
      <c r="FS46" s="926"/>
      <c r="FT46" s="926"/>
      <c r="FU46" s="926"/>
      <c r="FV46" s="926"/>
      <c r="FW46" s="926"/>
      <c r="FX46" s="926"/>
      <c r="FY46" s="926"/>
      <c r="FZ46" s="926"/>
      <c r="GA46" s="926"/>
      <c r="GB46" s="926"/>
      <c r="GC46" s="926"/>
      <c r="GD46" s="926"/>
      <c r="GF46" s="926"/>
      <c r="GG46" s="926"/>
      <c r="GH46" s="926"/>
      <c r="GI46" s="926"/>
      <c r="GJ46" s="926"/>
      <c r="GK46" s="926"/>
      <c r="GL46" s="926"/>
      <c r="GM46" s="926"/>
      <c r="GN46" s="926"/>
      <c r="GO46" s="926"/>
      <c r="GP46" s="926"/>
      <c r="GQ46" s="926"/>
      <c r="GS46" s="926"/>
      <c r="GT46" s="926"/>
      <c r="GU46" s="926"/>
      <c r="GV46" s="926"/>
      <c r="GW46" s="926"/>
      <c r="GX46" s="926"/>
      <c r="GY46" s="926"/>
      <c r="GZ46" s="926"/>
      <c r="HA46" s="926"/>
      <c r="HB46" s="926"/>
      <c r="HC46" s="926"/>
      <c r="HD46" s="926"/>
    </row>
    <row r="48" spans="1:212" ht="51">
      <c r="B48" s="980" t="s">
        <v>114</v>
      </c>
      <c r="C48" s="1054" t="s">
        <v>142</v>
      </c>
      <c r="D48" s="1055" t="s">
        <v>1070</v>
      </c>
      <c r="E48" s="1056" t="s">
        <v>1071</v>
      </c>
      <c r="F48" s="1057" t="s">
        <v>145</v>
      </c>
      <c r="G48" s="973" t="s">
        <v>118</v>
      </c>
      <c r="H48" s="938" t="s">
        <v>1039</v>
      </c>
      <c r="I48" s="1058"/>
    </row>
    <row r="49" spans="2:212" ht="14.25">
      <c r="B49" s="967" t="s">
        <v>119</v>
      </c>
      <c r="C49" s="1059">
        <v>15</v>
      </c>
      <c r="D49" s="1008">
        <v>1</v>
      </c>
      <c r="E49" s="1060">
        <v>1</v>
      </c>
      <c r="F49" s="1060">
        <v>5</v>
      </c>
      <c r="G49" s="1010">
        <v>6</v>
      </c>
      <c r="H49" s="1061">
        <f>G49/C49</f>
        <v>0.4</v>
      </c>
      <c r="I49" s="1058"/>
      <c r="N49" s="944"/>
      <c r="O49" s="930"/>
      <c r="P49" s="945">
        <v>42370</v>
      </c>
      <c r="Q49" s="945">
        <v>42401</v>
      </c>
      <c r="R49" s="945">
        <v>42430</v>
      </c>
      <c r="S49" s="945">
        <v>42461</v>
      </c>
      <c r="T49" s="945">
        <v>42491</v>
      </c>
      <c r="U49" s="945">
        <v>42522</v>
      </c>
      <c r="V49" s="945">
        <v>42552</v>
      </c>
      <c r="W49" s="995"/>
      <c r="X49" s="995"/>
      <c r="Y49" s="995"/>
      <c r="AA49" s="944"/>
      <c r="AB49" s="930"/>
      <c r="AC49" s="945">
        <v>42370</v>
      </c>
      <c r="AD49" s="945">
        <v>42401</v>
      </c>
      <c r="AE49" s="945">
        <v>42430</v>
      </c>
      <c r="AF49" s="945">
        <v>42461</v>
      </c>
      <c r="AG49" s="945">
        <v>42491</v>
      </c>
      <c r="AH49" s="945">
        <v>42522</v>
      </c>
      <c r="AI49" s="945">
        <v>42552</v>
      </c>
      <c r="AJ49" s="932" t="s">
        <v>1033</v>
      </c>
      <c r="AK49" s="946">
        <v>42583</v>
      </c>
      <c r="AL49" s="946">
        <v>42614</v>
      </c>
      <c r="AM49" s="946">
        <v>42644</v>
      </c>
      <c r="AN49" s="946">
        <v>42675</v>
      </c>
      <c r="AO49" s="946">
        <v>42705</v>
      </c>
      <c r="AP49" s="996">
        <v>42736</v>
      </c>
      <c r="AQ49" s="996">
        <v>42767</v>
      </c>
      <c r="AR49" s="996">
        <v>42795</v>
      </c>
      <c r="AS49" s="996">
        <v>42826</v>
      </c>
      <c r="AT49" s="996">
        <v>42856</v>
      </c>
      <c r="AU49" s="996">
        <v>42887</v>
      </c>
      <c r="AV49" s="996">
        <v>42917</v>
      </c>
      <c r="AW49" s="996">
        <v>42948</v>
      </c>
      <c r="AX49" s="996">
        <v>42979</v>
      </c>
      <c r="AY49" s="996">
        <v>43009</v>
      </c>
      <c r="AZ49" s="996">
        <v>43040</v>
      </c>
      <c r="BA49" s="996">
        <v>43070</v>
      </c>
      <c r="BB49" s="996">
        <v>43101</v>
      </c>
      <c r="BC49" s="996">
        <v>43132</v>
      </c>
      <c r="BD49" s="996">
        <v>43160</v>
      </c>
      <c r="BE49" s="996">
        <v>43191</v>
      </c>
      <c r="BF49" s="996">
        <v>43221</v>
      </c>
      <c r="BG49" s="996">
        <v>43252</v>
      </c>
      <c r="BH49" s="996">
        <v>43282</v>
      </c>
      <c r="BI49" s="996">
        <v>43313</v>
      </c>
      <c r="BJ49" s="996">
        <v>43344</v>
      </c>
      <c r="BK49" s="996">
        <v>43374</v>
      </c>
      <c r="BL49" s="996">
        <v>43405</v>
      </c>
      <c r="BM49" s="996">
        <v>43435</v>
      </c>
      <c r="BN49" s="996">
        <v>43466</v>
      </c>
      <c r="BO49" s="996">
        <v>43497</v>
      </c>
      <c r="BP49" s="996">
        <v>43525</v>
      </c>
      <c r="BQ49" s="996">
        <v>43556</v>
      </c>
      <c r="BR49" s="996">
        <v>43586</v>
      </c>
      <c r="BS49" s="996">
        <v>43617</v>
      </c>
      <c r="BT49" s="996">
        <v>43647</v>
      </c>
      <c r="BU49" s="996">
        <v>43678</v>
      </c>
      <c r="BV49" s="996">
        <v>43709</v>
      </c>
      <c r="BW49" s="996">
        <v>43739</v>
      </c>
      <c r="BX49" s="996">
        <v>43770</v>
      </c>
      <c r="BY49" s="996">
        <v>43800</v>
      </c>
      <c r="BZ49" s="996">
        <v>43831</v>
      </c>
      <c r="CA49" s="996">
        <v>43862</v>
      </c>
      <c r="CB49" s="996">
        <v>43891</v>
      </c>
      <c r="CC49" s="996">
        <v>43922</v>
      </c>
      <c r="CD49" s="996">
        <v>43952</v>
      </c>
      <c r="CE49" s="996">
        <v>43983</v>
      </c>
      <c r="CF49" s="996">
        <v>44013</v>
      </c>
      <c r="CG49" s="996">
        <v>44044</v>
      </c>
      <c r="CH49" s="996">
        <v>44075</v>
      </c>
      <c r="CI49" s="996">
        <v>44105</v>
      </c>
      <c r="CJ49" s="996">
        <v>44136</v>
      </c>
      <c r="CK49" s="996">
        <v>44166</v>
      </c>
      <c r="CL49" s="996">
        <v>44197</v>
      </c>
      <c r="CM49" s="996">
        <v>44228</v>
      </c>
      <c r="CN49" s="996">
        <v>44256</v>
      </c>
      <c r="CO49" s="996">
        <v>44287</v>
      </c>
      <c r="CP49" s="996">
        <v>44317</v>
      </c>
      <c r="CQ49" s="996">
        <v>44348</v>
      </c>
      <c r="CR49" s="996">
        <v>44378</v>
      </c>
      <c r="CS49" s="996">
        <v>44409</v>
      </c>
      <c r="CT49" s="996">
        <v>44440</v>
      </c>
      <c r="CU49" s="996">
        <v>44470</v>
      </c>
      <c r="CV49" s="996">
        <v>44501</v>
      </c>
      <c r="CW49" s="996">
        <v>44531</v>
      </c>
      <c r="CX49" s="996">
        <v>44562</v>
      </c>
      <c r="CY49" s="996">
        <v>44593</v>
      </c>
      <c r="CZ49" s="996">
        <v>44621</v>
      </c>
      <c r="DA49" s="996">
        <v>44652</v>
      </c>
      <c r="DB49" s="996">
        <v>44682</v>
      </c>
      <c r="DC49" s="996">
        <v>44713</v>
      </c>
      <c r="DD49" s="996">
        <v>44743</v>
      </c>
      <c r="DE49" s="996">
        <v>44774</v>
      </c>
      <c r="DF49" s="996">
        <v>44805</v>
      </c>
      <c r="DG49" s="996">
        <v>44835</v>
      </c>
      <c r="DH49" s="996">
        <v>44866</v>
      </c>
      <c r="DI49" s="996">
        <v>44896</v>
      </c>
      <c r="DK49" s="944"/>
      <c r="DL49" s="930"/>
      <c r="DN49" s="947">
        <v>42583</v>
      </c>
      <c r="DO49" s="948">
        <v>42614</v>
      </c>
      <c r="DP49" s="948">
        <v>42644</v>
      </c>
      <c r="DQ49" s="948">
        <v>42675</v>
      </c>
      <c r="DR49" s="949">
        <v>42705</v>
      </c>
      <c r="DT49" s="947">
        <v>42583</v>
      </c>
      <c r="DU49" s="948">
        <v>42614</v>
      </c>
      <c r="DV49" s="948">
        <v>42644</v>
      </c>
      <c r="DW49" s="948">
        <v>42675</v>
      </c>
      <c r="DX49" s="949">
        <v>42705</v>
      </c>
      <c r="DZ49" s="947">
        <v>42583</v>
      </c>
      <c r="EA49" s="948">
        <v>42614</v>
      </c>
      <c r="EB49" s="948">
        <v>42644</v>
      </c>
      <c r="EC49" s="948">
        <v>42675</v>
      </c>
      <c r="ED49" s="949">
        <v>42705</v>
      </c>
      <c r="EF49" s="947">
        <v>42736</v>
      </c>
      <c r="EG49" s="948">
        <v>42767</v>
      </c>
      <c r="EH49" s="948">
        <v>42795</v>
      </c>
      <c r="EI49" s="948">
        <v>42826</v>
      </c>
      <c r="EJ49" s="948">
        <v>42856</v>
      </c>
      <c r="EK49" s="948">
        <v>42887</v>
      </c>
      <c r="EL49" s="948">
        <v>42917</v>
      </c>
      <c r="EM49" s="948">
        <v>42948</v>
      </c>
      <c r="EN49" s="948">
        <v>42979</v>
      </c>
      <c r="EO49" s="948">
        <v>43009</v>
      </c>
      <c r="EP49" s="948">
        <v>43040</v>
      </c>
      <c r="EQ49" s="949">
        <v>42705</v>
      </c>
      <c r="ES49" s="947">
        <v>43101</v>
      </c>
      <c r="ET49" s="1105">
        <v>43132</v>
      </c>
      <c r="EU49" s="1105">
        <v>43160</v>
      </c>
      <c r="EV49" s="1105">
        <v>43191</v>
      </c>
      <c r="EW49" s="1105">
        <v>43221</v>
      </c>
      <c r="EX49" s="1105">
        <v>43252</v>
      </c>
      <c r="EY49" s="1105">
        <v>43282</v>
      </c>
      <c r="EZ49" s="1105">
        <v>43313</v>
      </c>
      <c r="FA49" s="1105">
        <v>43344</v>
      </c>
      <c r="FB49" s="1105">
        <v>43374</v>
      </c>
      <c r="FC49" s="1105">
        <v>43405</v>
      </c>
      <c r="FD49" s="949">
        <v>43435</v>
      </c>
      <c r="FF49" s="947">
        <v>43466</v>
      </c>
      <c r="FG49" s="1105">
        <v>43497</v>
      </c>
      <c r="FH49" s="1105">
        <v>43525</v>
      </c>
      <c r="FI49" s="1105">
        <v>43556</v>
      </c>
      <c r="FJ49" s="1105">
        <v>43586</v>
      </c>
      <c r="FK49" s="1105">
        <v>43617</v>
      </c>
      <c r="FL49" s="1105">
        <v>43647</v>
      </c>
      <c r="FM49" s="1105">
        <v>43678</v>
      </c>
      <c r="FN49" s="1105">
        <v>43709</v>
      </c>
      <c r="FO49" s="1105">
        <v>43739</v>
      </c>
      <c r="FP49" s="1105">
        <v>43770</v>
      </c>
      <c r="FQ49" s="949">
        <v>43800</v>
      </c>
      <c r="FS49" s="947">
        <v>43831</v>
      </c>
      <c r="FT49" s="1105">
        <v>43862</v>
      </c>
      <c r="FU49" s="1105">
        <v>43891</v>
      </c>
      <c r="FV49" s="1105">
        <v>43922</v>
      </c>
      <c r="FW49" s="1105">
        <v>43952</v>
      </c>
      <c r="FX49" s="1105">
        <v>43983</v>
      </c>
      <c r="FY49" s="1105">
        <v>44013</v>
      </c>
      <c r="FZ49" s="1105">
        <v>44044</v>
      </c>
      <c r="GA49" s="1105">
        <v>44075</v>
      </c>
      <c r="GB49" s="1105">
        <v>44105</v>
      </c>
      <c r="GC49" s="1105">
        <v>44136</v>
      </c>
      <c r="GD49" s="949">
        <v>44166</v>
      </c>
      <c r="GF49" s="947">
        <v>44197</v>
      </c>
      <c r="GG49" s="1105">
        <v>44228</v>
      </c>
      <c r="GH49" s="1105">
        <v>44256</v>
      </c>
      <c r="GI49" s="1105">
        <v>44287</v>
      </c>
      <c r="GJ49" s="1105">
        <v>44317</v>
      </c>
      <c r="GK49" s="1105">
        <v>44348</v>
      </c>
      <c r="GL49" s="1105">
        <v>44378</v>
      </c>
      <c r="GM49" s="1105">
        <v>44409</v>
      </c>
      <c r="GN49" s="1105">
        <v>44440</v>
      </c>
      <c r="GO49" s="1105">
        <v>44470</v>
      </c>
      <c r="GP49" s="1105">
        <v>44501</v>
      </c>
      <c r="GQ49" s="949">
        <v>44531</v>
      </c>
      <c r="GS49" s="947">
        <v>44562</v>
      </c>
      <c r="GT49" s="1105">
        <v>44593</v>
      </c>
      <c r="GU49" s="1105">
        <v>44621</v>
      </c>
      <c r="GV49" s="1105">
        <v>44652</v>
      </c>
      <c r="GW49" s="1105">
        <v>44682</v>
      </c>
      <c r="GX49" s="1105">
        <v>44713</v>
      </c>
      <c r="GY49" s="1105">
        <v>44743</v>
      </c>
      <c r="GZ49" s="1105">
        <v>44774</v>
      </c>
      <c r="HA49" s="1105">
        <v>44805</v>
      </c>
      <c r="HB49" s="1105">
        <v>44835</v>
      </c>
      <c r="HC49" s="1105">
        <v>44866</v>
      </c>
      <c r="HD49" s="949">
        <v>44896</v>
      </c>
    </row>
    <row r="50" spans="2:212" ht="14.25">
      <c r="B50" s="967" t="s">
        <v>120</v>
      </c>
      <c r="C50" s="1059">
        <v>30</v>
      </c>
      <c r="D50" s="1008">
        <v>2</v>
      </c>
      <c r="E50" s="1062">
        <v>1</v>
      </c>
      <c r="F50" s="1062">
        <v>6</v>
      </c>
      <c r="G50" s="1010">
        <v>6</v>
      </c>
      <c r="H50" s="1061">
        <f t="shared" ref="H50:H57" si="239">G50/C50</f>
        <v>0.2</v>
      </c>
      <c r="I50" s="1058"/>
      <c r="N50" s="914" t="s">
        <v>206</v>
      </c>
      <c r="O50" s="933"/>
      <c r="P50" s="934">
        <f>[5]Assumption!D4</f>
        <v>13641.9247</v>
      </c>
      <c r="Q50" s="934">
        <f>[5]Assumption!E4</f>
        <v>13892.638999999999</v>
      </c>
      <c r="R50" s="934">
        <f>[5]Assumption!F4</f>
        <v>33141.966699999997</v>
      </c>
      <c r="S50" s="934">
        <f>[5]Assumption!G4</f>
        <v>30639.373500000002</v>
      </c>
      <c r="T50" s="934">
        <f>[5]Assumption!H4</f>
        <v>27458.014999999999</v>
      </c>
      <c r="U50" s="934">
        <f>[5]Assumption!I4</f>
        <v>41468.133600000001</v>
      </c>
      <c r="V50" s="934">
        <f>[5]Assumption!J4</f>
        <v>29747.920999999998</v>
      </c>
      <c r="W50" s="934"/>
      <c r="X50" s="934"/>
      <c r="Y50" s="934"/>
      <c r="AA50" s="914" t="s">
        <v>206</v>
      </c>
      <c r="AB50" s="933"/>
      <c r="AC50" s="934"/>
      <c r="AD50" s="934"/>
      <c r="AE50" s="934"/>
      <c r="AF50" s="934"/>
      <c r="AG50" s="934"/>
      <c r="AH50" s="934"/>
      <c r="AI50" s="934"/>
      <c r="DK50" s="914" t="s">
        <v>206</v>
      </c>
      <c r="DL50" s="933"/>
      <c r="DN50" s="968">
        <f>[5]Assumption!K4</f>
        <v>31024.388999999999</v>
      </c>
      <c r="DO50" s="975">
        <f>[5]Assumption!L4</f>
        <v>57115.435752778605</v>
      </c>
      <c r="DP50" s="975">
        <f>[5]Assumption!M4</f>
        <v>47631.558536618817</v>
      </c>
      <c r="DQ50" s="975">
        <f>[5]Assumption!N4</f>
        <v>53942.523858297791</v>
      </c>
      <c r="DR50" s="969">
        <f>[5]Assumption!O4</f>
        <v>70376.045614909744</v>
      </c>
      <c r="DT50" s="968">
        <f>[5]Assumption!K4</f>
        <v>31024.388999999999</v>
      </c>
      <c r="DU50" s="975">
        <f>[5]Assumption!L4</f>
        <v>57115.435752778605</v>
      </c>
      <c r="DV50" s="975">
        <f>[5]Assumption!M4</f>
        <v>47631.558536618817</v>
      </c>
      <c r="DW50" s="975">
        <f>[5]Assumption!N4</f>
        <v>53942.523858297791</v>
      </c>
      <c r="DX50" s="969">
        <f>[5]Assumption!O4</f>
        <v>70376.045614909744</v>
      </c>
      <c r="DZ50" s="1600">
        <f>DZ7</f>
        <v>31024.388999999999</v>
      </c>
      <c r="EA50" s="1605">
        <f t="shared" ref="EA50:ED50" si="240">EA7</f>
        <v>48843.572999999997</v>
      </c>
      <c r="EB50" s="1605">
        <f t="shared" si="240"/>
        <v>39101.214999999997</v>
      </c>
      <c r="EC50" s="1605">
        <f t="shared" si="240"/>
        <v>50426.896000000001</v>
      </c>
      <c r="ED50" s="1607">
        <f t="shared" si="240"/>
        <v>94434.854000000007</v>
      </c>
      <c r="EF50" s="1600">
        <f>EF7</f>
        <v>27131.55</v>
      </c>
      <c r="EG50" s="1605">
        <f t="shared" ref="EG50:EP50" si="241">EG7</f>
        <v>40723.482300000003</v>
      </c>
      <c r="EH50" s="1605">
        <f t="shared" si="241"/>
        <v>56762.074000000001</v>
      </c>
      <c r="EI50" s="1605">
        <f t="shared" si="241"/>
        <v>49965.190999999999</v>
      </c>
      <c r="EJ50" s="1605">
        <f t="shared" si="241"/>
        <v>53646.534</v>
      </c>
      <c r="EK50" s="1605">
        <f t="shared" si="241"/>
        <v>58133.574000000001</v>
      </c>
      <c r="EL50" s="975">
        <f t="shared" si="241"/>
        <v>58800</v>
      </c>
      <c r="EM50" s="975">
        <f t="shared" si="241"/>
        <v>65660</v>
      </c>
      <c r="EN50" s="975">
        <f t="shared" si="241"/>
        <v>73500</v>
      </c>
      <c r="EO50" s="975">
        <f t="shared" si="241"/>
        <v>69580</v>
      </c>
      <c r="EP50" s="975">
        <f t="shared" si="241"/>
        <v>78400</v>
      </c>
      <c r="EQ50" s="969">
        <f>EQ7</f>
        <v>88779.18</v>
      </c>
      <c r="ES50" s="968">
        <f>ES7</f>
        <v>33634.87184066388</v>
      </c>
      <c r="ET50" s="975">
        <f t="shared" ref="ET50:FC50" si="242">ET7</f>
        <v>31605.909403366346</v>
      </c>
      <c r="EU50" s="975">
        <f t="shared" si="242"/>
        <v>69270.736047451515</v>
      </c>
      <c r="EV50" s="975">
        <f t="shared" si="242"/>
        <v>68993.157764707124</v>
      </c>
      <c r="EW50" s="975">
        <f t="shared" si="242"/>
        <v>79757.509393595945</v>
      </c>
      <c r="EX50" s="975">
        <f t="shared" si="242"/>
        <v>86426.017720658405</v>
      </c>
      <c r="EY50" s="975">
        <f t="shared" si="242"/>
        <v>81303.597495043112</v>
      </c>
      <c r="EZ50" s="975">
        <f t="shared" si="242"/>
        <v>90323.510560228984</v>
      </c>
      <c r="FA50" s="975">
        <f t="shared" si="242"/>
        <v>99856.734877479015</v>
      </c>
      <c r="FB50" s="975">
        <f t="shared" si="242"/>
        <v>94095.128673818224</v>
      </c>
      <c r="FC50" s="975">
        <f t="shared" si="242"/>
        <v>102732.11183509197</v>
      </c>
      <c r="FD50" s="969">
        <f>FD7</f>
        <v>110588.30482163659</v>
      </c>
      <c r="FF50" s="968">
        <f>FF7</f>
        <v>46318.349922487585</v>
      </c>
      <c r="FG50" s="975">
        <f t="shared" ref="FG50:FP50" si="243">FG7</f>
        <v>43005.179342212272</v>
      </c>
      <c r="FH50" s="975">
        <f t="shared" si="243"/>
        <v>98133.872946411808</v>
      </c>
      <c r="FI50" s="975">
        <f t="shared" si="243"/>
        <v>96299.872808433443</v>
      </c>
      <c r="FJ50" s="975">
        <f t="shared" si="243"/>
        <v>111182.80365888127</v>
      </c>
      <c r="FK50" s="975">
        <f t="shared" si="243"/>
        <v>119200.54428490785</v>
      </c>
      <c r="FL50" s="975">
        <f t="shared" si="243"/>
        <v>113362.15964138735</v>
      </c>
      <c r="FM50" s="975">
        <f t="shared" si="243"/>
        <v>125688.20032751787</v>
      </c>
      <c r="FN50" s="975">
        <f t="shared" si="243"/>
        <v>138762.26956290167</v>
      </c>
      <c r="FO50" s="975">
        <f t="shared" si="243"/>
        <v>132466.46696807331</v>
      </c>
      <c r="FP50" s="975">
        <f t="shared" si="243"/>
        <v>143880.03889398318</v>
      </c>
      <c r="FQ50" s="969">
        <f>FQ7</f>
        <v>155348.77457851273</v>
      </c>
      <c r="FS50" s="968">
        <f>FS7</f>
        <v>61647.896999521479</v>
      </c>
      <c r="FT50" s="975">
        <f t="shared" ref="FT50:GC50" si="244">FT7</f>
        <v>57434.081744434043</v>
      </c>
      <c r="FU50" s="975">
        <f t="shared" si="244"/>
        <v>129200.72136715053</v>
      </c>
      <c r="FV50" s="975">
        <f t="shared" si="244"/>
        <v>128308.48034392958</v>
      </c>
      <c r="FW50" s="975">
        <f t="shared" si="244"/>
        <v>146860.52938208671</v>
      </c>
      <c r="FX50" s="975">
        <f t="shared" si="244"/>
        <v>155524.25254895756</v>
      </c>
      <c r="FY50" s="975">
        <f t="shared" si="244"/>
        <v>148398.75353611138</v>
      </c>
      <c r="FZ50" s="975">
        <f t="shared" si="244"/>
        <v>163072.75855433659</v>
      </c>
      <c r="GA50" s="975">
        <f t="shared" si="244"/>
        <v>179474.28221131454</v>
      </c>
      <c r="GB50" s="975">
        <f t="shared" si="244"/>
        <v>169825.29204644155</v>
      </c>
      <c r="GC50" s="975">
        <f t="shared" si="244"/>
        <v>182638.97724914533</v>
      </c>
      <c r="GD50" s="969">
        <f>GD7</f>
        <v>195891.76575396219</v>
      </c>
      <c r="GF50" s="968">
        <f>GF7</f>
        <v>79773.566176795241</v>
      </c>
      <c r="GG50" s="975">
        <f t="shared" ref="GG50:GP50" si="245">GG7</f>
        <v>73960.874577816241</v>
      </c>
      <c r="GH50" s="975">
        <f t="shared" si="245"/>
        <v>166045.69701742672</v>
      </c>
      <c r="GI50" s="975">
        <f t="shared" si="245"/>
        <v>165098.28269728503</v>
      </c>
      <c r="GJ50" s="975">
        <f t="shared" si="245"/>
        <v>188943.1789052675</v>
      </c>
      <c r="GK50" s="975">
        <f t="shared" si="245"/>
        <v>200169.61300769183</v>
      </c>
      <c r="GL50" s="975">
        <f t="shared" si="245"/>
        <v>191093.14991266411</v>
      </c>
      <c r="GM50" s="975">
        <f t="shared" si="245"/>
        <v>212241.04562907212</v>
      </c>
      <c r="GN50" s="975">
        <f t="shared" si="245"/>
        <v>233831.69508343982</v>
      </c>
      <c r="GO50" s="975">
        <f t="shared" si="245"/>
        <v>221837.58026768558</v>
      </c>
      <c r="GP50" s="975">
        <f t="shared" si="245"/>
        <v>240114.07890424004</v>
      </c>
      <c r="GQ50" s="969">
        <f>GQ7</f>
        <v>258165.48648485605</v>
      </c>
      <c r="GS50" s="968">
        <f>GS7</f>
        <v>102243.17354613698</v>
      </c>
      <c r="GT50" s="975">
        <f t="shared" ref="GT50:HC50" si="246">GT7</f>
        <v>94914.436736920587</v>
      </c>
      <c r="GU50" s="975">
        <f t="shared" si="246"/>
        <v>213376.11169026361</v>
      </c>
      <c r="GV50" s="975">
        <f t="shared" si="246"/>
        <v>212686.06389340316</v>
      </c>
      <c r="GW50" s="975">
        <f t="shared" si="246"/>
        <v>243766.73602706607</v>
      </c>
      <c r="GX50" s="975">
        <f t="shared" si="246"/>
        <v>258677.59641993258</v>
      </c>
      <c r="GY50" s="975">
        <f t="shared" si="246"/>
        <v>247325.83416245971</v>
      </c>
      <c r="GZ50" s="975">
        <f t="shared" si="246"/>
        <v>274551.78277930809</v>
      </c>
      <c r="HA50" s="975">
        <f t="shared" si="246"/>
        <v>302543.5324840942</v>
      </c>
      <c r="HB50" s="975">
        <f t="shared" si="246"/>
        <v>290274.66133140703</v>
      </c>
      <c r="HC50" s="975">
        <f t="shared" si="246"/>
        <v>317209.68443916366</v>
      </c>
      <c r="HD50" s="969">
        <f>HD7</f>
        <v>341316.06647489819</v>
      </c>
    </row>
    <row r="51" spans="2:212" ht="14.25">
      <c r="B51" s="967" t="s">
        <v>121</v>
      </c>
      <c r="C51" s="1059">
        <v>35</v>
      </c>
      <c r="D51" s="1008">
        <v>3</v>
      </c>
      <c r="E51" s="1062">
        <v>2</v>
      </c>
      <c r="F51" s="1062">
        <v>9</v>
      </c>
      <c r="G51" s="1010">
        <v>6</v>
      </c>
      <c r="H51" s="1061">
        <f t="shared" si="239"/>
        <v>0.17142857142857143</v>
      </c>
      <c r="I51" s="1058"/>
      <c r="N51" s="914" t="s">
        <v>1034</v>
      </c>
      <c r="O51" s="933"/>
      <c r="P51" s="934">
        <f>[5]Assumption!D5</f>
        <v>4254.7024700000002</v>
      </c>
      <c r="Q51" s="934">
        <f>[5]Assumption!E5</f>
        <v>4245.9432999999999</v>
      </c>
      <c r="R51" s="934">
        <f>[5]Assumption!F5</f>
        <v>10233.976975</v>
      </c>
      <c r="S51" s="934">
        <f>[5]Assumption!G5</f>
        <v>9777.6431200000006</v>
      </c>
      <c r="T51" s="934">
        <f>[5]Assumption!H5</f>
        <v>8583.7165700000005</v>
      </c>
      <c r="U51" s="934">
        <f>[5]Assumption!I5</f>
        <v>12969.911534999999</v>
      </c>
      <c r="V51" s="934">
        <f>[5]Assumption!J5</f>
        <v>9370.4067799999993</v>
      </c>
      <c r="W51" s="934"/>
      <c r="X51" s="934"/>
      <c r="Y51" s="934"/>
      <c r="AA51" s="914" t="s">
        <v>1034</v>
      </c>
      <c r="AB51" s="933"/>
      <c r="AC51" s="934"/>
      <c r="AD51" s="934"/>
      <c r="AE51" s="934"/>
      <c r="AF51" s="934"/>
      <c r="AG51" s="934"/>
      <c r="AH51" s="934"/>
      <c r="AI51" s="934"/>
      <c r="DK51" s="914" t="s">
        <v>1034</v>
      </c>
      <c r="DL51" s="933"/>
      <c r="DN51" s="936">
        <f>[5]Assumption!K5</f>
        <v>9881.3886650000004</v>
      </c>
      <c r="DO51" s="950">
        <f>[5]Assumption!L5</f>
        <v>18276.939440889153</v>
      </c>
      <c r="DP51" s="950">
        <f>[5]Assumption!M5</f>
        <v>15242.098731718022</v>
      </c>
      <c r="DQ51" s="950">
        <f>[5]Assumption!N5</f>
        <v>17261.607634655295</v>
      </c>
      <c r="DR51" s="937">
        <f>[5]Assumption!O5</f>
        <v>22520.334596771118</v>
      </c>
      <c r="DT51" s="936">
        <f>[5]Assumption!K5</f>
        <v>9881.3886650000004</v>
      </c>
      <c r="DU51" s="950">
        <f>[5]Assumption!L5</f>
        <v>18276.939440889153</v>
      </c>
      <c r="DV51" s="950">
        <f>[5]Assumption!M5</f>
        <v>15242.098731718022</v>
      </c>
      <c r="DW51" s="950">
        <f>[5]Assumption!N5</f>
        <v>17261.607634655295</v>
      </c>
      <c r="DX51" s="937">
        <f>[5]Assumption!O5</f>
        <v>22520.334596771118</v>
      </c>
      <c r="DZ51" s="1602">
        <f>DZ8</f>
        <v>9881.3886649999986</v>
      </c>
      <c r="EA51" s="1601">
        <f t="shared" ref="EA51:ED51" si="247">EA8</f>
        <v>15624.916090000001</v>
      </c>
      <c r="EB51" s="1601">
        <f t="shared" si="247"/>
        <v>12404.99087</v>
      </c>
      <c r="EC51" s="1601">
        <f t="shared" si="247"/>
        <v>16642.730624999997</v>
      </c>
      <c r="ED51" s="1608">
        <f t="shared" si="247"/>
        <v>30928.548119999999</v>
      </c>
      <c r="EF51" s="1602">
        <f>EF8</f>
        <v>8913.6049149999999</v>
      </c>
      <c r="EG51" s="1601">
        <f t="shared" ref="EG51:EQ51" si="248">EG8</f>
        <v>13438.240889999999</v>
      </c>
      <c r="EH51" s="1601">
        <f t="shared" si="248"/>
        <v>18358.636490000001</v>
      </c>
      <c r="EI51" s="1601">
        <f t="shared" si="248"/>
        <v>15994.539525</v>
      </c>
      <c r="EJ51" s="1601">
        <f t="shared" si="248"/>
        <v>16959.788120000001</v>
      </c>
      <c r="EK51" s="1601">
        <f t="shared" si="248"/>
        <v>18586.203744999999</v>
      </c>
      <c r="EL51" s="950">
        <f t="shared" si="248"/>
        <v>19110</v>
      </c>
      <c r="EM51" s="950">
        <f t="shared" si="248"/>
        <v>21339.5</v>
      </c>
      <c r="EN51" s="950">
        <f t="shared" si="248"/>
        <v>23887.5</v>
      </c>
      <c r="EO51" s="950">
        <f t="shared" si="248"/>
        <v>22613.5</v>
      </c>
      <c r="EP51" s="950">
        <f t="shared" si="248"/>
        <v>25480</v>
      </c>
      <c r="EQ51" s="937">
        <f t="shared" si="248"/>
        <v>28853.233499999998</v>
      </c>
      <c r="ES51" s="936">
        <f>ES8</f>
        <v>10931.333348215761</v>
      </c>
      <c r="ET51" s="950">
        <f t="shared" ref="ET51:FD51" si="249">ET8</f>
        <v>10271.920556094063</v>
      </c>
      <c r="EU51" s="950">
        <f t="shared" si="249"/>
        <v>22512.989215421745</v>
      </c>
      <c r="EV51" s="950">
        <f t="shared" si="249"/>
        <v>22422.776273529817</v>
      </c>
      <c r="EW51" s="950">
        <f t="shared" si="249"/>
        <v>25921.190552918684</v>
      </c>
      <c r="EX51" s="950">
        <f t="shared" si="249"/>
        <v>28088.455759213983</v>
      </c>
      <c r="EY51" s="950">
        <f t="shared" si="249"/>
        <v>26423.669185889012</v>
      </c>
      <c r="EZ51" s="950">
        <f t="shared" si="249"/>
        <v>29355.140932074421</v>
      </c>
      <c r="FA51" s="950">
        <f t="shared" si="249"/>
        <v>32453.438835180681</v>
      </c>
      <c r="FB51" s="950">
        <f t="shared" si="249"/>
        <v>30580.916818990925</v>
      </c>
      <c r="FC51" s="950">
        <f t="shared" si="249"/>
        <v>33387.936346404895</v>
      </c>
      <c r="FD51" s="937">
        <f t="shared" si="249"/>
        <v>35941.199067031892</v>
      </c>
      <c r="FF51" s="936">
        <f>FF8</f>
        <v>15053.463724808465</v>
      </c>
      <c r="FG51" s="950">
        <f t="shared" ref="FG51:FQ51" si="250">FG8</f>
        <v>13976.683286218989</v>
      </c>
      <c r="FH51" s="950">
        <f t="shared" si="250"/>
        <v>31893.508707583838</v>
      </c>
      <c r="FI51" s="950">
        <f t="shared" si="250"/>
        <v>31297.458662740872</v>
      </c>
      <c r="FJ51" s="950">
        <f t="shared" si="250"/>
        <v>36134.411189136415</v>
      </c>
      <c r="FK51" s="950">
        <f t="shared" si="250"/>
        <v>38740.176892595053</v>
      </c>
      <c r="FL51" s="950">
        <f t="shared" si="250"/>
        <v>36842.701883450893</v>
      </c>
      <c r="FM51" s="950">
        <f t="shared" si="250"/>
        <v>40848.66510644331</v>
      </c>
      <c r="FN51" s="950">
        <f t="shared" si="250"/>
        <v>45097.737607943047</v>
      </c>
      <c r="FO51" s="950">
        <f t="shared" si="250"/>
        <v>43051.601764623825</v>
      </c>
      <c r="FP51" s="950">
        <f t="shared" si="250"/>
        <v>46761.012640544533</v>
      </c>
      <c r="FQ51" s="937">
        <f t="shared" si="250"/>
        <v>50488.351738016638</v>
      </c>
      <c r="FS51" s="936">
        <f>FS8</f>
        <v>20035.566524844482</v>
      </c>
      <c r="FT51" s="950">
        <f t="shared" ref="FT51:GD51" si="251">FT8</f>
        <v>18666.076566941065</v>
      </c>
      <c r="FU51" s="950">
        <f t="shared" si="251"/>
        <v>41990.234444323927</v>
      </c>
      <c r="FV51" s="950">
        <f t="shared" si="251"/>
        <v>41700.256111777111</v>
      </c>
      <c r="FW51" s="950">
        <f t="shared" si="251"/>
        <v>47729.672049178182</v>
      </c>
      <c r="FX51" s="950">
        <f t="shared" si="251"/>
        <v>50545.38207841121</v>
      </c>
      <c r="FY51" s="950">
        <f t="shared" si="251"/>
        <v>48229.594899236203</v>
      </c>
      <c r="FZ51" s="950">
        <f t="shared" si="251"/>
        <v>52998.646530159393</v>
      </c>
      <c r="GA51" s="950">
        <f t="shared" si="251"/>
        <v>58329.141718677223</v>
      </c>
      <c r="GB51" s="950">
        <f t="shared" si="251"/>
        <v>55193.219915093505</v>
      </c>
      <c r="GC51" s="950">
        <f t="shared" si="251"/>
        <v>59357.667605972238</v>
      </c>
      <c r="GD51" s="937">
        <f t="shared" si="251"/>
        <v>63664.823870037711</v>
      </c>
      <c r="GF51" s="936">
        <f>GF8</f>
        <v>25926.409007458453</v>
      </c>
      <c r="GG51" s="950">
        <f t="shared" ref="GG51:GQ51" si="252">GG8</f>
        <v>24037.284237790278</v>
      </c>
      <c r="GH51" s="950">
        <f t="shared" si="252"/>
        <v>53964.851530663684</v>
      </c>
      <c r="GI51" s="950">
        <f t="shared" si="252"/>
        <v>53656.941876617639</v>
      </c>
      <c r="GJ51" s="950">
        <f t="shared" si="252"/>
        <v>61406.533144211942</v>
      </c>
      <c r="GK51" s="950">
        <f t="shared" si="252"/>
        <v>65055.124227499851</v>
      </c>
      <c r="GL51" s="950">
        <f t="shared" si="252"/>
        <v>62105.273721615842</v>
      </c>
      <c r="GM51" s="950">
        <f t="shared" si="252"/>
        <v>68978.339829448436</v>
      </c>
      <c r="GN51" s="950">
        <f t="shared" si="252"/>
        <v>75995.300902117946</v>
      </c>
      <c r="GO51" s="950">
        <f t="shared" si="252"/>
        <v>72097.213586997823</v>
      </c>
      <c r="GP51" s="950">
        <f t="shared" si="252"/>
        <v>78037.075643878023</v>
      </c>
      <c r="GQ51" s="937">
        <f t="shared" si="252"/>
        <v>83903.783107578216</v>
      </c>
      <c r="GS51" s="936">
        <f>GS8</f>
        <v>33229.031402494518</v>
      </c>
      <c r="GT51" s="950">
        <f t="shared" ref="GT51:HD51" si="253">GT8</f>
        <v>30847.191939499193</v>
      </c>
      <c r="GU51" s="950">
        <f t="shared" si="253"/>
        <v>69347.23629933568</v>
      </c>
      <c r="GV51" s="950">
        <f t="shared" si="253"/>
        <v>69122.970765356033</v>
      </c>
      <c r="GW51" s="950">
        <f t="shared" si="253"/>
        <v>79224.189208796481</v>
      </c>
      <c r="GX51" s="950">
        <f t="shared" si="253"/>
        <v>84070.218836478089</v>
      </c>
      <c r="GY51" s="950">
        <f t="shared" si="253"/>
        <v>80380.896102799408</v>
      </c>
      <c r="GZ51" s="950">
        <f t="shared" si="253"/>
        <v>89229.329403275129</v>
      </c>
      <c r="HA51" s="950">
        <f t="shared" si="253"/>
        <v>98326.648057330618</v>
      </c>
      <c r="HB51" s="950">
        <f t="shared" si="253"/>
        <v>94339.264932707287</v>
      </c>
      <c r="HC51" s="950">
        <f t="shared" si="253"/>
        <v>103093.14744272819</v>
      </c>
      <c r="HD51" s="937">
        <f t="shared" si="253"/>
        <v>110927.72160434192</v>
      </c>
    </row>
    <row r="52" spans="2:212" ht="14.25">
      <c r="B52" s="967" t="s">
        <v>122</v>
      </c>
      <c r="C52" s="1059">
        <v>45</v>
      </c>
      <c r="D52" s="976">
        <v>5</v>
      </c>
      <c r="E52" s="1062">
        <v>2</v>
      </c>
      <c r="F52" s="1062"/>
      <c r="G52" s="1015">
        <v>9</v>
      </c>
      <c r="H52" s="1061">
        <f t="shared" si="239"/>
        <v>0.2</v>
      </c>
      <c r="I52" s="1058"/>
      <c r="N52" s="914" t="s">
        <v>1072</v>
      </c>
      <c r="O52" s="933"/>
      <c r="P52" s="934">
        <f>[5]Assumption!D15</f>
        <v>204</v>
      </c>
      <c r="Q52" s="934">
        <f>[5]Assumption!E15</f>
        <v>204</v>
      </c>
      <c r="R52" s="934">
        <f>[5]Assumption!F15</f>
        <v>216</v>
      </c>
      <c r="S52" s="934">
        <f>[5]Assumption!G15</f>
        <v>235</v>
      </c>
      <c r="T52" s="934">
        <f>[5]Assumption!H15</f>
        <v>256</v>
      </c>
      <c r="U52" s="934">
        <f>[5]Assumption!I15</f>
        <v>280</v>
      </c>
      <c r="V52" s="934">
        <f>[5]Assumption!J15</f>
        <v>282</v>
      </c>
      <c r="W52" s="934"/>
      <c r="X52" s="934"/>
      <c r="Y52" s="934"/>
      <c r="AA52" s="914" t="s">
        <v>1072</v>
      </c>
      <c r="AB52" s="933"/>
      <c r="AC52" s="934"/>
      <c r="AD52" s="934"/>
      <c r="AE52" s="934"/>
      <c r="AF52" s="934"/>
      <c r="AG52" s="934"/>
      <c r="AH52" s="934"/>
      <c r="AI52" s="934"/>
      <c r="DK52" s="914" t="s">
        <v>1072</v>
      </c>
      <c r="DL52" s="933"/>
      <c r="DN52" s="952">
        <f>[5]Assumption!K15</f>
        <v>297</v>
      </c>
      <c r="DO52" s="953">
        <f>[5]Assumption!L15</f>
        <v>337</v>
      </c>
      <c r="DP52" s="953">
        <f>[5]Assumption!M15</f>
        <v>350</v>
      </c>
      <c r="DQ52" s="953">
        <f>[5]Assumption!N15</f>
        <v>376</v>
      </c>
      <c r="DR52" s="933">
        <f>[5]Assumption!O15</f>
        <v>400</v>
      </c>
      <c r="DT52" s="952">
        <f>[5]Assumption!K15</f>
        <v>297</v>
      </c>
      <c r="DU52" s="953">
        <f>[5]Assumption!L15</f>
        <v>337</v>
      </c>
      <c r="DV52" s="953">
        <f>[5]Assumption!M15</f>
        <v>350</v>
      </c>
      <c r="DW52" s="953">
        <f>[5]Assumption!N15</f>
        <v>376</v>
      </c>
      <c r="DX52" s="933">
        <f>[5]Assumption!O15</f>
        <v>400</v>
      </c>
      <c r="DZ52" s="952">
        <f>[5]Assumption!K15</f>
        <v>297</v>
      </c>
      <c r="EA52" s="953">
        <f>[5]Assumption!L15</f>
        <v>337</v>
      </c>
      <c r="EB52" s="953">
        <f>[5]Assumption!M15</f>
        <v>350</v>
      </c>
      <c r="EC52" s="953">
        <f>[5]Assumption!N15</f>
        <v>376</v>
      </c>
      <c r="ED52" s="933">
        <f>[5]Assumption!O15</f>
        <v>400</v>
      </c>
      <c r="EF52" s="952"/>
      <c r="EG52" s="953"/>
      <c r="EH52" s="953"/>
      <c r="EI52" s="953"/>
      <c r="EJ52" s="953"/>
      <c r="EK52" s="953"/>
      <c r="EL52" s="953"/>
      <c r="EM52" s="953"/>
      <c r="EN52" s="953"/>
      <c r="EO52" s="953"/>
      <c r="EP52" s="953"/>
      <c r="EQ52" s="933"/>
      <c r="ES52" s="952"/>
      <c r="ET52" s="953"/>
      <c r="EU52" s="953"/>
      <c r="EV52" s="953"/>
      <c r="EW52" s="953"/>
      <c r="EX52" s="953"/>
      <c r="EY52" s="953"/>
      <c r="EZ52" s="953"/>
      <c r="FA52" s="953"/>
      <c r="FB52" s="953"/>
      <c r="FC52" s="953"/>
      <c r="FD52" s="933"/>
      <c r="FF52" s="952"/>
      <c r="FG52" s="953"/>
      <c r="FH52" s="953"/>
      <c r="FI52" s="953"/>
      <c r="FJ52" s="953"/>
      <c r="FK52" s="953"/>
      <c r="FL52" s="953"/>
      <c r="FM52" s="953"/>
      <c r="FN52" s="953"/>
      <c r="FO52" s="953"/>
      <c r="FP52" s="953"/>
      <c r="FQ52" s="933"/>
      <c r="FS52" s="952"/>
      <c r="FT52" s="953"/>
      <c r="FU52" s="953"/>
      <c r="FV52" s="953"/>
      <c r="FW52" s="953"/>
      <c r="FX52" s="953"/>
      <c r="FY52" s="953"/>
      <c r="FZ52" s="953"/>
      <c r="GA52" s="953"/>
      <c r="GB52" s="953"/>
      <c r="GC52" s="953"/>
      <c r="GD52" s="933"/>
      <c r="GF52" s="952"/>
      <c r="GG52" s="953"/>
      <c r="GH52" s="953"/>
      <c r="GI52" s="953"/>
      <c r="GJ52" s="953"/>
      <c r="GK52" s="953"/>
      <c r="GL52" s="953"/>
      <c r="GM52" s="953"/>
      <c r="GN52" s="953"/>
      <c r="GO52" s="953"/>
      <c r="GP52" s="953"/>
      <c r="GQ52" s="933"/>
      <c r="GS52" s="952"/>
      <c r="GT52" s="953"/>
      <c r="GU52" s="953"/>
      <c r="GV52" s="953"/>
      <c r="GW52" s="953"/>
      <c r="GX52" s="953"/>
      <c r="GY52" s="953"/>
      <c r="GZ52" s="953"/>
      <c r="HA52" s="953"/>
      <c r="HB52" s="953"/>
      <c r="HC52" s="953"/>
      <c r="HD52" s="933"/>
    </row>
    <row r="53" spans="2:212" ht="14.25">
      <c r="B53" s="967" t="s">
        <v>123</v>
      </c>
      <c r="C53" s="1059">
        <v>55</v>
      </c>
      <c r="D53" s="976">
        <v>6</v>
      </c>
      <c r="E53" s="1062">
        <v>2</v>
      </c>
      <c r="F53" s="1062"/>
      <c r="G53" s="1015">
        <v>9</v>
      </c>
      <c r="H53" s="1061">
        <f t="shared" si="239"/>
        <v>0.16363636363636364</v>
      </c>
      <c r="I53" s="1058"/>
      <c r="N53" s="914" t="s">
        <v>1073</v>
      </c>
      <c r="O53" s="933"/>
      <c r="P53" s="934">
        <f>SUM(P58:P66)</f>
        <v>108</v>
      </c>
      <c r="Q53" s="934">
        <f t="shared" ref="Q53:V53" si="254">SUM(Q58:Q66)</f>
        <v>87</v>
      </c>
      <c r="R53" s="934">
        <f t="shared" si="254"/>
        <v>82</v>
      </c>
      <c r="S53" s="934">
        <f t="shared" si="254"/>
        <v>85</v>
      </c>
      <c r="T53" s="934">
        <f t="shared" si="254"/>
        <v>80</v>
      </c>
      <c r="U53" s="934">
        <f t="shared" si="254"/>
        <v>89</v>
      </c>
      <c r="V53" s="934">
        <f t="shared" si="254"/>
        <v>87</v>
      </c>
      <c r="W53" s="934"/>
      <c r="X53" s="934"/>
      <c r="Y53" s="934"/>
      <c r="AA53" s="914" t="s">
        <v>1074</v>
      </c>
      <c r="AB53" s="933"/>
      <c r="AC53" s="599">
        <f t="shared" ref="AC53:AI53" si="255">P53/P52</f>
        <v>0.52941176470588236</v>
      </c>
      <c r="AD53" s="599">
        <f t="shared" si="255"/>
        <v>0.4264705882352941</v>
      </c>
      <c r="AE53" s="599">
        <f t="shared" si="255"/>
        <v>0.37962962962962965</v>
      </c>
      <c r="AF53" s="599">
        <f t="shared" si="255"/>
        <v>0.36170212765957449</v>
      </c>
      <c r="AG53" s="599">
        <f t="shared" si="255"/>
        <v>0.3125</v>
      </c>
      <c r="AH53" s="599">
        <f t="shared" si="255"/>
        <v>0.31785714285714284</v>
      </c>
      <c r="AI53" s="599">
        <f t="shared" si="255"/>
        <v>0.30851063829787234</v>
      </c>
      <c r="AJ53" s="935">
        <f>AVERAGE(AC53:AI53)</f>
        <v>0.37658312734077082</v>
      </c>
      <c r="AK53" s="935"/>
      <c r="AL53" s="935"/>
      <c r="AM53" s="935"/>
      <c r="AN53" s="935"/>
      <c r="AO53" s="935"/>
      <c r="AP53" s="935"/>
      <c r="AQ53" s="935"/>
      <c r="AR53" s="935"/>
      <c r="AS53" s="935"/>
      <c r="AT53" s="935"/>
      <c r="AU53" s="935"/>
      <c r="AV53" s="935"/>
      <c r="AW53" s="935"/>
      <c r="AX53" s="935"/>
      <c r="AY53" s="935"/>
      <c r="AZ53" s="935"/>
      <c r="BA53" s="935"/>
      <c r="BB53" s="935"/>
      <c r="BC53" s="935"/>
      <c r="BD53" s="935"/>
      <c r="BE53" s="935"/>
      <c r="BF53" s="935"/>
      <c r="BG53" s="935"/>
      <c r="BH53" s="935"/>
      <c r="BI53" s="935"/>
      <c r="BJ53" s="935"/>
      <c r="BK53" s="935"/>
      <c r="BL53" s="935"/>
      <c r="BM53" s="935"/>
      <c r="BN53" s="935"/>
      <c r="BO53" s="935"/>
      <c r="BP53" s="935"/>
      <c r="BQ53" s="935"/>
      <c r="BR53" s="935"/>
      <c r="BS53" s="935"/>
      <c r="BT53" s="935"/>
      <c r="BU53" s="935"/>
      <c r="BV53" s="935"/>
      <c r="BW53" s="935"/>
      <c r="BX53" s="935"/>
      <c r="BY53" s="935"/>
      <c r="BZ53" s="935"/>
      <c r="CA53" s="935"/>
      <c r="CB53" s="935"/>
      <c r="CC53" s="935"/>
      <c r="CD53" s="935"/>
      <c r="CE53" s="935"/>
      <c r="CF53" s="935"/>
      <c r="CG53" s="935"/>
      <c r="CH53" s="935"/>
      <c r="CI53" s="935"/>
      <c r="CJ53" s="935"/>
      <c r="CK53" s="935"/>
      <c r="CL53" s="935"/>
      <c r="CM53" s="935"/>
      <c r="CN53" s="935"/>
      <c r="CO53" s="935"/>
      <c r="CP53" s="935"/>
      <c r="CQ53" s="935"/>
      <c r="CR53" s="935"/>
      <c r="CS53" s="935"/>
      <c r="CT53" s="935"/>
      <c r="CU53" s="935"/>
      <c r="CV53" s="935"/>
      <c r="CW53" s="935"/>
      <c r="CX53" s="935"/>
      <c r="CY53" s="935"/>
      <c r="CZ53" s="935"/>
      <c r="DA53" s="935"/>
      <c r="DB53" s="935"/>
      <c r="DC53" s="935"/>
      <c r="DD53" s="935"/>
      <c r="DE53" s="935"/>
      <c r="DF53" s="935"/>
      <c r="DG53" s="935"/>
      <c r="DH53" s="935"/>
      <c r="DI53" s="935"/>
      <c r="DK53" s="914" t="s">
        <v>1073</v>
      </c>
      <c r="DL53" s="933"/>
      <c r="DN53" s="936">
        <f>SUM(DN58:DN66)</f>
        <v>96</v>
      </c>
      <c r="DO53" s="950">
        <f>SUM(DO58:DO66)</f>
        <v>117.5</v>
      </c>
      <c r="DP53" s="950">
        <f>SUM(DP58:DP66)</f>
        <v>140.75</v>
      </c>
      <c r="DQ53" s="950">
        <f>SUM(DQ58:DQ66)</f>
        <v>161.35</v>
      </c>
      <c r="DR53" s="937">
        <f>SUM(DR58:DR66)</f>
        <v>177.05</v>
      </c>
      <c r="DT53" s="936">
        <f>SUM(DT58:DT66)</f>
        <v>96</v>
      </c>
      <c r="DU53" s="950">
        <f>SUM(DU58:DU66)</f>
        <v>117.5</v>
      </c>
      <c r="DV53" s="950">
        <f>SUM(DV58:DV66)</f>
        <v>140.75</v>
      </c>
      <c r="DW53" s="950">
        <f>SUM(DW58:DW66)</f>
        <v>161.35</v>
      </c>
      <c r="DX53" s="937">
        <f>SUM(DX58:DX66)</f>
        <v>177.05</v>
      </c>
      <c r="DZ53" s="936">
        <f>SUM(DZ58:DZ66)</f>
        <v>96</v>
      </c>
      <c r="EA53" s="950">
        <f>SUM(EA58:EA66)</f>
        <v>110</v>
      </c>
      <c r="EB53" s="950">
        <f>SUM(EB58:EB66)</f>
        <v>131</v>
      </c>
      <c r="EC53" s="950">
        <f>SUM(EC58:EC66)</f>
        <v>153</v>
      </c>
      <c r="ED53" s="937">
        <f>SUM(ED58:ED66)</f>
        <v>174</v>
      </c>
      <c r="EF53" s="936">
        <f>SUM(EF58:EF66)</f>
        <v>181</v>
      </c>
      <c r="EG53" s="950">
        <f t="shared" ref="EG53:EQ53" si="256">SUM(EG58:EG66)</f>
        <v>195</v>
      </c>
      <c r="EH53" s="950">
        <f t="shared" si="256"/>
        <v>192.5</v>
      </c>
      <c r="EI53" s="950">
        <f t="shared" si="256"/>
        <v>184.5</v>
      </c>
      <c r="EJ53" s="950">
        <f t="shared" si="256"/>
        <v>173</v>
      </c>
      <c r="EK53" s="950">
        <f t="shared" si="256"/>
        <v>155.5</v>
      </c>
      <c r="EL53" s="950">
        <f t="shared" si="256"/>
        <v>134.5</v>
      </c>
      <c r="EM53" s="950">
        <f t="shared" si="256"/>
        <v>118.5</v>
      </c>
      <c r="EN53" s="950">
        <f t="shared" si="256"/>
        <v>99.5</v>
      </c>
      <c r="EO53" s="950">
        <f t="shared" si="256"/>
        <v>84.5</v>
      </c>
      <c r="EP53" s="950">
        <f t="shared" si="256"/>
        <v>69.5</v>
      </c>
      <c r="EQ53" s="937">
        <f t="shared" si="256"/>
        <v>57</v>
      </c>
      <c r="ES53" s="936">
        <f>SUM(ES58:ES66)</f>
        <v>53.5</v>
      </c>
      <c r="ET53" s="950">
        <f t="shared" ref="ET53:FD53" si="257">SUM(ET58:ET66)</f>
        <v>49</v>
      </c>
      <c r="EU53" s="950">
        <f t="shared" si="257"/>
        <v>47</v>
      </c>
      <c r="EV53" s="950">
        <f t="shared" si="257"/>
        <v>49</v>
      </c>
      <c r="EW53" s="950">
        <f t="shared" si="257"/>
        <v>49</v>
      </c>
      <c r="EX53" s="950">
        <f t="shared" si="257"/>
        <v>49</v>
      </c>
      <c r="EY53" s="950">
        <f t="shared" si="257"/>
        <v>49</v>
      </c>
      <c r="EZ53" s="950">
        <f t="shared" si="257"/>
        <v>50</v>
      </c>
      <c r="FA53" s="950">
        <f t="shared" si="257"/>
        <v>52</v>
      </c>
      <c r="FB53" s="950">
        <f t="shared" si="257"/>
        <v>55.5</v>
      </c>
      <c r="FC53" s="950">
        <f t="shared" si="257"/>
        <v>60.5</v>
      </c>
      <c r="FD53" s="937">
        <f t="shared" si="257"/>
        <v>63</v>
      </c>
      <c r="FF53" s="936">
        <f>SUM(FF58:FF66)</f>
        <v>60.5</v>
      </c>
      <c r="FG53" s="950">
        <f t="shared" ref="FG53:FQ53" si="258">SUM(FG58:FG66)</f>
        <v>55.5</v>
      </c>
      <c r="FH53" s="950">
        <f t="shared" si="258"/>
        <v>53</v>
      </c>
      <c r="FI53" s="950">
        <f t="shared" si="258"/>
        <v>52</v>
      </c>
      <c r="FJ53" s="950">
        <f t="shared" si="258"/>
        <v>50</v>
      </c>
      <c r="FK53" s="950">
        <f t="shared" si="258"/>
        <v>48</v>
      </c>
      <c r="FL53" s="950">
        <f t="shared" si="258"/>
        <v>46</v>
      </c>
      <c r="FM53" s="950">
        <f t="shared" si="258"/>
        <v>44</v>
      </c>
      <c r="FN53" s="950">
        <f t="shared" si="258"/>
        <v>42</v>
      </c>
      <c r="FO53" s="950">
        <f t="shared" si="258"/>
        <v>42.5</v>
      </c>
      <c r="FP53" s="950">
        <f t="shared" si="258"/>
        <v>45.5</v>
      </c>
      <c r="FQ53" s="937">
        <f t="shared" si="258"/>
        <v>46</v>
      </c>
      <c r="FS53" s="936">
        <f>SUM(FS58:FS66)</f>
        <v>43.5</v>
      </c>
      <c r="FT53" s="950">
        <f t="shared" ref="FT53:GD53" si="259">SUM(FT58:FT66)</f>
        <v>40.5</v>
      </c>
      <c r="FU53" s="950">
        <f t="shared" si="259"/>
        <v>37.5</v>
      </c>
      <c r="FV53" s="950">
        <f t="shared" si="259"/>
        <v>34.5</v>
      </c>
      <c r="FW53" s="950">
        <f t="shared" si="259"/>
        <v>31.5</v>
      </c>
      <c r="FX53" s="950">
        <f t="shared" si="259"/>
        <v>28.5</v>
      </c>
      <c r="FY53" s="950">
        <f t="shared" si="259"/>
        <v>25.5</v>
      </c>
      <c r="FZ53" s="950">
        <f t="shared" si="259"/>
        <v>22.5</v>
      </c>
      <c r="GA53" s="950">
        <f t="shared" si="259"/>
        <v>19.5</v>
      </c>
      <c r="GB53" s="950">
        <f t="shared" si="259"/>
        <v>18</v>
      </c>
      <c r="GC53" s="950">
        <f t="shared" si="259"/>
        <v>18</v>
      </c>
      <c r="GD53" s="937">
        <f t="shared" si="259"/>
        <v>18</v>
      </c>
      <c r="GF53" s="936">
        <f>SUM(GF58:GF66)</f>
        <v>18</v>
      </c>
      <c r="GG53" s="950">
        <f t="shared" ref="GG53:GQ53" si="260">SUM(GG58:GG66)</f>
        <v>18</v>
      </c>
      <c r="GH53" s="950">
        <f t="shared" si="260"/>
        <v>18</v>
      </c>
      <c r="GI53" s="950">
        <f t="shared" si="260"/>
        <v>18</v>
      </c>
      <c r="GJ53" s="950">
        <f t="shared" si="260"/>
        <v>18</v>
      </c>
      <c r="GK53" s="950">
        <f t="shared" si="260"/>
        <v>18</v>
      </c>
      <c r="GL53" s="950">
        <f t="shared" si="260"/>
        <v>18</v>
      </c>
      <c r="GM53" s="950">
        <f t="shared" si="260"/>
        <v>18</v>
      </c>
      <c r="GN53" s="950">
        <f t="shared" si="260"/>
        <v>18</v>
      </c>
      <c r="GO53" s="950">
        <f t="shared" si="260"/>
        <v>18</v>
      </c>
      <c r="GP53" s="950">
        <f t="shared" si="260"/>
        <v>18</v>
      </c>
      <c r="GQ53" s="937">
        <f t="shared" si="260"/>
        <v>18</v>
      </c>
      <c r="GS53" s="936">
        <f>SUM(GS58:GS66)</f>
        <v>18</v>
      </c>
      <c r="GT53" s="950">
        <f t="shared" ref="GT53:HD53" si="261">SUM(GT58:GT66)</f>
        <v>18</v>
      </c>
      <c r="GU53" s="950">
        <f t="shared" si="261"/>
        <v>18</v>
      </c>
      <c r="GV53" s="950">
        <f t="shared" si="261"/>
        <v>18</v>
      </c>
      <c r="GW53" s="950">
        <f t="shared" si="261"/>
        <v>18</v>
      </c>
      <c r="GX53" s="950">
        <f t="shared" si="261"/>
        <v>18</v>
      </c>
      <c r="GY53" s="950">
        <f t="shared" si="261"/>
        <v>18</v>
      </c>
      <c r="GZ53" s="950">
        <f t="shared" si="261"/>
        <v>18</v>
      </c>
      <c r="HA53" s="950">
        <f t="shared" si="261"/>
        <v>18</v>
      </c>
      <c r="HB53" s="950">
        <f t="shared" si="261"/>
        <v>18</v>
      </c>
      <c r="HC53" s="950">
        <f t="shared" si="261"/>
        <v>18</v>
      </c>
      <c r="HD53" s="937">
        <f t="shared" si="261"/>
        <v>18</v>
      </c>
    </row>
    <row r="54" spans="2:212" ht="14.25">
      <c r="B54" s="967" t="s">
        <v>124</v>
      </c>
      <c r="C54" s="1059">
        <v>65</v>
      </c>
      <c r="D54" s="976">
        <v>8</v>
      </c>
      <c r="E54" s="1062">
        <v>2</v>
      </c>
      <c r="F54" s="1062"/>
      <c r="G54" s="1015">
        <v>9</v>
      </c>
      <c r="H54" s="1061">
        <f t="shared" si="239"/>
        <v>0.13846153846153847</v>
      </c>
      <c r="I54" s="1058"/>
      <c r="N54" s="914" t="s">
        <v>1075</v>
      </c>
      <c r="O54" s="933"/>
      <c r="P54" s="595">
        <f>[5]Assumption!D33</f>
        <v>1</v>
      </c>
      <c r="Q54" s="595">
        <f>[5]Assumption!E33</f>
        <v>1</v>
      </c>
      <c r="R54" s="595">
        <f>[5]Assumption!F33</f>
        <v>14</v>
      </c>
      <c r="S54" s="595">
        <f>[5]Assumption!G33</f>
        <v>9</v>
      </c>
      <c r="T54" s="595">
        <f>[5]Assumption!H33</f>
        <v>19</v>
      </c>
      <c r="U54" s="595">
        <f>[5]Assumption!I33</f>
        <v>20</v>
      </c>
      <c r="V54" s="595">
        <f>[5]Assumption!J33</f>
        <v>10</v>
      </c>
      <c r="X54" s="1063"/>
      <c r="AA54" s="914" t="s">
        <v>1075</v>
      </c>
      <c r="AB54" s="933"/>
      <c r="DK54" s="914" t="s">
        <v>1075</v>
      </c>
      <c r="DL54" s="933"/>
      <c r="DN54" s="952">
        <f>[5]Assumption!K33</f>
        <v>19</v>
      </c>
      <c r="DO54" s="953">
        <f>[5]Assumption!L33</f>
        <v>36</v>
      </c>
      <c r="DP54" s="953">
        <f>[5]Assumption!M33</f>
        <v>22.5</v>
      </c>
      <c r="DQ54" s="953">
        <f>[5]Assumption!N33</f>
        <v>20.7</v>
      </c>
      <c r="DR54" s="933">
        <f>[5]Assumption!O33</f>
        <v>20.7</v>
      </c>
      <c r="DT54" s="952">
        <f>[5]Assumption!K33</f>
        <v>19</v>
      </c>
      <c r="DU54" s="953">
        <f>[5]Assumption!L33</f>
        <v>36</v>
      </c>
      <c r="DV54" s="953">
        <f>[5]Assumption!M33</f>
        <v>22.5</v>
      </c>
      <c r="DW54" s="953">
        <f>[5]Assumption!N33</f>
        <v>20.7</v>
      </c>
      <c r="DX54" s="933">
        <f>[5]Assumption!O33</f>
        <v>20.7</v>
      </c>
      <c r="DZ54" s="1609">
        <v>16</v>
      </c>
      <c r="EA54" s="1606">
        <v>32</v>
      </c>
      <c r="EB54" s="1604">
        <v>20</v>
      </c>
      <c r="EC54" s="1604">
        <v>26</v>
      </c>
      <c r="ED54" s="1612">
        <v>26</v>
      </c>
      <c r="EF54" s="1603">
        <v>18</v>
      </c>
      <c r="EG54" s="1604">
        <v>24</v>
      </c>
      <c r="EH54" s="1606">
        <v>11</v>
      </c>
      <c r="EI54" s="1606">
        <v>3</v>
      </c>
      <c r="EJ54" s="1606">
        <v>10</v>
      </c>
      <c r="EK54" s="1606">
        <v>3</v>
      </c>
      <c r="EL54" s="953">
        <f>'[1]AL Promotion &amp; Recruited'!AF11</f>
        <v>7</v>
      </c>
      <c r="EM54" s="953">
        <f>'[1]AL Promotion &amp; Recruited'!AG11</f>
        <v>7</v>
      </c>
      <c r="EN54" s="953">
        <f>'[1]AL Promotion &amp; Recruited'!AH11</f>
        <v>7</v>
      </c>
      <c r="EO54" s="953">
        <f>'[1]AL Promotion &amp; Recruited'!AI11</f>
        <v>7</v>
      </c>
      <c r="EP54" s="953">
        <f>'[1]AL Promotion &amp; Recruited'!AJ11</f>
        <v>5</v>
      </c>
      <c r="EQ54" s="933">
        <f>'[1]AL Promotion &amp; Recruited'!AK11</f>
        <v>5</v>
      </c>
      <c r="ES54" s="977">
        <f>'[6]AL Promotion &amp; Recruited'!AL$11</f>
        <v>2</v>
      </c>
      <c r="ET54" s="978">
        <f>'[6]AL Promotion &amp; Recruited'!AM$11</f>
        <v>2</v>
      </c>
      <c r="EU54" s="953">
        <f>'[6]AL Promotion &amp; Recruited'!AN$11</f>
        <v>7</v>
      </c>
      <c r="EV54" s="953">
        <f>'[6]AL Promotion &amp; Recruited'!AO$11</f>
        <v>7</v>
      </c>
      <c r="EW54" s="953">
        <f>'[6]AL Promotion &amp; Recruited'!AP$11</f>
        <v>7</v>
      </c>
      <c r="EX54" s="953">
        <f>'[6]AL Promotion &amp; Recruited'!AQ$11</f>
        <v>7</v>
      </c>
      <c r="EY54" s="953">
        <f>'[6]AL Promotion &amp; Recruited'!AR$11</f>
        <v>7</v>
      </c>
      <c r="EZ54" s="953">
        <f>'[6]AL Promotion &amp; Recruited'!AS$11</f>
        <v>7</v>
      </c>
      <c r="FA54" s="953">
        <f>'[6]AL Promotion &amp; Recruited'!AT$11</f>
        <v>7</v>
      </c>
      <c r="FB54" s="953">
        <f>'[6]AL Promotion &amp; Recruited'!AU$11</f>
        <v>7</v>
      </c>
      <c r="FC54" s="953">
        <f>'[6]AL Promotion &amp; Recruited'!AV$11</f>
        <v>7</v>
      </c>
      <c r="FD54" s="933">
        <f>'[6]AL Promotion &amp; Recruited'!AW$11</f>
        <v>7</v>
      </c>
      <c r="FF54" s="977">
        <f>'[6]AL Promotion &amp; Recruited'!AX$11</f>
        <v>2</v>
      </c>
      <c r="FG54" s="978">
        <f>'[6]AL Promotion &amp; Recruited'!AY$11</f>
        <v>2</v>
      </c>
      <c r="FH54" s="953">
        <f>'[6]AL Promotion &amp; Recruited'!AZ$11</f>
        <v>7</v>
      </c>
      <c r="FI54" s="953">
        <f>'[6]AL Promotion &amp; Recruited'!BA$11</f>
        <v>5</v>
      </c>
      <c r="FJ54" s="953">
        <f>'[6]AL Promotion &amp; Recruited'!BB$11</f>
        <v>5</v>
      </c>
      <c r="FK54" s="953">
        <f>'[6]AL Promotion &amp; Recruited'!BC$11</f>
        <v>5</v>
      </c>
      <c r="FL54" s="953">
        <f>'[6]AL Promotion &amp; Recruited'!BD$11</f>
        <v>5</v>
      </c>
      <c r="FM54" s="953">
        <f>'[6]AL Promotion &amp; Recruited'!BE$11</f>
        <v>5</v>
      </c>
      <c r="FN54" s="953">
        <f>'[6]AL Promotion &amp; Recruited'!BF$11</f>
        <v>5</v>
      </c>
      <c r="FO54" s="953">
        <f>'[6]AL Promotion &amp; Recruited'!BG$11</f>
        <v>5</v>
      </c>
      <c r="FP54" s="953">
        <f>'[6]AL Promotion &amp; Recruited'!BH$11</f>
        <v>5</v>
      </c>
      <c r="FQ54" s="933">
        <f>'[6]AL Promotion &amp; Recruited'!BI$11</f>
        <v>5</v>
      </c>
      <c r="FS54" s="977">
        <f>'[6]AL Promotion &amp; Recruited'!BJ$11</f>
        <v>2</v>
      </c>
      <c r="FT54" s="978">
        <f>'[6]AL Promotion &amp; Recruited'!BK$11</f>
        <v>2</v>
      </c>
      <c r="FU54" s="953">
        <f>'[6]AL Promotion &amp; Recruited'!BL$11</f>
        <v>2</v>
      </c>
      <c r="FV54" s="953">
        <f>'[6]AL Promotion &amp; Recruited'!BM$11</f>
        <v>2</v>
      </c>
      <c r="FW54" s="953">
        <f>'[6]AL Promotion &amp; Recruited'!BN$11</f>
        <v>2</v>
      </c>
      <c r="FX54" s="953">
        <f>'[6]AL Promotion &amp; Recruited'!BO$11</f>
        <v>2</v>
      </c>
      <c r="FY54" s="953">
        <f>'[6]AL Promotion &amp; Recruited'!BP$11</f>
        <v>2</v>
      </c>
      <c r="FZ54" s="953">
        <f>'[6]AL Promotion &amp; Recruited'!BQ$11</f>
        <v>2</v>
      </c>
      <c r="GA54" s="953">
        <f>'[6]AL Promotion &amp; Recruited'!BR$11</f>
        <v>2</v>
      </c>
      <c r="GB54" s="953">
        <f>'[6]AL Promotion &amp; Recruited'!BS$11</f>
        <v>2</v>
      </c>
      <c r="GC54" s="953">
        <f>'[6]AL Promotion &amp; Recruited'!BT$11</f>
        <v>2</v>
      </c>
      <c r="GD54" s="933">
        <f>'[6]AL Promotion &amp; Recruited'!BU$11</f>
        <v>2</v>
      </c>
      <c r="GF54" s="977">
        <f>'[6]AL Promotion &amp; Recruited'!BV$11</f>
        <v>2</v>
      </c>
      <c r="GG54" s="978">
        <f>'[6]AL Promotion &amp; Recruited'!BW$11</f>
        <v>2</v>
      </c>
      <c r="GH54" s="953">
        <f>'[6]AL Promotion &amp; Recruited'!BX$11</f>
        <v>2</v>
      </c>
      <c r="GI54" s="953">
        <f>'[6]AL Promotion &amp; Recruited'!BY$11</f>
        <v>2</v>
      </c>
      <c r="GJ54" s="953">
        <f>'[6]AL Promotion &amp; Recruited'!BZ$11</f>
        <v>2</v>
      </c>
      <c r="GK54" s="953">
        <f>'[6]AL Promotion &amp; Recruited'!CA$11</f>
        <v>2</v>
      </c>
      <c r="GL54" s="953">
        <f>'[6]AL Promotion &amp; Recruited'!CB$11</f>
        <v>2</v>
      </c>
      <c r="GM54" s="953">
        <f>'[6]AL Promotion &amp; Recruited'!CC$11</f>
        <v>2</v>
      </c>
      <c r="GN54" s="953">
        <f>'[6]AL Promotion &amp; Recruited'!CD$11</f>
        <v>2</v>
      </c>
      <c r="GO54" s="953">
        <f>'[6]AL Promotion &amp; Recruited'!CE$11</f>
        <v>2</v>
      </c>
      <c r="GP54" s="953">
        <f>'[6]AL Promotion &amp; Recruited'!CF$11</f>
        <v>2</v>
      </c>
      <c r="GQ54" s="933">
        <f>'[6]AL Promotion &amp; Recruited'!CG$11</f>
        <v>2</v>
      </c>
      <c r="GS54" s="977">
        <f>'[6]AL Promotion &amp; Recruited'!CH$11</f>
        <v>2</v>
      </c>
      <c r="GT54" s="978">
        <f>'[6]AL Promotion &amp; Recruited'!CI$11</f>
        <v>2</v>
      </c>
      <c r="GU54" s="953">
        <f>'[6]AL Promotion &amp; Recruited'!CJ$11</f>
        <v>2</v>
      </c>
      <c r="GV54" s="953">
        <f>'[6]AL Promotion &amp; Recruited'!CK$11</f>
        <v>2</v>
      </c>
      <c r="GW54" s="953">
        <f>'[6]AL Promotion &amp; Recruited'!CL$11</f>
        <v>2</v>
      </c>
      <c r="GX54" s="953">
        <f>'[6]AL Promotion &amp; Recruited'!CM$11</f>
        <v>2</v>
      </c>
      <c r="GY54" s="953">
        <f>'[6]AL Promotion &amp; Recruited'!CN$11</f>
        <v>2</v>
      </c>
      <c r="GZ54" s="953">
        <f>'[6]AL Promotion &amp; Recruited'!CO$11</f>
        <v>2</v>
      </c>
      <c r="HA54" s="953">
        <f>'[6]AL Promotion &amp; Recruited'!CP$11</f>
        <v>2</v>
      </c>
      <c r="HB54" s="953">
        <f>'[6]AL Promotion &amp; Recruited'!CQ$11</f>
        <v>2</v>
      </c>
      <c r="HC54" s="953">
        <f>'[6]AL Promotion &amp; Recruited'!CR$11</f>
        <v>2</v>
      </c>
      <c r="HD54" s="933">
        <f>'[6]AL Promotion &amp; Recruited'!CS$11</f>
        <v>2</v>
      </c>
    </row>
    <row r="55" spans="2:212" ht="14.25">
      <c r="B55" s="967" t="s">
        <v>125</v>
      </c>
      <c r="C55" s="1059">
        <v>75</v>
      </c>
      <c r="D55" s="976">
        <v>9</v>
      </c>
      <c r="E55" s="1062">
        <v>2</v>
      </c>
      <c r="F55" s="1062"/>
      <c r="G55" s="1015">
        <v>14</v>
      </c>
      <c r="H55" s="1061">
        <f t="shared" si="239"/>
        <v>0.18666666666666668</v>
      </c>
      <c r="I55" s="1058"/>
      <c r="N55" s="914" t="s">
        <v>1040</v>
      </c>
      <c r="O55" s="933"/>
      <c r="P55" s="595">
        <v>201</v>
      </c>
      <c r="Q55" s="595">
        <v>292</v>
      </c>
      <c r="R55" s="595">
        <v>339</v>
      </c>
      <c r="S55" s="595">
        <v>366</v>
      </c>
      <c r="T55" s="595">
        <v>322</v>
      </c>
      <c r="U55" s="595">
        <v>651</v>
      </c>
      <c r="V55" s="595">
        <v>458</v>
      </c>
      <c r="X55" s="1063"/>
      <c r="AA55" s="914" t="s">
        <v>1041</v>
      </c>
      <c r="AB55" s="933"/>
      <c r="AC55" s="599">
        <f t="shared" ref="AC55:AI55" si="262">P55/P50</f>
        <v>1.4733991311357993E-2</v>
      </c>
      <c r="AD55" s="599">
        <f t="shared" si="262"/>
        <v>2.1018324884134687E-2</v>
      </c>
      <c r="AE55" s="599">
        <f t="shared" si="262"/>
        <v>1.0228723089025372E-2</v>
      </c>
      <c r="AF55" s="599">
        <f t="shared" si="262"/>
        <v>1.1945413962201282E-2</v>
      </c>
      <c r="AG55" s="599">
        <f t="shared" si="262"/>
        <v>1.1726994831927946E-2</v>
      </c>
      <c r="AH55" s="599">
        <f t="shared" si="262"/>
        <v>1.5698801549149054E-2</v>
      </c>
      <c r="AI55" s="599">
        <f t="shared" si="262"/>
        <v>1.5396033894267771E-2</v>
      </c>
      <c r="AJ55" s="935">
        <f>AVERAGE(AC55:AI55)</f>
        <v>1.4392611931723446E-2</v>
      </c>
      <c r="AK55" s="935"/>
      <c r="AL55" s="935"/>
      <c r="AM55" s="935"/>
      <c r="AN55" s="935"/>
      <c r="AO55" s="935"/>
      <c r="AP55" s="935"/>
      <c r="AQ55" s="935"/>
      <c r="AR55" s="935"/>
      <c r="AS55" s="935"/>
      <c r="AT55" s="935"/>
      <c r="AU55" s="935"/>
      <c r="AV55" s="935"/>
      <c r="AW55" s="935"/>
      <c r="AX55" s="935"/>
      <c r="AY55" s="935"/>
      <c r="AZ55" s="935"/>
      <c r="BA55" s="935"/>
      <c r="BB55" s="935"/>
      <c r="BC55" s="935"/>
      <c r="BD55" s="935"/>
      <c r="BE55" s="935"/>
      <c r="BF55" s="935"/>
      <c r="BG55" s="935"/>
      <c r="BH55" s="935"/>
      <c r="BI55" s="935"/>
      <c r="BJ55" s="935"/>
      <c r="BK55" s="935"/>
      <c r="BL55" s="935"/>
      <c r="BM55" s="935"/>
      <c r="BN55" s="935"/>
      <c r="BO55" s="935"/>
      <c r="BP55" s="935"/>
      <c r="BQ55" s="935"/>
      <c r="BR55" s="935"/>
      <c r="BS55" s="935"/>
      <c r="BT55" s="935"/>
      <c r="BU55" s="935"/>
      <c r="BV55" s="935"/>
      <c r="BW55" s="935"/>
      <c r="BX55" s="935"/>
      <c r="BY55" s="935"/>
      <c r="BZ55" s="935"/>
      <c r="CA55" s="935"/>
      <c r="CB55" s="935"/>
      <c r="CC55" s="935"/>
      <c r="CD55" s="935"/>
      <c r="CE55" s="935"/>
      <c r="CF55" s="935"/>
      <c r="CG55" s="935"/>
      <c r="CH55" s="935"/>
      <c r="CI55" s="935"/>
      <c r="CJ55" s="935"/>
      <c r="CK55" s="935"/>
      <c r="CL55" s="935"/>
      <c r="CM55" s="935"/>
      <c r="CN55" s="935"/>
      <c r="CO55" s="935"/>
      <c r="CP55" s="935"/>
      <c r="CQ55" s="935"/>
      <c r="CR55" s="935"/>
      <c r="CS55" s="935"/>
      <c r="CT55" s="935"/>
      <c r="CU55" s="935"/>
      <c r="CV55" s="935"/>
      <c r="CW55" s="935"/>
      <c r="CX55" s="935"/>
      <c r="CY55" s="935"/>
      <c r="CZ55" s="935"/>
      <c r="DA55" s="935"/>
      <c r="DB55" s="935"/>
      <c r="DC55" s="935"/>
      <c r="DD55" s="935"/>
      <c r="DE55" s="935"/>
      <c r="DF55" s="935"/>
      <c r="DG55" s="935"/>
      <c r="DH55" s="935"/>
      <c r="DI55" s="935"/>
      <c r="DK55" s="914" t="s">
        <v>1040</v>
      </c>
      <c r="DL55" s="933"/>
      <c r="DN55" s="977">
        <f>SUM(DN69:DN71)*13+SUM(DN72:DN74)*9+SUM(DN75:DN77)*7+DN78*30</f>
        <v>485</v>
      </c>
      <c r="DO55" s="978">
        <f>SUM(DO69:DO71)*13+SUM(DO72:DO74)*9+SUM(DO75:DO77)*7+DO78*30</f>
        <v>406.54159518702591</v>
      </c>
      <c r="DP55" s="978">
        <f>SUM(DP69:DP71)*13+SUM(DP72:DP74)*9+SUM(DP75:DP77)*7+DP78*30</f>
        <v>590.75501084757911</v>
      </c>
      <c r="DQ55" s="978">
        <f>SUM(DQ69:DQ71)*13+SUM(DQ72:DQ74)*9+SUM(DQ75:DQ77)*7+DQ78*30</f>
        <v>482.82503413370011</v>
      </c>
      <c r="DR55" s="979">
        <f>SUM(DR69:DR71)*13+SUM(DR72:DR74)*9+SUM(DR75:DR77)*7+DR78*30</f>
        <v>529.21380320659728</v>
      </c>
      <c r="DT55" s="977">
        <f>SUM(DT69:DT71)*13+SUM(DT72:DT74)*9+SUM(DT75:DT77)*7+DT78*30</f>
        <v>485</v>
      </c>
      <c r="DU55" s="978">
        <f>SUM(DU69:DU71)*13+SUM(DU72:DU74)*9+SUM(DU75:DU77)*7+DU78*30</f>
        <v>573.02738095238101</v>
      </c>
      <c r="DV55" s="978">
        <f>SUM(DV69:DV71)*13+SUM(DV72:DV74)*9+SUM(DV75:DV77)*7+DV78*30</f>
        <v>780.18988095238103</v>
      </c>
      <c r="DW55" s="978">
        <f>SUM(DW69:DW71)*13+SUM(DW72:DW74)*9+SUM(DW75:DW77)*7+DW78*30</f>
        <v>687.71553571428569</v>
      </c>
      <c r="DX55" s="979">
        <f>SUM(DX69:DX71)*13+SUM(DX72:DX74)*9+SUM(DX75:DX77)*7+DX78*30</f>
        <v>691.29714285714283</v>
      </c>
      <c r="DZ55" s="977">
        <f>SUM(DZ69:DZ71)*13+SUM(DZ72:DZ74)*9+SUM(DZ75:DZ77)*7+DZ78*30</f>
        <v>485</v>
      </c>
      <c r="EA55" s="978">
        <f>SUM(EA69:EA71)*13+SUM(EA72:EA74)*9+SUM(EA75:EA77)*7+EA78*30</f>
        <v>437.23845316331665</v>
      </c>
      <c r="EB55" s="978">
        <f>SUM(EB69:EB71)*13+SUM(EB72:EB74)*9+SUM(EB75:EB77)*7+EB78*30</f>
        <v>587.14871039441414</v>
      </c>
      <c r="EC55" s="978">
        <f>SUM(EC69:EC71)*13+SUM(EC72:EC74)*9+SUM(EC75:EC77)*7+EC78*30</f>
        <v>590.86954993022846</v>
      </c>
      <c r="ED55" s="979">
        <f>SUM(ED69:ED71)*13+SUM(ED72:ED74)*9+SUM(ED75:ED77)*7+ED78*30</f>
        <v>722.1590476532923</v>
      </c>
      <c r="EF55" s="977">
        <f>SUM(EF69:EF71)*13+SUM(EF72:EF74)*9+SUM(EF75:EF77)*7+EF78*30</f>
        <v>466.94999999999993</v>
      </c>
      <c r="EG55" s="978">
        <f t="shared" ref="EG55:EO55" si="263">SUM(EG69:EG71)*13+SUM(EG72:EG74)*9+SUM(EG75:EG77)*7+EG78*30</f>
        <v>415.39499999999998</v>
      </c>
      <c r="EH55" s="978">
        <f t="shared" si="263"/>
        <v>380.38500000000005</v>
      </c>
      <c r="EI55" s="978">
        <f t="shared" si="263"/>
        <v>291.48750000000007</v>
      </c>
      <c r="EJ55" s="978">
        <f t="shared" si="263"/>
        <v>259.45425000000006</v>
      </c>
      <c r="EK55" s="978">
        <f t="shared" si="263"/>
        <v>237.23865000000006</v>
      </c>
      <c r="EL55" s="978">
        <f t="shared" si="263"/>
        <v>199.83150000000006</v>
      </c>
      <c r="EM55" s="978">
        <f t="shared" si="263"/>
        <v>212.74704000000006</v>
      </c>
      <c r="EN55" s="978">
        <f t="shared" si="263"/>
        <v>218.70359775000009</v>
      </c>
      <c r="EO55" s="978">
        <f t="shared" si="263"/>
        <v>210.17155500000007</v>
      </c>
      <c r="EP55" s="978">
        <f>SUM(EP69:EP71)*6+SUM(EP72:EP74)*9+SUM(EP75:EP77)*14+EP78*30</f>
        <v>159.44049000000007</v>
      </c>
      <c r="EQ55" s="979">
        <f>SUM(EQ69:EQ71)*6+SUM(EQ72:EQ74)*9+SUM(EQ75:EQ77)*14+EQ78*30</f>
        <v>142.46007781500006</v>
      </c>
      <c r="ES55" s="977">
        <f t="shared" ref="ES55:FD55" si="264">SUM(ES69:ES71)*6+SUM(ES72:ES74)*9+SUM(ES75:ES77)*14+ES78*30</f>
        <v>79.349999999999994</v>
      </c>
      <c r="ET55" s="978">
        <f t="shared" si="264"/>
        <v>61.785000000000004</v>
      </c>
      <c r="EU55" s="978">
        <f t="shared" si="264"/>
        <v>63.63</v>
      </c>
      <c r="EV55" s="978">
        <f t="shared" si="264"/>
        <v>73.507500000000007</v>
      </c>
      <c r="EW55" s="978">
        <f t="shared" si="264"/>
        <v>84.15</v>
      </c>
      <c r="EX55" s="978">
        <f t="shared" si="264"/>
        <v>94.334625000000017</v>
      </c>
      <c r="EY55" s="978">
        <f t="shared" si="264"/>
        <v>93.654000000000011</v>
      </c>
      <c r="EZ55" s="978">
        <f t="shared" si="264"/>
        <v>101.70171000000002</v>
      </c>
      <c r="FA55" s="978">
        <f t="shared" si="264"/>
        <v>113.91430050000005</v>
      </c>
      <c r="FB55" s="978">
        <f t="shared" si="264"/>
        <v>120.37098150000006</v>
      </c>
      <c r="FC55" s="978">
        <f t="shared" si="264"/>
        <v>142.55429265000006</v>
      </c>
      <c r="FD55" s="979">
        <f t="shared" si="264"/>
        <v>162.39013906500008</v>
      </c>
      <c r="FF55" s="977">
        <f t="shared" ref="FF55:FQ55" si="265">SUM(FF69:FF71)*6+SUM(FF72:FF74)*9+SUM(FF75:FF77)*14+FF78*30</f>
        <v>92.850000000000009</v>
      </c>
      <c r="FG55" s="978">
        <f t="shared" si="265"/>
        <v>70.740000000000009</v>
      </c>
      <c r="FH55" s="978">
        <f t="shared" si="265"/>
        <v>70.740000000000009</v>
      </c>
      <c r="FI55" s="978">
        <f t="shared" si="265"/>
        <v>73.912500000000009</v>
      </c>
      <c r="FJ55" s="978">
        <f t="shared" si="265"/>
        <v>79.00200000000001</v>
      </c>
      <c r="FK55" s="978">
        <f t="shared" si="265"/>
        <v>85.84042500000001</v>
      </c>
      <c r="FL55" s="978">
        <f t="shared" si="265"/>
        <v>82.60065000000003</v>
      </c>
      <c r="FM55" s="978">
        <f t="shared" si="265"/>
        <v>85.170690000000036</v>
      </c>
      <c r="FN55" s="978">
        <f t="shared" si="265"/>
        <v>89.668804500000036</v>
      </c>
      <c r="FO55" s="978">
        <f t="shared" si="265"/>
        <v>91.250032500000032</v>
      </c>
      <c r="FP55" s="978">
        <f t="shared" si="265"/>
        <v>106.46276355000003</v>
      </c>
      <c r="FQ55" s="979">
        <f t="shared" si="265"/>
        <v>118.22512333500006</v>
      </c>
      <c r="FS55" s="977">
        <f t="shared" ref="FS55:GD55" si="266">SUM(FS69:FS71)*6+SUM(FS72:FS74)*9+SUM(FS75:FS77)*14+FS78*30</f>
        <v>67.349999999999994</v>
      </c>
      <c r="FT55" s="978">
        <f t="shared" si="266"/>
        <v>52.92</v>
      </c>
      <c r="FU55" s="978">
        <f t="shared" si="266"/>
        <v>48.06</v>
      </c>
      <c r="FV55" s="978">
        <f t="shared" si="266"/>
        <v>44.212500000000006</v>
      </c>
      <c r="FW55" s="978">
        <f t="shared" si="266"/>
        <v>45.292500000000011</v>
      </c>
      <c r="FX55" s="978">
        <f t="shared" si="266"/>
        <v>46.881450000000008</v>
      </c>
      <c r="FY55" s="978">
        <f t="shared" si="266"/>
        <v>43.124400000000009</v>
      </c>
      <c r="FZ55" s="978">
        <f t="shared" si="266"/>
        <v>42.405660000000012</v>
      </c>
      <c r="GA55" s="978">
        <f t="shared" si="266"/>
        <v>41.11192800000002</v>
      </c>
      <c r="GB55" s="978">
        <f t="shared" si="266"/>
        <v>38.344779000000017</v>
      </c>
      <c r="GC55" s="978">
        <f t="shared" si="266"/>
        <v>42.17925690000002</v>
      </c>
      <c r="GD55" s="979">
        <f t="shared" si="266"/>
        <v>46.397182590000028</v>
      </c>
      <c r="GF55" s="977">
        <f>SUM(GF69:GF71)*6+SUM(GF72:GF74)*9+SUM(GF75:GF77)*14+GF78*30</f>
        <v>29.1</v>
      </c>
      <c r="GG55" s="978">
        <f t="shared" ref="GG55:GQ55" si="267">SUM(GG69:GG71)*6+SUM(GG72:GG74)*9+SUM(GG75:GG77)*14+GG78*30</f>
        <v>26.190000000000005</v>
      </c>
      <c r="GH55" s="978">
        <f t="shared" si="267"/>
        <v>26.190000000000005</v>
      </c>
      <c r="GI55" s="978">
        <f t="shared" si="267"/>
        <v>26.190000000000005</v>
      </c>
      <c r="GJ55" s="978">
        <f t="shared" si="267"/>
        <v>28.809000000000005</v>
      </c>
      <c r="GK55" s="978">
        <f t="shared" si="267"/>
        <v>31.689900000000009</v>
      </c>
      <c r="GL55" s="978">
        <f t="shared" si="267"/>
        <v>31.689900000000009</v>
      </c>
      <c r="GM55" s="978">
        <f t="shared" si="267"/>
        <v>34.858890000000002</v>
      </c>
      <c r="GN55" s="978">
        <f t="shared" si="267"/>
        <v>38.344779000000017</v>
      </c>
      <c r="GO55" s="978">
        <f t="shared" si="267"/>
        <v>38.344779000000017</v>
      </c>
      <c r="GP55" s="978">
        <f t="shared" si="267"/>
        <v>42.17925690000002</v>
      </c>
      <c r="GQ55" s="979">
        <f t="shared" si="267"/>
        <v>46.397182590000028</v>
      </c>
      <c r="GS55" s="977">
        <f>SUM(GS69:GS71)*13+SUM(GS72:GS74)*9+SUM(GS75:GS77)*7+GS78*30</f>
        <v>41.7</v>
      </c>
      <c r="GT55" s="978">
        <f t="shared" ref="GT55:HD55" si="268">SUM(GT69:GT71)*13+SUM(GT72:GT74)*9+SUM(GT75:GT77)*7+GT78*30</f>
        <v>37.53</v>
      </c>
      <c r="GU55" s="978">
        <f t="shared" si="268"/>
        <v>37.53</v>
      </c>
      <c r="GV55" s="978">
        <f t="shared" si="268"/>
        <v>37.53</v>
      </c>
      <c r="GW55" s="978">
        <f t="shared" si="268"/>
        <v>41.283000000000008</v>
      </c>
      <c r="GX55" s="978">
        <f t="shared" si="268"/>
        <v>45.411300000000004</v>
      </c>
      <c r="GY55" s="978">
        <f t="shared" si="268"/>
        <v>45.411300000000004</v>
      </c>
      <c r="GZ55" s="978">
        <f t="shared" si="268"/>
        <v>49.952430000000007</v>
      </c>
      <c r="HA55" s="978">
        <f t="shared" si="268"/>
        <v>54.947673000000016</v>
      </c>
      <c r="HB55" s="978">
        <f t="shared" si="268"/>
        <v>54.947673000000016</v>
      </c>
      <c r="HC55" s="978">
        <f t="shared" si="268"/>
        <v>60.44244030000003</v>
      </c>
      <c r="HD55" s="979">
        <f t="shared" si="268"/>
        <v>66.486684330000031</v>
      </c>
    </row>
    <row r="56" spans="2:212" ht="14.25">
      <c r="B56" s="967" t="s">
        <v>126</v>
      </c>
      <c r="C56" s="1059">
        <v>80</v>
      </c>
      <c r="D56" s="976">
        <v>10</v>
      </c>
      <c r="E56" s="1062">
        <v>2</v>
      </c>
      <c r="F56" s="1062"/>
      <c r="G56" s="1015">
        <v>14</v>
      </c>
      <c r="H56" s="1061">
        <f t="shared" si="239"/>
        <v>0.17499999999999999</v>
      </c>
      <c r="I56" s="1058"/>
      <c r="N56" s="914"/>
      <c r="O56" s="933"/>
      <c r="P56" s="961"/>
      <c r="Q56" s="961"/>
      <c r="R56" s="961"/>
      <c r="S56" s="961"/>
      <c r="T56" s="961"/>
      <c r="U56" s="961"/>
      <c r="X56" s="1063"/>
      <c r="AA56" s="914"/>
      <c r="AB56" s="933"/>
      <c r="AC56" s="961"/>
      <c r="AD56" s="961"/>
      <c r="AE56" s="961"/>
      <c r="AF56" s="961"/>
      <c r="AG56" s="961"/>
      <c r="AH56" s="961"/>
      <c r="DK56" s="914"/>
      <c r="DL56" s="933"/>
      <c r="DM56" s="982">
        <v>1.1000000000000001</v>
      </c>
      <c r="DN56" s="983">
        <f>DN55*$DM$56</f>
        <v>533.5</v>
      </c>
      <c r="DO56" s="984">
        <f>DO55*$DM$56</f>
        <v>447.19575470572852</v>
      </c>
      <c r="DP56" s="984">
        <f>DP55*$DM$56</f>
        <v>649.83051193233712</v>
      </c>
      <c r="DQ56" s="984">
        <f>DQ55*$DM$56</f>
        <v>531.10753754707014</v>
      </c>
      <c r="DR56" s="985">
        <f>DR55*$DM$56</f>
        <v>582.13518352725703</v>
      </c>
      <c r="DT56" s="983">
        <f>DT55*$DM$56</f>
        <v>533.5</v>
      </c>
      <c r="DU56" s="984">
        <f>DU55*$DM$56</f>
        <v>630.33011904761918</v>
      </c>
      <c r="DV56" s="984">
        <f>DV55*$DM$56</f>
        <v>858.20886904761926</v>
      </c>
      <c r="DW56" s="984">
        <f>DW55*$DM$56</f>
        <v>756.48708928571432</v>
      </c>
      <c r="DX56" s="985">
        <f>DX55*$DM$56</f>
        <v>760.42685714285722</v>
      </c>
      <c r="DZ56" s="1598">
        <v>500</v>
      </c>
      <c r="EA56" s="1599">
        <v>644</v>
      </c>
      <c r="EB56" s="1599">
        <v>527</v>
      </c>
      <c r="EC56" s="1599">
        <v>518</v>
      </c>
      <c r="ED56" s="1611">
        <v>910</v>
      </c>
      <c r="EF56" s="1598">
        <v>659</v>
      </c>
      <c r="EG56" s="1599">
        <v>847</v>
      </c>
      <c r="EH56" s="1599">
        <v>689</v>
      </c>
      <c r="EI56" s="1599">
        <v>647</v>
      </c>
      <c r="EJ56" s="1599">
        <v>274</v>
      </c>
      <c r="EK56" s="1599">
        <v>338</v>
      </c>
      <c r="EL56" s="984">
        <f t="shared" ref="EL56:EQ56" si="269">EL55*$DM$56</f>
        <v>219.81465000000009</v>
      </c>
      <c r="EM56" s="984">
        <f t="shared" si="269"/>
        <v>234.02174400000007</v>
      </c>
      <c r="EN56" s="984">
        <f t="shared" si="269"/>
        <v>240.57395752500011</v>
      </c>
      <c r="EO56" s="984">
        <f t="shared" si="269"/>
        <v>231.1887105000001</v>
      </c>
      <c r="EP56" s="984">
        <f t="shared" si="269"/>
        <v>175.38453900000007</v>
      </c>
      <c r="EQ56" s="985">
        <f t="shared" si="269"/>
        <v>156.70608559650009</v>
      </c>
      <c r="ES56" s="983">
        <f>ES55*$DM$56</f>
        <v>87.284999999999997</v>
      </c>
      <c r="ET56" s="984">
        <f t="shared" ref="ET56:FD56" si="270">ET55*$DM$56</f>
        <v>67.96350000000001</v>
      </c>
      <c r="EU56" s="984">
        <f t="shared" si="270"/>
        <v>69.993000000000009</v>
      </c>
      <c r="EV56" s="984">
        <f t="shared" si="270"/>
        <v>80.858250000000012</v>
      </c>
      <c r="EW56" s="984">
        <f t="shared" si="270"/>
        <v>92.565000000000012</v>
      </c>
      <c r="EX56" s="984">
        <f t="shared" si="270"/>
        <v>103.76808750000002</v>
      </c>
      <c r="EY56" s="984">
        <f t="shared" si="270"/>
        <v>103.01940000000002</v>
      </c>
      <c r="EZ56" s="984">
        <f t="shared" si="270"/>
        <v>111.87188100000003</v>
      </c>
      <c r="FA56" s="984">
        <f t="shared" si="270"/>
        <v>125.30573055000006</v>
      </c>
      <c r="FB56" s="984">
        <f t="shared" si="270"/>
        <v>132.40807965000008</v>
      </c>
      <c r="FC56" s="984">
        <f t="shared" si="270"/>
        <v>156.8097219150001</v>
      </c>
      <c r="FD56" s="985">
        <f t="shared" si="270"/>
        <v>178.6291529715001</v>
      </c>
      <c r="FF56" s="983">
        <f>FF55*$DM$56</f>
        <v>102.13500000000002</v>
      </c>
      <c r="FG56" s="984">
        <f t="shared" ref="FG56:FQ56" si="271">FG55*$DM$56</f>
        <v>77.814000000000021</v>
      </c>
      <c r="FH56" s="984">
        <f t="shared" si="271"/>
        <v>77.814000000000021</v>
      </c>
      <c r="FI56" s="984">
        <f t="shared" si="271"/>
        <v>81.303750000000022</v>
      </c>
      <c r="FJ56" s="984">
        <f t="shared" si="271"/>
        <v>86.902200000000022</v>
      </c>
      <c r="FK56" s="984">
        <f t="shared" si="271"/>
        <v>94.42446750000002</v>
      </c>
      <c r="FL56" s="984">
        <f t="shared" si="271"/>
        <v>90.860715000000042</v>
      </c>
      <c r="FM56" s="984">
        <f t="shared" si="271"/>
        <v>93.687759000000042</v>
      </c>
      <c r="FN56" s="984">
        <f t="shared" si="271"/>
        <v>98.635684950000041</v>
      </c>
      <c r="FO56" s="984">
        <f t="shared" si="271"/>
        <v>100.37503575000004</v>
      </c>
      <c r="FP56" s="984">
        <f t="shared" si="271"/>
        <v>117.10903990500005</v>
      </c>
      <c r="FQ56" s="985">
        <f t="shared" si="271"/>
        <v>130.04763566850008</v>
      </c>
      <c r="FS56" s="983">
        <f>FS55*$DM$56</f>
        <v>74.084999999999994</v>
      </c>
      <c r="FT56" s="984">
        <f t="shared" ref="FT56:GD56" si="272">FT55*$DM$56</f>
        <v>58.212000000000003</v>
      </c>
      <c r="FU56" s="984">
        <f t="shared" si="272"/>
        <v>52.866000000000007</v>
      </c>
      <c r="FV56" s="984">
        <f t="shared" si="272"/>
        <v>48.633750000000013</v>
      </c>
      <c r="FW56" s="984">
        <f t="shared" si="272"/>
        <v>49.821750000000016</v>
      </c>
      <c r="FX56" s="984">
        <f t="shared" si="272"/>
        <v>51.569595000000014</v>
      </c>
      <c r="FY56" s="984">
        <f t="shared" si="272"/>
        <v>47.436840000000011</v>
      </c>
      <c r="FZ56" s="984">
        <f t="shared" si="272"/>
        <v>46.64622600000002</v>
      </c>
      <c r="GA56" s="984">
        <f t="shared" si="272"/>
        <v>45.223120800000025</v>
      </c>
      <c r="GB56" s="984">
        <f t="shared" si="272"/>
        <v>42.17925690000002</v>
      </c>
      <c r="GC56" s="984">
        <f t="shared" si="272"/>
        <v>46.397182590000028</v>
      </c>
      <c r="GD56" s="985">
        <f t="shared" si="272"/>
        <v>51.036900849000034</v>
      </c>
      <c r="GF56" s="983">
        <f>GF55*$DM$56</f>
        <v>32.010000000000005</v>
      </c>
      <c r="GG56" s="984">
        <f t="shared" ref="GG56:GQ56" si="273">GG55*$DM$56</f>
        <v>28.809000000000008</v>
      </c>
      <c r="GH56" s="984">
        <f t="shared" si="273"/>
        <v>28.809000000000008</v>
      </c>
      <c r="GI56" s="984">
        <f t="shared" si="273"/>
        <v>28.809000000000008</v>
      </c>
      <c r="GJ56" s="984">
        <f t="shared" si="273"/>
        <v>31.689900000000009</v>
      </c>
      <c r="GK56" s="984">
        <f t="shared" si="273"/>
        <v>34.858890000000009</v>
      </c>
      <c r="GL56" s="984">
        <f t="shared" si="273"/>
        <v>34.858890000000009</v>
      </c>
      <c r="GM56" s="984">
        <f t="shared" si="273"/>
        <v>38.344779000000003</v>
      </c>
      <c r="GN56" s="984">
        <f t="shared" si="273"/>
        <v>42.17925690000002</v>
      </c>
      <c r="GO56" s="984">
        <f t="shared" si="273"/>
        <v>42.17925690000002</v>
      </c>
      <c r="GP56" s="984">
        <f t="shared" si="273"/>
        <v>46.397182590000028</v>
      </c>
      <c r="GQ56" s="985">
        <f t="shared" si="273"/>
        <v>51.036900849000034</v>
      </c>
      <c r="GS56" s="983">
        <f>GS55*$DM$56</f>
        <v>45.870000000000005</v>
      </c>
      <c r="GT56" s="984">
        <f t="shared" ref="GT56:HD56" si="274">GT55*$DM$56</f>
        <v>41.283000000000001</v>
      </c>
      <c r="GU56" s="984">
        <f t="shared" si="274"/>
        <v>41.283000000000001</v>
      </c>
      <c r="GV56" s="984">
        <f t="shared" si="274"/>
        <v>41.283000000000001</v>
      </c>
      <c r="GW56" s="984">
        <f t="shared" si="274"/>
        <v>45.411300000000011</v>
      </c>
      <c r="GX56" s="984">
        <f t="shared" si="274"/>
        <v>49.952430000000007</v>
      </c>
      <c r="GY56" s="984">
        <f t="shared" si="274"/>
        <v>49.952430000000007</v>
      </c>
      <c r="GZ56" s="984">
        <f t="shared" si="274"/>
        <v>54.947673000000009</v>
      </c>
      <c r="HA56" s="984">
        <f t="shared" si="274"/>
        <v>60.442440300000023</v>
      </c>
      <c r="HB56" s="984">
        <f t="shared" si="274"/>
        <v>60.442440300000023</v>
      </c>
      <c r="HC56" s="984">
        <f t="shared" si="274"/>
        <v>66.486684330000031</v>
      </c>
      <c r="HD56" s="985">
        <f t="shared" si="274"/>
        <v>73.135352763000043</v>
      </c>
    </row>
    <row r="57" spans="2:212" ht="14.25">
      <c r="B57" s="980" t="s">
        <v>127</v>
      </c>
      <c r="C57" s="1064">
        <v>85</v>
      </c>
      <c r="D57" s="981">
        <v>10</v>
      </c>
      <c r="E57" s="1065">
        <v>2</v>
      </c>
      <c r="F57" s="1065"/>
      <c r="G57" s="1019">
        <v>14</v>
      </c>
      <c r="H57" s="1061">
        <f t="shared" si="239"/>
        <v>0.16470588235294117</v>
      </c>
      <c r="I57" s="1058"/>
      <c r="N57" s="914"/>
      <c r="O57" s="933"/>
      <c r="X57" s="1063"/>
      <c r="AA57" s="914"/>
      <c r="AB57" s="933"/>
      <c r="DK57" s="914"/>
      <c r="DL57" s="933"/>
      <c r="DN57" s="954">
        <f>DN56/DN50</f>
        <v>1.7196148488210355E-2</v>
      </c>
      <c r="DO57" s="986">
        <f>DO56/DO50</f>
        <v>7.8296829711917756E-3</v>
      </c>
      <c r="DP57" s="986">
        <f>DP56/DP50</f>
        <v>1.3642856372897222E-2</v>
      </c>
      <c r="DQ57" s="986">
        <f>DQ56/DQ50</f>
        <v>9.8458043776787751E-3</v>
      </c>
      <c r="DR57" s="955">
        <f>DR56/DR50</f>
        <v>8.2717802405755936E-3</v>
      </c>
      <c r="DT57" s="954">
        <f>DT56/DT50</f>
        <v>1.7196148488210355E-2</v>
      </c>
      <c r="DU57" s="986">
        <f>DU56/DU50</f>
        <v>1.1036073011435518E-2</v>
      </c>
      <c r="DV57" s="986">
        <f>DV56/DV50</f>
        <v>1.8017652485333525E-2</v>
      </c>
      <c r="DW57" s="986">
        <f>DW56/DW50</f>
        <v>1.4023946882295284E-2</v>
      </c>
      <c r="DX57" s="955">
        <f>DX56/DX50</f>
        <v>1.0805194445050697E-2</v>
      </c>
      <c r="DZ57" s="954">
        <f>DZ56/DZ50</f>
        <v>1.6116352847432385E-2</v>
      </c>
      <c r="EA57" s="986">
        <f>EA56/EA50</f>
        <v>1.3184948611355685E-2</v>
      </c>
      <c r="EB57" s="986">
        <f>EB56/EB50</f>
        <v>1.3477842056826112E-2</v>
      </c>
      <c r="EC57" s="986">
        <f>EC56/EC50</f>
        <v>1.0272295958886702E-2</v>
      </c>
      <c r="ED57" s="955">
        <f>ED56/ED50</f>
        <v>9.6362726414550275E-3</v>
      </c>
      <c r="EF57" s="954">
        <f>EF56/EF50</f>
        <v>2.4289065681835354E-2</v>
      </c>
      <c r="EG57" s="986">
        <f t="shared" ref="EG57:EQ57" si="275">EG56/EG50</f>
        <v>2.0798810714672107E-2</v>
      </c>
      <c r="EH57" s="986">
        <f t="shared" si="275"/>
        <v>1.2138386627662688E-2</v>
      </c>
      <c r="EI57" s="986">
        <f t="shared" si="275"/>
        <v>1.2949014845154901E-2</v>
      </c>
      <c r="EJ57" s="986">
        <f t="shared" si="275"/>
        <v>5.1075061065454855E-3</v>
      </c>
      <c r="EK57" s="986">
        <f t="shared" si="275"/>
        <v>5.8141961132477426E-3</v>
      </c>
      <c r="EL57" s="986">
        <f t="shared" si="275"/>
        <v>3.7383443877551034E-3</v>
      </c>
      <c r="EM57" s="986">
        <f t="shared" si="275"/>
        <v>3.5641447456594591E-3</v>
      </c>
      <c r="EN57" s="986">
        <f t="shared" si="275"/>
        <v>3.2731150683673483E-3</v>
      </c>
      <c r="EO57" s="986">
        <f t="shared" si="275"/>
        <v>3.3226316542109818E-3</v>
      </c>
      <c r="EP57" s="986">
        <f t="shared" si="275"/>
        <v>2.2370476913265314E-3</v>
      </c>
      <c r="EQ57" s="955">
        <f t="shared" si="275"/>
        <v>1.7651220206866081E-3</v>
      </c>
      <c r="ES57" s="954">
        <f>ES56/ES50</f>
        <v>2.5950745527882225E-3</v>
      </c>
      <c r="ET57" s="986">
        <f t="shared" ref="ET57:FD57" si="276">ET56/ET50</f>
        <v>2.1503415431786696E-3</v>
      </c>
      <c r="EU57" s="986">
        <f t="shared" si="276"/>
        <v>1.0104266822291844E-3</v>
      </c>
      <c r="EV57" s="986">
        <f t="shared" si="276"/>
        <v>1.1719749120015256E-3</v>
      </c>
      <c r="EW57" s="986">
        <f t="shared" si="276"/>
        <v>1.1605803729803081E-3</v>
      </c>
      <c r="EX57" s="986">
        <f t="shared" si="276"/>
        <v>1.2006579758816812E-3</v>
      </c>
      <c r="EY57" s="986">
        <f t="shared" si="276"/>
        <v>1.2670952230161877E-3</v>
      </c>
      <c r="EZ57" s="986">
        <f t="shared" si="276"/>
        <v>1.2385687879724547E-3</v>
      </c>
      <c r="FA57" s="986">
        <f t="shared" si="276"/>
        <v>1.2548550751608908E-3</v>
      </c>
      <c r="FB57" s="986">
        <f t="shared" si="276"/>
        <v>1.4071725233406514E-3</v>
      </c>
      <c r="FC57" s="986">
        <f t="shared" si="276"/>
        <v>1.5263944166427222E-3</v>
      </c>
      <c r="FD57" s="955">
        <f t="shared" si="276"/>
        <v>1.6152626017697247E-3</v>
      </c>
      <c r="FF57" s="954">
        <f>FF56/FF50</f>
        <v>2.205065598643302E-3</v>
      </c>
      <c r="FG57" s="986">
        <f t="shared" ref="FG57:FQ57" si="277">FG56/FG50</f>
        <v>1.8094099638742982E-3</v>
      </c>
      <c r="FH57" s="986">
        <f t="shared" si="277"/>
        <v>7.9293721590395288E-4</v>
      </c>
      <c r="FI57" s="986">
        <f t="shared" si="277"/>
        <v>8.4427681604248037E-4</v>
      </c>
      <c r="FJ57" s="986">
        <f t="shared" si="277"/>
        <v>7.8161547595636909E-4</v>
      </c>
      <c r="FK57" s="986">
        <f t="shared" si="277"/>
        <v>7.9214795592133242E-4</v>
      </c>
      <c r="FL57" s="986">
        <f t="shared" si="277"/>
        <v>8.015083277120961E-4</v>
      </c>
      <c r="FM57" s="986">
        <f t="shared" si="277"/>
        <v>7.4539820568572711E-4</v>
      </c>
      <c r="FN57" s="986">
        <f t="shared" si="277"/>
        <v>7.1082496171834351E-4</v>
      </c>
      <c r="FO57" s="986">
        <f t="shared" si="277"/>
        <v>7.577392078720734E-4</v>
      </c>
      <c r="FP57" s="986">
        <f t="shared" si="277"/>
        <v>8.1393528112187177E-4</v>
      </c>
      <c r="FQ57" s="955">
        <f t="shared" si="277"/>
        <v>8.371333215942071E-4</v>
      </c>
      <c r="FS57" s="954">
        <f>FS56/FS50</f>
        <v>1.2017441568294707E-3</v>
      </c>
      <c r="FT57" s="986">
        <f t="shared" ref="FT57:GD57" si="278">FT56/FT50</f>
        <v>1.0135445406618928E-3</v>
      </c>
      <c r="FU57" s="986">
        <f t="shared" si="278"/>
        <v>4.0917728198877737E-4</v>
      </c>
      <c r="FV57" s="986">
        <f t="shared" si="278"/>
        <v>3.79037690023588E-4</v>
      </c>
      <c r="FW57" s="986">
        <f t="shared" si="278"/>
        <v>3.3924533848287363E-4</v>
      </c>
      <c r="FX57" s="986">
        <f t="shared" si="278"/>
        <v>3.315855511587583E-4</v>
      </c>
      <c r="FY57" s="986">
        <f t="shared" si="278"/>
        <v>3.1965794098436762E-4</v>
      </c>
      <c r="FZ57" s="986">
        <f t="shared" si="278"/>
        <v>2.8604548309310216E-4</v>
      </c>
      <c r="GA57" s="986">
        <f t="shared" si="278"/>
        <v>2.5197549332864273E-4</v>
      </c>
      <c r="GB57" s="986">
        <f t="shared" si="278"/>
        <v>2.4836852268427369E-4</v>
      </c>
      <c r="GC57" s="986">
        <f t="shared" si="278"/>
        <v>2.54037682913148E-4</v>
      </c>
      <c r="GD57" s="955">
        <f t="shared" si="278"/>
        <v>2.6053622342197782E-4</v>
      </c>
      <c r="GF57" s="954">
        <f>GF56/GF50</f>
        <v>4.0126073753627881E-4</v>
      </c>
      <c r="GG57" s="986">
        <f t="shared" ref="GG57:GQ57" si="279">GG56/GG50</f>
        <v>3.8951675685891573E-4</v>
      </c>
      <c r="GH57" s="986">
        <f t="shared" si="279"/>
        <v>1.7350043101072631E-4</v>
      </c>
      <c r="GI57" s="986">
        <f t="shared" si="279"/>
        <v>1.7449606094826909E-4</v>
      </c>
      <c r="GJ57" s="986">
        <f t="shared" si="279"/>
        <v>1.6772185258875485E-4</v>
      </c>
      <c r="GK57" s="986">
        <f t="shared" si="279"/>
        <v>1.741467622194009E-4</v>
      </c>
      <c r="GL57" s="986">
        <f t="shared" si="279"/>
        <v>1.8241831282770563E-4</v>
      </c>
      <c r="GM57" s="986">
        <f t="shared" si="279"/>
        <v>1.806661802213985E-4</v>
      </c>
      <c r="GN57" s="986">
        <f t="shared" si="279"/>
        <v>1.8038297539154773E-4</v>
      </c>
      <c r="GO57" s="986">
        <f t="shared" si="279"/>
        <v>1.9013575990642982E-4</v>
      </c>
      <c r="GP57" s="986">
        <f t="shared" si="279"/>
        <v>1.9322974646773504E-4</v>
      </c>
      <c r="GQ57" s="955">
        <f t="shared" si="279"/>
        <v>1.976906423236936E-4</v>
      </c>
      <c r="GS57" s="954">
        <f>GS56/GS50</f>
        <v>4.4863630899818731E-4</v>
      </c>
      <c r="GT57" s="986">
        <f t="shared" ref="GT57:HD57" si="280">GT56/GT50</f>
        <v>4.3494963905676748E-4</v>
      </c>
      <c r="GU57" s="986">
        <f t="shared" si="280"/>
        <v>1.9347526615315933E-4</v>
      </c>
      <c r="GV57" s="986">
        <f t="shared" si="280"/>
        <v>1.9410298561306193E-4</v>
      </c>
      <c r="GW57" s="986">
        <f t="shared" si="280"/>
        <v>1.8628997844463024E-4</v>
      </c>
      <c r="GX57" s="986">
        <f t="shared" si="280"/>
        <v>1.9310690485506185E-4</v>
      </c>
      <c r="GY57" s="986">
        <f t="shared" si="280"/>
        <v>2.0197012644941893E-4</v>
      </c>
      <c r="GZ57" s="986">
        <f t="shared" si="280"/>
        <v>2.0013591769013712E-4</v>
      </c>
      <c r="HA57" s="986">
        <f t="shared" si="280"/>
        <v>1.9978096971277247E-4</v>
      </c>
      <c r="HB57" s="986">
        <f t="shared" si="280"/>
        <v>2.0822499636298877E-4</v>
      </c>
      <c r="HC57" s="986">
        <f t="shared" si="280"/>
        <v>2.0959853242674638E-4</v>
      </c>
      <c r="HD57" s="955">
        <f t="shared" si="280"/>
        <v>2.1427456819815051E-4</v>
      </c>
    </row>
    <row r="58" spans="2:212" ht="15" customHeight="1">
      <c r="B58" s="596" t="s">
        <v>146</v>
      </c>
      <c r="C58" s="1066">
        <f>SUM(C49:C57)</f>
        <v>485</v>
      </c>
      <c r="D58" s="1021">
        <f>SUM(D49:D57)</f>
        <v>54</v>
      </c>
      <c r="E58" s="1067">
        <v>2</v>
      </c>
      <c r="F58" s="1068"/>
      <c r="G58" s="1022">
        <f>SUM(G49:G57)</f>
        <v>87</v>
      </c>
      <c r="H58" s="1061">
        <f>G58/C58</f>
        <v>0.17938144329896907</v>
      </c>
      <c r="I58" s="1058"/>
      <c r="N58" s="1899" t="s">
        <v>1076</v>
      </c>
      <c r="O58" s="940" t="s">
        <v>119</v>
      </c>
      <c r="P58" s="595">
        <v>7</v>
      </c>
      <c r="Q58" s="595">
        <v>1</v>
      </c>
      <c r="R58" s="595">
        <v>5</v>
      </c>
      <c r="S58" s="595">
        <v>16</v>
      </c>
      <c r="T58" s="595">
        <v>8</v>
      </c>
      <c r="U58" s="595">
        <v>20</v>
      </c>
      <c r="V58" s="595">
        <v>15</v>
      </c>
      <c r="X58" s="1063"/>
      <c r="AA58" s="1899" t="s">
        <v>1076</v>
      </c>
      <c r="AB58" s="940" t="s">
        <v>119</v>
      </c>
      <c r="DK58" s="1899" t="s">
        <v>1076</v>
      </c>
      <c r="DL58" s="940" t="s">
        <v>119</v>
      </c>
      <c r="DN58" s="977">
        <v>18</v>
      </c>
      <c r="DO58" s="978">
        <f>DN54*0.5+DO54*0.5</f>
        <v>27.5</v>
      </c>
      <c r="DP58" s="978">
        <f>DO54*0.5+DP54*0.5</f>
        <v>29.25</v>
      </c>
      <c r="DQ58" s="978">
        <f>DP54*0.5+DQ54*0.5</f>
        <v>21.6</v>
      </c>
      <c r="DR58" s="979">
        <f>DQ54*0.5+DR54*0.5</f>
        <v>20.7</v>
      </c>
      <c r="DS58" s="961"/>
      <c r="DT58" s="977">
        <v>18</v>
      </c>
      <c r="DU58" s="978">
        <f>DT54*0.5+DU54*0.5</f>
        <v>27.5</v>
      </c>
      <c r="DV58" s="978">
        <f>DU54*0.5+DV54*0.5</f>
        <v>29.25</v>
      </c>
      <c r="DW58" s="978">
        <f>DV54*0.5+DW54*0.5</f>
        <v>21.6</v>
      </c>
      <c r="DX58" s="979">
        <f>DW54*0.5+DX54*0.5</f>
        <v>20.7</v>
      </c>
      <c r="DY58" s="961"/>
      <c r="DZ58" s="977">
        <v>18</v>
      </c>
      <c r="EA58" s="978">
        <f>DZ54*0.5+EA54*0.5</f>
        <v>24</v>
      </c>
      <c r="EB58" s="978">
        <f>EA54*0.5+EB54*0.5</f>
        <v>26</v>
      </c>
      <c r="EC58" s="978">
        <f>EB54*0.5+EC54*0.5</f>
        <v>23</v>
      </c>
      <c r="ED58" s="979">
        <f>EC54*0.5+ED54*0.5</f>
        <v>26</v>
      </c>
      <c r="EF58" s="977">
        <f>ED54*0.5+EF54*0.5</f>
        <v>22</v>
      </c>
      <c r="EG58" s="978">
        <f>EF54*0.5+EG54*0.5</f>
        <v>21</v>
      </c>
      <c r="EH58" s="978">
        <f t="shared" ref="EH58:EQ58" si="281">EG54*0.5+EH54*0.5</f>
        <v>17.5</v>
      </c>
      <c r="EI58" s="978">
        <f t="shared" si="281"/>
        <v>7</v>
      </c>
      <c r="EJ58" s="978">
        <f t="shared" si="281"/>
        <v>6.5</v>
      </c>
      <c r="EK58" s="978">
        <f t="shared" si="281"/>
        <v>6.5</v>
      </c>
      <c r="EL58" s="978">
        <f t="shared" si="281"/>
        <v>5</v>
      </c>
      <c r="EM58" s="978">
        <f t="shared" si="281"/>
        <v>7</v>
      </c>
      <c r="EN58" s="978">
        <f t="shared" si="281"/>
        <v>7</v>
      </c>
      <c r="EO58" s="978">
        <f t="shared" si="281"/>
        <v>7</v>
      </c>
      <c r="EP58" s="978">
        <f t="shared" si="281"/>
        <v>6</v>
      </c>
      <c r="EQ58" s="979">
        <f t="shared" si="281"/>
        <v>5</v>
      </c>
      <c r="ES58" s="977">
        <f>EQ54*0.5+ES54*0.5</f>
        <v>3.5</v>
      </c>
      <c r="ET58" s="978">
        <f>ES54*0.5+ET54*0.5</f>
        <v>2</v>
      </c>
      <c r="EU58" s="978">
        <f t="shared" ref="EU58" si="282">ET54*0.5+EU54*0.5</f>
        <v>4.5</v>
      </c>
      <c r="EV58" s="978">
        <f t="shared" ref="EV58" si="283">EU54*0.5+EV54*0.5</f>
        <v>7</v>
      </c>
      <c r="EW58" s="978">
        <f t="shared" ref="EW58" si="284">EV54*0.5+EW54*0.5</f>
        <v>7</v>
      </c>
      <c r="EX58" s="978">
        <f t="shared" ref="EX58" si="285">EW54*0.5+EX54*0.5</f>
        <v>7</v>
      </c>
      <c r="EY58" s="978">
        <f t="shared" ref="EY58" si="286">EX54*0.5+EY54*0.5</f>
        <v>7</v>
      </c>
      <c r="EZ58" s="978">
        <f t="shared" ref="EZ58" si="287">EY54*0.5+EZ54*0.5</f>
        <v>7</v>
      </c>
      <c r="FA58" s="978">
        <f t="shared" ref="FA58" si="288">EZ54*0.5+FA54*0.5</f>
        <v>7</v>
      </c>
      <c r="FB58" s="978">
        <f t="shared" ref="FB58" si="289">FA54*0.5+FB54*0.5</f>
        <v>7</v>
      </c>
      <c r="FC58" s="978">
        <f t="shared" ref="FC58" si="290">FB54*0.5+FC54*0.5</f>
        <v>7</v>
      </c>
      <c r="FD58" s="979">
        <f t="shared" ref="FD58" si="291">FC54*0.5+FD54*0.5</f>
        <v>7</v>
      </c>
      <c r="FF58" s="977">
        <f>FD54*0.5+FF54*0.5</f>
        <v>4.5</v>
      </c>
      <c r="FG58" s="978">
        <f>FF54*0.5+FG54*0.5</f>
        <v>2</v>
      </c>
      <c r="FH58" s="978">
        <f t="shared" ref="FH58" si="292">FG54*0.5+FH54*0.5</f>
        <v>4.5</v>
      </c>
      <c r="FI58" s="978">
        <f t="shared" ref="FI58" si="293">FH54*0.5+FI54*0.5</f>
        <v>6</v>
      </c>
      <c r="FJ58" s="978">
        <f t="shared" ref="FJ58" si="294">FI54*0.5+FJ54*0.5</f>
        <v>5</v>
      </c>
      <c r="FK58" s="978">
        <f t="shared" ref="FK58" si="295">FJ54*0.5+FK54*0.5</f>
        <v>5</v>
      </c>
      <c r="FL58" s="978">
        <f t="shared" ref="FL58" si="296">FK54*0.5+FL54*0.5</f>
        <v>5</v>
      </c>
      <c r="FM58" s="978">
        <f t="shared" ref="FM58" si="297">FL54*0.5+FM54*0.5</f>
        <v>5</v>
      </c>
      <c r="FN58" s="978">
        <f t="shared" ref="FN58" si="298">FM54*0.5+FN54*0.5</f>
        <v>5</v>
      </c>
      <c r="FO58" s="978">
        <f t="shared" ref="FO58" si="299">FN54*0.5+FO54*0.5</f>
        <v>5</v>
      </c>
      <c r="FP58" s="978">
        <f t="shared" ref="FP58" si="300">FO54*0.5+FP54*0.5</f>
        <v>5</v>
      </c>
      <c r="FQ58" s="979">
        <f t="shared" ref="FQ58" si="301">FP54*0.5+FQ54*0.5</f>
        <v>5</v>
      </c>
      <c r="FS58" s="977">
        <f>FQ54*0.5+FS54*0.5</f>
        <v>3.5</v>
      </c>
      <c r="FT58" s="978">
        <f>FS54*0.5+FT54*0.5</f>
        <v>2</v>
      </c>
      <c r="FU58" s="978">
        <f t="shared" ref="FU58" si="302">FT54*0.5+FU54*0.5</f>
        <v>2</v>
      </c>
      <c r="FV58" s="978">
        <f t="shared" ref="FV58" si="303">FU54*0.5+FV54*0.5</f>
        <v>2</v>
      </c>
      <c r="FW58" s="978">
        <f t="shared" ref="FW58" si="304">FV54*0.5+FW54*0.5</f>
        <v>2</v>
      </c>
      <c r="FX58" s="978">
        <f t="shared" ref="FX58" si="305">FW54*0.5+FX54*0.5</f>
        <v>2</v>
      </c>
      <c r="FY58" s="978">
        <f t="shared" ref="FY58" si="306">FX54*0.5+FY54*0.5</f>
        <v>2</v>
      </c>
      <c r="FZ58" s="978">
        <f t="shared" ref="FZ58" si="307">FY54*0.5+FZ54*0.5</f>
        <v>2</v>
      </c>
      <c r="GA58" s="978">
        <f t="shared" ref="GA58" si="308">FZ54*0.5+GA54*0.5</f>
        <v>2</v>
      </c>
      <c r="GB58" s="978">
        <f t="shared" ref="GB58" si="309">GA54*0.5+GB54*0.5</f>
        <v>2</v>
      </c>
      <c r="GC58" s="978">
        <f t="shared" ref="GC58" si="310">GB54*0.5+GC54*0.5</f>
        <v>2</v>
      </c>
      <c r="GD58" s="979">
        <f t="shared" ref="GD58" si="311">GC54*0.5+GD54*0.5</f>
        <v>2</v>
      </c>
      <c r="GF58" s="977">
        <f>GD54*0.5+GF54*0.5</f>
        <v>2</v>
      </c>
      <c r="GG58" s="978">
        <f>GF54*0.5+GG54*0.5</f>
        <v>2</v>
      </c>
      <c r="GH58" s="978">
        <f t="shared" ref="GH58" si="312">GG54*0.5+GH54*0.5</f>
        <v>2</v>
      </c>
      <c r="GI58" s="978">
        <f t="shared" ref="GI58" si="313">GH54*0.5+GI54*0.5</f>
        <v>2</v>
      </c>
      <c r="GJ58" s="978">
        <f t="shared" ref="GJ58" si="314">GI54*0.5+GJ54*0.5</f>
        <v>2</v>
      </c>
      <c r="GK58" s="978">
        <f t="shared" ref="GK58" si="315">GJ54*0.5+GK54*0.5</f>
        <v>2</v>
      </c>
      <c r="GL58" s="978">
        <f t="shared" ref="GL58" si="316">GK54*0.5+GL54*0.5</f>
        <v>2</v>
      </c>
      <c r="GM58" s="978">
        <f t="shared" ref="GM58" si="317">GL54*0.5+GM54*0.5</f>
        <v>2</v>
      </c>
      <c r="GN58" s="978">
        <f t="shared" ref="GN58" si="318">GM54*0.5+GN54*0.5</f>
        <v>2</v>
      </c>
      <c r="GO58" s="978">
        <f t="shared" ref="GO58" si="319">GN54*0.5+GO54*0.5</f>
        <v>2</v>
      </c>
      <c r="GP58" s="978">
        <f t="shared" ref="GP58" si="320">GO54*0.5+GP54*0.5</f>
        <v>2</v>
      </c>
      <c r="GQ58" s="979">
        <f t="shared" ref="GQ58" si="321">GP54*0.5+GQ54*0.5</f>
        <v>2</v>
      </c>
      <c r="GS58" s="977">
        <f>GQ54*0.5+GS54*0.5</f>
        <v>2</v>
      </c>
      <c r="GT58" s="978">
        <f>GS54*0.5+GT54*0.5</f>
        <v>2</v>
      </c>
      <c r="GU58" s="978">
        <f t="shared" ref="GU58" si="322">GT54*0.5+GU54*0.5</f>
        <v>2</v>
      </c>
      <c r="GV58" s="978">
        <f t="shared" ref="GV58" si="323">GU54*0.5+GV54*0.5</f>
        <v>2</v>
      </c>
      <c r="GW58" s="978">
        <f t="shared" ref="GW58" si="324">GV54*0.5+GW54*0.5</f>
        <v>2</v>
      </c>
      <c r="GX58" s="978">
        <f t="shared" ref="GX58" si="325">GW54*0.5+GX54*0.5</f>
        <v>2</v>
      </c>
      <c r="GY58" s="978">
        <f t="shared" ref="GY58" si="326">GX54*0.5+GY54*0.5</f>
        <v>2</v>
      </c>
      <c r="GZ58" s="978">
        <f t="shared" ref="GZ58" si="327">GY54*0.5+GZ54*0.5</f>
        <v>2</v>
      </c>
      <c r="HA58" s="978">
        <f t="shared" ref="HA58" si="328">GZ54*0.5+HA54*0.5</f>
        <v>2</v>
      </c>
      <c r="HB58" s="978">
        <f t="shared" ref="HB58" si="329">HA54*0.5+HB54*0.5</f>
        <v>2</v>
      </c>
      <c r="HC58" s="978">
        <f t="shared" ref="HC58" si="330">HB54*0.5+HC54*0.5</f>
        <v>2</v>
      </c>
      <c r="HD58" s="979">
        <f t="shared" ref="HD58" si="331">HC54*0.5+HD54*0.5</f>
        <v>2</v>
      </c>
    </row>
    <row r="59" spans="2:212" ht="14.25">
      <c r="B59" s="970"/>
      <c r="C59" s="31"/>
      <c r="D59" s="31"/>
      <c r="E59" s="31"/>
      <c r="F59" s="31"/>
      <c r="G59" s="1024"/>
      <c r="H59" s="962"/>
      <c r="I59" s="31"/>
      <c r="N59" s="1899"/>
      <c r="O59" s="940" t="s">
        <v>120</v>
      </c>
      <c r="P59" s="595">
        <v>10</v>
      </c>
      <c r="Q59" s="595">
        <v>7</v>
      </c>
      <c r="R59" s="595">
        <v>1</v>
      </c>
      <c r="S59" s="595">
        <v>5</v>
      </c>
      <c r="T59" s="595">
        <v>15</v>
      </c>
      <c r="U59" s="595">
        <v>8</v>
      </c>
      <c r="V59" s="595">
        <v>20</v>
      </c>
      <c r="X59" s="1063"/>
      <c r="AA59" s="1899"/>
      <c r="AB59" s="940" t="s">
        <v>120</v>
      </c>
      <c r="DK59" s="1899"/>
      <c r="DL59" s="940" t="s">
        <v>120</v>
      </c>
      <c r="DN59" s="977">
        <v>15</v>
      </c>
      <c r="DO59" s="978">
        <f>DN58</f>
        <v>18</v>
      </c>
      <c r="DP59" s="978">
        <f>DO58</f>
        <v>27.5</v>
      </c>
      <c r="DQ59" s="978">
        <f>DP58</f>
        <v>29.25</v>
      </c>
      <c r="DR59" s="979">
        <f>DQ58</f>
        <v>21.6</v>
      </c>
      <c r="DS59" s="961"/>
      <c r="DT59" s="977">
        <v>15</v>
      </c>
      <c r="DU59" s="978">
        <f>DT58</f>
        <v>18</v>
      </c>
      <c r="DV59" s="978">
        <f>DU58</f>
        <v>27.5</v>
      </c>
      <c r="DW59" s="978">
        <f>DV58</f>
        <v>29.25</v>
      </c>
      <c r="DX59" s="979">
        <f>DW58</f>
        <v>21.6</v>
      </c>
      <c r="DY59" s="961"/>
      <c r="DZ59" s="977">
        <v>15</v>
      </c>
      <c r="EA59" s="978">
        <f>DZ58</f>
        <v>18</v>
      </c>
      <c r="EB59" s="978">
        <f>EA58</f>
        <v>24</v>
      </c>
      <c r="EC59" s="978">
        <f>EB58</f>
        <v>26</v>
      </c>
      <c r="ED59" s="979">
        <f>EC58</f>
        <v>23</v>
      </c>
      <c r="EF59" s="977">
        <f>ED58</f>
        <v>26</v>
      </c>
      <c r="EG59" s="978">
        <f t="shared" ref="EG59:EQ66" si="332">EF58</f>
        <v>22</v>
      </c>
      <c r="EH59" s="978">
        <f t="shared" si="332"/>
        <v>21</v>
      </c>
      <c r="EI59" s="978">
        <f t="shared" si="332"/>
        <v>17.5</v>
      </c>
      <c r="EJ59" s="978">
        <f t="shared" si="332"/>
        <v>7</v>
      </c>
      <c r="EK59" s="978">
        <f t="shared" si="332"/>
        <v>6.5</v>
      </c>
      <c r="EL59" s="978">
        <f t="shared" si="332"/>
        <v>6.5</v>
      </c>
      <c r="EM59" s="978">
        <f t="shared" si="332"/>
        <v>5</v>
      </c>
      <c r="EN59" s="978">
        <f t="shared" si="332"/>
        <v>7</v>
      </c>
      <c r="EO59" s="978">
        <f t="shared" si="332"/>
        <v>7</v>
      </c>
      <c r="EP59" s="978">
        <f t="shared" si="332"/>
        <v>7</v>
      </c>
      <c r="EQ59" s="979">
        <f t="shared" si="332"/>
        <v>6</v>
      </c>
      <c r="ES59" s="977">
        <f>EQ58</f>
        <v>5</v>
      </c>
      <c r="ET59" s="978">
        <f t="shared" ref="ET59:ET66" si="333">ES58</f>
        <v>3.5</v>
      </c>
      <c r="EU59" s="978">
        <f t="shared" ref="EU59:EU66" si="334">ET58</f>
        <v>2</v>
      </c>
      <c r="EV59" s="978">
        <f t="shared" ref="EV59:EV66" si="335">EU58</f>
        <v>4.5</v>
      </c>
      <c r="EW59" s="978">
        <f t="shared" ref="EW59:EW66" si="336">EV58</f>
        <v>7</v>
      </c>
      <c r="EX59" s="978">
        <f t="shared" ref="EX59:EX66" si="337">EW58</f>
        <v>7</v>
      </c>
      <c r="EY59" s="978">
        <f t="shared" ref="EY59:EY66" si="338">EX58</f>
        <v>7</v>
      </c>
      <c r="EZ59" s="978">
        <f t="shared" ref="EZ59:EZ66" si="339">EY58</f>
        <v>7</v>
      </c>
      <c r="FA59" s="978">
        <f t="shared" ref="FA59:FA66" si="340">EZ58</f>
        <v>7</v>
      </c>
      <c r="FB59" s="978">
        <f t="shared" ref="FB59:FB66" si="341">FA58</f>
        <v>7</v>
      </c>
      <c r="FC59" s="978">
        <f t="shared" ref="FC59:FC66" si="342">FB58</f>
        <v>7</v>
      </c>
      <c r="FD59" s="979">
        <f t="shared" ref="FD59:FD66" si="343">FC58</f>
        <v>7</v>
      </c>
      <c r="FF59" s="977">
        <f>FD58</f>
        <v>7</v>
      </c>
      <c r="FG59" s="978">
        <f t="shared" ref="FG59:FG66" si="344">FF58</f>
        <v>4.5</v>
      </c>
      <c r="FH59" s="978">
        <f t="shared" ref="FH59:FH66" si="345">FG58</f>
        <v>2</v>
      </c>
      <c r="FI59" s="978">
        <f t="shared" ref="FI59:FI66" si="346">FH58</f>
        <v>4.5</v>
      </c>
      <c r="FJ59" s="978">
        <f t="shared" ref="FJ59:FJ66" si="347">FI58</f>
        <v>6</v>
      </c>
      <c r="FK59" s="978">
        <f t="shared" ref="FK59:FK66" si="348">FJ58</f>
        <v>5</v>
      </c>
      <c r="FL59" s="978">
        <f t="shared" ref="FL59:FL66" si="349">FK58</f>
        <v>5</v>
      </c>
      <c r="FM59" s="978">
        <f t="shared" ref="FM59:FM66" si="350">FL58</f>
        <v>5</v>
      </c>
      <c r="FN59" s="978">
        <f t="shared" ref="FN59:FN66" si="351">FM58</f>
        <v>5</v>
      </c>
      <c r="FO59" s="978">
        <f t="shared" ref="FO59:FO66" si="352">FN58</f>
        <v>5</v>
      </c>
      <c r="FP59" s="978">
        <f t="shared" ref="FP59:FP66" si="353">FO58</f>
        <v>5</v>
      </c>
      <c r="FQ59" s="979">
        <f t="shared" ref="FQ59:FQ66" si="354">FP58</f>
        <v>5</v>
      </c>
      <c r="FS59" s="977">
        <f>FQ58</f>
        <v>5</v>
      </c>
      <c r="FT59" s="978">
        <f t="shared" ref="FT59:FT66" si="355">FS58</f>
        <v>3.5</v>
      </c>
      <c r="FU59" s="978">
        <f t="shared" ref="FU59:FU66" si="356">FT58</f>
        <v>2</v>
      </c>
      <c r="FV59" s="978">
        <f t="shared" ref="FV59:FV66" si="357">FU58</f>
        <v>2</v>
      </c>
      <c r="FW59" s="978">
        <f t="shared" ref="FW59:FW66" si="358">FV58</f>
        <v>2</v>
      </c>
      <c r="FX59" s="978">
        <f t="shared" ref="FX59:FX66" si="359">FW58</f>
        <v>2</v>
      </c>
      <c r="FY59" s="978">
        <f t="shared" ref="FY59:FY66" si="360">FX58</f>
        <v>2</v>
      </c>
      <c r="FZ59" s="978">
        <f t="shared" ref="FZ59:FZ66" si="361">FY58</f>
        <v>2</v>
      </c>
      <c r="GA59" s="978">
        <f t="shared" ref="GA59:GA66" si="362">FZ58</f>
        <v>2</v>
      </c>
      <c r="GB59" s="978">
        <f t="shared" ref="GB59:GB66" si="363">GA58</f>
        <v>2</v>
      </c>
      <c r="GC59" s="978">
        <f t="shared" ref="GC59:GC66" si="364">GB58</f>
        <v>2</v>
      </c>
      <c r="GD59" s="979">
        <f t="shared" ref="GD59:GD66" si="365">GC58</f>
        <v>2</v>
      </c>
      <c r="GF59" s="977">
        <f>GD58</f>
        <v>2</v>
      </c>
      <c r="GG59" s="978">
        <f t="shared" ref="GG59:GG66" si="366">GF58</f>
        <v>2</v>
      </c>
      <c r="GH59" s="978">
        <f t="shared" ref="GH59:GH66" si="367">GG58</f>
        <v>2</v>
      </c>
      <c r="GI59" s="978">
        <f t="shared" ref="GI59:GI66" si="368">GH58</f>
        <v>2</v>
      </c>
      <c r="GJ59" s="978">
        <f t="shared" ref="GJ59:GJ66" si="369">GI58</f>
        <v>2</v>
      </c>
      <c r="GK59" s="978">
        <f t="shared" ref="GK59:GK66" si="370">GJ58</f>
        <v>2</v>
      </c>
      <c r="GL59" s="978">
        <f t="shared" ref="GL59:GL66" si="371">GK58</f>
        <v>2</v>
      </c>
      <c r="GM59" s="978">
        <f t="shared" ref="GM59:GM66" si="372">GL58</f>
        <v>2</v>
      </c>
      <c r="GN59" s="978">
        <f t="shared" ref="GN59:GN66" si="373">GM58</f>
        <v>2</v>
      </c>
      <c r="GO59" s="978">
        <f t="shared" ref="GO59:GO66" si="374">GN58</f>
        <v>2</v>
      </c>
      <c r="GP59" s="978">
        <f t="shared" ref="GP59:GP66" si="375">GO58</f>
        <v>2</v>
      </c>
      <c r="GQ59" s="979">
        <f t="shared" ref="GQ59:GQ66" si="376">GP58</f>
        <v>2</v>
      </c>
      <c r="GS59" s="977">
        <f>GQ58</f>
        <v>2</v>
      </c>
      <c r="GT59" s="978">
        <f t="shared" ref="GT59:GT66" si="377">GS58</f>
        <v>2</v>
      </c>
      <c r="GU59" s="978">
        <f t="shared" ref="GU59:GU66" si="378">GT58</f>
        <v>2</v>
      </c>
      <c r="GV59" s="978">
        <f t="shared" ref="GV59:GV66" si="379">GU58</f>
        <v>2</v>
      </c>
      <c r="GW59" s="978">
        <f t="shared" ref="GW59:GW66" si="380">GV58</f>
        <v>2</v>
      </c>
      <c r="GX59" s="978">
        <f t="shared" ref="GX59:GX66" si="381">GW58</f>
        <v>2</v>
      </c>
      <c r="GY59" s="978">
        <f t="shared" ref="GY59:GY66" si="382">GX58</f>
        <v>2</v>
      </c>
      <c r="GZ59" s="978">
        <f t="shared" ref="GZ59:GZ66" si="383">GY58</f>
        <v>2</v>
      </c>
      <c r="HA59" s="978">
        <f t="shared" ref="HA59:HA66" si="384">GZ58</f>
        <v>2</v>
      </c>
      <c r="HB59" s="978">
        <f t="shared" ref="HB59:HB66" si="385">HA58</f>
        <v>2</v>
      </c>
      <c r="HC59" s="978">
        <f t="shared" ref="HC59:HC66" si="386">HB58</f>
        <v>2</v>
      </c>
      <c r="HD59" s="979">
        <f t="shared" ref="HD59:HD66" si="387">HC58</f>
        <v>2</v>
      </c>
    </row>
    <row r="60" spans="2:212" ht="15">
      <c r="B60" s="596"/>
      <c r="C60" s="1069"/>
      <c r="D60" s="1021"/>
      <c r="E60" s="1067"/>
      <c r="F60" s="1068"/>
      <c r="G60" s="1022"/>
      <c r="H60" s="1061"/>
      <c r="I60" s="1058"/>
      <c r="N60" s="1899"/>
      <c r="O60" s="940" t="s">
        <v>121</v>
      </c>
      <c r="P60" s="595">
        <v>9</v>
      </c>
      <c r="Q60" s="595">
        <v>10</v>
      </c>
      <c r="R60" s="595">
        <v>7</v>
      </c>
      <c r="S60" s="595">
        <v>1</v>
      </c>
      <c r="T60" s="595">
        <v>5</v>
      </c>
      <c r="U60" s="595">
        <v>15</v>
      </c>
      <c r="V60" s="595">
        <v>8</v>
      </c>
      <c r="X60" s="1063"/>
      <c r="AA60" s="1899"/>
      <c r="AB60" s="940" t="s">
        <v>121</v>
      </c>
      <c r="DK60" s="1899"/>
      <c r="DL60" s="940" t="s">
        <v>121</v>
      </c>
      <c r="DN60" s="977">
        <v>20</v>
      </c>
      <c r="DO60" s="978">
        <v>17</v>
      </c>
      <c r="DP60" s="978">
        <f>DO59</f>
        <v>18</v>
      </c>
      <c r="DQ60" s="978">
        <f>DP59</f>
        <v>27.5</v>
      </c>
      <c r="DR60" s="979">
        <f>DQ59</f>
        <v>29.25</v>
      </c>
      <c r="DS60" s="961"/>
      <c r="DT60" s="977">
        <v>20</v>
      </c>
      <c r="DU60" s="978">
        <v>17</v>
      </c>
      <c r="DV60" s="978">
        <f>DU59</f>
        <v>18</v>
      </c>
      <c r="DW60" s="978">
        <f>DV59</f>
        <v>27.5</v>
      </c>
      <c r="DX60" s="979">
        <f>DW59</f>
        <v>29.25</v>
      </c>
      <c r="DY60" s="961"/>
      <c r="DZ60" s="977">
        <v>20</v>
      </c>
      <c r="EA60" s="978">
        <f t="shared" ref="EA60:ED66" si="388">DZ59</f>
        <v>15</v>
      </c>
      <c r="EB60" s="978">
        <f>EA59</f>
        <v>18</v>
      </c>
      <c r="EC60" s="978">
        <f>EB59</f>
        <v>24</v>
      </c>
      <c r="ED60" s="979">
        <f>EC59</f>
        <v>26</v>
      </c>
      <c r="EF60" s="977">
        <f t="shared" ref="EF60:EF66" si="389">ED59</f>
        <v>23</v>
      </c>
      <c r="EG60" s="978">
        <f t="shared" si="332"/>
        <v>26</v>
      </c>
      <c r="EH60" s="978">
        <f t="shared" si="332"/>
        <v>22</v>
      </c>
      <c r="EI60" s="978">
        <f t="shared" si="332"/>
        <v>21</v>
      </c>
      <c r="EJ60" s="978">
        <f t="shared" si="332"/>
        <v>17.5</v>
      </c>
      <c r="EK60" s="978">
        <f t="shared" si="332"/>
        <v>7</v>
      </c>
      <c r="EL60" s="978">
        <f t="shared" si="332"/>
        <v>6.5</v>
      </c>
      <c r="EM60" s="978">
        <f t="shared" si="332"/>
        <v>6.5</v>
      </c>
      <c r="EN60" s="978">
        <f t="shared" si="332"/>
        <v>5</v>
      </c>
      <c r="EO60" s="978">
        <f t="shared" si="332"/>
        <v>7</v>
      </c>
      <c r="EP60" s="978">
        <f t="shared" si="332"/>
        <v>7</v>
      </c>
      <c r="EQ60" s="979">
        <f t="shared" si="332"/>
        <v>7</v>
      </c>
      <c r="ES60" s="977">
        <f t="shared" ref="ES60:ES66" si="390">EQ59</f>
        <v>6</v>
      </c>
      <c r="ET60" s="978">
        <f t="shared" si="333"/>
        <v>5</v>
      </c>
      <c r="EU60" s="978">
        <f t="shared" si="334"/>
        <v>3.5</v>
      </c>
      <c r="EV60" s="978">
        <f t="shared" si="335"/>
        <v>2</v>
      </c>
      <c r="EW60" s="978">
        <f t="shared" si="336"/>
        <v>4.5</v>
      </c>
      <c r="EX60" s="978">
        <f t="shared" si="337"/>
        <v>7</v>
      </c>
      <c r="EY60" s="978">
        <f t="shared" si="338"/>
        <v>7</v>
      </c>
      <c r="EZ60" s="978">
        <f t="shared" si="339"/>
        <v>7</v>
      </c>
      <c r="FA60" s="978">
        <f t="shared" si="340"/>
        <v>7</v>
      </c>
      <c r="FB60" s="978">
        <f t="shared" si="341"/>
        <v>7</v>
      </c>
      <c r="FC60" s="978">
        <f t="shared" si="342"/>
        <v>7</v>
      </c>
      <c r="FD60" s="979">
        <f t="shared" si="343"/>
        <v>7</v>
      </c>
      <c r="FF60" s="977">
        <f t="shared" ref="FF60:FF66" si="391">FD59</f>
        <v>7</v>
      </c>
      <c r="FG60" s="978">
        <f t="shared" si="344"/>
        <v>7</v>
      </c>
      <c r="FH60" s="978">
        <f t="shared" si="345"/>
        <v>4.5</v>
      </c>
      <c r="FI60" s="978">
        <f t="shared" si="346"/>
        <v>2</v>
      </c>
      <c r="FJ60" s="978">
        <f t="shared" si="347"/>
        <v>4.5</v>
      </c>
      <c r="FK60" s="978">
        <f t="shared" si="348"/>
        <v>6</v>
      </c>
      <c r="FL60" s="978">
        <f t="shared" si="349"/>
        <v>5</v>
      </c>
      <c r="FM60" s="978">
        <f t="shared" si="350"/>
        <v>5</v>
      </c>
      <c r="FN60" s="978">
        <f t="shared" si="351"/>
        <v>5</v>
      </c>
      <c r="FO60" s="978">
        <f t="shared" si="352"/>
        <v>5</v>
      </c>
      <c r="FP60" s="978">
        <f t="shared" si="353"/>
        <v>5</v>
      </c>
      <c r="FQ60" s="979">
        <f t="shared" si="354"/>
        <v>5</v>
      </c>
      <c r="FS60" s="977">
        <f t="shared" ref="FS60:FS66" si="392">FQ59</f>
        <v>5</v>
      </c>
      <c r="FT60" s="978">
        <f t="shared" si="355"/>
        <v>5</v>
      </c>
      <c r="FU60" s="978">
        <f t="shared" si="356"/>
        <v>3.5</v>
      </c>
      <c r="FV60" s="978">
        <f t="shared" si="357"/>
        <v>2</v>
      </c>
      <c r="FW60" s="978">
        <f t="shared" si="358"/>
        <v>2</v>
      </c>
      <c r="FX60" s="978">
        <f t="shared" si="359"/>
        <v>2</v>
      </c>
      <c r="FY60" s="978">
        <f t="shared" si="360"/>
        <v>2</v>
      </c>
      <c r="FZ60" s="978">
        <f t="shared" si="361"/>
        <v>2</v>
      </c>
      <c r="GA60" s="978">
        <f t="shared" si="362"/>
        <v>2</v>
      </c>
      <c r="GB60" s="978">
        <f t="shared" si="363"/>
        <v>2</v>
      </c>
      <c r="GC60" s="978">
        <f t="shared" si="364"/>
        <v>2</v>
      </c>
      <c r="GD60" s="979">
        <f t="shared" si="365"/>
        <v>2</v>
      </c>
      <c r="GF60" s="977">
        <f t="shared" ref="GF60:GF66" si="393">GD59</f>
        <v>2</v>
      </c>
      <c r="GG60" s="978">
        <f t="shared" si="366"/>
        <v>2</v>
      </c>
      <c r="GH60" s="978">
        <f t="shared" si="367"/>
        <v>2</v>
      </c>
      <c r="GI60" s="978">
        <f t="shared" si="368"/>
        <v>2</v>
      </c>
      <c r="GJ60" s="978">
        <f t="shared" si="369"/>
        <v>2</v>
      </c>
      <c r="GK60" s="978">
        <f t="shared" si="370"/>
        <v>2</v>
      </c>
      <c r="GL60" s="978">
        <f t="shared" si="371"/>
        <v>2</v>
      </c>
      <c r="GM60" s="978">
        <f t="shared" si="372"/>
        <v>2</v>
      </c>
      <c r="GN60" s="978">
        <f t="shared" si="373"/>
        <v>2</v>
      </c>
      <c r="GO60" s="978">
        <f t="shared" si="374"/>
        <v>2</v>
      </c>
      <c r="GP60" s="978">
        <f t="shared" si="375"/>
        <v>2</v>
      </c>
      <c r="GQ60" s="979">
        <f t="shared" si="376"/>
        <v>2</v>
      </c>
      <c r="GS60" s="977">
        <f t="shared" ref="GS60:GS66" si="394">GQ59</f>
        <v>2</v>
      </c>
      <c r="GT60" s="978">
        <f t="shared" si="377"/>
        <v>2</v>
      </c>
      <c r="GU60" s="978">
        <f t="shared" si="378"/>
        <v>2</v>
      </c>
      <c r="GV60" s="978">
        <f t="shared" si="379"/>
        <v>2</v>
      </c>
      <c r="GW60" s="978">
        <f t="shared" si="380"/>
        <v>2</v>
      </c>
      <c r="GX60" s="978">
        <f t="shared" si="381"/>
        <v>2</v>
      </c>
      <c r="GY60" s="978">
        <f t="shared" si="382"/>
        <v>2</v>
      </c>
      <c r="GZ60" s="978">
        <f t="shared" si="383"/>
        <v>2</v>
      </c>
      <c r="HA60" s="978">
        <f t="shared" si="384"/>
        <v>2</v>
      </c>
      <c r="HB60" s="978">
        <f t="shared" si="385"/>
        <v>2</v>
      </c>
      <c r="HC60" s="978">
        <f t="shared" si="386"/>
        <v>2</v>
      </c>
      <c r="HD60" s="979">
        <f t="shared" si="387"/>
        <v>2</v>
      </c>
    </row>
    <row r="61" spans="2:212" ht="14.25">
      <c r="B61" s="1070"/>
      <c r="C61" s="929" t="s">
        <v>147</v>
      </c>
      <c r="D61" s="1070"/>
      <c r="E61" s="1070"/>
      <c r="F61" s="1070"/>
      <c r="G61" s="1070"/>
      <c r="H61" s="1071"/>
      <c r="I61" s="1071"/>
      <c r="N61" s="1899"/>
      <c r="O61" s="940" t="s">
        <v>122</v>
      </c>
      <c r="P61" s="595">
        <v>17</v>
      </c>
      <c r="Q61" s="595">
        <v>9</v>
      </c>
      <c r="R61" s="595">
        <v>10</v>
      </c>
      <c r="S61" s="595">
        <v>7</v>
      </c>
      <c r="T61" s="595">
        <v>1</v>
      </c>
      <c r="U61" s="595">
        <v>5</v>
      </c>
      <c r="V61" s="595">
        <v>15</v>
      </c>
      <c r="X61" s="1063"/>
      <c r="AA61" s="1899"/>
      <c r="AB61" s="940" t="s">
        <v>122</v>
      </c>
      <c r="DK61" s="1899"/>
      <c r="DL61" s="940" t="s">
        <v>122</v>
      </c>
      <c r="DN61" s="977">
        <v>7</v>
      </c>
      <c r="DO61" s="978">
        <v>20</v>
      </c>
      <c r="DP61" s="978">
        <v>17</v>
      </c>
      <c r="DQ61" s="978">
        <f>DP60</f>
        <v>18</v>
      </c>
      <c r="DR61" s="979">
        <f>DQ60</f>
        <v>27.5</v>
      </c>
      <c r="DS61" s="961"/>
      <c r="DT61" s="977">
        <v>7</v>
      </c>
      <c r="DU61" s="978">
        <v>20</v>
      </c>
      <c r="DV61" s="978">
        <v>17</v>
      </c>
      <c r="DW61" s="978">
        <f>DV60</f>
        <v>18</v>
      </c>
      <c r="DX61" s="979">
        <f>DW60</f>
        <v>27.5</v>
      </c>
      <c r="DY61" s="961"/>
      <c r="DZ61" s="977">
        <v>7</v>
      </c>
      <c r="EA61" s="978">
        <f t="shared" si="388"/>
        <v>20</v>
      </c>
      <c r="EB61" s="978">
        <f t="shared" si="388"/>
        <v>15</v>
      </c>
      <c r="EC61" s="978">
        <f>EB60</f>
        <v>18</v>
      </c>
      <c r="ED61" s="979">
        <f>EC60</f>
        <v>24</v>
      </c>
      <c r="EF61" s="977">
        <f t="shared" si="389"/>
        <v>26</v>
      </c>
      <c r="EG61" s="978">
        <f t="shared" si="332"/>
        <v>23</v>
      </c>
      <c r="EH61" s="978">
        <f t="shared" si="332"/>
        <v>26</v>
      </c>
      <c r="EI61" s="978">
        <f t="shared" si="332"/>
        <v>22</v>
      </c>
      <c r="EJ61" s="978">
        <f t="shared" si="332"/>
        <v>21</v>
      </c>
      <c r="EK61" s="978">
        <f t="shared" si="332"/>
        <v>17.5</v>
      </c>
      <c r="EL61" s="978">
        <f t="shared" si="332"/>
        <v>7</v>
      </c>
      <c r="EM61" s="978">
        <f t="shared" si="332"/>
        <v>6.5</v>
      </c>
      <c r="EN61" s="978">
        <f t="shared" si="332"/>
        <v>6.5</v>
      </c>
      <c r="EO61" s="978">
        <f t="shared" si="332"/>
        <v>5</v>
      </c>
      <c r="EP61" s="978">
        <f t="shared" si="332"/>
        <v>7</v>
      </c>
      <c r="EQ61" s="979">
        <f t="shared" si="332"/>
        <v>7</v>
      </c>
      <c r="ES61" s="977">
        <f t="shared" si="390"/>
        <v>7</v>
      </c>
      <c r="ET61" s="978">
        <f t="shared" si="333"/>
        <v>6</v>
      </c>
      <c r="EU61" s="978">
        <f t="shared" si="334"/>
        <v>5</v>
      </c>
      <c r="EV61" s="978">
        <f t="shared" si="335"/>
        <v>3.5</v>
      </c>
      <c r="EW61" s="978">
        <f t="shared" si="336"/>
        <v>2</v>
      </c>
      <c r="EX61" s="978">
        <f t="shared" si="337"/>
        <v>4.5</v>
      </c>
      <c r="EY61" s="978">
        <f t="shared" si="338"/>
        <v>7</v>
      </c>
      <c r="EZ61" s="978">
        <f t="shared" si="339"/>
        <v>7</v>
      </c>
      <c r="FA61" s="978">
        <f t="shared" si="340"/>
        <v>7</v>
      </c>
      <c r="FB61" s="978">
        <f t="shared" si="341"/>
        <v>7</v>
      </c>
      <c r="FC61" s="978">
        <f t="shared" si="342"/>
        <v>7</v>
      </c>
      <c r="FD61" s="979">
        <f t="shared" si="343"/>
        <v>7</v>
      </c>
      <c r="FF61" s="977">
        <f t="shared" si="391"/>
        <v>7</v>
      </c>
      <c r="FG61" s="978">
        <f t="shared" si="344"/>
        <v>7</v>
      </c>
      <c r="FH61" s="978">
        <f t="shared" si="345"/>
        <v>7</v>
      </c>
      <c r="FI61" s="978">
        <f t="shared" si="346"/>
        <v>4.5</v>
      </c>
      <c r="FJ61" s="978">
        <f t="shared" si="347"/>
        <v>2</v>
      </c>
      <c r="FK61" s="978">
        <f t="shared" si="348"/>
        <v>4.5</v>
      </c>
      <c r="FL61" s="978">
        <f t="shared" si="349"/>
        <v>6</v>
      </c>
      <c r="FM61" s="978">
        <f t="shared" si="350"/>
        <v>5</v>
      </c>
      <c r="FN61" s="978">
        <f t="shared" si="351"/>
        <v>5</v>
      </c>
      <c r="FO61" s="978">
        <f t="shared" si="352"/>
        <v>5</v>
      </c>
      <c r="FP61" s="978">
        <f t="shared" si="353"/>
        <v>5</v>
      </c>
      <c r="FQ61" s="979">
        <f t="shared" si="354"/>
        <v>5</v>
      </c>
      <c r="FS61" s="977">
        <f t="shared" si="392"/>
        <v>5</v>
      </c>
      <c r="FT61" s="978">
        <f t="shared" si="355"/>
        <v>5</v>
      </c>
      <c r="FU61" s="978">
        <f t="shared" si="356"/>
        <v>5</v>
      </c>
      <c r="FV61" s="978">
        <f t="shared" si="357"/>
        <v>3.5</v>
      </c>
      <c r="FW61" s="978">
        <f t="shared" si="358"/>
        <v>2</v>
      </c>
      <c r="FX61" s="978">
        <f t="shared" si="359"/>
        <v>2</v>
      </c>
      <c r="FY61" s="978">
        <f t="shared" si="360"/>
        <v>2</v>
      </c>
      <c r="FZ61" s="978">
        <f t="shared" si="361"/>
        <v>2</v>
      </c>
      <c r="GA61" s="978">
        <f t="shared" si="362"/>
        <v>2</v>
      </c>
      <c r="GB61" s="978">
        <f t="shared" si="363"/>
        <v>2</v>
      </c>
      <c r="GC61" s="978">
        <f t="shared" si="364"/>
        <v>2</v>
      </c>
      <c r="GD61" s="979">
        <f t="shared" si="365"/>
        <v>2</v>
      </c>
      <c r="GF61" s="977">
        <f t="shared" si="393"/>
        <v>2</v>
      </c>
      <c r="GG61" s="978">
        <f t="shared" si="366"/>
        <v>2</v>
      </c>
      <c r="GH61" s="978">
        <f t="shared" si="367"/>
        <v>2</v>
      </c>
      <c r="GI61" s="978">
        <f t="shared" si="368"/>
        <v>2</v>
      </c>
      <c r="GJ61" s="978">
        <f t="shared" si="369"/>
        <v>2</v>
      </c>
      <c r="GK61" s="978">
        <f t="shared" si="370"/>
        <v>2</v>
      </c>
      <c r="GL61" s="978">
        <f t="shared" si="371"/>
        <v>2</v>
      </c>
      <c r="GM61" s="978">
        <f t="shared" si="372"/>
        <v>2</v>
      </c>
      <c r="GN61" s="978">
        <f t="shared" si="373"/>
        <v>2</v>
      </c>
      <c r="GO61" s="978">
        <f t="shared" si="374"/>
        <v>2</v>
      </c>
      <c r="GP61" s="978">
        <f t="shared" si="375"/>
        <v>2</v>
      </c>
      <c r="GQ61" s="979">
        <f t="shared" si="376"/>
        <v>2</v>
      </c>
      <c r="GS61" s="977">
        <f t="shared" si="394"/>
        <v>2</v>
      </c>
      <c r="GT61" s="978">
        <f t="shared" si="377"/>
        <v>2</v>
      </c>
      <c r="GU61" s="978">
        <f t="shared" si="378"/>
        <v>2</v>
      </c>
      <c r="GV61" s="978">
        <f t="shared" si="379"/>
        <v>2</v>
      </c>
      <c r="GW61" s="978">
        <f t="shared" si="380"/>
        <v>2</v>
      </c>
      <c r="GX61" s="978">
        <f t="shared" si="381"/>
        <v>2</v>
      </c>
      <c r="GY61" s="978">
        <f t="shared" si="382"/>
        <v>2</v>
      </c>
      <c r="GZ61" s="978">
        <f t="shared" si="383"/>
        <v>2</v>
      </c>
      <c r="HA61" s="978">
        <f t="shared" si="384"/>
        <v>2</v>
      </c>
      <c r="HB61" s="978">
        <f t="shared" si="385"/>
        <v>2</v>
      </c>
      <c r="HC61" s="978">
        <f t="shared" si="386"/>
        <v>2</v>
      </c>
      <c r="HD61" s="979">
        <f t="shared" si="387"/>
        <v>2</v>
      </c>
    </row>
    <row r="62" spans="2:212" ht="14.25">
      <c r="B62" s="1070"/>
      <c r="C62" s="929" t="s">
        <v>148</v>
      </c>
      <c r="D62" s="1070"/>
      <c r="E62" s="1070"/>
      <c r="F62" s="1070"/>
      <c r="G62" s="1070"/>
      <c r="H62" s="1071"/>
      <c r="I62" s="1071"/>
      <c r="N62" s="1899"/>
      <c r="O62" s="940" t="s">
        <v>123</v>
      </c>
      <c r="P62" s="595">
        <v>10</v>
      </c>
      <c r="Q62" s="595">
        <v>17</v>
      </c>
      <c r="R62" s="595">
        <v>8</v>
      </c>
      <c r="S62" s="595">
        <v>10</v>
      </c>
      <c r="T62" s="595">
        <v>7</v>
      </c>
      <c r="U62" s="595">
        <v>1</v>
      </c>
      <c r="V62" s="595">
        <v>5</v>
      </c>
      <c r="X62" s="1063"/>
      <c r="AA62" s="1899"/>
      <c r="AB62" s="940" t="s">
        <v>123</v>
      </c>
      <c r="DK62" s="1899"/>
      <c r="DL62" s="940" t="s">
        <v>123</v>
      </c>
      <c r="DN62" s="977">
        <v>15</v>
      </c>
      <c r="DO62" s="978">
        <v>8</v>
      </c>
      <c r="DP62" s="978">
        <v>20</v>
      </c>
      <c r="DQ62" s="978">
        <v>17</v>
      </c>
      <c r="DR62" s="979">
        <f>DQ61</f>
        <v>18</v>
      </c>
      <c r="DS62" s="961"/>
      <c r="DT62" s="977">
        <v>15</v>
      </c>
      <c r="DU62" s="978">
        <v>8</v>
      </c>
      <c r="DV62" s="978">
        <v>20</v>
      </c>
      <c r="DW62" s="978">
        <v>17</v>
      </c>
      <c r="DX62" s="979">
        <f>DW61</f>
        <v>18</v>
      </c>
      <c r="DY62" s="961"/>
      <c r="DZ62" s="977">
        <v>15</v>
      </c>
      <c r="EA62" s="978">
        <f t="shared" si="388"/>
        <v>7</v>
      </c>
      <c r="EB62" s="978">
        <f t="shared" si="388"/>
        <v>20</v>
      </c>
      <c r="EC62" s="978">
        <f t="shared" si="388"/>
        <v>15</v>
      </c>
      <c r="ED62" s="979">
        <f>EC61</f>
        <v>18</v>
      </c>
      <c r="EF62" s="977">
        <f t="shared" si="389"/>
        <v>24</v>
      </c>
      <c r="EG62" s="978">
        <f t="shared" si="332"/>
        <v>26</v>
      </c>
      <c r="EH62" s="978">
        <f t="shared" si="332"/>
        <v>23</v>
      </c>
      <c r="EI62" s="978">
        <f t="shared" si="332"/>
        <v>26</v>
      </c>
      <c r="EJ62" s="978">
        <f t="shared" si="332"/>
        <v>22</v>
      </c>
      <c r="EK62" s="978">
        <f t="shared" si="332"/>
        <v>21</v>
      </c>
      <c r="EL62" s="978">
        <f t="shared" si="332"/>
        <v>17.5</v>
      </c>
      <c r="EM62" s="978">
        <f t="shared" si="332"/>
        <v>7</v>
      </c>
      <c r="EN62" s="978">
        <f t="shared" si="332"/>
        <v>6.5</v>
      </c>
      <c r="EO62" s="978">
        <f t="shared" si="332"/>
        <v>6.5</v>
      </c>
      <c r="EP62" s="978">
        <f t="shared" si="332"/>
        <v>5</v>
      </c>
      <c r="EQ62" s="979">
        <f t="shared" si="332"/>
        <v>7</v>
      </c>
      <c r="ES62" s="977">
        <f t="shared" si="390"/>
        <v>7</v>
      </c>
      <c r="ET62" s="978">
        <f t="shared" si="333"/>
        <v>7</v>
      </c>
      <c r="EU62" s="978">
        <f t="shared" si="334"/>
        <v>6</v>
      </c>
      <c r="EV62" s="978">
        <f t="shared" si="335"/>
        <v>5</v>
      </c>
      <c r="EW62" s="978">
        <f t="shared" si="336"/>
        <v>3.5</v>
      </c>
      <c r="EX62" s="978">
        <f t="shared" si="337"/>
        <v>2</v>
      </c>
      <c r="EY62" s="978">
        <f t="shared" si="338"/>
        <v>4.5</v>
      </c>
      <c r="EZ62" s="978">
        <f t="shared" si="339"/>
        <v>7</v>
      </c>
      <c r="FA62" s="978">
        <f t="shared" si="340"/>
        <v>7</v>
      </c>
      <c r="FB62" s="978">
        <f t="shared" si="341"/>
        <v>7</v>
      </c>
      <c r="FC62" s="978">
        <f t="shared" si="342"/>
        <v>7</v>
      </c>
      <c r="FD62" s="979">
        <f t="shared" si="343"/>
        <v>7</v>
      </c>
      <c r="FF62" s="977">
        <f t="shared" si="391"/>
        <v>7</v>
      </c>
      <c r="FG62" s="978">
        <f t="shared" si="344"/>
        <v>7</v>
      </c>
      <c r="FH62" s="978">
        <f t="shared" si="345"/>
        <v>7</v>
      </c>
      <c r="FI62" s="978">
        <f t="shared" si="346"/>
        <v>7</v>
      </c>
      <c r="FJ62" s="978">
        <f t="shared" si="347"/>
        <v>4.5</v>
      </c>
      <c r="FK62" s="978">
        <f t="shared" si="348"/>
        <v>2</v>
      </c>
      <c r="FL62" s="978">
        <f t="shared" si="349"/>
        <v>4.5</v>
      </c>
      <c r="FM62" s="978">
        <f t="shared" si="350"/>
        <v>6</v>
      </c>
      <c r="FN62" s="978">
        <f t="shared" si="351"/>
        <v>5</v>
      </c>
      <c r="FO62" s="978">
        <f t="shared" si="352"/>
        <v>5</v>
      </c>
      <c r="FP62" s="978">
        <f t="shared" si="353"/>
        <v>5</v>
      </c>
      <c r="FQ62" s="979">
        <f t="shared" si="354"/>
        <v>5</v>
      </c>
      <c r="FS62" s="977">
        <f t="shared" si="392"/>
        <v>5</v>
      </c>
      <c r="FT62" s="978">
        <f t="shared" si="355"/>
        <v>5</v>
      </c>
      <c r="FU62" s="978">
        <f t="shared" si="356"/>
        <v>5</v>
      </c>
      <c r="FV62" s="978">
        <f t="shared" si="357"/>
        <v>5</v>
      </c>
      <c r="FW62" s="978">
        <f t="shared" si="358"/>
        <v>3.5</v>
      </c>
      <c r="FX62" s="978">
        <f t="shared" si="359"/>
        <v>2</v>
      </c>
      <c r="FY62" s="978">
        <f t="shared" si="360"/>
        <v>2</v>
      </c>
      <c r="FZ62" s="978">
        <f t="shared" si="361"/>
        <v>2</v>
      </c>
      <c r="GA62" s="978">
        <f t="shared" si="362"/>
        <v>2</v>
      </c>
      <c r="GB62" s="978">
        <f t="shared" si="363"/>
        <v>2</v>
      </c>
      <c r="GC62" s="978">
        <f t="shared" si="364"/>
        <v>2</v>
      </c>
      <c r="GD62" s="979">
        <f t="shared" si="365"/>
        <v>2</v>
      </c>
      <c r="GF62" s="977">
        <f t="shared" si="393"/>
        <v>2</v>
      </c>
      <c r="GG62" s="978">
        <f t="shared" si="366"/>
        <v>2</v>
      </c>
      <c r="GH62" s="978">
        <f t="shared" si="367"/>
        <v>2</v>
      </c>
      <c r="GI62" s="978">
        <f t="shared" si="368"/>
        <v>2</v>
      </c>
      <c r="GJ62" s="978">
        <f t="shared" si="369"/>
        <v>2</v>
      </c>
      <c r="GK62" s="978">
        <f t="shared" si="370"/>
        <v>2</v>
      </c>
      <c r="GL62" s="978">
        <f t="shared" si="371"/>
        <v>2</v>
      </c>
      <c r="GM62" s="978">
        <f t="shared" si="372"/>
        <v>2</v>
      </c>
      <c r="GN62" s="978">
        <f t="shared" si="373"/>
        <v>2</v>
      </c>
      <c r="GO62" s="978">
        <f t="shared" si="374"/>
        <v>2</v>
      </c>
      <c r="GP62" s="978">
        <f t="shared" si="375"/>
        <v>2</v>
      </c>
      <c r="GQ62" s="979">
        <f t="shared" si="376"/>
        <v>2</v>
      </c>
      <c r="GS62" s="977">
        <f t="shared" si="394"/>
        <v>2</v>
      </c>
      <c r="GT62" s="978">
        <f t="shared" si="377"/>
        <v>2</v>
      </c>
      <c r="GU62" s="978">
        <f t="shared" si="378"/>
        <v>2</v>
      </c>
      <c r="GV62" s="978">
        <f t="shared" si="379"/>
        <v>2</v>
      </c>
      <c r="GW62" s="978">
        <f t="shared" si="380"/>
        <v>2</v>
      </c>
      <c r="GX62" s="978">
        <f t="shared" si="381"/>
        <v>2</v>
      </c>
      <c r="GY62" s="978">
        <f t="shared" si="382"/>
        <v>2</v>
      </c>
      <c r="GZ62" s="978">
        <f t="shared" si="383"/>
        <v>2</v>
      </c>
      <c r="HA62" s="978">
        <f t="shared" si="384"/>
        <v>2</v>
      </c>
      <c r="HB62" s="978">
        <f t="shared" si="385"/>
        <v>2</v>
      </c>
      <c r="HC62" s="978">
        <f t="shared" si="386"/>
        <v>2</v>
      </c>
      <c r="HD62" s="979">
        <f t="shared" si="387"/>
        <v>2</v>
      </c>
    </row>
    <row r="63" spans="2:212" ht="14.25">
      <c r="B63" s="1070"/>
      <c r="C63" s="929" t="s">
        <v>149</v>
      </c>
      <c r="D63" s="1070"/>
      <c r="E63" s="1070"/>
      <c r="F63" s="1070"/>
      <c r="G63" s="1070"/>
      <c r="H63" s="1071"/>
      <c r="I63" s="1071"/>
      <c r="N63" s="1899"/>
      <c r="O63" s="940" t="s">
        <v>124</v>
      </c>
      <c r="P63" s="595">
        <v>13</v>
      </c>
      <c r="Q63" s="595">
        <v>10</v>
      </c>
      <c r="R63" s="595">
        <v>17</v>
      </c>
      <c r="S63" s="595">
        <v>8</v>
      </c>
      <c r="T63" s="595">
        <v>10</v>
      </c>
      <c r="U63" s="595">
        <v>7</v>
      </c>
      <c r="V63" s="595">
        <v>1</v>
      </c>
      <c r="X63" s="1063"/>
      <c r="AA63" s="1899"/>
      <c r="AB63" s="940" t="s">
        <v>124</v>
      </c>
      <c r="DK63" s="1899"/>
      <c r="DL63" s="940" t="s">
        <v>124</v>
      </c>
      <c r="DN63" s="977">
        <v>5</v>
      </c>
      <c r="DO63" s="978">
        <v>15</v>
      </c>
      <c r="DP63" s="978">
        <v>8</v>
      </c>
      <c r="DQ63" s="978">
        <v>20</v>
      </c>
      <c r="DR63" s="979">
        <v>17</v>
      </c>
      <c r="DS63" s="961"/>
      <c r="DT63" s="977">
        <v>5</v>
      </c>
      <c r="DU63" s="978">
        <v>15</v>
      </c>
      <c r="DV63" s="978">
        <v>8</v>
      </c>
      <c r="DW63" s="978">
        <v>20</v>
      </c>
      <c r="DX63" s="979">
        <v>17</v>
      </c>
      <c r="DY63" s="961"/>
      <c r="DZ63" s="977">
        <v>5</v>
      </c>
      <c r="EA63" s="978">
        <f t="shared" si="388"/>
        <v>15</v>
      </c>
      <c r="EB63" s="978">
        <f t="shared" si="388"/>
        <v>7</v>
      </c>
      <c r="EC63" s="978">
        <f t="shared" si="388"/>
        <v>20</v>
      </c>
      <c r="ED63" s="979">
        <f t="shared" si="388"/>
        <v>15</v>
      </c>
      <c r="EF63" s="977">
        <f t="shared" si="389"/>
        <v>18</v>
      </c>
      <c r="EG63" s="978">
        <f t="shared" si="332"/>
        <v>24</v>
      </c>
      <c r="EH63" s="978">
        <f t="shared" si="332"/>
        <v>26</v>
      </c>
      <c r="EI63" s="978">
        <f t="shared" si="332"/>
        <v>23</v>
      </c>
      <c r="EJ63" s="978">
        <f t="shared" si="332"/>
        <v>26</v>
      </c>
      <c r="EK63" s="978">
        <f t="shared" si="332"/>
        <v>22</v>
      </c>
      <c r="EL63" s="978">
        <f t="shared" si="332"/>
        <v>21</v>
      </c>
      <c r="EM63" s="978">
        <f t="shared" si="332"/>
        <v>17.5</v>
      </c>
      <c r="EN63" s="978">
        <f t="shared" si="332"/>
        <v>7</v>
      </c>
      <c r="EO63" s="978">
        <f t="shared" si="332"/>
        <v>6.5</v>
      </c>
      <c r="EP63" s="978">
        <f t="shared" si="332"/>
        <v>6.5</v>
      </c>
      <c r="EQ63" s="979">
        <f t="shared" si="332"/>
        <v>5</v>
      </c>
      <c r="ES63" s="977">
        <f t="shared" si="390"/>
        <v>7</v>
      </c>
      <c r="ET63" s="978">
        <f t="shared" si="333"/>
        <v>7</v>
      </c>
      <c r="EU63" s="978">
        <f t="shared" si="334"/>
        <v>7</v>
      </c>
      <c r="EV63" s="978">
        <f t="shared" si="335"/>
        <v>6</v>
      </c>
      <c r="EW63" s="978">
        <f t="shared" si="336"/>
        <v>5</v>
      </c>
      <c r="EX63" s="978">
        <f t="shared" si="337"/>
        <v>3.5</v>
      </c>
      <c r="EY63" s="978">
        <f t="shared" si="338"/>
        <v>2</v>
      </c>
      <c r="EZ63" s="978">
        <f t="shared" si="339"/>
        <v>4.5</v>
      </c>
      <c r="FA63" s="978">
        <f t="shared" si="340"/>
        <v>7</v>
      </c>
      <c r="FB63" s="978">
        <f t="shared" si="341"/>
        <v>7</v>
      </c>
      <c r="FC63" s="978">
        <f t="shared" si="342"/>
        <v>7</v>
      </c>
      <c r="FD63" s="979">
        <f t="shared" si="343"/>
        <v>7</v>
      </c>
      <c r="FF63" s="977">
        <f t="shared" si="391"/>
        <v>7</v>
      </c>
      <c r="FG63" s="978">
        <f t="shared" si="344"/>
        <v>7</v>
      </c>
      <c r="FH63" s="978">
        <f t="shared" si="345"/>
        <v>7</v>
      </c>
      <c r="FI63" s="978">
        <f t="shared" si="346"/>
        <v>7</v>
      </c>
      <c r="FJ63" s="978">
        <f t="shared" si="347"/>
        <v>7</v>
      </c>
      <c r="FK63" s="978">
        <f t="shared" si="348"/>
        <v>4.5</v>
      </c>
      <c r="FL63" s="978">
        <f t="shared" si="349"/>
        <v>2</v>
      </c>
      <c r="FM63" s="978">
        <f t="shared" si="350"/>
        <v>4.5</v>
      </c>
      <c r="FN63" s="978">
        <f t="shared" si="351"/>
        <v>6</v>
      </c>
      <c r="FO63" s="978">
        <f t="shared" si="352"/>
        <v>5</v>
      </c>
      <c r="FP63" s="978">
        <f t="shared" si="353"/>
        <v>5</v>
      </c>
      <c r="FQ63" s="979">
        <f t="shared" si="354"/>
        <v>5</v>
      </c>
      <c r="FS63" s="977">
        <f t="shared" si="392"/>
        <v>5</v>
      </c>
      <c r="FT63" s="978">
        <f t="shared" si="355"/>
        <v>5</v>
      </c>
      <c r="FU63" s="978">
        <f t="shared" si="356"/>
        <v>5</v>
      </c>
      <c r="FV63" s="978">
        <f t="shared" si="357"/>
        <v>5</v>
      </c>
      <c r="FW63" s="978">
        <f t="shared" si="358"/>
        <v>5</v>
      </c>
      <c r="FX63" s="978">
        <f t="shared" si="359"/>
        <v>3.5</v>
      </c>
      <c r="FY63" s="978">
        <f t="shared" si="360"/>
        <v>2</v>
      </c>
      <c r="FZ63" s="978">
        <f t="shared" si="361"/>
        <v>2</v>
      </c>
      <c r="GA63" s="978">
        <f t="shared" si="362"/>
        <v>2</v>
      </c>
      <c r="GB63" s="978">
        <f t="shared" si="363"/>
        <v>2</v>
      </c>
      <c r="GC63" s="978">
        <f t="shared" si="364"/>
        <v>2</v>
      </c>
      <c r="GD63" s="979">
        <f t="shared" si="365"/>
        <v>2</v>
      </c>
      <c r="GF63" s="977">
        <f t="shared" si="393"/>
        <v>2</v>
      </c>
      <c r="GG63" s="978">
        <f t="shared" si="366"/>
        <v>2</v>
      </c>
      <c r="GH63" s="978">
        <f t="shared" si="367"/>
        <v>2</v>
      </c>
      <c r="GI63" s="978">
        <f t="shared" si="368"/>
        <v>2</v>
      </c>
      <c r="GJ63" s="978">
        <f t="shared" si="369"/>
        <v>2</v>
      </c>
      <c r="GK63" s="978">
        <f t="shared" si="370"/>
        <v>2</v>
      </c>
      <c r="GL63" s="978">
        <f t="shared" si="371"/>
        <v>2</v>
      </c>
      <c r="GM63" s="978">
        <f t="shared" si="372"/>
        <v>2</v>
      </c>
      <c r="GN63" s="978">
        <f t="shared" si="373"/>
        <v>2</v>
      </c>
      <c r="GO63" s="978">
        <f t="shared" si="374"/>
        <v>2</v>
      </c>
      <c r="GP63" s="978">
        <f t="shared" si="375"/>
        <v>2</v>
      </c>
      <c r="GQ63" s="979">
        <f t="shared" si="376"/>
        <v>2</v>
      </c>
      <c r="GS63" s="977">
        <f t="shared" si="394"/>
        <v>2</v>
      </c>
      <c r="GT63" s="978">
        <f t="shared" si="377"/>
        <v>2</v>
      </c>
      <c r="GU63" s="978">
        <f t="shared" si="378"/>
        <v>2</v>
      </c>
      <c r="GV63" s="978">
        <f t="shared" si="379"/>
        <v>2</v>
      </c>
      <c r="GW63" s="978">
        <f t="shared" si="380"/>
        <v>2</v>
      </c>
      <c r="GX63" s="978">
        <f t="shared" si="381"/>
        <v>2</v>
      </c>
      <c r="GY63" s="978">
        <f t="shared" si="382"/>
        <v>2</v>
      </c>
      <c r="GZ63" s="978">
        <f t="shared" si="383"/>
        <v>2</v>
      </c>
      <c r="HA63" s="978">
        <f t="shared" si="384"/>
        <v>2</v>
      </c>
      <c r="HB63" s="978">
        <f t="shared" si="385"/>
        <v>2</v>
      </c>
      <c r="HC63" s="978">
        <f t="shared" si="386"/>
        <v>2</v>
      </c>
      <c r="HD63" s="979">
        <f t="shared" si="387"/>
        <v>2</v>
      </c>
    </row>
    <row r="64" spans="2:212" ht="14.25">
      <c r="C64" s="941" t="s">
        <v>150</v>
      </c>
      <c r="D64" s="31"/>
      <c r="E64" s="31"/>
      <c r="F64" s="31"/>
      <c r="G64" s="31"/>
      <c r="H64" s="1072"/>
      <c r="I64" s="1072"/>
      <c r="N64" s="1899"/>
      <c r="O64" s="940" t="s">
        <v>125</v>
      </c>
      <c r="P64" s="595">
        <v>14</v>
      </c>
      <c r="Q64" s="595">
        <v>11</v>
      </c>
      <c r="R64" s="595">
        <v>10</v>
      </c>
      <c r="S64" s="595">
        <v>17</v>
      </c>
      <c r="T64" s="595">
        <v>8</v>
      </c>
      <c r="U64" s="595">
        <v>10</v>
      </c>
      <c r="V64" s="595">
        <v>5</v>
      </c>
      <c r="X64" s="1063"/>
      <c r="AA64" s="1899"/>
      <c r="AB64" s="940" t="s">
        <v>125</v>
      </c>
      <c r="DK64" s="1899"/>
      <c r="DL64" s="940" t="s">
        <v>125</v>
      </c>
      <c r="DN64" s="977">
        <v>1</v>
      </c>
      <c r="DO64" s="978">
        <v>5</v>
      </c>
      <c r="DP64" s="978">
        <v>15</v>
      </c>
      <c r="DQ64" s="978">
        <v>8</v>
      </c>
      <c r="DR64" s="979">
        <v>20</v>
      </c>
      <c r="DS64" s="961"/>
      <c r="DT64" s="977">
        <v>1</v>
      </c>
      <c r="DU64" s="978">
        <v>5</v>
      </c>
      <c r="DV64" s="978">
        <v>15</v>
      </c>
      <c r="DW64" s="978">
        <v>8</v>
      </c>
      <c r="DX64" s="979">
        <v>20</v>
      </c>
      <c r="DY64" s="961"/>
      <c r="DZ64" s="977">
        <v>1</v>
      </c>
      <c r="EA64" s="978">
        <f t="shared" si="388"/>
        <v>5</v>
      </c>
      <c r="EB64" s="978">
        <f t="shared" si="388"/>
        <v>15</v>
      </c>
      <c r="EC64" s="978">
        <f t="shared" si="388"/>
        <v>7</v>
      </c>
      <c r="ED64" s="979">
        <f t="shared" si="388"/>
        <v>20</v>
      </c>
      <c r="EF64" s="977">
        <f t="shared" si="389"/>
        <v>15</v>
      </c>
      <c r="EG64" s="978">
        <f t="shared" si="332"/>
        <v>18</v>
      </c>
      <c r="EH64" s="978">
        <f t="shared" si="332"/>
        <v>24</v>
      </c>
      <c r="EI64" s="978">
        <f t="shared" si="332"/>
        <v>26</v>
      </c>
      <c r="EJ64" s="978">
        <f t="shared" si="332"/>
        <v>23</v>
      </c>
      <c r="EK64" s="978">
        <f t="shared" si="332"/>
        <v>26</v>
      </c>
      <c r="EL64" s="978">
        <f t="shared" si="332"/>
        <v>22</v>
      </c>
      <c r="EM64" s="978">
        <f t="shared" si="332"/>
        <v>21</v>
      </c>
      <c r="EN64" s="978">
        <f t="shared" si="332"/>
        <v>17.5</v>
      </c>
      <c r="EO64" s="978">
        <f t="shared" si="332"/>
        <v>7</v>
      </c>
      <c r="EP64" s="978">
        <f t="shared" si="332"/>
        <v>6.5</v>
      </c>
      <c r="EQ64" s="979">
        <f t="shared" si="332"/>
        <v>6.5</v>
      </c>
      <c r="ES64" s="977">
        <f t="shared" si="390"/>
        <v>5</v>
      </c>
      <c r="ET64" s="978">
        <f t="shared" si="333"/>
        <v>7</v>
      </c>
      <c r="EU64" s="978">
        <f t="shared" si="334"/>
        <v>7</v>
      </c>
      <c r="EV64" s="978">
        <f t="shared" si="335"/>
        <v>7</v>
      </c>
      <c r="EW64" s="978">
        <f t="shared" si="336"/>
        <v>6</v>
      </c>
      <c r="EX64" s="978">
        <f t="shared" si="337"/>
        <v>5</v>
      </c>
      <c r="EY64" s="978">
        <f t="shared" si="338"/>
        <v>3.5</v>
      </c>
      <c r="EZ64" s="978">
        <f t="shared" si="339"/>
        <v>2</v>
      </c>
      <c r="FA64" s="978">
        <f t="shared" si="340"/>
        <v>4.5</v>
      </c>
      <c r="FB64" s="978">
        <f t="shared" si="341"/>
        <v>7</v>
      </c>
      <c r="FC64" s="978">
        <f t="shared" si="342"/>
        <v>7</v>
      </c>
      <c r="FD64" s="979">
        <f t="shared" si="343"/>
        <v>7</v>
      </c>
      <c r="FF64" s="977">
        <f t="shared" si="391"/>
        <v>7</v>
      </c>
      <c r="FG64" s="978">
        <f t="shared" si="344"/>
        <v>7</v>
      </c>
      <c r="FH64" s="978">
        <f t="shared" si="345"/>
        <v>7</v>
      </c>
      <c r="FI64" s="978">
        <f t="shared" si="346"/>
        <v>7</v>
      </c>
      <c r="FJ64" s="978">
        <f t="shared" si="347"/>
        <v>7</v>
      </c>
      <c r="FK64" s="978">
        <f t="shared" si="348"/>
        <v>7</v>
      </c>
      <c r="FL64" s="978">
        <f t="shared" si="349"/>
        <v>4.5</v>
      </c>
      <c r="FM64" s="978">
        <f t="shared" si="350"/>
        <v>2</v>
      </c>
      <c r="FN64" s="978">
        <f t="shared" si="351"/>
        <v>4.5</v>
      </c>
      <c r="FO64" s="978">
        <f t="shared" si="352"/>
        <v>6</v>
      </c>
      <c r="FP64" s="978">
        <f t="shared" si="353"/>
        <v>5</v>
      </c>
      <c r="FQ64" s="979">
        <f t="shared" si="354"/>
        <v>5</v>
      </c>
      <c r="FS64" s="977">
        <f t="shared" si="392"/>
        <v>5</v>
      </c>
      <c r="FT64" s="978">
        <f t="shared" si="355"/>
        <v>5</v>
      </c>
      <c r="FU64" s="978">
        <f t="shared" si="356"/>
        <v>5</v>
      </c>
      <c r="FV64" s="978">
        <f t="shared" si="357"/>
        <v>5</v>
      </c>
      <c r="FW64" s="978">
        <f t="shared" si="358"/>
        <v>5</v>
      </c>
      <c r="FX64" s="978">
        <f t="shared" si="359"/>
        <v>5</v>
      </c>
      <c r="FY64" s="978">
        <f t="shared" si="360"/>
        <v>3.5</v>
      </c>
      <c r="FZ64" s="978">
        <f t="shared" si="361"/>
        <v>2</v>
      </c>
      <c r="GA64" s="978">
        <f t="shared" si="362"/>
        <v>2</v>
      </c>
      <c r="GB64" s="978">
        <f t="shared" si="363"/>
        <v>2</v>
      </c>
      <c r="GC64" s="978">
        <f t="shared" si="364"/>
        <v>2</v>
      </c>
      <c r="GD64" s="979">
        <f t="shared" si="365"/>
        <v>2</v>
      </c>
      <c r="GF64" s="977">
        <f t="shared" si="393"/>
        <v>2</v>
      </c>
      <c r="GG64" s="978">
        <f t="shared" si="366"/>
        <v>2</v>
      </c>
      <c r="GH64" s="978">
        <f t="shared" si="367"/>
        <v>2</v>
      </c>
      <c r="GI64" s="978">
        <f t="shared" si="368"/>
        <v>2</v>
      </c>
      <c r="GJ64" s="978">
        <f t="shared" si="369"/>
        <v>2</v>
      </c>
      <c r="GK64" s="978">
        <f t="shared" si="370"/>
        <v>2</v>
      </c>
      <c r="GL64" s="978">
        <f t="shared" si="371"/>
        <v>2</v>
      </c>
      <c r="GM64" s="978">
        <f t="shared" si="372"/>
        <v>2</v>
      </c>
      <c r="GN64" s="978">
        <f t="shared" si="373"/>
        <v>2</v>
      </c>
      <c r="GO64" s="978">
        <f t="shared" si="374"/>
        <v>2</v>
      </c>
      <c r="GP64" s="978">
        <f t="shared" si="375"/>
        <v>2</v>
      </c>
      <c r="GQ64" s="979">
        <f t="shared" si="376"/>
        <v>2</v>
      </c>
      <c r="GS64" s="977">
        <f t="shared" si="394"/>
        <v>2</v>
      </c>
      <c r="GT64" s="978">
        <f t="shared" si="377"/>
        <v>2</v>
      </c>
      <c r="GU64" s="978">
        <f t="shared" si="378"/>
        <v>2</v>
      </c>
      <c r="GV64" s="978">
        <f t="shared" si="379"/>
        <v>2</v>
      </c>
      <c r="GW64" s="978">
        <f t="shared" si="380"/>
        <v>2</v>
      </c>
      <c r="GX64" s="978">
        <f t="shared" si="381"/>
        <v>2</v>
      </c>
      <c r="GY64" s="978">
        <f t="shared" si="382"/>
        <v>2</v>
      </c>
      <c r="GZ64" s="978">
        <f t="shared" si="383"/>
        <v>2</v>
      </c>
      <c r="HA64" s="978">
        <f t="shared" si="384"/>
        <v>2</v>
      </c>
      <c r="HB64" s="978">
        <f t="shared" si="385"/>
        <v>2</v>
      </c>
      <c r="HC64" s="978">
        <f t="shared" si="386"/>
        <v>2</v>
      </c>
      <c r="HD64" s="979">
        <f t="shared" si="387"/>
        <v>2</v>
      </c>
    </row>
    <row r="65" spans="2:212" ht="14.25" customHeight="1">
      <c r="C65" s="941"/>
      <c r="D65" s="31"/>
      <c r="E65" s="31"/>
      <c r="F65" s="31"/>
      <c r="G65" s="31"/>
      <c r="H65" s="1072"/>
      <c r="I65" s="1072"/>
      <c r="N65" s="1899"/>
      <c r="O65" s="940" t="s">
        <v>126</v>
      </c>
      <c r="P65" s="595">
        <v>9</v>
      </c>
      <c r="Q65" s="595">
        <v>13</v>
      </c>
      <c r="R65" s="595">
        <v>11</v>
      </c>
      <c r="S65" s="595">
        <v>10</v>
      </c>
      <c r="T65" s="595">
        <v>16</v>
      </c>
      <c r="U65" s="595">
        <v>8</v>
      </c>
      <c r="V65" s="595">
        <v>10</v>
      </c>
      <c r="X65" s="1063"/>
      <c r="AA65" s="1899"/>
      <c r="AB65" s="940" t="s">
        <v>126</v>
      </c>
      <c r="DK65" s="1899"/>
      <c r="DL65" s="940" t="s">
        <v>126</v>
      </c>
      <c r="DN65" s="977">
        <v>5</v>
      </c>
      <c r="DO65" s="978">
        <v>1</v>
      </c>
      <c r="DP65" s="978">
        <v>5</v>
      </c>
      <c r="DQ65" s="978">
        <v>15</v>
      </c>
      <c r="DR65" s="979">
        <v>8</v>
      </c>
      <c r="DS65" s="961"/>
      <c r="DT65" s="977">
        <v>5</v>
      </c>
      <c r="DU65" s="978">
        <v>1</v>
      </c>
      <c r="DV65" s="978">
        <v>5</v>
      </c>
      <c r="DW65" s="978">
        <v>15</v>
      </c>
      <c r="DX65" s="979">
        <v>8</v>
      </c>
      <c r="DY65" s="961"/>
      <c r="DZ65" s="977">
        <v>5</v>
      </c>
      <c r="EA65" s="978">
        <f t="shared" si="388"/>
        <v>1</v>
      </c>
      <c r="EB65" s="978">
        <f t="shared" si="388"/>
        <v>5</v>
      </c>
      <c r="EC65" s="978">
        <f t="shared" si="388"/>
        <v>15</v>
      </c>
      <c r="ED65" s="979">
        <f t="shared" si="388"/>
        <v>7</v>
      </c>
      <c r="EF65" s="977">
        <f t="shared" si="389"/>
        <v>20</v>
      </c>
      <c r="EG65" s="978">
        <f t="shared" si="332"/>
        <v>15</v>
      </c>
      <c r="EH65" s="978">
        <f t="shared" si="332"/>
        <v>18</v>
      </c>
      <c r="EI65" s="978">
        <f t="shared" si="332"/>
        <v>24</v>
      </c>
      <c r="EJ65" s="978">
        <f t="shared" si="332"/>
        <v>26</v>
      </c>
      <c r="EK65" s="978">
        <f t="shared" si="332"/>
        <v>23</v>
      </c>
      <c r="EL65" s="978">
        <f t="shared" si="332"/>
        <v>26</v>
      </c>
      <c r="EM65" s="978">
        <f t="shared" si="332"/>
        <v>22</v>
      </c>
      <c r="EN65" s="978">
        <f t="shared" si="332"/>
        <v>21</v>
      </c>
      <c r="EO65" s="978">
        <f t="shared" si="332"/>
        <v>17.5</v>
      </c>
      <c r="EP65" s="978">
        <f t="shared" si="332"/>
        <v>7</v>
      </c>
      <c r="EQ65" s="979">
        <f t="shared" si="332"/>
        <v>6.5</v>
      </c>
      <c r="ES65" s="977">
        <f t="shared" si="390"/>
        <v>6.5</v>
      </c>
      <c r="ET65" s="978">
        <f t="shared" si="333"/>
        <v>5</v>
      </c>
      <c r="EU65" s="978">
        <f t="shared" si="334"/>
        <v>7</v>
      </c>
      <c r="EV65" s="978">
        <f t="shared" si="335"/>
        <v>7</v>
      </c>
      <c r="EW65" s="978">
        <f t="shared" si="336"/>
        <v>7</v>
      </c>
      <c r="EX65" s="978">
        <f t="shared" si="337"/>
        <v>6</v>
      </c>
      <c r="EY65" s="978">
        <f t="shared" si="338"/>
        <v>5</v>
      </c>
      <c r="EZ65" s="978">
        <f t="shared" si="339"/>
        <v>3.5</v>
      </c>
      <c r="FA65" s="978">
        <f t="shared" si="340"/>
        <v>2</v>
      </c>
      <c r="FB65" s="978">
        <f t="shared" si="341"/>
        <v>4.5</v>
      </c>
      <c r="FC65" s="978">
        <f t="shared" si="342"/>
        <v>7</v>
      </c>
      <c r="FD65" s="979">
        <f t="shared" si="343"/>
        <v>7</v>
      </c>
      <c r="FF65" s="977">
        <f t="shared" si="391"/>
        <v>7</v>
      </c>
      <c r="FG65" s="978">
        <f t="shared" si="344"/>
        <v>7</v>
      </c>
      <c r="FH65" s="978">
        <f t="shared" si="345"/>
        <v>7</v>
      </c>
      <c r="FI65" s="978">
        <f t="shared" si="346"/>
        <v>7</v>
      </c>
      <c r="FJ65" s="978">
        <f t="shared" si="347"/>
        <v>7</v>
      </c>
      <c r="FK65" s="978">
        <f t="shared" si="348"/>
        <v>7</v>
      </c>
      <c r="FL65" s="978">
        <f t="shared" si="349"/>
        <v>7</v>
      </c>
      <c r="FM65" s="978">
        <f t="shared" si="350"/>
        <v>4.5</v>
      </c>
      <c r="FN65" s="978">
        <f t="shared" si="351"/>
        <v>2</v>
      </c>
      <c r="FO65" s="978">
        <f t="shared" si="352"/>
        <v>4.5</v>
      </c>
      <c r="FP65" s="978">
        <f t="shared" si="353"/>
        <v>6</v>
      </c>
      <c r="FQ65" s="979">
        <f t="shared" si="354"/>
        <v>5</v>
      </c>
      <c r="FS65" s="977">
        <f t="shared" si="392"/>
        <v>5</v>
      </c>
      <c r="FT65" s="978">
        <f t="shared" si="355"/>
        <v>5</v>
      </c>
      <c r="FU65" s="978">
        <f t="shared" si="356"/>
        <v>5</v>
      </c>
      <c r="FV65" s="978">
        <f t="shared" si="357"/>
        <v>5</v>
      </c>
      <c r="FW65" s="978">
        <f t="shared" si="358"/>
        <v>5</v>
      </c>
      <c r="FX65" s="978">
        <f t="shared" si="359"/>
        <v>5</v>
      </c>
      <c r="FY65" s="978">
        <f t="shared" si="360"/>
        <v>5</v>
      </c>
      <c r="FZ65" s="978">
        <f t="shared" si="361"/>
        <v>3.5</v>
      </c>
      <c r="GA65" s="978">
        <f t="shared" si="362"/>
        <v>2</v>
      </c>
      <c r="GB65" s="978">
        <f t="shared" si="363"/>
        <v>2</v>
      </c>
      <c r="GC65" s="978">
        <f t="shared" si="364"/>
        <v>2</v>
      </c>
      <c r="GD65" s="979">
        <f t="shared" si="365"/>
        <v>2</v>
      </c>
      <c r="GF65" s="977">
        <f t="shared" si="393"/>
        <v>2</v>
      </c>
      <c r="GG65" s="978">
        <f t="shared" si="366"/>
        <v>2</v>
      </c>
      <c r="GH65" s="978">
        <f t="shared" si="367"/>
        <v>2</v>
      </c>
      <c r="GI65" s="978">
        <f t="shared" si="368"/>
        <v>2</v>
      </c>
      <c r="GJ65" s="978">
        <f t="shared" si="369"/>
        <v>2</v>
      </c>
      <c r="GK65" s="978">
        <f t="shared" si="370"/>
        <v>2</v>
      </c>
      <c r="GL65" s="978">
        <f t="shared" si="371"/>
        <v>2</v>
      </c>
      <c r="GM65" s="978">
        <f t="shared" si="372"/>
        <v>2</v>
      </c>
      <c r="GN65" s="978">
        <f t="shared" si="373"/>
        <v>2</v>
      </c>
      <c r="GO65" s="978">
        <f t="shared" si="374"/>
        <v>2</v>
      </c>
      <c r="GP65" s="978">
        <f t="shared" si="375"/>
        <v>2</v>
      </c>
      <c r="GQ65" s="979">
        <f t="shared" si="376"/>
        <v>2</v>
      </c>
      <c r="GS65" s="977">
        <f t="shared" si="394"/>
        <v>2</v>
      </c>
      <c r="GT65" s="978">
        <f t="shared" si="377"/>
        <v>2</v>
      </c>
      <c r="GU65" s="978">
        <f t="shared" si="378"/>
        <v>2</v>
      </c>
      <c r="GV65" s="978">
        <f t="shared" si="379"/>
        <v>2</v>
      </c>
      <c r="GW65" s="978">
        <f t="shared" si="380"/>
        <v>2</v>
      </c>
      <c r="GX65" s="978">
        <f t="shared" si="381"/>
        <v>2</v>
      </c>
      <c r="GY65" s="978">
        <f t="shared" si="382"/>
        <v>2</v>
      </c>
      <c r="GZ65" s="978">
        <f t="shared" si="383"/>
        <v>2</v>
      </c>
      <c r="HA65" s="978">
        <f t="shared" si="384"/>
        <v>2</v>
      </c>
      <c r="HB65" s="978">
        <f t="shared" si="385"/>
        <v>2</v>
      </c>
      <c r="HC65" s="978">
        <f t="shared" si="386"/>
        <v>2</v>
      </c>
      <c r="HD65" s="979">
        <f t="shared" si="387"/>
        <v>2</v>
      </c>
    </row>
    <row r="66" spans="2:212" ht="14.25">
      <c r="B66" s="929" t="s">
        <v>151</v>
      </c>
      <c r="C66" s="31"/>
      <c r="D66" s="31"/>
      <c r="E66" s="31"/>
      <c r="F66" s="31"/>
      <c r="G66" s="31"/>
      <c r="H66" s="1072"/>
      <c r="I66" s="1072"/>
      <c r="N66" s="1899"/>
      <c r="O66" s="940" t="s">
        <v>127</v>
      </c>
      <c r="P66" s="595">
        <v>19</v>
      </c>
      <c r="Q66" s="595">
        <v>9</v>
      </c>
      <c r="R66" s="595">
        <v>13</v>
      </c>
      <c r="S66" s="595">
        <v>11</v>
      </c>
      <c r="T66" s="595">
        <v>10</v>
      </c>
      <c r="U66" s="595">
        <v>15</v>
      </c>
      <c r="V66" s="595">
        <v>8</v>
      </c>
      <c r="X66" s="1063"/>
      <c r="Y66" s="595">
        <f>368+90</f>
        <v>458</v>
      </c>
      <c r="AA66" s="1899"/>
      <c r="AB66" s="940" t="s">
        <v>127</v>
      </c>
      <c r="DK66" s="1899"/>
      <c r="DL66" s="940" t="s">
        <v>127</v>
      </c>
      <c r="DN66" s="977">
        <v>10</v>
      </c>
      <c r="DO66" s="978">
        <v>6</v>
      </c>
      <c r="DP66" s="978">
        <v>1</v>
      </c>
      <c r="DQ66" s="978">
        <v>5</v>
      </c>
      <c r="DR66" s="979">
        <v>15</v>
      </c>
      <c r="DS66" s="961"/>
      <c r="DT66" s="977">
        <v>10</v>
      </c>
      <c r="DU66" s="978">
        <v>6</v>
      </c>
      <c r="DV66" s="978">
        <v>1</v>
      </c>
      <c r="DW66" s="978">
        <v>5</v>
      </c>
      <c r="DX66" s="979">
        <v>15</v>
      </c>
      <c r="DY66" s="961"/>
      <c r="DZ66" s="977">
        <v>10</v>
      </c>
      <c r="EA66" s="978">
        <f t="shared" si="388"/>
        <v>5</v>
      </c>
      <c r="EB66" s="978">
        <f t="shared" si="388"/>
        <v>1</v>
      </c>
      <c r="EC66" s="978">
        <f t="shared" si="388"/>
        <v>5</v>
      </c>
      <c r="ED66" s="979">
        <f t="shared" si="388"/>
        <v>15</v>
      </c>
      <c r="EF66" s="977">
        <f t="shared" si="389"/>
        <v>7</v>
      </c>
      <c r="EG66" s="978">
        <f t="shared" si="332"/>
        <v>20</v>
      </c>
      <c r="EH66" s="978">
        <f t="shared" si="332"/>
        <v>15</v>
      </c>
      <c r="EI66" s="978">
        <f t="shared" si="332"/>
        <v>18</v>
      </c>
      <c r="EJ66" s="978">
        <f t="shared" si="332"/>
        <v>24</v>
      </c>
      <c r="EK66" s="978">
        <f t="shared" si="332"/>
        <v>26</v>
      </c>
      <c r="EL66" s="978">
        <f t="shared" si="332"/>
        <v>23</v>
      </c>
      <c r="EM66" s="978">
        <f t="shared" si="332"/>
        <v>26</v>
      </c>
      <c r="EN66" s="978">
        <f t="shared" si="332"/>
        <v>22</v>
      </c>
      <c r="EO66" s="978">
        <f t="shared" si="332"/>
        <v>21</v>
      </c>
      <c r="EP66" s="978">
        <f t="shared" si="332"/>
        <v>17.5</v>
      </c>
      <c r="EQ66" s="979">
        <f t="shared" si="332"/>
        <v>7</v>
      </c>
      <c r="ES66" s="977">
        <f t="shared" si="390"/>
        <v>6.5</v>
      </c>
      <c r="ET66" s="978">
        <f t="shared" si="333"/>
        <v>6.5</v>
      </c>
      <c r="EU66" s="978">
        <f t="shared" si="334"/>
        <v>5</v>
      </c>
      <c r="EV66" s="978">
        <f t="shared" si="335"/>
        <v>7</v>
      </c>
      <c r="EW66" s="978">
        <f t="shared" si="336"/>
        <v>7</v>
      </c>
      <c r="EX66" s="978">
        <f t="shared" si="337"/>
        <v>7</v>
      </c>
      <c r="EY66" s="978">
        <f t="shared" si="338"/>
        <v>6</v>
      </c>
      <c r="EZ66" s="978">
        <f t="shared" si="339"/>
        <v>5</v>
      </c>
      <c r="FA66" s="978">
        <f t="shared" si="340"/>
        <v>3.5</v>
      </c>
      <c r="FB66" s="978">
        <f t="shared" si="341"/>
        <v>2</v>
      </c>
      <c r="FC66" s="978">
        <f t="shared" si="342"/>
        <v>4.5</v>
      </c>
      <c r="FD66" s="979">
        <f t="shared" si="343"/>
        <v>7</v>
      </c>
      <c r="FF66" s="977">
        <f t="shared" si="391"/>
        <v>7</v>
      </c>
      <c r="FG66" s="978">
        <f t="shared" si="344"/>
        <v>7</v>
      </c>
      <c r="FH66" s="978">
        <f t="shared" si="345"/>
        <v>7</v>
      </c>
      <c r="FI66" s="978">
        <f t="shared" si="346"/>
        <v>7</v>
      </c>
      <c r="FJ66" s="978">
        <f t="shared" si="347"/>
        <v>7</v>
      </c>
      <c r="FK66" s="978">
        <f t="shared" si="348"/>
        <v>7</v>
      </c>
      <c r="FL66" s="978">
        <f t="shared" si="349"/>
        <v>7</v>
      </c>
      <c r="FM66" s="978">
        <f t="shared" si="350"/>
        <v>7</v>
      </c>
      <c r="FN66" s="978">
        <f t="shared" si="351"/>
        <v>4.5</v>
      </c>
      <c r="FO66" s="978">
        <f t="shared" si="352"/>
        <v>2</v>
      </c>
      <c r="FP66" s="978">
        <f t="shared" si="353"/>
        <v>4.5</v>
      </c>
      <c r="FQ66" s="979">
        <f t="shared" si="354"/>
        <v>6</v>
      </c>
      <c r="FS66" s="977">
        <f t="shared" si="392"/>
        <v>5</v>
      </c>
      <c r="FT66" s="978">
        <f t="shared" si="355"/>
        <v>5</v>
      </c>
      <c r="FU66" s="978">
        <f t="shared" si="356"/>
        <v>5</v>
      </c>
      <c r="FV66" s="978">
        <f t="shared" si="357"/>
        <v>5</v>
      </c>
      <c r="FW66" s="978">
        <f t="shared" si="358"/>
        <v>5</v>
      </c>
      <c r="FX66" s="978">
        <f t="shared" si="359"/>
        <v>5</v>
      </c>
      <c r="FY66" s="978">
        <f t="shared" si="360"/>
        <v>5</v>
      </c>
      <c r="FZ66" s="978">
        <f t="shared" si="361"/>
        <v>5</v>
      </c>
      <c r="GA66" s="978">
        <f t="shared" si="362"/>
        <v>3.5</v>
      </c>
      <c r="GB66" s="978">
        <f t="shared" si="363"/>
        <v>2</v>
      </c>
      <c r="GC66" s="978">
        <f t="shared" si="364"/>
        <v>2</v>
      </c>
      <c r="GD66" s="979">
        <f t="shared" si="365"/>
        <v>2</v>
      </c>
      <c r="GF66" s="977">
        <f t="shared" si="393"/>
        <v>2</v>
      </c>
      <c r="GG66" s="978">
        <f t="shared" si="366"/>
        <v>2</v>
      </c>
      <c r="GH66" s="978">
        <f t="shared" si="367"/>
        <v>2</v>
      </c>
      <c r="GI66" s="978">
        <f t="shared" si="368"/>
        <v>2</v>
      </c>
      <c r="GJ66" s="978">
        <f t="shared" si="369"/>
        <v>2</v>
      </c>
      <c r="GK66" s="978">
        <f t="shared" si="370"/>
        <v>2</v>
      </c>
      <c r="GL66" s="978">
        <f t="shared" si="371"/>
        <v>2</v>
      </c>
      <c r="GM66" s="978">
        <f t="shared" si="372"/>
        <v>2</v>
      </c>
      <c r="GN66" s="978">
        <f t="shared" si="373"/>
        <v>2</v>
      </c>
      <c r="GO66" s="978">
        <f t="shared" si="374"/>
        <v>2</v>
      </c>
      <c r="GP66" s="978">
        <f t="shared" si="375"/>
        <v>2</v>
      </c>
      <c r="GQ66" s="979">
        <f t="shared" si="376"/>
        <v>2</v>
      </c>
      <c r="GS66" s="977">
        <f t="shared" si="394"/>
        <v>2</v>
      </c>
      <c r="GT66" s="978">
        <f t="shared" si="377"/>
        <v>2</v>
      </c>
      <c r="GU66" s="978">
        <f t="shared" si="378"/>
        <v>2</v>
      </c>
      <c r="GV66" s="978">
        <f t="shared" si="379"/>
        <v>2</v>
      </c>
      <c r="GW66" s="978">
        <f t="shared" si="380"/>
        <v>2</v>
      </c>
      <c r="GX66" s="978">
        <f t="shared" si="381"/>
        <v>2</v>
      </c>
      <c r="GY66" s="978">
        <f t="shared" si="382"/>
        <v>2</v>
      </c>
      <c r="GZ66" s="978">
        <f t="shared" si="383"/>
        <v>2</v>
      </c>
      <c r="HA66" s="978">
        <f t="shared" si="384"/>
        <v>2</v>
      </c>
      <c r="HB66" s="978">
        <f t="shared" si="385"/>
        <v>2</v>
      </c>
      <c r="HC66" s="978">
        <f t="shared" si="386"/>
        <v>2</v>
      </c>
      <c r="HD66" s="979">
        <f t="shared" si="387"/>
        <v>2</v>
      </c>
    </row>
    <row r="67" spans="2:212" ht="14.25">
      <c r="B67" s="1073" t="s">
        <v>152</v>
      </c>
      <c r="C67" s="217"/>
      <c r="D67" s="217"/>
      <c r="E67" s="31"/>
      <c r="F67" s="31"/>
      <c r="G67" s="31"/>
      <c r="H67" s="1072"/>
      <c r="I67" s="1072"/>
      <c r="N67" s="1030"/>
      <c r="O67" s="940" t="s">
        <v>1061</v>
      </c>
      <c r="X67" s="1063"/>
      <c r="AA67" s="1030"/>
      <c r="AB67" s="940" t="s">
        <v>1061</v>
      </c>
      <c r="DK67" s="1431"/>
      <c r="DL67" s="940" t="s">
        <v>1061</v>
      </c>
      <c r="DN67" s="977"/>
      <c r="DO67" s="978"/>
      <c r="DP67" s="978"/>
      <c r="DQ67" s="978"/>
      <c r="DR67" s="979"/>
      <c r="DT67" s="977"/>
      <c r="DU67" s="978"/>
      <c r="DV67" s="978"/>
      <c r="DW67" s="978"/>
      <c r="DX67" s="979"/>
      <c r="DZ67" s="977"/>
      <c r="EA67" s="978"/>
      <c r="EB67" s="978"/>
      <c r="EC67" s="978"/>
      <c r="ED67" s="979"/>
      <c r="EF67" s="977"/>
      <c r="EG67" s="978"/>
      <c r="EH67" s="978"/>
      <c r="EI67" s="978"/>
      <c r="EJ67" s="978"/>
      <c r="EK67" s="978"/>
      <c r="EL67" s="978"/>
      <c r="EM67" s="978"/>
      <c r="EN67" s="978"/>
      <c r="EO67" s="978"/>
      <c r="EP67" s="978"/>
      <c r="EQ67" s="979"/>
      <c r="ES67" s="977"/>
      <c r="ET67" s="978"/>
      <c r="EU67" s="978"/>
      <c r="EV67" s="978"/>
      <c r="EW67" s="978"/>
      <c r="EX67" s="978"/>
      <c r="EY67" s="978"/>
      <c r="EZ67" s="978"/>
      <c r="FA67" s="978"/>
      <c r="FB67" s="978"/>
      <c r="FC67" s="978"/>
      <c r="FD67" s="979"/>
      <c r="FF67" s="977"/>
      <c r="FG67" s="978"/>
      <c r="FH67" s="978"/>
      <c r="FI67" s="978"/>
      <c r="FJ67" s="978"/>
      <c r="FK67" s="978"/>
      <c r="FL67" s="978"/>
      <c r="FM67" s="978"/>
      <c r="FN67" s="978"/>
      <c r="FO67" s="978"/>
      <c r="FP67" s="978"/>
      <c r="FQ67" s="979"/>
      <c r="FS67" s="977"/>
      <c r="FT67" s="978"/>
      <c r="FU67" s="978"/>
      <c r="FV67" s="978"/>
      <c r="FW67" s="978"/>
      <c r="FX67" s="978"/>
      <c r="FY67" s="978"/>
      <c r="FZ67" s="978"/>
      <c r="GA67" s="978"/>
      <c r="GB67" s="978"/>
      <c r="GC67" s="978"/>
      <c r="GD67" s="979"/>
      <c r="GF67" s="977"/>
      <c r="GG67" s="978"/>
      <c r="GH67" s="978"/>
      <c r="GI67" s="978"/>
      <c r="GJ67" s="978"/>
      <c r="GK67" s="978"/>
      <c r="GL67" s="978"/>
      <c r="GM67" s="978"/>
      <c r="GN67" s="978"/>
      <c r="GO67" s="978"/>
      <c r="GP67" s="978"/>
      <c r="GQ67" s="979"/>
      <c r="GS67" s="977"/>
      <c r="GT67" s="978"/>
      <c r="GU67" s="978"/>
      <c r="GV67" s="978"/>
      <c r="GW67" s="978"/>
      <c r="GX67" s="978"/>
      <c r="GY67" s="978"/>
      <c r="GZ67" s="978"/>
      <c r="HA67" s="978"/>
      <c r="HB67" s="978"/>
      <c r="HC67" s="978"/>
      <c r="HD67" s="979"/>
    </row>
    <row r="68" spans="2:212" ht="15">
      <c r="B68" s="1073" t="s">
        <v>1077</v>
      </c>
      <c r="C68" s="1074"/>
      <c r="D68" s="1074"/>
      <c r="E68" s="1075"/>
      <c r="F68" s="1076"/>
      <c r="G68" s="1077"/>
      <c r="H68" s="1075"/>
      <c r="I68" s="1075"/>
      <c r="O68" s="940"/>
      <c r="X68" s="1063"/>
      <c r="AB68" s="940"/>
      <c r="AK68" s="939">
        <v>1</v>
      </c>
      <c r="AL68" s="939">
        <v>1.1000000000000001</v>
      </c>
      <c r="AM68" s="939">
        <v>1</v>
      </c>
      <c r="AN68" s="939">
        <v>1.1000000000000001</v>
      </c>
      <c r="AO68" s="939">
        <v>1.1000000000000001</v>
      </c>
      <c r="AP68" s="939">
        <v>1</v>
      </c>
      <c r="AQ68" s="939">
        <v>0.9</v>
      </c>
      <c r="AR68" s="939">
        <v>1</v>
      </c>
      <c r="AS68" s="939">
        <v>1</v>
      </c>
      <c r="AT68" s="939">
        <v>1.1000000000000001</v>
      </c>
      <c r="AU68" s="939">
        <v>1.1000000000000001</v>
      </c>
      <c r="AV68" s="939">
        <v>1</v>
      </c>
      <c r="AW68" s="939">
        <v>1.1000000000000001</v>
      </c>
      <c r="AX68" s="939">
        <v>1.1000000000000001</v>
      </c>
      <c r="AY68" s="939">
        <v>1</v>
      </c>
      <c r="AZ68" s="939">
        <v>1.1000000000000001</v>
      </c>
      <c r="BA68" s="939">
        <v>1.1000000000000001</v>
      </c>
      <c r="BB68" s="939">
        <v>1</v>
      </c>
      <c r="BC68" s="939">
        <v>0.9</v>
      </c>
      <c r="BD68" s="939">
        <v>1</v>
      </c>
      <c r="BE68" s="939">
        <v>1</v>
      </c>
      <c r="BF68" s="939">
        <v>1.1000000000000001</v>
      </c>
      <c r="BG68" s="939">
        <v>1.1000000000000001</v>
      </c>
      <c r="BH68" s="939">
        <v>1</v>
      </c>
      <c r="BI68" s="939">
        <v>1.1000000000000001</v>
      </c>
      <c r="BJ68" s="939">
        <v>1.1000000000000001</v>
      </c>
      <c r="BK68" s="939">
        <v>1</v>
      </c>
      <c r="BL68" s="939">
        <v>1.1000000000000001</v>
      </c>
      <c r="BM68" s="939">
        <v>1.1000000000000001</v>
      </c>
      <c r="BN68" s="939">
        <v>1</v>
      </c>
      <c r="BO68" s="939">
        <v>0.9</v>
      </c>
      <c r="BP68" s="939">
        <v>1</v>
      </c>
      <c r="BQ68" s="939">
        <v>1</v>
      </c>
      <c r="BR68" s="939">
        <v>1.1000000000000001</v>
      </c>
      <c r="BS68" s="939">
        <v>1.1000000000000001</v>
      </c>
      <c r="BT68" s="939">
        <v>1</v>
      </c>
      <c r="BU68" s="939">
        <v>1.1000000000000001</v>
      </c>
      <c r="BV68" s="939">
        <v>1.1000000000000001</v>
      </c>
      <c r="BW68" s="939">
        <v>1</v>
      </c>
      <c r="BX68" s="939">
        <v>1.1000000000000001</v>
      </c>
      <c r="BY68" s="939">
        <v>1.1000000000000001</v>
      </c>
      <c r="BZ68" s="939">
        <v>1</v>
      </c>
      <c r="CA68" s="939">
        <v>0.9</v>
      </c>
      <c r="CB68" s="939">
        <v>1</v>
      </c>
      <c r="CC68" s="939">
        <v>1</v>
      </c>
      <c r="CD68" s="939">
        <v>1.1000000000000001</v>
      </c>
      <c r="CE68" s="939">
        <v>1.1000000000000001</v>
      </c>
      <c r="CF68" s="939">
        <v>1</v>
      </c>
      <c r="CG68" s="939">
        <v>1.1000000000000001</v>
      </c>
      <c r="CH68" s="939">
        <v>1.1000000000000001</v>
      </c>
      <c r="CI68" s="939">
        <v>1</v>
      </c>
      <c r="CJ68" s="939">
        <v>1.1000000000000001</v>
      </c>
      <c r="CK68" s="939">
        <v>1.1000000000000001</v>
      </c>
      <c r="CL68" s="939">
        <v>1</v>
      </c>
      <c r="CM68" s="939">
        <v>0.9</v>
      </c>
      <c r="CN68" s="939">
        <v>1</v>
      </c>
      <c r="CO68" s="939">
        <v>1</v>
      </c>
      <c r="CP68" s="939">
        <v>1.1000000000000001</v>
      </c>
      <c r="CQ68" s="939">
        <v>1.1000000000000001</v>
      </c>
      <c r="CR68" s="939">
        <v>1</v>
      </c>
      <c r="CS68" s="939">
        <v>1.1000000000000001</v>
      </c>
      <c r="CT68" s="939">
        <v>1.1000000000000001</v>
      </c>
      <c r="CU68" s="939">
        <v>1</v>
      </c>
      <c r="CV68" s="939">
        <v>1.1000000000000001</v>
      </c>
      <c r="CW68" s="939">
        <v>1.1000000000000001</v>
      </c>
      <c r="CX68" s="939">
        <v>1</v>
      </c>
      <c r="CY68" s="939">
        <v>0.9</v>
      </c>
      <c r="CZ68" s="939">
        <v>1</v>
      </c>
      <c r="DA68" s="939">
        <v>1</v>
      </c>
      <c r="DB68" s="939">
        <v>1.1000000000000001</v>
      </c>
      <c r="DC68" s="939">
        <v>1.1000000000000001</v>
      </c>
      <c r="DD68" s="939">
        <v>1</v>
      </c>
      <c r="DE68" s="939">
        <v>1.1000000000000001</v>
      </c>
      <c r="DF68" s="939">
        <v>1.1000000000000001</v>
      </c>
      <c r="DG68" s="939">
        <v>1</v>
      </c>
      <c r="DH68" s="939">
        <v>1.1000000000000001</v>
      </c>
      <c r="DI68" s="939">
        <v>1.1000000000000001</v>
      </c>
      <c r="DL68" s="940"/>
      <c r="DN68" s="977"/>
      <c r="DO68" s="978"/>
      <c r="DP68" s="978"/>
      <c r="DQ68" s="978"/>
      <c r="DR68" s="979"/>
      <c r="DT68" s="977"/>
      <c r="DU68" s="978"/>
      <c r="DV68" s="978"/>
      <c r="DW68" s="978"/>
      <c r="DX68" s="979"/>
      <c r="DZ68" s="977"/>
      <c r="EA68" s="978"/>
      <c r="EB68" s="978"/>
      <c r="EC68" s="978"/>
      <c r="ED68" s="979"/>
      <c r="EF68" s="977"/>
      <c r="EG68" s="978"/>
      <c r="EH68" s="978"/>
      <c r="EI68" s="978"/>
      <c r="EJ68" s="978"/>
      <c r="EK68" s="978"/>
      <c r="EL68" s="978"/>
      <c r="EM68" s="978"/>
      <c r="EN68" s="978"/>
      <c r="EO68" s="978"/>
      <c r="EP68" s="978"/>
      <c r="EQ68" s="979"/>
      <c r="ES68" s="977"/>
      <c r="ET68" s="978"/>
      <c r="EU68" s="978"/>
      <c r="EV68" s="978"/>
      <c r="EW68" s="978"/>
      <c r="EX68" s="978"/>
      <c r="EY68" s="978"/>
      <c r="EZ68" s="978"/>
      <c r="FA68" s="978"/>
      <c r="FB68" s="978"/>
      <c r="FC68" s="978"/>
      <c r="FD68" s="979"/>
      <c r="FF68" s="977"/>
      <c r="FG68" s="978"/>
      <c r="FH68" s="978"/>
      <c r="FI68" s="978"/>
      <c r="FJ68" s="978"/>
      <c r="FK68" s="978"/>
      <c r="FL68" s="978"/>
      <c r="FM68" s="978"/>
      <c r="FN68" s="978"/>
      <c r="FO68" s="978"/>
      <c r="FP68" s="978"/>
      <c r="FQ68" s="979"/>
      <c r="FS68" s="977"/>
      <c r="FT68" s="978"/>
      <c r="FU68" s="978"/>
      <c r="FV68" s="978"/>
      <c r="FW68" s="978"/>
      <c r="FX68" s="978"/>
      <c r="FY68" s="978"/>
      <c r="FZ68" s="978"/>
      <c r="GA68" s="978"/>
      <c r="GB68" s="978"/>
      <c r="GC68" s="978"/>
      <c r="GD68" s="979"/>
      <c r="GF68" s="977"/>
      <c r="GG68" s="978"/>
      <c r="GH68" s="978"/>
      <c r="GI68" s="978"/>
      <c r="GJ68" s="978"/>
      <c r="GK68" s="978"/>
      <c r="GL68" s="978"/>
      <c r="GM68" s="978"/>
      <c r="GN68" s="978"/>
      <c r="GO68" s="978"/>
      <c r="GP68" s="978"/>
      <c r="GQ68" s="979"/>
      <c r="GS68" s="977"/>
      <c r="GT68" s="978"/>
      <c r="GU68" s="978"/>
      <c r="GV68" s="978"/>
      <c r="GW68" s="978"/>
      <c r="GX68" s="978"/>
      <c r="GY68" s="978"/>
      <c r="GZ68" s="978"/>
      <c r="HA68" s="978"/>
      <c r="HB68" s="978"/>
      <c r="HC68" s="978"/>
      <c r="HD68" s="979"/>
    </row>
    <row r="69" spans="2:212" ht="14.25" customHeight="1">
      <c r="B69" s="941" t="s">
        <v>154</v>
      </c>
      <c r="C69" s="31"/>
      <c r="D69" s="31"/>
      <c r="E69" s="32"/>
      <c r="F69" s="31"/>
      <c r="G69" s="31"/>
      <c r="H69" s="1072"/>
      <c r="I69" s="1072"/>
      <c r="N69" s="1899" t="s">
        <v>1043</v>
      </c>
      <c r="O69" s="940" t="s">
        <v>119</v>
      </c>
      <c r="P69" s="595">
        <v>4</v>
      </c>
      <c r="Q69" s="595">
        <v>0</v>
      </c>
      <c r="R69" s="595">
        <v>5</v>
      </c>
      <c r="S69" s="595">
        <v>9</v>
      </c>
      <c r="T69" s="595">
        <v>7</v>
      </c>
      <c r="U69" s="595">
        <v>18</v>
      </c>
      <c r="V69" s="595">
        <v>9</v>
      </c>
      <c r="X69" s="1063"/>
      <c r="AA69" s="1899" t="s">
        <v>1043</v>
      </c>
      <c r="AB69" s="940" t="s">
        <v>119</v>
      </c>
      <c r="AC69" s="599">
        <f t="shared" ref="AC69:AI77" si="395">P69/P58</f>
        <v>0.5714285714285714</v>
      </c>
      <c r="AD69" s="599">
        <f t="shared" si="395"/>
        <v>0</v>
      </c>
      <c r="AE69" s="599">
        <f t="shared" si="395"/>
        <v>1</v>
      </c>
      <c r="AF69" s="599">
        <f t="shared" si="395"/>
        <v>0.5625</v>
      </c>
      <c r="AG69" s="599">
        <f t="shared" si="395"/>
        <v>0.875</v>
      </c>
      <c r="AH69" s="599">
        <f t="shared" si="395"/>
        <v>0.9</v>
      </c>
      <c r="AI69" s="599">
        <f t="shared" si="395"/>
        <v>0.6</v>
      </c>
      <c r="AJ69" s="935">
        <f t="shared" ref="AJ69:AJ77" si="396">AVERAGE(AC69:AI69)</f>
        <v>0.64413265306122447</v>
      </c>
      <c r="AK69" s="935">
        <f t="shared" ref="AK69:AK77" si="397">AJ69*$AK$68</f>
        <v>0.64413265306122447</v>
      </c>
      <c r="AL69" s="935">
        <f>AK69*$AL$68</f>
        <v>0.70854591836734693</v>
      </c>
      <c r="AM69" s="935">
        <f t="shared" ref="AM69:AM77" si="398">AL69*$AM$68</f>
        <v>0.70854591836734693</v>
      </c>
      <c r="AN69" s="935">
        <f t="shared" ref="AN69:AN77" si="399">AM69*$AN$68</f>
        <v>0.77940051020408163</v>
      </c>
      <c r="AO69" s="935">
        <f t="shared" ref="AO69:AO77" si="400">AN69*$AO$68</f>
        <v>0.85734056122448987</v>
      </c>
      <c r="AP69" s="1036">
        <v>0.6</v>
      </c>
      <c r="AQ69" s="1036">
        <f>AP69*AQ$68</f>
        <v>0.54</v>
      </c>
      <c r="AR69" s="1036">
        <f>AQ69*AR$68</f>
        <v>0.54</v>
      </c>
      <c r="AS69" s="1036">
        <f t="shared" ref="AS69:BA69" si="401">AR69*AS$68</f>
        <v>0.54</v>
      </c>
      <c r="AT69" s="1036">
        <f t="shared" si="401"/>
        <v>0.59400000000000008</v>
      </c>
      <c r="AU69" s="1036">
        <f t="shared" si="401"/>
        <v>0.65340000000000009</v>
      </c>
      <c r="AV69" s="1036">
        <f t="shared" si="401"/>
        <v>0.65340000000000009</v>
      </c>
      <c r="AW69" s="1036">
        <f t="shared" si="401"/>
        <v>0.71874000000000016</v>
      </c>
      <c r="AX69" s="1036">
        <f t="shared" si="401"/>
        <v>0.79061400000000026</v>
      </c>
      <c r="AY69" s="1036">
        <f t="shared" si="401"/>
        <v>0.79061400000000026</v>
      </c>
      <c r="AZ69" s="1036">
        <f t="shared" si="401"/>
        <v>0.86967540000000032</v>
      </c>
      <c r="BA69" s="1036">
        <f t="shared" si="401"/>
        <v>0.95664294000000039</v>
      </c>
      <c r="BB69" s="1036">
        <v>0.6</v>
      </c>
      <c r="BC69" s="1036">
        <f>BB69*BC$68</f>
        <v>0.54</v>
      </c>
      <c r="BD69" s="1036">
        <f>BC69*BD$68</f>
        <v>0.54</v>
      </c>
      <c r="BE69" s="1036">
        <f t="shared" ref="BE69:BE77" si="402">BD69*BE$68</f>
        <v>0.54</v>
      </c>
      <c r="BF69" s="1036">
        <f t="shared" ref="BF69:BF77" si="403">BE69*BF$68</f>
        <v>0.59400000000000008</v>
      </c>
      <c r="BG69" s="1036">
        <f t="shared" ref="BG69:BG77" si="404">BF69*BG$68</f>
        <v>0.65340000000000009</v>
      </c>
      <c r="BH69" s="1036">
        <f t="shared" ref="BH69:BH77" si="405">BG69*BH$68</f>
        <v>0.65340000000000009</v>
      </c>
      <c r="BI69" s="1036">
        <f t="shared" ref="BI69:BI77" si="406">BH69*BI$68</f>
        <v>0.71874000000000016</v>
      </c>
      <c r="BJ69" s="1036">
        <f t="shared" ref="BJ69:BJ77" si="407">BI69*BJ$68</f>
        <v>0.79061400000000026</v>
      </c>
      <c r="BK69" s="1036">
        <f t="shared" ref="BK69:BK77" si="408">BJ69*BK$68</f>
        <v>0.79061400000000026</v>
      </c>
      <c r="BL69" s="1036">
        <f t="shared" ref="BL69:BL77" si="409">BK69*BL$68</f>
        <v>0.86967540000000032</v>
      </c>
      <c r="BM69" s="1036">
        <f t="shared" ref="BM69:BM77" si="410">BL69*BM$68</f>
        <v>0.95664294000000039</v>
      </c>
      <c r="BN69" s="1036">
        <v>0.6</v>
      </c>
      <c r="BO69" s="1036">
        <f>BN69*BO$68</f>
        <v>0.54</v>
      </c>
      <c r="BP69" s="1036">
        <f>BO69*BP$68</f>
        <v>0.54</v>
      </c>
      <c r="BQ69" s="1036">
        <f t="shared" ref="BQ69:BQ77" si="411">BP69*BQ$68</f>
        <v>0.54</v>
      </c>
      <c r="BR69" s="1036">
        <f t="shared" ref="BR69:BR77" si="412">BQ69*BR$68</f>
        <v>0.59400000000000008</v>
      </c>
      <c r="BS69" s="1036">
        <f t="shared" ref="BS69:BS77" si="413">BR69*BS$68</f>
        <v>0.65340000000000009</v>
      </c>
      <c r="BT69" s="1036">
        <f t="shared" ref="BT69:BT77" si="414">BS69*BT$68</f>
        <v>0.65340000000000009</v>
      </c>
      <c r="BU69" s="1036">
        <f t="shared" ref="BU69:BU77" si="415">BT69*BU$68</f>
        <v>0.71874000000000016</v>
      </c>
      <c r="BV69" s="1036">
        <f t="shared" ref="BV69:BV77" si="416">BU69*BV$68</f>
        <v>0.79061400000000026</v>
      </c>
      <c r="BW69" s="1036">
        <f t="shared" ref="BW69:BW77" si="417">BV69*BW$68</f>
        <v>0.79061400000000026</v>
      </c>
      <c r="BX69" s="1036">
        <f t="shared" ref="BX69:BX77" si="418">BW69*BX$68</f>
        <v>0.86967540000000032</v>
      </c>
      <c r="BY69" s="1036">
        <f t="shared" ref="BY69:BY77" si="419">BX69*BY$68</f>
        <v>0.95664294000000039</v>
      </c>
      <c r="BZ69" s="1036">
        <v>0.6</v>
      </c>
      <c r="CA69" s="1036">
        <f>BZ69*CA$68</f>
        <v>0.54</v>
      </c>
      <c r="CB69" s="1036">
        <f>CA69*CB$68</f>
        <v>0.54</v>
      </c>
      <c r="CC69" s="1036">
        <f t="shared" ref="CC69:CC77" si="420">CB69*CC$68</f>
        <v>0.54</v>
      </c>
      <c r="CD69" s="1036">
        <f t="shared" ref="CD69:CD77" si="421">CC69*CD$68</f>
        <v>0.59400000000000008</v>
      </c>
      <c r="CE69" s="1036">
        <f t="shared" ref="CE69:CE77" si="422">CD69*CE$68</f>
        <v>0.65340000000000009</v>
      </c>
      <c r="CF69" s="1036">
        <f t="shared" ref="CF69:CF77" si="423">CE69*CF$68</f>
        <v>0.65340000000000009</v>
      </c>
      <c r="CG69" s="1036">
        <f t="shared" ref="CG69:CG77" si="424">CF69*CG$68</f>
        <v>0.71874000000000016</v>
      </c>
      <c r="CH69" s="1036">
        <f t="shared" ref="CH69:CH77" si="425">CG69*CH$68</f>
        <v>0.79061400000000026</v>
      </c>
      <c r="CI69" s="1036">
        <f t="shared" ref="CI69:CI77" si="426">CH69*CI$68</f>
        <v>0.79061400000000026</v>
      </c>
      <c r="CJ69" s="1036">
        <f t="shared" ref="CJ69:CJ77" si="427">CI69*CJ$68</f>
        <v>0.86967540000000032</v>
      </c>
      <c r="CK69" s="1036">
        <f t="shared" ref="CK69:CK77" si="428">CJ69*CK$68</f>
        <v>0.95664294000000039</v>
      </c>
      <c r="CL69" s="1036">
        <v>0.6</v>
      </c>
      <c r="CM69" s="1036">
        <f>CL69*CM$68</f>
        <v>0.54</v>
      </c>
      <c r="CN69" s="1036">
        <f>CM69*CN$68</f>
        <v>0.54</v>
      </c>
      <c r="CO69" s="1036">
        <f t="shared" ref="CO69:CO77" si="429">CN69*CO$68</f>
        <v>0.54</v>
      </c>
      <c r="CP69" s="1036">
        <f t="shared" ref="CP69:CP77" si="430">CO69*CP$68</f>
        <v>0.59400000000000008</v>
      </c>
      <c r="CQ69" s="1036">
        <f t="shared" ref="CQ69:CQ77" si="431">CP69*CQ$68</f>
        <v>0.65340000000000009</v>
      </c>
      <c r="CR69" s="1036">
        <f t="shared" ref="CR69:CR77" si="432">CQ69*CR$68</f>
        <v>0.65340000000000009</v>
      </c>
      <c r="CS69" s="1036">
        <f t="shared" ref="CS69:CS77" si="433">CR69*CS$68</f>
        <v>0.71874000000000016</v>
      </c>
      <c r="CT69" s="1036">
        <f t="shared" ref="CT69:CT77" si="434">CS69*CT$68</f>
        <v>0.79061400000000026</v>
      </c>
      <c r="CU69" s="1036">
        <f t="shared" ref="CU69:CU77" si="435">CT69*CU$68</f>
        <v>0.79061400000000026</v>
      </c>
      <c r="CV69" s="1036">
        <f t="shared" ref="CV69:CV77" si="436">CU69*CV$68</f>
        <v>0.86967540000000032</v>
      </c>
      <c r="CW69" s="1036">
        <f t="shared" ref="CW69:CW77" si="437">CV69*CW$68</f>
        <v>0.95664294000000039</v>
      </c>
      <c r="CX69" s="1036">
        <v>0.6</v>
      </c>
      <c r="CY69" s="1036">
        <f>CX69*CY$68</f>
        <v>0.54</v>
      </c>
      <c r="CZ69" s="1036">
        <f>CY69*CZ$68</f>
        <v>0.54</v>
      </c>
      <c r="DA69" s="1036">
        <f t="shared" ref="DA69:DA77" si="438">CZ69*DA$68</f>
        <v>0.54</v>
      </c>
      <c r="DB69" s="1036">
        <f t="shared" ref="DB69:DB77" si="439">DA69*DB$68</f>
        <v>0.59400000000000008</v>
      </c>
      <c r="DC69" s="1036">
        <f t="shared" ref="DC69:DC77" si="440">DB69*DC$68</f>
        <v>0.65340000000000009</v>
      </c>
      <c r="DD69" s="1036">
        <f t="shared" ref="DD69:DD77" si="441">DC69*DD$68</f>
        <v>0.65340000000000009</v>
      </c>
      <c r="DE69" s="1036">
        <f t="shared" ref="DE69:DE77" si="442">DD69*DE$68</f>
        <v>0.71874000000000016</v>
      </c>
      <c r="DF69" s="1036">
        <f t="shared" ref="DF69:DF77" si="443">DE69*DF$68</f>
        <v>0.79061400000000026</v>
      </c>
      <c r="DG69" s="1036">
        <f t="shared" ref="DG69:DG77" si="444">DF69*DG$68</f>
        <v>0.79061400000000026</v>
      </c>
      <c r="DH69" s="1036">
        <f t="shared" ref="DH69:DH77" si="445">DG69*DH$68</f>
        <v>0.86967540000000032</v>
      </c>
      <c r="DI69" s="1036">
        <f t="shared" ref="DI69:DI77" si="446">DH69*DI$68</f>
        <v>0.95664294000000039</v>
      </c>
      <c r="DK69" s="1899" t="s">
        <v>1043</v>
      </c>
      <c r="DL69" s="940" t="s">
        <v>119</v>
      </c>
      <c r="DN69" s="977">
        <v>13</v>
      </c>
      <c r="DO69" s="978">
        <f>DO58*$AJ$69</f>
        <v>17.713647959183675</v>
      </c>
      <c r="DP69" s="978">
        <f>DP58*$AJ$69</f>
        <v>18.840880102040817</v>
      </c>
      <c r="DQ69" s="978">
        <f>DQ58*$AJ$69</f>
        <v>13.913265306122449</v>
      </c>
      <c r="DR69" s="979">
        <f>DR58*$AJ$69</f>
        <v>13.333545918367346</v>
      </c>
      <c r="DT69" s="977">
        <v>13</v>
      </c>
      <c r="DU69" s="978">
        <f>DU58*$AH$69</f>
        <v>24.75</v>
      </c>
      <c r="DV69" s="978">
        <f>DV58*$AH$69</f>
        <v>26.324999999999999</v>
      </c>
      <c r="DW69" s="978">
        <f>DW58*$AH$69</f>
        <v>19.440000000000001</v>
      </c>
      <c r="DX69" s="979">
        <f>DX58*$AH$69</f>
        <v>18.63</v>
      </c>
      <c r="DZ69" s="977">
        <v>13</v>
      </c>
      <c r="EA69" s="978">
        <f>EA58*AL$69</f>
        <v>17.005102040816325</v>
      </c>
      <c r="EB69" s="978">
        <f>EB58*AM$69</f>
        <v>18.42219387755102</v>
      </c>
      <c r="EC69" s="978">
        <f>EC58*AN$69</f>
        <v>17.926211734693876</v>
      </c>
      <c r="ED69" s="979">
        <f>ED58*AO$69</f>
        <v>22.290854591836737</v>
      </c>
      <c r="EF69" s="977">
        <f>EF58*$AP69</f>
        <v>13.2</v>
      </c>
      <c r="EG69" s="978">
        <f t="shared" ref="EG69:EG78" si="447">EG58*AQ69</f>
        <v>11.34</v>
      </c>
      <c r="EH69" s="978">
        <f t="shared" ref="EH69:EH78" si="448">EH58*AR69</f>
        <v>9.4500000000000011</v>
      </c>
      <c r="EI69" s="978">
        <f t="shared" ref="EI69:EI78" si="449">EI58*AS69</f>
        <v>3.7800000000000002</v>
      </c>
      <c r="EJ69" s="978">
        <f t="shared" ref="EJ69:EJ78" si="450">EJ58*AT69</f>
        <v>3.8610000000000007</v>
      </c>
      <c r="EK69" s="978">
        <f t="shared" ref="EK69:EK78" si="451">EK58*AU69</f>
        <v>4.2471000000000005</v>
      </c>
      <c r="EL69" s="978">
        <f t="shared" ref="EL69:EL78" si="452">EL58*AV69</f>
        <v>3.2670000000000003</v>
      </c>
      <c r="EM69" s="978">
        <f t="shared" ref="EM69:EM78" si="453">EM58*AW69</f>
        <v>5.0311800000000009</v>
      </c>
      <c r="EN69" s="978">
        <f t="shared" ref="EN69:EN78" si="454">EN58*AX69</f>
        <v>5.5342980000000015</v>
      </c>
      <c r="EO69" s="978">
        <f t="shared" ref="EO69:EO78" si="455">EO58*AY69</f>
        <v>5.5342980000000015</v>
      </c>
      <c r="EP69" s="978">
        <f t="shared" ref="EP69:EP78" si="456">EP58*AZ69</f>
        <v>5.2180524000000021</v>
      </c>
      <c r="EQ69" s="979">
        <f t="shared" ref="EQ69:EQ78" si="457">EQ58*BA69</f>
        <v>4.783214700000002</v>
      </c>
      <c r="ES69" s="977">
        <f>ES58*BB69</f>
        <v>2.1</v>
      </c>
      <c r="ET69" s="978">
        <f t="shared" ref="ET69:FD78" si="458">ET58*BC69</f>
        <v>1.08</v>
      </c>
      <c r="EU69" s="978">
        <f t="shared" si="458"/>
        <v>2.4300000000000002</v>
      </c>
      <c r="EV69" s="978">
        <f t="shared" si="458"/>
        <v>3.7800000000000002</v>
      </c>
      <c r="EW69" s="978">
        <f t="shared" si="458"/>
        <v>4.1580000000000004</v>
      </c>
      <c r="EX69" s="978">
        <f t="shared" si="458"/>
        <v>4.5738000000000003</v>
      </c>
      <c r="EY69" s="978">
        <f t="shared" si="458"/>
        <v>4.5738000000000003</v>
      </c>
      <c r="EZ69" s="978">
        <f t="shared" si="458"/>
        <v>5.0311800000000009</v>
      </c>
      <c r="FA69" s="978">
        <f t="shared" si="458"/>
        <v>5.5342980000000015</v>
      </c>
      <c r="FB69" s="978">
        <f t="shared" si="458"/>
        <v>5.5342980000000015</v>
      </c>
      <c r="FC69" s="978">
        <f t="shared" si="458"/>
        <v>6.0877278000000024</v>
      </c>
      <c r="FD69" s="979">
        <f t="shared" si="458"/>
        <v>6.696500580000003</v>
      </c>
      <c r="FF69" s="977">
        <f>FF58*BN69</f>
        <v>2.6999999999999997</v>
      </c>
      <c r="FG69" s="978">
        <f t="shared" ref="FG69:FQ78" si="459">FG58*BO69</f>
        <v>1.08</v>
      </c>
      <c r="FH69" s="978">
        <f t="shared" si="459"/>
        <v>2.4300000000000002</v>
      </c>
      <c r="FI69" s="978">
        <f t="shared" si="459"/>
        <v>3.24</v>
      </c>
      <c r="FJ69" s="978">
        <f t="shared" si="459"/>
        <v>2.9700000000000006</v>
      </c>
      <c r="FK69" s="978">
        <f t="shared" si="459"/>
        <v>3.2670000000000003</v>
      </c>
      <c r="FL69" s="978">
        <f t="shared" si="459"/>
        <v>3.2670000000000003</v>
      </c>
      <c r="FM69" s="978">
        <f t="shared" si="459"/>
        <v>3.593700000000001</v>
      </c>
      <c r="FN69" s="978">
        <f t="shared" si="459"/>
        <v>3.9530700000000012</v>
      </c>
      <c r="FO69" s="978">
        <f t="shared" si="459"/>
        <v>3.9530700000000012</v>
      </c>
      <c r="FP69" s="978">
        <f t="shared" si="459"/>
        <v>4.3483770000000019</v>
      </c>
      <c r="FQ69" s="979">
        <f t="shared" si="459"/>
        <v>4.783214700000002</v>
      </c>
      <c r="FS69" s="977">
        <f>FS58*BZ69</f>
        <v>2.1</v>
      </c>
      <c r="FT69" s="978">
        <f t="shared" ref="FT69:GD78" si="460">FT58*CA69</f>
        <v>1.08</v>
      </c>
      <c r="FU69" s="978">
        <f t="shared" si="460"/>
        <v>1.08</v>
      </c>
      <c r="FV69" s="978">
        <f t="shared" si="460"/>
        <v>1.08</v>
      </c>
      <c r="FW69" s="978">
        <f t="shared" si="460"/>
        <v>1.1880000000000002</v>
      </c>
      <c r="FX69" s="978">
        <f t="shared" si="460"/>
        <v>1.3068000000000002</v>
      </c>
      <c r="FY69" s="978">
        <f t="shared" si="460"/>
        <v>1.3068000000000002</v>
      </c>
      <c r="FZ69" s="978">
        <f t="shared" si="460"/>
        <v>1.4374800000000003</v>
      </c>
      <c r="GA69" s="978">
        <f t="shared" si="460"/>
        <v>1.5812280000000005</v>
      </c>
      <c r="GB69" s="978">
        <f t="shared" si="460"/>
        <v>1.5812280000000005</v>
      </c>
      <c r="GC69" s="978">
        <f t="shared" si="460"/>
        <v>1.7393508000000006</v>
      </c>
      <c r="GD69" s="979">
        <f t="shared" si="460"/>
        <v>1.9132858800000008</v>
      </c>
      <c r="GF69" s="977">
        <f>GF58*CL69</f>
        <v>1.2</v>
      </c>
      <c r="GG69" s="978">
        <f t="shared" ref="GG69:GQ78" si="461">GG58*CM69</f>
        <v>1.08</v>
      </c>
      <c r="GH69" s="978">
        <f t="shared" si="461"/>
        <v>1.08</v>
      </c>
      <c r="GI69" s="978">
        <f t="shared" si="461"/>
        <v>1.08</v>
      </c>
      <c r="GJ69" s="978">
        <f t="shared" si="461"/>
        <v>1.1880000000000002</v>
      </c>
      <c r="GK69" s="978">
        <f t="shared" si="461"/>
        <v>1.3068000000000002</v>
      </c>
      <c r="GL69" s="978">
        <f t="shared" si="461"/>
        <v>1.3068000000000002</v>
      </c>
      <c r="GM69" s="978">
        <f t="shared" si="461"/>
        <v>1.4374800000000003</v>
      </c>
      <c r="GN69" s="978">
        <f t="shared" si="461"/>
        <v>1.5812280000000005</v>
      </c>
      <c r="GO69" s="978">
        <f t="shared" si="461"/>
        <v>1.5812280000000005</v>
      </c>
      <c r="GP69" s="978">
        <f t="shared" si="461"/>
        <v>1.7393508000000006</v>
      </c>
      <c r="GQ69" s="979">
        <f t="shared" si="461"/>
        <v>1.9132858800000008</v>
      </c>
      <c r="GS69" s="977">
        <f>GS58*CX69</f>
        <v>1.2</v>
      </c>
      <c r="GT69" s="978">
        <f t="shared" ref="GT69:HD78" si="462">GT58*CY69</f>
        <v>1.08</v>
      </c>
      <c r="GU69" s="978">
        <f t="shared" si="462"/>
        <v>1.08</v>
      </c>
      <c r="GV69" s="978">
        <f t="shared" si="462"/>
        <v>1.08</v>
      </c>
      <c r="GW69" s="978">
        <f t="shared" si="462"/>
        <v>1.1880000000000002</v>
      </c>
      <c r="GX69" s="978">
        <f t="shared" si="462"/>
        <v>1.3068000000000002</v>
      </c>
      <c r="GY69" s="978">
        <f t="shared" si="462"/>
        <v>1.3068000000000002</v>
      </c>
      <c r="GZ69" s="978">
        <f t="shared" si="462"/>
        <v>1.4374800000000003</v>
      </c>
      <c r="HA69" s="978">
        <f t="shared" si="462"/>
        <v>1.5812280000000005</v>
      </c>
      <c r="HB69" s="978">
        <f t="shared" si="462"/>
        <v>1.5812280000000005</v>
      </c>
      <c r="HC69" s="978">
        <f t="shared" si="462"/>
        <v>1.7393508000000006</v>
      </c>
      <c r="HD69" s="979">
        <f t="shared" si="462"/>
        <v>1.9132858800000008</v>
      </c>
    </row>
    <row r="70" spans="2:212" ht="14.25">
      <c r="B70" s="960" t="s">
        <v>155</v>
      </c>
      <c r="C70" s="32"/>
      <c r="D70" s="32"/>
      <c r="E70" s="32"/>
      <c r="F70" s="32"/>
      <c r="G70" s="31"/>
      <c r="H70" s="1072"/>
      <c r="I70" s="1072"/>
      <c r="N70" s="1899"/>
      <c r="O70" s="940" t="s">
        <v>120</v>
      </c>
      <c r="P70" s="595">
        <v>5</v>
      </c>
      <c r="Q70" s="595">
        <v>0</v>
      </c>
      <c r="R70" s="595">
        <v>0</v>
      </c>
      <c r="S70" s="595">
        <v>2</v>
      </c>
      <c r="T70" s="595">
        <v>5</v>
      </c>
      <c r="U70" s="595">
        <v>5</v>
      </c>
      <c r="V70" s="595">
        <v>11</v>
      </c>
      <c r="X70" s="1063"/>
      <c r="AA70" s="1899"/>
      <c r="AB70" s="940" t="s">
        <v>120</v>
      </c>
      <c r="AC70" s="599">
        <f t="shared" si="395"/>
        <v>0.5</v>
      </c>
      <c r="AD70" s="599">
        <f t="shared" si="395"/>
        <v>0</v>
      </c>
      <c r="AE70" s="599">
        <f t="shared" si="395"/>
        <v>0</v>
      </c>
      <c r="AF70" s="599">
        <f t="shared" si="395"/>
        <v>0.4</v>
      </c>
      <c r="AG70" s="599">
        <f t="shared" si="395"/>
        <v>0.33333333333333331</v>
      </c>
      <c r="AH70" s="599">
        <f t="shared" si="395"/>
        <v>0.625</v>
      </c>
      <c r="AI70" s="599">
        <f t="shared" si="395"/>
        <v>0.55000000000000004</v>
      </c>
      <c r="AJ70" s="935">
        <f t="shared" si="396"/>
        <v>0.34404761904761905</v>
      </c>
      <c r="AK70" s="935">
        <f t="shared" si="397"/>
        <v>0.34404761904761905</v>
      </c>
      <c r="AL70" s="935">
        <f t="shared" ref="AL70:AL77" si="463">AK70*$AL$68</f>
        <v>0.37845238095238098</v>
      </c>
      <c r="AM70" s="935">
        <f t="shared" si="398"/>
        <v>0.37845238095238098</v>
      </c>
      <c r="AN70" s="935">
        <f t="shared" si="399"/>
        <v>0.41629761904761914</v>
      </c>
      <c r="AO70" s="935">
        <f t="shared" si="400"/>
        <v>0.45792738095238111</v>
      </c>
      <c r="AP70" s="1036">
        <v>0.35</v>
      </c>
      <c r="AQ70" s="1036">
        <f t="shared" ref="AQ70:BA77" si="464">AP70*AQ$68</f>
        <v>0.315</v>
      </c>
      <c r="AR70" s="1036">
        <f t="shared" si="464"/>
        <v>0.315</v>
      </c>
      <c r="AS70" s="1036">
        <f t="shared" si="464"/>
        <v>0.315</v>
      </c>
      <c r="AT70" s="1036">
        <f t="shared" si="464"/>
        <v>0.34650000000000003</v>
      </c>
      <c r="AU70" s="1036">
        <f t="shared" si="464"/>
        <v>0.38115000000000004</v>
      </c>
      <c r="AV70" s="1036">
        <f t="shared" si="464"/>
        <v>0.38115000000000004</v>
      </c>
      <c r="AW70" s="1036">
        <f t="shared" si="464"/>
        <v>0.41926500000000011</v>
      </c>
      <c r="AX70" s="1036">
        <f t="shared" si="464"/>
        <v>0.46119150000000014</v>
      </c>
      <c r="AY70" s="1036">
        <f t="shared" si="464"/>
        <v>0.46119150000000014</v>
      </c>
      <c r="AZ70" s="1036">
        <f t="shared" si="464"/>
        <v>0.5073106500000002</v>
      </c>
      <c r="BA70" s="1036">
        <f t="shared" si="464"/>
        <v>0.55804171500000022</v>
      </c>
      <c r="BB70" s="1036">
        <v>0.35</v>
      </c>
      <c r="BC70" s="1036">
        <f t="shared" ref="BC70:BC77" si="465">BB70*BC$68</f>
        <v>0.315</v>
      </c>
      <c r="BD70" s="1036">
        <f t="shared" ref="BD70:BD77" si="466">BC70*BD$68</f>
        <v>0.315</v>
      </c>
      <c r="BE70" s="1036">
        <f t="shared" si="402"/>
        <v>0.315</v>
      </c>
      <c r="BF70" s="1036">
        <f t="shared" si="403"/>
        <v>0.34650000000000003</v>
      </c>
      <c r="BG70" s="1036">
        <f t="shared" si="404"/>
        <v>0.38115000000000004</v>
      </c>
      <c r="BH70" s="1036">
        <f t="shared" si="405"/>
        <v>0.38115000000000004</v>
      </c>
      <c r="BI70" s="1036">
        <f t="shared" si="406"/>
        <v>0.41926500000000011</v>
      </c>
      <c r="BJ70" s="1036">
        <f t="shared" si="407"/>
        <v>0.46119150000000014</v>
      </c>
      <c r="BK70" s="1036">
        <f t="shared" si="408"/>
        <v>0.46119150000000014</v>
      </c>
      <c r="BL70" s="1036">
        <f t="shared" si="409"/>
        <v>0.5073106500000002</v>
      </c>
      <c r="BM70" s="1036">
        <f t="shared" si="410"/>
        <v>0.55804171500000022</v>
      </c>
      <c r="BN70" s="1036">
        <v>0.35</v>
      </c>
      <c r="BO70" s="1036">
        <f t="shared" ref="BO70:BO77" si="467">BN70*BO$68</f>
        <v>0.315</v>
      </c>
      <c r="BP70" s="1036">
        <f t="shared" ref="BP70:BP77" si="468">BO70*BP$68</f>
        <v>0.315</v>
      </c>
      <c r="BQ70" s="1036">
        <f t="shared" si="411"/>
        <v>0.315</v>
      </c>
      <c r="BR70" s="1036">
        <f t="shared" si="412"/>
        <v>0.34650000000000003</v>
      </c>
      <c r="BS70" s="1036">
        <f t="shared" si="413"/>
        <v>0.38115000000000004</v>
      </c>
      <c r="BT70" s="1036">
        <f t="shared" si="414"/>
        <v>0.38115000000000004</v>
      </c>
      <c r="BU70" s="1036">
        <f t="shared" si="415"/>
        <v>0.41926500000000011</v>
      </c>
      <c r="BV70" s="1036">
        <f t="shared" si="416"/>
        <v>0.46119150000000014</v>
      </c>
      <c r="BW70" s="1036">
        <f t="shared" si="417"/>
        <v>0.46119150000000014</v>
      </c>
      <c r="BX70" s="1036">
        <f t="shared" si="418"/>
        <v>0.5073106500000002</v>
      </c>
      <c r="BY70" s="1036">
        <f t="shared" si="419"/>
        <v>0.55804171500000022</v>
      </c>
      <c r="BZ70" s="1036">
        <v>0.35</v>
      </c>
      <c r="CA70" s="1036">
        <f t="shared" ref="CA70:CA77" si="469">BZ70*CA$68</f>
        <v>0.315</v>
      </c>
      <c r="CB70" s="1036">
        <f t="shared" ref="CB70:CB77" si="470">CA70*CB$68</f>
        <v>0.315</v>
      </c>
      <c r="CC70" s="1036">
        <f t="shared" si="420"/>
        <v>0.315</v>
      </c>
      <c r="CD70" s="1036">
        <f t="shared" si="421"/>
        <v>0.34650000000000003</v>
      </c>
      <c r="CE70" s="1036">
        <f t="shared" si="422"/>
        <v>0.38115000000000004</v>
      </c>
      <c r="CF70" s="1036">
        <f t="shared" si="423"/>
        <v>0.38115000000000004</v>
      </c>
      <c r="CG70" s="1036">
        <f t="shared" si="424"/>
        <v>0.41926500000000011</v>
      </c>
      <c r="CH70" s="1036">
        <f t="shared" si="425"/>
        <v>0.46119150000000014</v>
      </c>
      <c r="CI70" s="1036">
        <f t="shared" si="426"/>
        <v>0.46119150000000014</v>
      </c>
      <c r="CJ70" s="1036">
        <f t="shared" si="427"/>
        <v>0.5073106500000002</v>
      </c>
      <c r="CK70" s="1036">
        <f t="shared" si="428"/>
        <v>0.55804171500000022</v>
      </c>
      <c r="CL70" s="1036">
        <v>0.35</v>
      </c>
      <c r="CM70" s="1036">
        <f t="shared" ref="CM70:CM77" si="471">CL70*CM$68</f>
        <v>0.315</v>
      </c>
      <c r="CN70" s="1036">
        <f t="shared" ref="CN70:CN77" si="472">CM70*CN$68</f>
        <v>0.315</v>
      </c>
      <c r="CO70" s="1036">
        <f t="shared" si="429"/>
        <v>0.315</v>
      </c>
      <c r="CP70" s="1036">
        <f t="shared" si="430"/>
        <v>0.34650000000000003</v>
      </c>
      <c r="CQ70" s="1036">
        <f t="shared" si="431"/>
        <v>0.38115000000000004</v>
      </c>
      <c r="CR70" s="1036">
        <f t="shared" si="432"/>
        <v>0.38115000000000004</v>
      </c>
      <c r="CS70" s="1036">
        <f t="shared" si="433"/>
        <v>0.41926500000000011</v>
      </c>
      <c r="CT70" s="1036">
        <f t="shared" si="434"/>
        <v>0.46119150000000014</v>
      </c>
      <c r="CU70" s="1036">
        <f t="shared" si="435"/>
        <v>0.46119150000000014</v>
      </c>
      <c r="CV70" s="1036">
        <f t="shared" si="436"/>
        <v>0.5073106500000002</v>
      </c>
      <c r="CW70" s="1036">
        <f t="shared" si="437"/>
        <v>0.55804171500000022</v>
      </c>
      <c r="CX70" s="1036">
        <v>0.35</v>
      </c>
      <c r="CY70" s="1036">
        <f t="shared" ref="CY70:CY77" si="473">CX70*CY$68</f>
        <v>0.315</v>
      </c>
      <c r="CZ70" s="1036">
        <f t="shared" ref="CZ70:CZ77" si="474">CY70*CZ$68</f>
        <v>0.315</v>
      </c>
      <c r="DA70" s="1036">
        <f t="shared" si="438"/>
        <v>0.315</v>
      </c>
      <c r="DB70" s="1036">
        <f t="shared" si="439"/>
        <v>0.34650000000000003</v>
      </c>
      <c r="DC70" s="1036">
        <f t="shared" si="440"/>
        <v>0.38115000000000004</v>
      </c>
      <c r="DD70" s="1036">
        <f t="shared" si="441"/>
        <v>0.38115000000000004</v>
      </c>
      <c r="DE70" s="1036">
        <f t="shared" si="442"/>
        <v>0.41926500000000011</v>
      </c>
      <c r="DF70" s="1036">
        <f t="shared" si="443"/>
        <v>0.46119150000000014</v>
      </c>
      <c r="DG70" s="1036">
        <f t="shared" si="444"/>
        <v>0.46119150000000014</v>
      </c>
      <c r="DH70" s="1036">
        <f t="shared" si="445"/>
        <v>0.5073106500000002</v>
      </c>
      <c r="DI70" s="1036">
        <f t="shared" si="446"/>
        <v>0.55804171500000022</v>
      </c>
      <c r="DK70" s="1899"/>
      <c r="DL70" s="940" t="s">
        <v>120</v>
      </c>
      <c r="DN70" s="977">
        <v>6</v>
      </c>
      <c r="DO70" s="978">
        <f>DO59*$AJ$70</f>
        <v>6.1928571428571431</v>
      </c>
      <c r="DP70" s="978">
        <f>DP59*$AJ$70</f>
        <v>9.4613095238095237</v>
      </c>
      <c r="DQ70" s="978">
        <f>DQ59*$AJ$70</f>
        <v>10.063392857142857</v>
      </c>
      <c r="DR70" s="979">
        <f>DR59*$AJ$70</f>
        <v>7.4314285714285715</v>
      </c>
      <c r="DT70" s="977">
        <v>6</v>
      </c>
      <c r="DU70" s="978">
        <f>DU59*$AH$70</f>
        <v>11.25</v>
      </c>
      <c r="DV70" s="978">
        <f>DV59*$AH$70</f>
        <v>17.1875</v>
      </c>
      <c r="DW70" s="978">
        <f>DW59*$AH$70</f>
        <v>18.28125</v>
      </c>
      <c r="DX70" s="979">
        <f>DX59*$AH$70</f>
        <v>13.5</v>
      </c>
      <c r="DZ70" s="977">
        <v>6</v>
      </c>
      <c r="EA70" s="978">
        <f>EA59*AL$70</f>
        <v>6.8121428571428577</v>
      </c>
      <c r="EB70" s="978">
        <f>EB59*AM$70</f>
        <v>9.0828571428571436</v>
      </c>
      <c r="EC70" s="978">
        <f>EC59*AN$70</f>
        <v>10.823738095238097</v>
      </c>
      <c r="ED70" s="979">
        <f>ED59*AO$70</f>
        <v>10.532329761904766</v>
      </c>
      <c r="EF70" s="977">
        <f t="shared" ref="EF70:EF78" si="475">EF59*$AP70</f>
        <v>9.1</v>
      </c>
      <c r="EG70" s="978">
        <f t="shared" si="447"/>
        <v>6.93</v>
      </c>
      <c r="EH70" s="978">
        <f t="shared" si="448"/>
        <v>6.6150000000000002</v>
      </c>
      <c r="EI70" s="978">
        <f t="shared" si="449"/>
        <v>5.5125000000000002</v>
      </c>
      <c r="EJ70" s="978">
        <f t="shared" si="450"/>
        <v>2.4255000000000004</v>
      </c>
      <c r="EK70" s="978">
        <f t="shared" si="451"/>
        <v>2.4774750000000001</v>
      </c>
      <c r="EL70" s="978">
        <f t="shared" si="452"/>
        <v>2.4774750000000001</v>
      </c>
      <c r="EM70" s="978">
        <f t="shared" si="453"/>
        <v>2.0963250000000007</v>
      </c>
      <c r="EN70" s="978">
        <f t="shared" si="454"/>
        <v>3.2283405000000012</v>
      </c>
      <c r="EO70" s="978">
        <f t="shared" si="455"/>
        <v>3.2283405000000012</v>
      </c>
      <c r="EP70" s="978">
        <f t="shared" si="456"/>
        <v>3.5511745500000016</v>
      </c>
      <c r="EQ70" s="979">
        <f t="shared" si="457"/>
        <v>3.3482502900000011</v>
      </c>
      <c r="ES70" s="977">
        <f t="shared" ref="ES70:ES78" si="476">ES59*BB70</f>
        <v>1.75</v>
      </c>
      <c r="ET70" s="978">
        <f t="shared" si="458"/>
        <v>1.1025</v>
      </c>
      <c r="EU70" s="978">
        <f t="shared" si="458"/>
        <v>0.63</v>
      </c>
      <c r="EV70" s="978">
        <f t="shared" si="458"/>
        <v>1.4175</v>
      </c>
      <c r="EW70" s="978">
        <f t="shared" si="458"/>
        <v>2.4255000000000004</v>
      </c>
      <c r="EX70" s="978">
        <f t="shared" si="458"/>
        <v>2.6680500000000005</v>
      </c>
      <c r="EY70" s="978">
        <f t="shared" si="458"/>
        <v>2.6680500000000005</v>
      </c>
      <c r="EZ70" s="978">
        <f t="shared" si="458"/>
        <v>2.9348550000000007</v>
      </c>
      <c r="FA70" s="978">
        <f t="shared" si="458"/>
        <v>3.2283405000000012</v>
      </c>
      <c r="FB70" s="978">
        <f t="shared" si="458"/>
        <v>3.2283405000000012</v>
      </c>
      <c r="FC70" s="978">
        <f t="shared" si="458"/>
        <v>3.5511745500000016</v>
      </c>
      <c r="FD70" s="979">
        <f t="shared" si="458"/>
        <v>3.9062920050000014</v>
      </c>
      <c r="FF70" s="977">
        <f t="shared" ref="FF70:FF78" si="477">FF59*BN70</f>
        <v>2.4499999999999997</v>
      </c>
      <c r="FG70" s="978">
        <f t="shared" si="459"/>
        <v>1.4175</v>
      </c>
      <c r="FH70" s="978">
        <f t="shared" si="459"/>
        <v>0.63</v>
      </c>
      <c r="FI70" s="978">
        <f t="shared" si="459"/>
        <v>1.4175</v>
      </c>
      <c r="FJ70" s="978">
        <f t="shared" si="459"/>
        <v>2.0790000000000002</v>
      </c>
      <c r="FK70" s="978">
        <f t="shared" si="459"/>
        <v>1.9057500000000003</v>
      </c>
      <c r="FL70" s="978">
        <f t="shared" si="459"/>
        <v>1.9057500000000003</v>
      </c>
      <c r="FM70" s="978">
        <f t="shared" si="459"/>
        <v>2.0963250000000007</v>
      </c>
      <c r="FN70" s="978">
        <f t="shared" si="459"/>
        <v>2.3059575000000008</v>
      </c>
      <c r="FO70" s="978">
        <f t="shared" si="459"/>
        <v>2.3059575000000008</v>
      </c>
      <c r="FP70" s="978">
        <f t="shared" si="459"/>
        <v>2.5365532500000008</v>
      </c>
      <c r="FQ70" s="979">
        <f t="shared" si="459"/>
        <v>2.7902085750000012</v>
      </c>
      <c r="FS70" s="977">
        <f t="shared" ref="FS70:FS78" si="478">FS59*BZ70</f>
        <v>1.75</v>
      </c>
      <c r="FT70" s="978">
        <f t="shared" si="460"/>
        <v>1.1025</v>
      </c>
      <c r="FU70" s="978">
        <f t="shared" si="460"/>
        <v>0.63</v>
      </c>
      <c r="FV70" s="978">
        <f t="shared" si="460"/>
        <v>0.63</v>
      </c>
      <c r="FW70" s="978">
        <f t="shared" si="460"/>
        <v>0.69300000000000006</v>
      </c>
      <c r="FX70" s="978">
        <f t="shared" si="460"/>
        <v>0.76230000000000009</v>
      </c>
      <c r="FY70" s="978">
        <f t="shared" si="460"/>
        <v>0.76230000000000009</v>
      </c>
      <c r="FZ70" s="978">
        <f t="shared" si="460"/>
        <v>0.83853000000000022</v>
      </c>
      <c r="GA70" s="978">
        <f t="shared" si="460"/>
        <v>0.92238300000000029</v>
      </c>
      <c r="GB70" s="978">
        <f t="shared" si="460"/>
        <v>0.92238300000000029</v>
      </c>
      <c r="GC70" s="978">
        <f t="shared" si="460"/>
        <v>1.0146213000000004</v>
      </c>
      <c r="GD70" s="979">
        <f t="shared" si="460"/>
        <v>1.1160834300000004</v>
      </c>
      <c r="GF70" s="977">
        <f t="shared" ref="GF70:GF78" si="479">GF59*CL70</f>
        <v>0.7</v>
      </c>
      <c r="GG70" s="978">
        <f t="shared" si="461"/>
        <v>0.63</v>
      </c>
      <c r="GH70" s="978">
        <f t="shared" si="461"/>
        <v>0.63</v>
      </c>
      <c r="GI70" s="978">
        <f t="shared" si="461"/>
        <v>0.63</v>
      </c>
      <c r="GJ70" s="978">
        <f t="shared" si="461"/>
        <v>0.69300000000000006</v>
      </c>
      <c r="GK70" s="978">
        <f t="shared" si="461"/>
        <v>0.76230000000000009</v>
      </c>
      <c r="GL70" s="978">
        <f t="shared" si="461"/>
        <v>0.76230000000000009</v>
      </c>
      <c r="GM70" s="978">
        <f t="shared" si="461"/>
        <v>0.83853000000000022</v>
      </c>
      <c r="GN70" s="978">
        <f t="shared" si="461"/>
        <v>0.92238300000000029</v>
      </c>
      <c r="GO70" s="978">
        <f t="shared" si="461"/>
        <v>0.92238300000000029</v>
      </c>
      <c r="GP70" s="978">
        <f t="shared" si="461"/>
        <v>1.0146213000000004</v>
      </c>
      <c r="GQ70" s="979">
        <f t="shared" si="461"/>
        <v>1.1160834300000004</v>
      </c>
      <c r="GS70" s="977">
        <f t="shared" ref="GS70:GS78" si="480">GS59*CX70</f>
        <v>0.7</v>
      </c>
      <c r="GT70" s="978">
        <f t="shared" si="462"/>
        <v>0.63</v>
      </c>
      <c r="GU70" s="978">
        <f t="shared" si="462"/>
        <v>0.63</v>
      </c>
      <c r="GV70" s="978">
        <f t="shared" si="462"/>
        <v>0.63</v>
      </c>
      <c r="GW70" s="978">
        <f t="shared" si="462"/>
        <v>0.69300000000000006</v>
      </c>
      <c r="GX70" s="978">
        <f t="shared" si="462"/>
        <v>0.76230000000000009</v>
      </c>
      <c r="GY70" s="978">
        <f t="shared" si="462"/>
        <v>0.76230000000000009</v>
      </c>
      <c r="GZ70" s="978">
        <f t="shared" si="462"/>
        <v>0.83853000000000022</v>
      </c>
      <c r="HA70" s="978">
        <f t="shared" si="462"/>
        <v>0.92238300000000029</v>
      </c>
      <c r="HB70" s="978">
        <f t="shared" si="462"/>
        <v>0.92238300000000029</v>
      </c>
      <c r="HC70" s="978">
        <f t="shared" si="462"/>
        <v>1.0146213000000004</v>
      </c>
      <c r="HD70" s="979">
        <f t="shared" si="462"/>
        <v>1.1160834300000004</v>
      </c>
    </row>
    <row r="71" spans="2:212" ht="14.25">
      <c r="B71" s="941"/>
      <c r="C71" s="31"/>
      <c r="D71" s="31"/>
      <c r="E71" s="31"/>
      <c r="F71" s="31"/>
      <c r="G71" s="31"/>
      <c r="H71" s="1072"/>
      <c r="I71" s="1072"/>
      <c r="N71" s="1899"/>
      <c r="O71" s="940" t="s">
        <v>121</v>
      </c>
      <c r="P71" s="595">
        <v>0</v>
      </c>
      <c r="Q71" s="595">
        <v>3</v>
      </c>
      <c r="R71" s="595">
        <v>1</v>
      </c>
      <c r="S71" s="595">
        <v>0</v>
      </c>
      <c r="T71" s="595">
        <v>0</v>
      </c>
      <c r="U71" s="595">
        <v>5</v>
      </c>
      <c r="V71" s="595">
        <v>5</v>
      </c>
      <c r="X71" s="1063"/>
      <c r="AA71" s="1899"/>
      <c r="AB71" s="940" t="s">
        <v>121</v>
      </c>
      <c r="AC71" s="599">
        <f t="shared" si="395"/>
        <v>0</v>
      </c>
      <c r="AD71" s="599">
        <f t="shared" si="395"/>
        <v>0.3</v>
      </c>
      <c r="AE71" s="599">
        <f t="shared" si="395"/>
        <v>0.14285714285714285</v>
      </c>
      <c r="AF71" s="599">
        <f t="shared" si="395"/>
        <v>0</v>
      </c>
      <c r="AG71" s="599">
        <f t="shared" si="395"/>
        <v>0</v>
      </c>
      <c r="AH71" s="599">
        <f t="shared" si="395"/>
        <v>0.33333333333333331</v>
      </c>
      <c r="AI71" s="599">
        <f t="shared" si="395"/>
        <v>0.625</v>
      </c>
      <c r="AJ71" s="935">
        <f t="shared" si="396"/>
        <v>0.20017006802721088</v>
      </c>
      <c r="AK71" s="935">
        <f t="shared" si="397"/>
        <v>0.20017006802721088</v>
      </c>
      <c r="AL71" s="935">
        <f t="shared" si="463"/>
        <v>0.22018707482993199</v>
      </c>
      <c r="AM71" s="935">
        <f t="shared" si="398"/>
        <v>0.22018707482993199</v>
      </c>
      <c r="AN71" s="935">
        <f t="shared" si="399"/>
        <v>0.24220578231292522</v>
      </c>
      <c r="AO71" s="935">
        <f t="shared" si="400"/>
        <v>0.26642636054421776</v>
      </c>
      <c r="AP71" s="1036">
        <v>0.25</v>
      </c>
      <c r="AQ71" s="1036">
        <f t="shared" si="464"/>
        <v>0.22500000000000001</v>
      </c>
      <c r="AR71" s="1036">
        <f t="shared" si="464"/>
        <v>0.22500000000000001</v>
      </c>
      <c r="AS71" s="1036">
        <f t="shared" si="464"/>
        <v>0.22500000000000001</v>
      </c>
      <c r="AT71" s="1036">
        <f t="shared" si="464"/>
        <v>0.24750000000000003</v>
      </c>
      <c r="AU71" s="1036">
        <f t="shared" si="464"/>
        <v>0.27225000000000005</v>
      </c>
      <c r="AV71" s="1036">
        <f t="shared" si="464"/>
        <v>0.27225000000000005</v>
      </c>
      <c r="AW71" s="1036">
        <f t="shared" si="464"/>
        <v>0.2994750000000001</v>
      </c>
      <c r="AX71" s="1036">
        <f t="shared" si="464"/>
        <v>0.32942250000000012</v>
      </c>
      <c r="AY71" s="1036">
        <f t="shared" si="464"/>
        <v>0.32942250000000012</v>
      </c>
      <c r="AZ71" s="1036">
        <f t="shared" si="464"/>
        <v>0.36236475000000018</v>
      </c>
      <c r="BA71" s="1036">
        <f t="shared" si="464"/>
        <v>0.39860122500000023</v>
      </c>
      <c r="BB71" s="1036">
        <v>0.25</v>
      </c>
      <c r="BC71" s="1036">
        <f t="shared" si="465"/>
        <v>0.22500000000000001</v>
      </c>
      <c r="BD71" s="1036">
        <f t="shared" si="466"/>
        <v>0.22500000000000001</v>
      </c>
      <c r="BE71" s="1036">
        <f t="shared" si="402"/>
        <v>0.22500000000000001</v>
      </c>
      <c r="BF71" s="1036">
        <f t="shared" si="403"/>
        <v>0.24750000000000003</v>
      </c>
      <c r="BG71" s="1036">
        <f t="shared" si="404"/>
        <v>0.27225000000000005</v>
      </c>
      <c r="BH71" s="1036">
        <f t="shared" si="405"/>
        <v>0.27225000000000005</v>
      </c>
      <c r="BI71" s="1036">
        <f t="shared" si="406"/>
        <v>0.2994750000000001</v>
      </c>
      <c r="BJ71" s="1036">
        <f t="shared" si="407"/>
        <v>0.32942250000000012</v>
      </c>
      <c r="BK71" s="1036">
        <f t="shared" si="408"/>
        <v>0.32942250000000012</v>
      </c>
      <c r="BL71" s="1036">
        <f t="shared" si="409"/>
        <v>0.36236475000000018</v>
      </c>
      <c r="BM71" s="1036">
        <f t="shared" si="410"/>
        <v>0.39860122500000023</v>
      </c>
      <c r="BN71" s="1036">
        <v>0.25</v>
      </c>
      <c r="BO71" s="1036">
        <f t="shared" si="467"/>
        <v>0.22500000000000001</v>
      </c>
      <c r="BP71" s="1036">
        <f t="shared" si="468"/>
        <v>0.22500000000000001</v>
      </c>
      <c r="BQ71" s="1036">
        <f t="shared" si="411"/>
        <v>0.22500000000000001</v>
      </c>
      <c r="BR71" s="1036">
        <f t="shared" si="412"/>
        <v>0.24750000000000003</v>
      </c>
      <c r="BS71" s="1036">
        <f t="shared" si="413"/>
        <v>0.27225000000000005</v>
      </c>
      <c r="BT71" s="1036">
        <f t="shared" si="414"/>
        <v>0.27225000000000005</v>
      </c>
      <c r="BU71" s="1036">
        <f t="shared" si="415"/>
        <v>0.2994750000000001</v>
      </c>
      <c r="BV71" s="1036">
        <f t="shared" si="416"/>
        <v>0.32942250000000012</v>
      </c>
      <c r="BW71" s="1036">
        <f t="shared" si="417"/>
        <v>0.32942250000000012</v>
      </c>
      <c r="BX71" s="1036">
        <f t="shared" si="418"/>
        <v>0.36236475000000018</v>
      </c>
      <c r="BY71" s="1036">
        <f t="shared" si="419"/>
        <v>0.39860122500000023</v>
      </c>
      <c r="BZ71" s="1036">
        <v>0.25</v>
      </c>
      <c r="CA71" s="1036">
        <f t="shared" si="469"/>
        <v>0.22500000000000001</v>
      </c>
      <c r="CB71" s="1036">
        <f t="shared" si="470"/>
        <v>0.22500000000000001</v>
      </c>
      <c r="CC71" s="1036">
        <f t="shared" si="420"/>
        <v>0.22500000000000001</v>
      </c>
      <c r="CD71" s="1036">
        <f t="shared" si="421"/>
        <v>0.24750000000000003</v>
      </c>
      <c r="CE71" s="1036">
        <f t="shared" si="422"/>
        <v>0.27225000000000005</v>
      </c>
      <c r="CF71" s="1036">
        <f t="shared" si="423"/>
        <v>0.27225000000000005</v>
      </c>
      <c r="CG71" s="1036">
        <f t="shared" si="424"/>
        <v>0.2994750000000001</v>
      </c>
      <c r="CH71" s="1036">
        <f t="shared" si="425"/>
        <v>0.32942250000000012</v>
      </c>
      <c r="CI71" s="1036">
        <f t="shared" si="426"/>
        <v>0.32942250000000012</v>
      </c>
      <c r="CJ71" s="1036">
        <f t="shared" si="427"/>
        <v>0.36236475000000018</v>
      </c>
      <c r="CK71" s="1036">
        <f t="shared" si="428"/>
        <v>0.39860122500000023</v>
      </c>
      <c r="CL71" s="1036">
        <v>0.25</v>
      </c>
      <c r="CM71" s="1036">
        <f t="shared" si="471"/>
        <v>0.22500000000000001</v>
      </c>
      <c r="CN71" s="1036">
        <f t="shared" si="472"/>
        <v>0.22500000000000001</v>
      </c>
      <c r="CO71" s="1036">
        <f t="shared" si="429"/>
        <v>0.22500000000000001</v>
      </c>
      <c r="CP71" s="1036">
        <f t="shared" si="430"/>
        <v>0.24750000000000003</v>
      </c>
      <c r="CQ71" s="1036">
        <f t="shared" si="431"/>
        <v>0.27225000000000005</v>
      </c>
      <c r="CR71" s="1036">
        <f t="shared" si="432"/>
        <v>0.27225000000000005</v>
      </c>
      <c r="CS71" s="1036">
        <f t="shared" si="433"/>
        <v>0.2994750000000001</v>
      </c>
      <c r="CT71" s="1036">
        <f t="shared" si="434"/>
        <v>0.32942250000000012</v>
      </c>
      <c r="CU71" s="1036">
        <f t="shared" si="435"/>
        <v>0.32942250000000012</v>
      </c>
      <c r="CV71" s="1036">
        <f t="shared" si="436"/>
        <v>0.36236475000000018</v>
      </c>
      <c r="CW71" s="1036">
        <f t="shared" si="437"/>
        <v>0.39860122500000023</v>
      </c>
      <c r="CX71" s="1036">
        <v>0.25</v>
      </c>
      <c r="CY71" s="1036">
        <f t="shared" si="473"/>
        <v>0.22500000000000001</v>
      </c>
      <c r="CZ71" s="1036">
        <f t="shared" si="474"/>
        <v>0.22500000000000001</v>
      </c>
      <c r="DA71" s="1036">
        <f t="shared" si="438"/>
        <v>0.22500000000000001</v>
      </c>
      <c r="DB71" s="1036">
        <f t="shared" si="439"/>
        <v>0.24750000000000003</v>
      </c>
      <c r="DC71" s="1036">
        <f t="shared" si="440"/>
        <v>0.27225000000000005</v>
      </c>
      <c r="DD71" s="1036">
        <f t="shared" si="441"/>
        <v>0.27225000000000005</v>
      </c>
      <c r="DE71" s="1036">
        <f t="shared" si="442"/>
        <v>0.2994750000000001</v>
      </c>
      <c r="DF71" s="1036">
        <f t="shared" si="443"/>
        <v>0.32942250000000012</v>
      </c>
      <c r="DG71" s="1036">
        <f t="shared" si="444"/>
        <v>0.32942250000000012</v>
      </c>
      <c r="DH71" s="1036">
        <f t="shared" si="445"/>
        <v>0.36236475000000018</v>
      </c>
      <c r="DI71" s="1036">
        <f t="shared" si="446"/>
        <v>0.39860122500000023</v>
      </c>
      <c r="DK71" s="1899"/>
      <c r="DL71" s="940" t="s">
        <v>121</v>
      </c>
      <c r="DN71" s="977">
        <v>12</v>
      </c>
      <c r="DO71" s="978">
        <f>DO60*$AJ$71</f>
        <v>3.402891156462585</v>
      </c>
      <c r="DP71" s="978">
        <f>DP60*$AJ$71</f>
        <v>3.6030612244897959</v>
      </c>
      <c r="DQ71" s="978">
        <f>DQ60*$AJ$71</f>
        <v>5.5046768707482991</v>
      </c>
      <c r="DR71" s="979">
        <f>DR60*$AJ$71</f>
        <v>5.8549744897959179</v>
      </c>
      <c r="DT71" s="977">
        <v>12</v>
      </c>
      <c r="DU71" s="978">
        <f>DU60*$AH$71</f>
        <v>5.6666666666666661</v>
      </c>
      <c r="DV71" s="978">
        <f>DV60*$AH$71</f>
        <v>6</v>
      </c>
      <c r="DW71" s="978">
        <f>DW60*$AH$71</f>
        <v>9.1666666666666661</v>
      </c>
      <c r="DX71" s="979">
        <f>DX60*$AH$71</f>
        <v>9.75</v>
      </c>
      <c r="DZ71" s="977">
        <v>12</v>
      </c>
      <c r="EA71" s="978">
        <f>EA60*AL$71</f>
        <v>3.3028061224489798</v>
      </c>
      <c r="EB71" s="978">
        <f>EB60*AM$71</f>
        <v>3.9633673469387758</v>
      </c>
      <c r="EC71" s="978">
        <f>EC60*AN$71</f>
        <v>5.8129387755102053</v>
      </c>
      <c r="ED71" s="979">
        <f>ED60*AO$71</f>
        <v>6.9270853741496614</v>
      </c>
      <c r="EF71" s="977">
        <f t="shared" si="475"/>
        <v>5.75</v>
      </c>
      <c r="EG71" s="978">
        <f t="shared" si="447"/>
        <v>5.8500000000000005</v>
      </c>
      <c r="EH71" s="978">
        <f t="shared" si="448"/>
        <v>4.95</v>
      </c>
      <c r="EI71" s="978">
        <f t="shared" si="449"/>
        <v>4.7250000000000005</v>
      </c>
      <c r="EJ71" s="978">
        <f t="shared" si="450"/>
        <v>4.3312500000000007</v>
      </c>
      <c r="EK71" s="978">
        <f t="shared" si="451"/>
        <v>1.9057500000000003</v>
      </c>
      <c r="EL71" s="978">
        <f t="shared" si="452"/>
        <v>1.7696250000000002</v>
      </c>
      <c r="EM71" s="978">
        <f t="shared" si="453"/>
        <v>1.9465875000000006</v>
      </c>
      <c r="EN71" s="978">
        <f t="shared" si="454"/>
        <v>1.6471125000000006</v>
      </c>
      <c r="EO71" s="978">
        <f t="shared" si="455"/>
        <v>2.3059575000000008</v>
      </c>
      <c r="EP71" s="978">
        <f t="shared" si="456"/>
        <v>2.5365532500000012</v>
      </c>
      <c r="EQ71" s="979">
        <f t="shared" si="457"/>
        <v>2.7902085750000016</v>
      </c>
      <c r="ES71" s="977">
        <f t="shared" si="476"/>
        <v>1.5</v>
      </c>
      <c r="ET71" s="978">
        <f t="shared" si="458"/>
        <v>1.125</v>
      </c>
      <c r="EU71" s="978">
        <f t="shared" si="458"/>
        <v>0.78749999999999998</v>
      </c>
      <c r="EV71" s="978">
        <f t="shared" si="458"/>
        <v>0.45</v>
      </c>
      <c r="EW71" s="978">
        <f t="shared" si="458"/>
        <v>1.11375</v>
      </c>
      <c r="EX71" s="978">
        <f t="shared" si="458"/>
        <v>1.9057500000000003</v>
      </c>
      <c r="EY71" s="978">
        <f t="shared" si="458"/>
        <v>1.9057500000000003</v>
      </c>
      <c r="EZ71" s="978">
        <f t="shared" si="458"/>
        <v>2.0963250000000007</v>
      </c>
      <c r="FA71" s="978">
        <f t="shared" si="458"/>
        <v>2.3059575000000008</v>
      </c>
      <c r="FB71" s="978">
        <f t="shared" si="458"/>
        <v>2.3059575000000008</v>
      </c>
      <c r="FC71" s="978">
        <f t="shared" si="458"/>
        <v>2.5365532500000012</v>
      </c>
      <c r="FD71" s="979">
        <f t="shared" si="458"/>
        <v>2.7902085750000016</v>
      </c>
      <c r="FF71" s="977">
        <f t="shared" si="477"/>
        <v>1.75</v>
      </c>
      <c r="FG71" s="978">
        <f t="shared" si="459"/>
        <v>1.575</v>
      </c>
      <c r="FH71" s="978">
        <f t="shared" si="459"/>
        <v>1.0125</v>
      </c>
      <c r="FI71" s="978">
        <f t="shared" si="459"/>
        <v>0.45</v>
      </c>
      <c r="FJ71" s="978">
        <f t="shared" si="459"/>
        <v>1.11375</v>
      </c>
      <c r="FK71" s="978">
        <f t="shared" si="459"/>
        <v>1.6335000000000002</v>
      </c>
      <c r="FL71" s="978">
        <f t="shared" si="459"/>
        <v>1.3612500000000003</v>
      </c>
      <c r="FM71" s="978">
        <f t="shared" si="459"/>
        <v>1.4973750000000006</v>
      </c>
      <c r="FN71" s="978">
        <f t="shared" si="459"/>
        <v>1.6471125000000006</v>
      </c>
      <c r="FO71" s="978">
        <f t="shared" si="459"/>
        <v>1.6471125000000006</v>
      </c>
      <c r="FP71" s="978">
        <f t="shared" si="459"/>
        <v>1.811823750000001</v>
      </c>
      <c r="FQ71" s="979">
        <f t="shared" si="459"/>
        <v>1.9930061250000011</v>
      </c>
      <c r="FS71" s="977">
        <f t="shared" si="478"/>
        <v>1.25</v>
      </c>
      <c r="FT71" s="978">
        <f t="shared" si="460"/>
        <v>1.125</v>
      </c>
      <c r="FU71" s="978">
        <f t="shared" si="460"/>
        <v>0.78749999999999998</v>
      </c>
      <c r="FV71" s="978">
        <f t="shared" si="460"/>
        <v>0.45</v>
      </c>
      <c r="FW71" s="978">
        <f t="shared" si="460"/>
        <v>0.49500000000000005</v>
      </c>
      <c r="FX71" s="978">
        <f t="shared" si="460"/>
        <v>0.5445000000000001</v>
      </c>
      <c r="FY71" s="978">
        <f t="shared" si="460"/>
        <v>0.5445000000000001</v>
      </c>
      <c r="FZ71" s="978">
        <f t="shared" si="460"/>
        <v>0.5989500000000002</v>
      </c>
      <c r="GA71" s="978">
        <f t="shared" si="460"/>
        <v>0.65884500000000024</v>
      </c>
      <c r="GB71" s="978">
        <f t="shared" si="460"/>
        <v>0.65884500000000024</v>
      </c>
      <c r="GC71" s="978">
        <f t="shared" si="460"/>
        <v>0.72472950000000036</v>
      </c>
      <c r="GD71" s="979">
        <f t="shared" si="460"/>
        <v>0.79720245000000045</v>
      </c>
      <c r="GF71" s="977">
        <f t="shared" si="479"/>
        <v>0.5</v>
      </c>
      <c r="GG71" s="978">
        <f t="shared" si="461"/>
        <v>0.45</v>
      </c>
      <c r="GH71" s="978">
        <f t="shared" si="461"/>
        <v>0.45</v>
      </c>
      <c r="GI71" s="978">
        <f t="shared" si="461"/>
        <v>0.45</v>
      </c>
      <c r="GJ71" s="978">
        <f t="shared" si="461"/>
        <v>0.49500000000000005</v>
      </c>
      <c r="GK71" s="978">
        <f t="shared" si="461"/>
        <v>0.5445000000000001</v>
      </c>
      <c r="GL71" s="978">
        <f t="shared" si="461"/>
        <v>0.5445000000000001</v>
      </c>
      <c r="GM71" s="978">
        <f t="shared" si="461"/>
        <v>0.5989500000000002</v>
      </c>
      <c r="GN71" s="978">
        <f t="shared" si="461"/>
        <v>0.65884500000000024</v>
      </c>
      <c r="GO71" s="978">
        <f t="shared" si="461"/>
        <v>0.65884500000000024</v>
      </c>
      <c r="GP71" s="978">
        <f t="shared" si="461"/>
        <v>0.72472950000000036</v>
      </c>
      <c r="GQ71" s="979">
        <f t="shared" si="461"/>
        <v>0.79720245000000045</v>
      </c>
      <c r="GS71" s="977">
        <f t="shared" si="480"/>
        <v>0.5</v>
      </c>
      <c r="GT71" s="978">
        <f t="shared" si="462"/>
        <v>0.45</v>
      </c>
      <c r="GU71" s="978">
        <f t="shared" si="462"/>
        <v>0.45</v>
      </c>
      <c r="GV71" s="978">
        <f t="shared" si="462"/>
        <v>0.45</v>
      </c>
      <c r="GW71" s="978">
        <f t="shared" si="462"/>
        <v>0.49500000000000005</v>
      </c>
      <c r="GX71" s="978">
        <f t="shared" si="462"/>
        <v>0.5445000000000001</v>
      </c>
      <c r="GY71" s="978">
        <f t="shared" si="462"/>
        <v>0.5445000000000001</v>
      </c>
      <c r="GZ71" s="978">
        <f t="shared" si="462"/>
        <v>0.5989500000000002</v>
      </c>
      <c r="HA71" s="978">
        <f t="shared" si="462"/>
        <v>0.65884500000000024</v>
      </c>
      <c r="HB71" s="978">
        <f t="shared" si="462"/>
        <v>0.65884500000000024</v>
      </c>
      <c r="HC71" s="978">
        <f t="shared" si="462"/>
        <v>0.72472950000000036</v>
      </c>
      <c r="HD71" s="979">
        <f t="shared" si="462"/>
        <v>0.79720245000000045</v>
      </c>
    </row>
    <row r="72" spans="2:212" ht="14.25">
      <c r="B72" s="941" t="s">
        <v>1078</v>
      </c>
      <c r="C72" s="31"/>
      <c r="D72" s="31"/>
      <c r="E72" s="31"/>
      <c r="F72" s="31"/>
      <c r="G72" s="31"/>
      <c r="H72" s="1072"/>
      <c r="I72" s="1072"/>
      <c r="N72" s="1899"/>
      <c r="O72" s="940" t="s">
        <v>122</v>
      </c>
      <c r="P72" s="595">
        <v>3</v>
      </c>
      <c r="Q72" s="595">
        <v>0</v>
      </c>
      <c r="R72" s="595">
        <v>4</v>
      </c>
      <c r="S72" s="595">
        <v>1</v>
      </c>
      <c r="T72" s="595">
        <v>0</v>
      </c>
      <c r="U72" s="595">
        <v>0</v>
      </c>
      <c r="V72" s="595">
        <v>4</v>
      </c>
      <c r="X72" s="1063"/>
      <c r="AA72" s="1899"/>
      <c r="AB72" s="940" t="s">
        <v>122</v>
      </c>
      <c r="AC72" s="599">
        <f t="shared" si="395"/>
        <v>0.17647058823529413</v>
      </c>
      <c r="AD72" s="599">
        <f t="shared" si="395"/>
        <v>0</v>
      </c>
      <c r="AE72" s="599">
        <f t="shared" si="395"/>
        <v>0.4</v>
      </c>
      <c r="AF72" s="599">
        <f t="shared" si="395"/>
        <v>0.14285714285714285</v>
      </c>
      <c r="AG72" s="599">
        <f t="shared" si="395"/>
        <v>0</v>
      </c>
      <c r="AH72" s="599">
        <f t="shared" si="395"/>
        <v>0</v>
      </c>
      <c r="AI72" s="599">
        <f t="shared" si="395"/>
        <v>0.26666666666666666</v>
      </c>
      <c r="AJ72" s="935">
        <f t="shared" si="396"/>
        <v>0.14085634253701482</v>
      </c>
      <c r="AK72" s="935">
        <f t="shared" si="397"/>
        <v>0.14085634253701482</v>
      </c>
      <c r="AL72" s="935">
        <f t="shared" si="463"/>
        <v>0.15494197679071631</v>
      </c>
      <c r="AM72" s="935">
        <f t="shared" si="398"/>
        <v>0.15494197679071631</v>
      </c>
      <c r="AN72" s="935">
        <f t="shared" si="399"/>
        <v>0.17043617446978795</v>
      </c>
      <c r="AO72" s="935">
        <f t="shared" si="400"/>
        <v>0.18747979191676675</v>
      </c>
      <c r="AP72" s="1036">
        <v>0.15</v>
      </c>
      <c r="AQ72" s="1036">
        <f t="shared" si="464"/>
        <v>0.13500000000000001</v>
      </c>
      <c r="AR72" s="1036">
        <f t="shared" si="464"/>
        <v>0.13500000000000001</v>
      </c>
      <c r="AS72" s="1036">
        <f t="shared" si="464"/>
        <v>0.13500000000000001</v>
      </c>
      <c r="AT72" s="1036">
        <f t="shared" si="464"/>
        <v>0.14850000000000002</v>
      </c>
      <c r="AU72" s="1036">
        <f t="shared" si="464"/>
        <v>0.16335000000000002</v>
      </c>
      <c r="AV72" s="1036">
        <f t="shared" si="464"/>
        <v>0.16335000000000002</v>
      </c>
      <c r="AW72" s="1036">
        <f t="shared" si="464"/>
        <v>0.17968500000000004</v>
      </c>
      <c r="AX72" s="1036">
        <f t="shared" si="464"/>
        <v>0.19765350000000007</v>
      </c>
      <c r="AY72" s="1036">
        <f t="shared" si="464"/>
        <v>0.19765350000000007</v>
      </c>
      <c r="AZ72" s="1036">
        <f t="shared" si="464"/>
        <v>0.21741885000000008</v>
      </c>
      <c r="BA72" s="1036">
        <f t="shared" si="464"/>
        <v>0.2391607350000001</v>
      </c>
      <c r="BB72" s="1036">
        <v>0.15</v>
      </c>
      <c r="BC72" s="1036">
        <f t="shared" si="465"/>
        <v>0.13500000000000001</v>
      </c>
      <c r="BD72" s="1036">
        <f t="shared" si="466"/>
        <v>0.13500000000000001</v>
      </c>
      <c r="BE72" s="1036">
        <f t="shared" si="402"/>
        <v>0.13500000000000001</v>
      </c>
      <c r="BF72" s="1036">
        <f t="shared" si="403"/>
        <v>0.14850000000000002</v>
      </c>
      <c r="BG72" s="1036">
        <f t="shared" si="404"/>
        <v>0.16335000000000002</v>
      </c>
      <c r="BH72" s="1036">
        <f t="shared" si="405"/>
        <v>0.16335000000000002</v>
      </c>
      <c r="BI72" s="1036">
        <f t="shared" si="406"/>
        <v>0.17968500000000004</v>
      </c>
      <c r="BJ72" s="1036">
        <f t="shared" si="407"/>
        <v>0.19765350000000007</v>
      </c>
      <c r="BK72" s="1036">
        <f t="shared" si="408"/>
        <v>0.19765350000000007</v>
      </c>
      <c r="BL72" s="1036">
        <f t="shared" si="409"/>
        <v>0.21741885000000008</v>
      </c>
      <c r="BM72" s="1036">
        <f t="shared" si="410"/>
        <v>0.2391607350000001</v>
      </c>
      <c r="BN72" s="1036">
        <v>0.15</v>
      </c>
      <c r="BO72" s="1036">
        <f t="shared" si="467"/>
        <v>0.13500000000000001</v>
      </c>
      <c r="BP72" s="1036">
        <f t="shared" si="468"/>
        <v>0.13500000000000001</v>
      </c>
      <c r="BQ72" s="1036">
        <f t="shared" si="411"/>
        <v>0.13500000000000001</v>
      </c>
      <c r="BR72" s="1036">
        <f t="shared" si="412"/>
        <v>0.14850000000000002</v>
      </c>
      <c r="BS72" s="1036">
        <f t="shared" si="413"/>
        <v>0.16335000000000002</v>
      </c>
      <c r="BT72" s="1036">
        <f t="shared" si="414"/>
        <v>0.16335000000000002</v>
      </c>
      <c r="BU72" s="1036">
        <f t="shared" si="415"/>
        <v>0.17968500000000004</v>
      </c>
      <c r="BV72" s="1036">
        <f t="shared" si="416"/>
        <v>0.19765350000000007</v>
      </c>
      <c r="BW72" s="1036">
        <f t="shared" si="417"/>
        <v>0.19765350000000007</v>
      </c>
      <c r="BX72" s="1036">
        <f t="shared" si="418"/>
        <v>0.21741885000000008</v>
      </c>
      <c r="BY72" s="1036">
        <f t="shared" si="419"/>
        <v>0.2391607350000001</v>
      </c>
      <c r="BZ72" s="1036">
        <v>0.15</v>
      </c>
      <c r="CA72" s="1036">
        <f t="shared" si="469"/>
        <v>0.13500000000000001</v>
      </c>
      <c r="CB72" s="1036">
        <f t="shared" si="470"/>
        <v>0.13500000000000001</v>
      </c>
      <c r="CC72" s="1036">
        <f t="shared" si="420"/>
        <v>0.13500000000000001</v>
      </c>
      <c r="CD72" s="1036">
        <f t="shared" si="421"/>
        <v>0.14850000000000002</v>
      </c>
      <c r="CE72" s="1036">
        <f t="shared" si="422"/>
        <v>0.16335000000000002</v>
      </c>
      <c r="CF72" s="1036">
        <f t="shared" si="423"/>
        <v>0.16335000000000002</v>
      </c>
      <c r="CG72" s="1036">
        <f t="shared" si="424"/>
        <v>0.17968500000000004</v>
      </c>
      <c r="CH72" s="1036">
        <f t="shared" si="425"/>
        <v>0.19765350000000007</v>
      </c>
      <c r="CI72" s="1036">
        <f t="shared" si="426"/>
        <v>0.19765350000000007</v>
      </c>
      <c r="CJ72" s="1036">
        <f t="shared" si="427"/>
        <v>0.21741885000000008</v>
      </c>
      <c r="CK72" s="1036">
        <f t="shared" si="428"/>
        <v>0.2391607350000001</v>
      </c>
      <c r="CL72" s="1036">
        <v>0.15</v>
      </c>
      <c r="CM72" s="1036">
        <f t="shared" si="471"/>
        <v>0.13500000000000001</v>
      </c>
      <c r="CN72" s="1036">
        <f t="shared" si="472"/>
        <v>0.13500000000000001</v>
      </c>
      <c r="CO72" s="1036">
        <f t="shared" si="429"/>
        <v>0.13500000000000001</v>
      </c>
      <c r="CP72" s="1036">
        <f t="shared" si="430"/>
        <v>0.14850000000000002</v>
      </c>
      <c r="CQ72" s="1036">
        <f t="shared" si="431"/>
        <v>0.16335000000000002</v>
      </c>
      <c r="CR72" s="1036">
        <f t="shared" si="432"/>
        <v>0.16335000000000002</v>
      </c>
      <c r="CS72" s="1036">
        <f t="shared" si="433"/>
        <v>0.17968500000000004</v>
      </c>
      <c r="CT72" s="1036">
        <f t="shared" si="434"/>
        <v>0.19765350000000007</v>
      </c>
      <c r="CU72" s="1036">
        <f t="shared" si="435"/>
        <v>0.19765350000000007</v>
      </c>
      <c r="CV72" s="1036">
        <f t="shared" si="436"/>
        <v>0.21741885000000008</v>
      </c>
      <c r="CW72" s="1036">
        <f t="shared" si="437"/>
        <v>0.2391607350000001</v>
      </c>
      <c r="CX72" s="1036">
        <v>0.15</v>
      </c>
      <c r="CY72" s="1036">
        <f t="shared" si="473"/>
        <v>0.13500000000000001</v>
      </c>
      <c r="CZ72" s="1036">
        <f t="shared" si="474"/>
        <v>0.13500000000000001</v>
      </c>
      <c r="DA72" s="1036">
        <f t="shared" si="438"/>
        <v>0.13500000000000001</v>
      </c>
      <c r="DB72" s="1036">
        <f t="shared" si="439"/>
        <v>0.14850000000000002</v>
      </c>
      <c r="DC72" s="1036">
        <f t="shared" si="440"/>
        <v>0.16335000000000002</v>
      </c>
      <c r="DD72" s="1036">
        <f t="shared" si="441"/>
        <v>0.16335000000000002</v>
      </c>
      <c r="DE72" s="1036">
        <f t="shared" si="442"/>
        <v>0.17968500000000004</v>
      </c>
      <c r="DF72" s="1036">
        <f t="shared" si="443"/>
        <v>0.19765350000000007</v>
      </c>
      <c r="DG72" s="1036">
        <f t="shared" si="444"/>
        <v>0.19765350000000007</v>
      </c>
      <c r="DH72" s="1036">
        <f t="shared" si="445"/>
        <v>0.21741885000000008</v>
      </c>
      <c r="DI72" s="1036">
        <f t="shared" si="446"/>
        <v>0.2391607350000001</v>
      </c>
      <c r="DK72" s="1899"/>
      <c r="DL72" s="940" t="s">
        <v>122</v>
      </c>
      <c r="DN72" s="977">
        <v>4</v>
      </c>
      <c r="DO72" s="978">
        <f>DO61*$AJ$72</f>
        <v>2.8171268507402965</v>
      </c>
      <c r="DP72" s="978">
        <f>DP61*$AJ$72</f>
        <v>2.3945578231292517</v>
      </c>
      <c r="DQ72" s="978">
        <f>DQ61*$AJ$72</f>
        <v>2.5354141656662668</v>
      </c>
      <c r="DR72" s="979">
        <f>DR61*$AJ$72</f>
        <v>3.8735494197679077</v>
      </c>
      <c r="DT72" s="977">
        <v>4</v>
      </c>
      <c r="DU72" s="978">
        <f>DU61*$AH$72</f>
        <v>0</v>
      </c>
      <c r="DV72" s="978">
        <f>DV61*$AH$72</f>
        <v>0</v>
      </c>
      <c r="DW72" s="978">
        <f>DW61*$AH$72</f>
        <v>0</v>
      </c>
      <c r="DX72" s="979">
        <f>DX61*$AH$72</f>
        <v>0</v>
      </c>
      <c r="DZ72" s="977">
        <v>4</v>
      </c>
      <c r="EA72" s="978">
        <f>EA61*AL$72</f>
        <v>3.0988395358143261</v>
      </c>
      <c r="EB72" s="978">
        <f>EB61*AM$72</f>
        <v>2.3241296518607446</v>
      </c>
      <c r="EC72" s="978">
        <f>EC61*AN$72</f>
        <v>3.0678511404561832</v>
      </c>
      <c r="ED72" s="979">
        <f>ED61*AO$72</f>
        <v>4.4995150060024018</v>
      </c>
      <c r="EF72" s="977">
        <f t="shared" si="475"/>
        <v>3.9</v>
      </c>
      <c r="EG72" s="978">
        <f t="shared" si="447"/>
        <v>3.1050000000000004</v>
      </c>
      <c r="EH72" s="978">
        <f t="shared" si="448"/>
        <v>3.5100000000000002</v>
      </c>
      <c r="EI72" s="978">
        <f t="shared" si="449"/>
        <v>2.97</v>
      </c>
      <c r="EJ72" s="978">
        <f t="shared" si="450"/>
        <v>3.1185000000000005</v>
      </c>
      <c r="EK72" s="978">
        <f t="shared" si="451"/>
        <v>2.8586250000000004</v>
      </c>
      <c r="EL72" s="978">
        <f t="shared" si="452"/>
        <v>1.1434500000000001</v>
      </c>
      <c r="EM72" s="978">
        <f t="shared" si="453"/>
        <v>1.1679525000000002</v>
      </c>
      <c r="EN72" s="978">
        <f t="shared" si="454"/>
        <v>1.2847477500000004</v>
      </c>
      <c r="EO72" s="978">
        <f t="shared" si="455"/>
        <v>0.9882675000000003</v>
      </c>
      <c r="EP72" s="978">
        <f t="shared" si="456"/>
        <v>1.5219319500000006</v>
      </c>
      <c r="EQ72" s="979">
        <f t="shared" si="457"/>
        <v>1.6741251450000008</v>
      </c>
      <c r="ES72" s="977">
        <f t="shared" si="476"/>
        <v>1.05</v>
      </c>
      <c r="ET72" s="978">
        <f t="shared" si="458"/>
        <v>0.81</v>
      </c>
      <c r="EU72" s="978">
        <f t="shared" si="458"/>
        <v>0.67500000000000004</v>
      </c>
      <c r="EV72" s="978">
        <f t="shared" si="458"/>
        <v>0.47250000000000003</v>
      </c>
      <c r="EW72" s="978">
        <f t="shared" si="458"/>
        <v>0.29700000000000004</v>
      </c>
      <c r="EX72" s="978">
        <f t="shared" si="458"/>
        <v>0.73507500000000014</v>
      </c>
      <c r="EY72" s="978">
        <f t="shared" si="458"/>
        <v>1.1434500000000001</v>
      </c>
      <c r="EZ72" s="978">
        <f t="shared" si="458"/>
        <v>1.2577950000000002</v>
      </c>
      <c r="FA72" s="978">
        <f t="shared" si="458"/>
        <v>1.3835745000000004</v>
      </c>
      <c r="FB72" s="978">
        <f t="shared" si="458"/>
        <v>1.3835745000000004</v>
      </c>
      <c r="FC72" s="978">
        <f t="shared" si="458"/>
        <v>1.5219319500000006</v>
      </c>
      <c r="FD72" s="979">
        <f t="shared" si="458"/>
        <v>1.6741251450000008</v>
      </c>
      <c r="FF72" s="977">
        <f t="shared" si="477"/>
        <v>1.05</v>
      </c>
      <c r="FG72" s="978">
        <f t="shared" si="459"/>
        <v>0.94500000000000006</v>
      </c>
      <c r="FH72" s="978">
        <f t="shared" si="459"/>
        <v>0.94500000000000006</v>
      </c>
      <c r="FI72" s="978">
        <f t="shared" si="459"/>
        <v>0.60750000000000004</v>
      </c>
      <c r="FJ72" s="978">
        <f t="shared" si="459"/>
        <v>0.29700000000000004</v>
      </c>
      <c r="FK72" s="978">
        <f t="shared" si="459"/>
        <v>0.73507500000000014</v>
      </c>
      <c r="FL72" s="978">
        <f t="shared" si="459"/>
        <v>0.98010000000000019</v>
      </c>
      <c r="FM72" s="978">
        <f t="shared" si="459"/>
        <v>0.89842500000000025</v>
      </c>
      <c r="FN72" s="978">
        <f t="shared" si="459"/>
        <v>0.9882675000000003</v>
      </c>
      <c r="FO72" s="978">
        <f t="shared" si="459"/>
        <v>0.9882675000000003</v>
      </c>
      <c r="FP72" s="978">
        <f t="shared" si="459"/>
        <v>1.0870942500000005</v>
      </c>
      <c r="FQ72" s="979">
        <f t="shared" si="459"/>
        <v>1.1958036750000005</v>
      </c>
      <c r="FS72" s="977">
        <f t="shared" si="478"/>
        <v>0.75</v>
      </c>
      <c r="FT72" s="978">
        <f t="shared" si="460"/>
        <v>0.67500000000000004</v>
      </c>
      <c r="FU72" s="978">
        <f t="shared" si="460"/>
        <v>0.67500000000000004</v>
      </c>
      <c r="FV72" s="978">
        <f t="shared" si="460"/>
        <v>0.47250000000000003</v>
      </c>
      <c r="FW72" s="978">
        <f t="shared" si="460"/>
        <v>0.29700000000000004</v>
      </c>
      <c r="FX72" s="978">
        <f t="shared" si="460"/>
        <v>0.32670000000000005</v>
      </c>
      <c r="FY72" s="978">
        <f t="shared" si="460"/>
        <v>0.32670000000000005</v>
      </c>
      <c r="FZ72" s="978">
        <f t="shared" si="460"/>
        <v>0.35937000000000008</v>
      </c>
      <c r="GA72" s="978">
        <f t="shared" si="460"/>
        <v>0.39530700000000013</v>
      </c>
      <c r="GB72" s="978">
        <f t="shared" si="460"/>
        <v>0.39530700000000013</v>
      </c>
      <c r="GC72" s="978">
        <f t="shared" si="460"/>
        <v>0.43483770000000016</v>
      </c>
      <c r="GD72" s="979">
        <f t="shared" si="460"/>
        <v>0.47832147000000019</v>
      </c>
      <c r="GF72" s="977">
        <f t="shared" si="479"/>
        <v>0.3</v>
      </c>
      <c r="GG72" s="978">
        <f t="shared" si="461"/>
        <v>0.27</v>
      </c>
      <c r="GH72" s="978">
        <f t="shared" si="461"/>
        <v>0.27</v>
      </c>
      <c r="GI72" s="978">
        <f t="shared" si="461"/>
        <v>0.27</v>
      </c>
      <c r="GJ72" s="978">
        <f t="shared" si="461"/>
        <v>0.29700000000000004</v>
      </c>
      <c r="GK72" s="978">
        <f t="shared" si="461"/>
        <v>0.32670000000000005</v>
      </c>
      <c r="GL72" s="978">
        <f t="shared" si="461"/>
        <v>0.32670000000000005</v>
      </c>
      <c r="GM72" s="978">
        <f t="shared" si="461"/>
        <v>0.35937000000000008</v>
      </c>
      <c r="GN72" s="978">
        <f t="shared" si="461"/>
        <v>0.39530700000000013</v>
      </c>
      <c r="GO72" s="978">
        <f t="shared" si="461"/>
        <v>0.39530700000000013</v>
      </c>
      <c r="GP72" s="978">
        <f t="shared" si="461"/>
        <v>0.43483770000000016</v>
      </c>
      <c r="GQ72" s="979">
        <f t="shared" si="461"/>
        <v>0.47832147000000019</v>
      </c>
      <c r="GS72" s="977">
        <f t="shared" si="480"/>
        <v>0.3</v>
      </c>
      <c r="GT72" s="978">
        <f t="shared" si="462"/>
        <v>0.27</v>
      </c>
      <c r="GU72" s="978">
        <f t="shared" si="462"/>
        <v>0.27</v>
      </c>
      <c r="GV72" s="978">
        <f t="shared" si="462"/>
        <v>0.27</v>
      </c>
      <c r="GW72" s="978">
        <f t="shared" si="462"/>
        <v>0.29700000000000004</v>
      </c>
      <c r="GX72" s="978">
        <f t="shared" si="462"/>
        <v>0.32670000000000005</v>
      </c>
      <c r="GY72" s="978">
        <f t="shared" si="462"/>
        <v>0.32670000000000005</v>
      </c>
      <c r="GZ72" s="978">
        <f t="shared" si="462"/>
        <v>0.35937000000000008</v>
      </c>
      <c r="HA72" s="978">
        <f t="shared" si="462"/>
        <v>0.39530700000000013</v>
      </c>
      <c r="HB72" s="978">
        <f t="shared" si="462"/>
        <v>0.39530700000000013</v>
      </c>
      <c r="HC72" s="978">
        <f t="shared" si="462"/>
        <v>0.43483770000000016</v>
      </c>
      <c r="HD72" s="979">
        <f t="shared" si="462"/>
        <v>0.47832147000000019</v>
      </c>
    </row>
    <row r="73" spans="2:212" ht="14.25">
      <c r="B73" s="941" t="s">
        <v>1079</v>
      </c>
      <c r="C73" s="31"/>
      <c r="D73" s="31"/>
      <c r="E73" s="31"/>
      <c r="F73" s="31"/>
      <c r="G73" s="31"/>
      <c r="H73" s="1072"/>
      <c r="I73" s="1072"/>
      <c r="N73" s="1899"/>
      <c r="O73" s="940" t="s">
        <v>123</v>
      </c>
      <c r="P73" s="595">
        <v>0</v>
      </c>
      <c r="Q73" s="595">
        <v>2</v>
      </c>
      <c r="R73" s="595">
        <v>2</v>
      </c>
      <c r="S73" s="595">
        <v>1</v>
      </c>
      <c r="T73" s="595">
        <v>1</v>
      </c>
      <c r="U73" s="595">
        <v>0</v>
      </c>
      <c r="V73" s="595">
        <v>0</v>
      </c>
      <c r="X73" s="1063"/>
      <c r="AA73" s="1899"/>
      <c r="AB73" s="940" t="s">
        <v>123</v>
      </c>
      <c r="AC73" s="599">
        <f t="shared" si="395"/>
        <v>0</v>
      </c>
      <c r="AD73" s="599">
        <f t="shared" si="395"/>
        <v>0.11764705882352941</v>
      </c>
      <c r="AE73" s="599">
        <f t="shared" si="395"/>
        <v>0.25</v>
      </c>
      <c r="AF73" s="599">
        <f t="shared" si="395"/>
        <v>0.1</v>
      </c>
      <c r="AG73" s="599">
        <f t="shared" si="395"/>
        <v>0.14285714285714285</v>
      </c>
      <c r="AH73" s="599">
        <f t="shared" si="395"/>
        <v>0</v>
      </c>
      <c r="AI73" s="599">
        <f t="shared" si="395"/>
        <v>0</v>
      </c>
      <c r="AJ73" s="935">
        <f t="shared" si="396"/>
        <v>8.721488595438176E-2</v>
      </c>
      <c r="AK73" s="935">
        <f t="shared" si="397"/>
        <v>8.721488595438176E-2</v>
      </c>
      <c r="AL73" s="935">
        <f t="shared" si="463"/>
        <v>9.5936374549819944E-2</v>
      </c>
      <c r="AM73" s="935">
        <f t="shared" si="398"/>
        <v>9.5936374549819944E-2</v>
      </c>
      <c r="AN73" s="935">
        <f t="shared" si="399"/>
        <v>0.10553001200480194</v>
      </c>
      <c r="AO73" s="935">
        <f t="shared" si="400"/>
        <v>0.11608301320528215</v>
      </c>
      <c r="AP73" s="1036">
        <v>0.1</v>
      </c>
      <c r="AQ73" s="1036">
        <f t="shared" si="464"/>
        <v>9.0000000000000011E-2</v>
      </c>
      <c r="AR73" s="1036">
        <f t="shared" si="464"/>
        <v>9.0000000000000011E-2</v>
      </c>
      <c r="AS73" s="1036">
        <f t="shared" si="464"/>
        <v>9.0000000000000011E-2</v>
      </c>
      <c r="AT73" s="1036">
        <f t="shared" si="464"/>
        <v>9.9000000000000019E-2</v>
      </c>
      <c r="AU73" s="1036">
        <f t="shared" si="464"/>
        <v>0.10890000000000002</v>
      </c>
      <c r="AV73" s="1036">
        <f t="shared" si="464"/>
        <v>0.10890000000000002</v>
      </c>
      <c r="AW73" s="1036">
        <f t="shared" si="464"/>
        <v>0.11979000000000004</v>
      </c>
      <c r="AX73" s="1036">
        <f t="shared" si="464"/>
        <v>0.13176900000000005</v>
      </c>
      <c r="AY73" s="1036">
        <f t="shared" si="464"/>
        <v>0.13176900000000005</v>
      </c>
      <c r="AZ73" s="1036">
        <f t="shared" si="464"/>
        <v>0.14494590000000007</v>
      </c>
      <c r="BA73" s="1036">
        <f t="shared" si="464"/>
        <v>0.1594404900000001</v>
      </c>
      <c r="BB73" s="1036">
        <v>0.1</v>
      </c>
      <c r="BC73" s="1036">
        <f t="shared" si="465"/>
        <v>9.0000000000000011E-2</v>
      </c>
      <c r="BD73" s="1036">
        <f t="shared" si="466"/>
        <v>9.0000000000000011E-2</v>
      </c>
      <c r="BE73" s="1036">
        <f t="shared" si="402"/>
        <v>9.0000000000000011E-2</v>
      </c>
      <c r="BF73" s="1036">
        <f t="shared" si="403"/>
        <v>9.9000000000000019E-2</v>
      </c>
      <c r="BG73" s="1036">
        <f t="shared" si="404"/>
        <v>0.10890000000000002</v>
      </c>
      <c r="BH73" s="1036">
        <f t="shared" si="405"/>
        <v>0.10890000000000002</v>
      </c>
      <c r="BI73" s="1036">
        <f t="shared" si="406"/>
        <v>0.11979000000000004</v>
      </c>
      <c r="BJ73" s="1036">
        <f t="shared" si="407"/>
        <v>0.13176900000000005</v>
      </c>
      <c r="BK73" s="1036">
        <f t="shared" si="408"/>
        <v>0.13176900000000005</v>
      </c>
      <c r="BL73" s="1036">
        <f t="shared" si="409"/>
        <v>0.14494590000000007</v>
      </c>
      <c r="BM73" s="1036">
        <f t="shared" si="410"/>
        <v>0.1594404900000001</v>
      </c>
      <c r="BN73" s="1036">
        <v>0.1</v>
      </c>
      <c r="BO73" s="1036">
        <f t="shared" si="467"/>
        <v>9.0000000000000011E-2</v>
      </c>
      <c r="BP73" s="1036">
        <f t="shared" si="468"/>
        <v>9.0000000000000011E-2</v>
      </c>
      <c r="BQ73" s="1036">
        <f t="shared" si="411"/>
        <v>9.0000000000000011E-2</v>
      </c>
      <c r="BR73" s="1036">
        <f t="shared" si="412"/>
        <v>9.9000000000000019E-2</v>
      </c>
      <c r="BS73" s="1036">
        <f t="shared" si="413"/>
        <v>0.10890000000000002</v>
      </c>
      <c r="BT73" s="1036">
        <f t="shared" si="414"/>
        <v>0.10890000000000002</v>
      </c>
      <c r="BU73" s="1036">
        <f t="shared" si="415"/>
        <v>0.11979000000000004</v>
      </c>
      <c r="BV73" s="1036">
        <f t="shared" si="416"/>
        <v>0.13176900000000005</v>
      </c>
      <c r="BW73" s="1036">
        <f t="shared" si="417"/>
        <v>0.13176900000000005</v>
      </c>
      <c r="BX73" s="1036">
        <f t="shared" si="418"/>
        <v>0.14494590000000007</v>
      </c>
      <c r="BY73" s="1036">
        <f t="shared" si="419"/>
        <v>0.1594404900000001</v>
      </c>
      <c r="BZ73" s="1036">
        <v>0.1</v>
      </c>
      <c r="CA73" s="1036">
        <f t="shared" si="469"/>
        <v>9.0000000000000011E-2</v>
      </c>
      <c r="CB73" s="1036">
        <f t="shared" si="470"/>
        <v>9.0000000000000011E-2</v>
      </c>
      <c r="CC73" s="1036">
        <f t="shared" si="420"/>
        <v>9.0000000000000011E-2</v>
      </c>
      <c r="CD73" s="1036">
        <f t="shared" si="421"/>
        <v>9.9000000000000019E-2</v>
      </c>
      <c r="CE73" s="1036">
        <f t="shared" si="422"/>
        <v>0.10890000000000002</v>
      </c>
      <c r="CF73" s="1036">
        <f t="shared" si="423"/>
        <v>0.10890000000000002</v>
      </c>
      <c r="CG73" s="1036">
        <f t="shared" si="424"/>
        <v>0.11979000000000004</v>
      </c>
      <c r="CH73" s="1036">
        <f t="shared" si="425"/>
        <v>0.13176900000000005</v>
      </c>
      <c r="CI73" s="1036">
        <f t="shared" si="426"/>
        <v>0.13176900000000005</v>
      </c>
      <c r="CJ73" s="1036">
        <f t="shared" si="427"/>
        <v>0.14494590000000007</v>
      </c>
      <c r="CK73" s="1036">
        <f t="shared" si="428"/>
        <v>0.1594404900000001</v>
      </c>
      <c r="CL73" s="1036">
        <v>0.1</v>
      </c>
      <c r="CM73" s="1036">
        <f t="shared" si="471"/>
        <v>9.0000000000000011E-2</v>
      </c>
      <c r="CN73" s="1036">
        <f t="shared" si="472"/>
        <v>9.0000000000000011E-2</v>
      </c>
      <c r="CO73" s="1036">
        <f t="shared" si="429"/>
        <v>9.0000000000000011E-2</v>
      </c>
      <c r="CP73" s="1036">
        <f t="shared" si="430"/>
        <v>9.9000000000000019E-2</v>
      </c>
      <c r="CQ73" s="1036">
        <f t="shared" si="431"/>
        <v>0.10890000000000002</v>
      </c>
      <c r="CR73" s="1036">
        <f t="shared" si="432"/>
        <v>0.10890000000000002</v>
      </c>
      <c r="CS73" s="1036">
        <f t="shared" si="433"/>
        <v>0.11979000000000004</v>
      </c>
      <c r="CT73" s="1036">
        <f t="shared" si="434"/>
        <v>0.13176900000000005</v>
      </c>
      <c r="CU73" s="1036">
        <f t="shared" si="435"/>
        <v>0.13176900000000005</v>
      </c>
      <c r="CV73" s="1036">
        <f t="shared" si="436"/>
        <v>0.14494590000000007</v>
      </c>
      <c r="CW73" s="1036">
        <f t="shared" si="437"/>
        <v>0.1594404900000001</v>
      </c>
      <c r="CX73" s="1036">
        <v>0.1</v>
      </c>
      <c r="CY73" s="1036">
        <f t="shared" si="473"/>
        <v>9.0000000000000011E-2</v>
      </c>
      <c r="CZ73" s="1036">
        <f t="shared" si="474"/>
        <v>9.0000000000000011E-2</v>
      </c>
      <c r="DA73" s="1036">
        <f t="shared" si="438"/>
        <v>9.0000000000000011E-2</v>
      </c>
      <c r="DB73" s="1036">
        <f t="shared" si="439"/>
        <v>9.9000000000000019E-2</v>
      </c>
      <c r="DC73" s="1036">
        <f t="shared" si="440"/>
        <v>0.10890000000000002</v>
      </c>
      <c r="DD73" s="1036">
        <f t="shared" si="441"/>
        <v>0.10890000000000002</v>
      </c>
      <c r="DE73" s="1036">
        <f t="shared" si="442"/>
        <v>0.11979000000000004</v>
      </c>
      <c r="DF73" s="1036">
        <f t="shared" si="443"/>
        <v>0.13176900000000005</v>
      </c>
      <c r="DG73" s="1036">
        <f t="shared" si="444"/>
        <v>0.13176900000000005</v>
      </c>
      <c r="DH73" s="1036">
        <f t="shared" si="445"/>
        <v>0.14494590000000007</v>
      </c>
      <c r="DI73" s="1036">
        <f t="shared" si="446"/>
        <v>0.1594404900000001</v>
      </c>
      <c r="DK73" s="1899"/>
      <c r="DL73" s="940" t="s">
        <v>123</v>
      </c>
      <c r="DN73" s="977">
        <v>1</v>
      </c>
      <c r="DO73" s="978">
        <f>DO62*$AJ$73</f>
        <v>0.69771908763505408</v>
      </c>
      <c r="DP73" s="978">
        <f>DP62*$AJ$73</f>
        <v>1.7442977190876352</v>
      </c>
      <c r="DQ73" s="978">
        <f>DQ62*$AJ$73</f>
        <v>1.4826530612244899</v>
      </c>
      <c r="DR73" s="979">
        <f>DR62*$AJ$73</f>
        <v>1.5698679471788717</v>
      </c>
      <c r="DT73" s="977">
        <v>1</v>
      </c>
      <c r="DU73" s="978">
        <f>DU62*$AH$73</f>
        <v>0</v>
      </c>
      <c r="DV73" s="978">
        <f>DV62*$AH$73</f>
        <v>0</v>
      </c>
      <c r="DW73" s="978">
        <f>DW62*$AH$73</f>
        <v>0</v>
      </c>
      <c r="DX73" s="979">
        <f>DX62*$AH$73</f>
        <v>0</v>
      </c>
      <c r="DZ73" s="977">
        <v>1</v>
      </c>
      <c r="EA73" s="978">
        <f>EA62*AL$73</f>
        <v>0.6715546218487396</v>
      </c>
      <c r="EB73" s="978">
        <f>EB62*AM$73</f>
        <v>1.9187274909963989</v>
      </c>
      <c r="EC73" s="978">
        <f>EC62*AN$73</f>
        <v>1.5829501800720291</v>
      </c>
      <c r="ED73" s="979">
        <f>ED62*AO$73</f>
        <v>2.0894942376950789</v>
      </c>
      <c r="EF73" s="977">
        <f t="shared" si="475"/>
        <v>2.4000000000000004</v>
      </c>
      <c r="EG73" s="978">
        <f t="shared" si="447"/>
        <v>2.3400000000000003</v>
      </c>
      <c r="EH73" s="978">
        <f t="shared" si="448"/>
        <v>2.0700000000000003</v>
      </c>
      <c r="EI73" s="978">
        <f t="shared" si="449"/>
        <v>2.3400000000000003</v>
      </c>
      <c r="EJ73" s="978">
        <f t="shared" si="450"/>
        <v>2.1780000000000004</v>
      </c>
      <c r="EK73" s="978">
        <f t="shared" si="451"/>
        <v>2.2869000000000006</v>
      </c>
      <c r="EL73" s="978">
        <f t="shared" si="452"/>
        <v>1.9057500000000005</v>
      </c>
      <c r="EM73" s="978">
        <f t="shared" si="453"/>
        <v>0.83853000000000022</v>
      </c>
      <c r="EN73" s="978">
        <f t="shared" si="454"/>
        <v>0.85649850000000038</v>
      </c>
      <c r="EO73" s="978">
        <f t="shared" si="455"/>
        <v>0.85649850000000038</v>
      </c>
      <c r="EP73" s="978">
        <f t="shared" si="456"/>
        <v>0.72472950000000036</v>
      </c>
      <c r="EQ73" s="979">
        <f t="shared" si="457"/>
        <v>1.1160834300000007</v>
      </c>
      <c r="ES73" s="977">
        <f t="shared" si="476"/>
        <v>0.70000000000000007</v>
      </c>
      <c r="ET73" s="978">
        <f t="shared" si="458"/>
        <v>0.63000000000000012</v>
      </c>
      <c r="EU73" s="978">
        <f t="shared" si="458"/>
        <v>0.54</v>
      </c>
      <c r="EV73" s="978">
        <f t="shared" si="458"/>
        <v>0.45000000000000007</v>
      </c>
      <c r="EW73" s="978">
        <f t="shared" si="458"/>
        <v>0.34650000000000009</v>
      </c>
      <c r="EX73" s="978">
        <f t="shared" si="458"/>
        <v>0.21780000000000005</v>
      </c>
      <c r="EY73" s="978">
        <f t="shared" si="458"/>
        <v>0.4900500000000001</v>
      </c>
      <c r="EZ73" s="978">
        <f t="shared" si="458"/>
        <v>0.83853000000000022</v>
      </c>
      <c r="FA73" s="978">
        <f t="shared" si="458"/>
        <v>0.9223830000000004</v>
      </c>
      <c r="FB73" s="978">
        <f t="shared" si="458"/>
        <v>0.9223830000000004</v>
      </c>
      <c r="FC73" s="978">
        <f t="shared" si="458"/>
        <v>1.0146213000000004</v>
      </c>
      <c r="FD73" s="979">
        <f t="shared" si="458"/>
        <v>1.1160834300000007</v>
      </c>
      <c r="FF73" s="977">
        <f t="shared" si="477"/>
        <v>0.70000000000000007</v>
      </c>
      <c r="FG73" s="978">
        <f t="shared" si="459"/>
        <v>0.63000000000000012</v>
      </c>
      <c r="FH73" s="978">
        <f t="shared" si="459"/>
        <v>0.63000000000000012</v>
      </c>
      <c r="FI73" s="978">
        <f t="shared" si="459"/>
        <v>0.63000000000000012</v>
      </c>
      <c r="FJ73" s="978">
        <f t="shared" si="459"/>
        <v>0.44550000000000006</v>
      </c>
      <c r="FK73" s="978">
        <f t="shared" si="459"/>
        <v>0.21780000000000005</v>
      </c>
      <c r="FL73" s="978">
        <f t="shared" si="459"/>
        <v>0.4900500000000001</v>
      </c>
      <c r="FM73" s="978">
        <f t="shared" si="459"/>
        <v>0.71874000000000016</v>
      </c>
      <c r="FN73" s="978">
        <f t="shared" si="459"/>
        <v>0.65884500000000024</v>
      </c>
      <c r="FO73" s="978">
        <f t="shared" si="459"/>
        <v>0.65884500000000024</v>
      </c>
      <c r="FP73" s="978">
        <f t="shared" si="459"/>
        <v>0.72472950000000036</v>
      </c>
      <c r="FQ73" s="979">
        <f t="shared" si="459"/>
        <v>0.79720245000000056</v>
      </c>
      <c r="FS73" s="977">
        <f t="shared" si="478"/>
        <v>0.5</v>
      </c>
      <c r="FT73" s="978">
        <f t="shared" si="460"/>
        <v>0.45000000000000007</v>
      </c>
      <c r="FU73" s="978">
        <f t="shared" si="460"/>
        <v>0.45000000000000007</v>
      </c>
      <c r="FV73" s="978">
        <f t="shared" si="460"/>
        <v>0.45000000000000007</v>
      </c>
      <c r="FW73" s="978">
        <f t="shared" si="460"/>
        <v>0.34650000000000009</v>
      </c>
      <c r="FX73" s="978">
        <f t="shared" si="460"/>
        <v>0.21780000000000005</v>
      </c>
      <c r="FY73" s="978">
        <f t="shared" si="460"/>
        <v>0.21780000000000005</v>
      </c>
      <c r="FZ73" s="978">
        <f t="shared" si="460"/>
        <v>0.23958000000000007</v>
      </c>
      <c r="GA73" s="978">
        <f t="shared" si="460"/>
        <v>0.26353800000000011</v>
      </c>
      <c r="GB73" s="978">
        <f t="shared" si="460"/>
        <v>0.26353800000000011</v>
      </c>
      <c r="GC73" s="978">
        <f t="shared" si="460"/>
        <v>0.28989180000000014</v>
      </c>
      <c r="GD73" s="979">
        <f t="shared" si="460"/>
        <v>0.3188809800000002</v>
      </c>
      <c r="GF73" s="977">
        <f t="shared" si="479"/>
        <v>0.2</v>
      </c>
      <c r="GG73" s="978">
        <f t="shared" si="461"/>
        <v>0.18000000000000002</v>
      </c>
      <c r="GH73" s="978">
        <f t="shared" si="461"/>
        <v>0.18000000000000002</v>
      </c>
      <c r="GI73" s="978">
        <f t="shared" si="461"/>
        <v>0.18000000000000002</v>
      </c>
      <c r="GJ73" s="978">
        <f t="shared" si="461"/>
        <v>0.19800000000000004</v>
      </c>
      <c r="GK73" s="978">
        <f t="shared" si="461"/>
        <v>0.21780000000000005</v>
      </c>
      <c r="GL73" s="978">
        <f t="shared" si="461"/>
        <v>0.21780000000000005</v>
      </c>
      <c r="GM73" s="978">
        <f t="shared" si="461"/>
        <v>0.23958000000000007</v>
      </c>
      <c r="GN73" s="978">
        <f t="shared" si="461"/>
        <v>0.26353800000000011</v>
      </c>
      <c r="GO73" s="978">
        <f t="shared" si="461"/>
        <v>0.26353800000000011</v>
      </c>
      <c r="GP73" s="978">
        <f t="shared" si="461"/>
        <v>0.28989180000000014</v>
      </c>
      <c r="GQ73" s="979">
        <f t="shared" si="461"/>
        <v>0.3188809800000002</v>
      </c>
      <c r="GS73" s="977">
        <f t="shared" si="480"/>
        <v>0.2</v>
      </c>
      <c r="GT73" s="978">
        <f t="shared" si="462"/>
        <v>0.18000000000000002</v>
      </c>
      <c r="GU73" s="978">
        <f t="shared" si="462"/>
        <v>0.18000000000000002</v>
      </c>
      <c r="GV73" s="978">
        <f t="shared" si="462"/>
        <v>0.18000000000000002</v>
      </c>
      <c r="GW73" s="978">
        <f t="shared" si="462"/>
        <v>0.19800000000000004</v>
      </c>
      <c r="GX73" s="978">
        <f t="shared" si="462"/>
        <v>0.21780000000000005</v>
      </c>
      <c r="GY73" s="978">
        <f t="shared" si="462"/>
        <v>0.21780000000000005</v>
      </c>
      <c r="GZ73" s="978">
        <f t="shared" si="462"/>
        <v>0.23958000000000007</v>
      </c>
      <c r="HA73" s="978">
        <f t="shared" si="462"/>
        <v>0.26353800000000011</v>
      </c>
      <c r="HB73" s="978">
        <f t="shared" si="462"/>
        <v>0.26353800000000011</v>
      </c>
      <c r="HC73" s="978">
        <f t="shared" si="462"/>
        <v>0.28989180000000014</v>
      </c>
      <c r="HD73" s="979">
        <f t="shared" si="462"/>
        <v>0.3188809800000002</v>
      </c>
    </row>
    <row r="74" spans="2:212" ht="14.25">
      <c r="B74" s="1078" t="s">
        <v>1080</v>
      </c>
      <c r="C74" s="31"/>
      <c r="D74" s="31"/>
      <c r="E74" s="31"/>
      <c r="F74" s="31"/>
      <c r="G74" s="31"/>
      <c r="H74" s="1072"/>
      <c r="I74" s="1072"/>
      <c r="N74" s="1899"/>
      <c r="O74" s="940" t="s">
        <v>124</v>
      </c>
      <c r="P74" s="595">
        <v>1</v>
      </c>
      <c r="Q74" s="595">
        <v>0</v>
      </c>
      <c r="R74" s="595">
        <v>3</v>
      </c>
      <c r="S74" s="595">
        <v>1</v>
      </c>
      <c r="T74" s="595">
        <v>0</v>
      </c>
      <c r="U74" s="595">
        <v>1</v>
      </c>
      <c r="V74" s="595">
        <v>0</v>
      </c>
      <c r="X74" s="1063"/>
      <c r="AA74" s="1899"/>
      <c r="AB74" s="940" t="s">
        <v>124</v>
      </c>
      <c r="AC74" s="599">
        <f t="shared" si="395"/>
        <v>7.6923076923076927E-2</v>
      </c>
      <c r="AD74" s="599">
        <f t="shared" si="395"/>
        <v>0</v>
      </c>
      <c r="AE74" s="599">
        <f t="shared" si="395"/>
        <v>0.17647058823529413</v>
      </c>
      <c r="AF74" s="599">
        <f t="shared" si="395"/>
        <v>0.125</v>
      </c>
      <c r="AG74" s="599">
        <f t="shared" si="395"/>
        <v>0</v>
      </c>
      <c r="AH74" s="599">
        <f t="shared" si="395"/>
        <v>0.14285714285714285</v>
      </c>
      <c r="AI74" s="599">
        <f t="shared" si="395"/>
        <v>0</v>
      </c>
      <c r="AJ74" s="935">
        <f t="shared" si="396"/>
        <v>7.4464401145073397E-2</v>
      </c>
      <c r="AK74" s="935">
        <f t="shared" si="397"/>
        <v>7.4464401145073397E-2</v>
      </c>
      <c r="AL74" s="935">
        <f t="shared" si="463"/>
        <v>8.1910841259580744E-2</v>
      </c>
      <c r="AM74" s="935">
        <f t="shared" si="398"/>
        <v>8.1910841259580744E-2</v>
      </c>
      <c r="AN74" s="935">
        <f t="shared" si="399"/>
        <v>9.0101925385538822E-2</v>
      </c>
      <c r="AO74" s="935">
        <f t="shared" si="400"/>
        <v>9.9112117924092719E-2</v>
      </c>
      <c r="AP74" s="1036">
        <v>0.1</v>
      </c>
      <c r="AQ74" s="1036">
        <f t="shared" si="464"/>
        <v>9.0000000000000011E-2</v>
      </c>
      <c r="AR74" s="1036">
        <f t="shared" si="464"/>
        <v>9.0000000000000011E-2</v>
      </c>
      <c r="AS74" s="1036">
        <f t="shared" si="464"/>
        <v>9.0000000000000011E-2</v>
      </c>
      <c r="AT74" s="1036">
        <f t="shared" si="464"/>
        <v>9.9000000000000019E-2</v>
      </c>
      <c r="AU74" s="1036">
        <f t="shared" si="464"/>
        <v>0.10890000000000002</v>
      </c>
      <c r="AV74" s="1036">
        <f t="shared" si="464"/>
        <v>0.10890000000000002</v>
      </c>
      <c r="AW74" s="1036">
        <f t="shared" si="464"/>
        <v>0.11979000000000004</v>
      </c>
      <c r="AX74" s="1036">
        <f t="shared" si="464"/>
        <v>0.13176900000000005</v>
      </c>
      <c r="AY74" s="1036">
        <f t="shared" si="464"/>
        <v>0.13176900000000005</v>
      </c>
      <c r="AZ74" s="1036">
        <f t="shared" si="464"/>
        <v>0.14494590000000007</v>
      </c>
      <c r="BA74" s="1036">
        <f t="shared" si="464"/>
        <v>0.1594404900000001</v>
      </c>
      <c r="BB74" s="1036">
        <v>0.1</v>
      </c>
      <c r="BC74" s="1036">
        <f t="shared" si="465"/>
        <v>9.0000000000000011E-2</v>
      </c>
      <c r="BD74" s="1036">
        <f t="shared" si="466"/>
        <v>9.0000000000000011E-2</v>
      </c>
      <c r="BE74" s="1036">
        <f t="shared" si="402"/>
        <v>9.0000000000000011E-2</v>
      </c>
      <c r="BF74" s="1036">
        <f t="shared" si="403"/>
        <v>9.9000000000000019E-2</v>
      </c>
      <c r="BG74" s="1036">
        <f t="shared" si="404"/>
        <v>0.10890000000000002</v>
      </c>
      <c r="BH74" s="1036">
        <f t="shared" si="405"/>
        <v>0.10890000000000002</v>
      </c>
      <c r="BI74" s="1036">
        <f t="shared" si="406"/>
        <v>0.11979000000000004</v>
      </c>
      <c r="BJ74" s="1036">
        <f t="shared" si="407"/>
        <v>0.13176900000000005</v>
      </c>
      <c r="BK74" s="1036">
        <f t="shared" si="408"/>
        <v>0.13176900000000005</v>
      </c>
      <c r="BL74" s="1036">
        <f t="shared" si="409"/>
        <v>0.14494590000000007</v>
      </c>
      <c r="BM74" s="1036">
        <f t="shared" si="410"/>
        <v>0.1594404900000001</v>
      </c>
      <c r="BN74" s="1036">
        <v>0.1</v>
      </c>
      <c r="BO74" s="1036">
        <f t="shared" si="467"/>
        <v>9.0000000000000011E-2</v>
      </c>
      <c r="BP74" s="1036">
        <f t="shared" si="468"/>
        <v>9.0000000000000011E-2</v>
      </c>
      <c r="BQ74" s="1036">
        <f t="shared" si="411"/>
        <v>9.0000000000000011E-2</v>
      </c>
      <c r="BR74" s="1036">
        <f t="shared" si="412"/>
        <v>9.9000000000000019E-2</v>
      </c>
      <c r="BS74" s="1036">
        <f t="shared" si="413"/>
        <v>0.10890000000000002</v>
      </c>
      <c r="BT74" s="1036">
        <f t="shared" si="414"/>
        <v>0.10890000000000002</v>
      </c>
      <c r="BU74" s="1036">
        <f t="shared" si="415"/>
        <v>0.11979000000000004</v>
      </c>
      <c r="BV74" s="1036">
        <f t="shared" si="416"/>
        <v>0.13176900000000005</v>
      </c>
      <c r="BW74" s="1036">
        <f t="shared" si="417"/>
        <v>0.13176900000000005</v>
      </c>
      <c r="BX74" s="1036">
        <f t="shared" si="418"/>
        <v>0.14494590000000007</v>
      </c>
      <c r="BY74" s="1036">
        <f t="shared" si="419"/>
        <v>0.1594404900000001</v>
      </c>
      <c r="BZ74" s="1036">
        <v>0.1</v>
      </c>
      <c r="CA74" s="1036">
        <f t="shared" si="469"/>
        <v>9.0000000000000011E-2</v>
      </c>
      <c r="CB74" s="1036">
        <f t="shared" si="470"/>
        <v>9.0000000000000011E-2</v>
      </c>
      <c r="CC74" s="1036">
        <f t="shared" si="420"/>
        <v>9.0000000000000011E-2</v>
      </c>
      <c r="CD74" s="1036">
        <f t="shared" si="421"/>
        <v>9.9000000000000019E-2</v>
      </c>
      <c r="CE74" s="1036">
        <f t="shared" si="422"/>
        <v>0.10890000000000002</v>
      </c>
      <c r="CF74" s="1036">
        <f t="shared" si="423"/>
        <v>0.10890000000000002</v>
      </c>
      <c r="CG74" s="1036">
        <f t="shared" si="424"/>
        <v>0.11979000000000004</v>
      </c>
      <c r="CH74" s="1036">
        <f t="shared" si="425"/>
        <v>0.13176900000000005</v>
      </c>
      <c r="CI74" s="1036">
        <f t="shared" si="426"/>
        <v>0.13176900000000005</v>
      </c>
      <c r="CJ74" s="1036">
        <f t="shared" si="427"/>
        <v>0.14494590000000007</v>
      </c>
      <c r="CK74" s="1036">
        <f t="shared" si="428"/>
        <v>0.1594404900000001</v>
      </c>
      <c r="CL74" s="1036">
        <v>0.1</v>
      </c>
      <c r="CM74" s="1036">
        <f t="shared" si="471"/>
        <v>9.0000000000000011E-2</v>
      </c>
      <c r="CN74" s="1036">
        <f t="shared" si="472"/>
        <v>9.0000000000000011E-2</v>
      </c>
      <c r="CO74" s="1036">
        <f t="shared" si="429"/>
        <v>9.0000000000000011E-2</v>
      </c>
      <c r="CP74" s="1036">
        <f t="shared" si="430"/>
        <v>9.9000000000000019E-2</v>
      </c>
      <c r="CQ74" s="1036">
        <f t="shared" si="431"/>
        <v>0.10890000000000002</v>
      </c>
      <c r="CR74" s="1036">
        <f t="shared" si="432"/>
        <v>0.10890000000000002</v>
      </c>
      <c r="CS74" s="1036">
        <f t="shared" si="433"/>
        <v>0.11979000000000004</v>
      </c>
      <c r="CT74" s="1036">
        <f t="shared" si="434"/>
        <v>0.13176900000000005</v>
      </c>
      <c r="CU74" s="1036">
        <f t="shared" si="435"/>
        <v>0.13176900000000005</v>
      </c>
      <c r="CV74" s="1036">
        <f t="shared" si="436"/>
        <v>0.14494590000000007</v>
      </c>
      <c r="CW74" s="1036">
        <f t="shared" si="437"/>
        <v>0.1594404900000001</v>
      </c>
      <c r="CX74" s="1036">
        <v>0.1</v>
      </c>
      <c r="CY74" s="1036">
        <f t="shared" si="473"/>
        <v>9.0000000000000011E-2</v>
      </c>
      <c r="CZ74" s="1036">
        <f t="shared" si="474"/>
        <v>9.0000000000000011E-2</v>
      </c>
      <c r="DA74" s="1036">
        <f t="shared" si="438"/>
        <v>9.0000000000000011E-2</v>
      </c>
      <c r="DB74" s="1036">
        <f t="shared" si="439"/>
        <v>9.9000000000000019E-2</v>
      </c>
      <c r="DC74" s="1036">
        <f t="shared" si="440"/>
        <v>0.10890000000000002</v>
      </c>
      <c r="DD74" s="1036">
        <f t="shared" si="441"/>
        <v>0.10890000000000002</v>
      </c>
      <c r="DE74" s="1036">
        <f t="shared" si="442"/>
        <v>0.11979000000000004</v>
      </c>
      <c r="DF74" s="1036">
        <f t="shared" si="443"/>
        <v>0.13176900000000005</v>
      </c>
      <c r="DG74" s="1036">
        <f t="shared" si="444"/>
        <v>0.13176900000000005</v>
      </c>
      <c r="DH74" s="1036">
        <f t="shared" si="445"/>
        <v>0.14494590000000007</v>
      </c>
      <c r="DI74" s="1036">
        <f t="shared" si="446"/>
        <v>0.1594404900000001</v>
      </c>
      <c r="DK74" s="1899"/>
      <c r="DL74" s="940" t="s">
        <v>124</v>
      </c>
      <c r="DN74" s="977">
        <v>0</v>
      </c>
      <c r="DO74" s="978">
        <f>DO63*$AJ$74</f>
        <v>1.1169660171761009</v>
      </c>
      <c r="DP74" s="978">
        <f>DP63*$AJ$74</f>
        <v>0.59571520916058718</v>
      </c>
      <c r="DQ74" s="978">
        <f>DQ63*$AJ$74</f>
        <v>1.489288022901468</v>
      </c>
      <c r="DR74" s="979">
        <f>DR63*$AJ$74</f>
        <v>1.2658948194662478</v>
      </c>
      <c r="DT74" s="977">
        <v>0</v>
      </c>
      <c r="DU74" s="978">
        <f>DU63*$AH$74</f>
        <v>2.1428571428571428</v>
      </c>
      <c r="DV74" s="978">
        <f>DV63*$AH$74</f>
        <v>1.1428571428571428</v>
      </c>
      <c r="DW74" s="978">
        <f>DW63*$AH$74</f>
        <v>2.8571428571428568</v>
      </c>
      <c r="DX74" s="979">
        <f>DX63*$AH$74</f>
        <v>2.4285714285714284</v>
      </c>
      <c r="DZ74" s="977">
        <v>0</v>
      </c>
      <c r="EA74" s="978">
        <f>EA63*AL$74</f>
        <v>1.2286626188937111</v>
      </c>
      <c r="EB74" s="978">
        <f>EB63*AM$74</f>
        <v>0.57337588881706525</v>
      </c>
      <c r="EC74" s="978">
        <f>EC63*AN$74</f>
        <v>1.8020385077107766</v>
      </c>
      <c r="ED74" s="979">
        <f>ED63*AO$74</f>
        <v>1.4866817688613907</v>
      </c>
      <c r="EF74" s="977">
        <f t="shared" si="475"/>
        <v>1.8</v>
      </c>
      <c r="EG74" s="978">
        <f t="shared" si="447"/>
        <v>2.16</v>
      </c>
      <c r="EH74" s="978">
        <f t="shared" si="448"/>
        <v>2.3400000000000003</v>
      </c>
      <c r="EI74" s="978">
        <f t="shared" si="449"/>
        <v>2.0700000000000003</v>
      </c>
      <c r="EJ74" s="978">
        <f t="shared" si="450"/>
        <v>2.5740000000000003</v>
      </c>
      <c r="EK74" s="978">
        <f t="shared" si="451"/>
        <v>2.3958000000000004</v>
      </c>
      <c r="EL74" s="978">
        <f t="shared" si="452"/>
        <v>2.2869000000000006</v>
      </c>
      <c r="EM74" s="978">
        <f t="shared" si="453"/>
        <v>2.0963250000000007</v>
      </c>
      <c r="EN74" s="978">
        <f t="shared" si="454"/>
        <v>0.9223830000000004</v>
      </c>
      <c r="EO74" s="978">
        <f t="shared" si="455"/>
        <v>0.85649850000000038</v>
      </c>
      <c r="EP74" s="978">
        <f t="shared" si="456"/>
        <v>0.94214835000000052</v>
      </c>
      <c r="EQ74" s="979">
        <f t="shared" si="457"/>
        <v>0.79720245000000056</v>
      </c>
      <c r="ES74" s="977">
        <f t="shared" si="476"/>
        <v>0.70000000000000007</v>
      </c>
      <c r="ET74" s="978">
        <f t="shared" si="458"/>
        <v>0.63000000000000012</v>
      </c>
      <c r="EU74" s="978">
        <f t="shared" si="458"/>
        <v>0.63000000000000012</v>
      </c>
      <c r="EV74" s="978">
        <f t="shared" si="458"/>
        <v>0.54</v>
      </c>
      <c r="EW74" s="978">
        <f t="shared" si="458"/>
        <v>0.49500000000000011</v>
      </c>
      <c r="EX74" s="978">
        <f t="shared" si="458"/>
        <v>0.3811500000000001</v>
      </c>
      <c r="EY74" s="978">
        <f t="shared" si="458"/>
        <v>0.21780000000000005</v>
      </c>
      <c r="EZ74" s="978">
        <f t="shared" si="458"/>
        <v>0.53905500000000017</v>
      </c>
      <c r="FA74" s="978">
        <f t="shared" si="458"/>
        <v>0.9223830000000004</v>
      </c>
      <c r="FB74" s="978">
        <f t="shared" si="458"/>
        <v>0.9223830000000004</v>
      </c>
      <c r="FC74" s="978">
        <f t="shared" si="458"/>
        <v>1.0146213000000004</v>
      </c>
      <c r="FD74" s="979">
        <f t="shared" si="458"/>
        <v>1.1160834300000007</v>
      </c>
      <c r="FF74" s="977">
        <f t="shared" si="477"/>
        <v>0.70000000000000007</v>
      </c>
      <c r="FG74" s="978">
        <f t="shared" si="459"/>
        <v>0.63000000000000012</v>
      </c>
      <c r="FH74" s="978">
        <f t="shared" si="459"/>
        <v>0.63000000000000012</v>
      </c>
      <c r="FI74" s="978">
        <f t="shared" si="459"/>
        <v>0.63000000000000012</v>
      </c>
      <c r="FJ74" s="978">
        <f t="shared" si="459"/>
        <v>0.69300000000000017</v>
      </c>
      <c r="FK74" s="978">
        <f t="shared" si="459"/>
        <v>0.4900500000000001</v>
      </c>
      <c r="FL74" s="978">
        <f t="shared" si="459"/>
        <v>0.21780000000000005</v>
      </c>
      <c r="FM74" s="978">
        <f t="shared" si="459"/>
        <v>0.53905500000000017</v>
      </c>
      <c r="FN74" s="978">
        <f t="shared" si="459"/>
        <v>0.79061400000000037</v>
      </c>
      <c r="FO74" s="978">
        <f t="shared" si="459"/>
        <v>0.65884500000000024</v>
      </c>
      <c r="FP74" s="978">
        <f t="shared" si="459"/>
        <v>0.72472950000000036</v>
      </c>
      <c r="FQ74" s="979">
        <f t="shared" si="459"/>
        <v>0.79720245000000056</v>
      </c>
      <c r="FS74" s="977">
        <f t="shared" si="478"/>
        <v>0.5</v>
      </c>
      <c r="FT74" s="978">
        <f t="shared" si="460"/>
        <v>0.45000000000000007</v>
      </c>
      <c r="FU74" s="978">
        <f t="shared" si="460"/>
        <v>0.45000000000000007</v>
      </c>
      <c r="FV74" s="978">
        <f t="shared" si="460"/>
        <v>0.45000000000000007</v>
      </c>
      <c r="FW74" s="978">
        <f t="shared" si="460"/>
        <v>0.49500000000000011</v>
      </c>
      <c r="FX74" s="978">
        <f t="shared" si="460"/>
        <v>0.3811500000000001</v>
      </c>
      <c r="FY74" s="978">
        <f t="shared" si="460"/>
        <v>0.21780000000000005</v>
      </c>
      <c r="FZ74" s="978">
        <f t="shared" si="460"/>
        <v>0.23958000000000007</v>
      </c>
      <c r="GA74" s="978">
        <f t="shared" si="460"/>
        <v>0.26353800000000011</v>
      </c>
      <c r="GB74" s="978">
        <f t="shared" si="460"/>
        <v>0.26353800000000011</v>
      </c>
      <c r="GC74" s="978">
        <f t="shared" si="460"/>
        <v>0.28989180000000014</v>
      </c>
      <c r="GD74" s="979">
        <f t="shared" si="460"/>
        <v>0.3188809800000002</v>
      </c>
      <c r="GF74" s="977">
        <f t="shared" si="479"/>
        <v>0.2</v>
      </c>
      <c r="GG74" s="978">
        <f t="shared" si="461"/>
        <v>0.18000000000000002</v>
      </c>
      <c r="GH74" s="978">
        <f t="shared" si="461"/>
        <v>0.18000000000000002</v>
      </c>
      <c r="GI74" s="978">
        <f t="shared" si="461"/>
        <v>0.18000000000000002</v>
      </c>
      <c r="GJ74" s="978">
        <f t="shared" si="461"/>
        <v>0.19800000000000004</v>
      </c>
      <c r="GK74" s="978">
        <f t="shared" si="461"/>
        <v>0.21780000000000005</v>
      </c>
      <c r="GL74" s="978">
        <f t="shared" si="461"/>
        <v>0.21780000000000005</v>
      </c>
      <c r="GM74" s="978">
        <f t="shared" si="461"/>
        <v>0.23958000000000007</v>
      </c>
      <c r="GN74" s="978">
        <f t="shared" si="461"/>
        <v>0.26353800000000011</v>
      </c>
      <c r="GO74" s="978">
        <f t="shared" si="461"/>
        <v>0.26353800000000011</v>
      </c>
      <c r="GP74" s="978">
        <f t="shared" si="461"/>
        <v>0.28989180000000014</v>
      </c>
      <c r="GQ74" s="979">
        <f t="shared" si="461"/>
        <v>0.3188809800000002</v>
      </c>
      <c r="GS74" s="977">
        <f t="shared" si="480"/>
        <v>0.2</v>
      </c>
      <c r="GT74" s="978">
        <f t="shared" si="462"/>
        <v>0.18000000000000002</v>
      </c>
      <c r="GU74" s="978">
        <f t="shared" si="462"/>
        <v>0.18000000000000002</v>
      </c>
      <c r="GV74" s="978">
        <f t="shared" si="462"/>
        <v>0.18000000000000002</v>
      </c>
      <c r="GW74" s="978">
        <f t="shared" si="462"/>
        <v>0.19800000000000004</v>
      </c>
      <c r="GX74" s="978">
        <f t="shared" si="462"/>
        <v>0.21780000000000005</v>
      </c>
      <c r="GY74" s="978">
        <f t="shared" si="462"/>
        <v>0.21780000000000005</v>
      </c>
      <c r="GZ74" s="978">
        <f t="shared" si="462"/>
        <v>0.23958000000000007</v>
      </c>
      <c r="HA74" s="978">
        <f t="shared" si="462"/>
        <v>0.26353800000000011</v>
      </c>
      <c r="HB74" s="978">
        <f t="shared" si="462"/>
        <v>0.26353800000000011</v>
      </c>
      <c r="HC74" s="978">
        <f t="shared" si="462"/>
        <v>0.28989180000000014</v>
      </c>
      <c r="HD74" s="979">
        <f t="shared" si="462"/>
        <v>0.3188809800000002</v>
      </c>
    </row>
    <row r="75" spans="2:212">
      <c r="B75" s="963"/>
      <c r="D75" s="931"/>
      <c r="E75" s="931"/>
      <c r="F75" s="931"/>
      <c r="G75" s="989"/>
      <c r="H75" s="931"/>
      <c r="I75" s="596"/>
      <c r="N75" s="1899"/>
      <c r="O75" s="940" t="s">
        <v>125</v>
      </c>
      <c r="P75" s="595">
        <v>0</v>
      </c>
      <c r="Q75" s="595">
        <v>2</v>
      </c>
      <c r="R75" s="595">
        <v>1</v>
      </c>
      <c r="S75" s="595">
        <v>2</v>
      </c>
      <c r="T75" s="595">
        <v>0</v>
      </c>
      <c r="U75" s="595">
        <v>0</v>
      </c>
      <c r="V75" s="595">
        <v>1</v>
      </c>
      <c r="X75" s="1063"/>
      <c r="AA75" s="1899"/>
      <c r="AB75" s="940" t="s">
        <v>125</v>
      </c>
      <c r="AC75" s="599">
        <f t="shared" si="395"/>
        <v>0</v>
      </c>
      <c r="AD75" s="599">
        <f t="shared" si="395"/>
        <v>0.18181818181818182</v>
      </c>
      <c r="AE75" s="599">
        <f t="shared" si="395"/>
        <v>0.1</v>
      </c>
      <c r="AF75" s="599">
        <f t="shared" si="395"/>
        <v>0.11764705882352941</v>
      </c>
      <c r="AG75" s="599">
        <f t="shared" si="395"/>
        <v>0</v>
      </c>
      <c r="AH75" s="599">
        <f t="shared" si="395"/>
        <v>0</v>
      </c>
      <c r="AI75" s="599">
        <f t="shared" si="395"/>
        <v>0.2</v>
      </c>
      <c r="AJ75" s="935">
        <f t="shared" si="396"/>
        <v>8.563789152024448E-2</v>
      </c>
      <c r="AK75" s="935">
        <f t="shared" si="397"/>
        <v>8.563789152024448E-2</v>
      </c>
      <c r="AL75" s="935">
        <f t="shared" si="463"/>
        <v>9.4201680672268931E-2</v>
      </c>
      <c r="AM75" s="935">
        <f t="shared" si="398"/>
        <v>9.4201680672268931E-2</v>
      </c>
      <c r="AN75" s="935">
        <f t="shared" si="399"/>
        <v>0.10362184873949583</v>
      </c>
      <c r="AO75" s="935">
        <f t="shared" si="400"/>
        <v>0.11398403361344542</v>
      </c>
      <c r="AP75" s="1036">
        <v>0.1</v>
      </c>
      <c r="AQ75" s="1036">
        <f t="shared" si="464"/>
        <v>9.0000000000000011E-2</v>
      </c>
      <c r="AR75" s="1036">
        <f t="shared" si="464"/>
        <v>9.0000000000000011E-2</v>
      </c>
      <c r="AS75" s="1036">
        <f t="shared" si="464"/>
        <v>9.0000000000000011E-2</v>
      </c>
      <c r="AT75" s="1036">
        <f t="shared" si="464"/>
        <v>9.9000000000000019E-2</v>
      </c>
      <c r="AU75" s="1036">
        <f t="shared" si="464"/>
        <v>0.10890000000000002</v>
      </c>
      <c r="AV75" s="1036">
        <f t="shared" si="464"/>
        <v>0.10890000000000002</v>
      </c>
      <c r="AW75" s="1036">
        <f t="shared" si="464"/>
        <v>0.11979000000000004</v>
      </c>
      <c r="AX75" s="1036">
        <f t="shared" si="464"/>
        <v>0.13176900000000005</v>
      </c>
      <c r="AY75" s="1036">
        <f t="shared" si="464"/>
        <v>0.13176900000000005</v>
      </c>
      <c r="AZ75" s="1036">
        <f t="shared" si="464"/>
        <v>0.14494590000000007</v>
      </c>
      <c r="BA75" s="1036">
        <f t="shared" si="464"/>
        <v>0.1594404900000001</v>
      </c>
      <c r="BB75" s="1036">
        <v>0.1</v>
      </c>
      <c r="BC75" s="1036">
        <f t="shared" si="465"/>
        <v>9.0000000000000011E-2</v>
      </c>
      <c r="BD75" s="1036">
        <f t="shared" si="466"/>
        <v>9.0000000000000011E-2</v>
      </c>
      <c r="BE75" s="1036">
        <f t="shared" si="402"/>
        <v>9.0000000000000011E-2</v>
      </c>
      <c r="BF75" s="1036">
        <f t="shared" si="403"/>
        <v>9.9000000000000019E-2</v>
      </c>
      <c r="BG75" s="1036">
        <f t="shared" si="404"/>
        <v>0.10890000000000002</v>
      </c>
      <c r="BH75" s="1036">
        <f t="shared" si="405"/>
        <v>0.10890000000000002</v>
      </c>
      <c r="BI75" s="1036">
        <f t="shared" si="406"/>
        <v>0.11979000000000004</v>
      </c>
      <c r="BJ75" s="1036">
        <f t="shared" si="407"/>
        <v>0.13176900000000005</v>
      </c>
      <c r="BK75" s="1036">
        <f t="shared" si="408"/>
        <v>0.13176900000000005</v>
      </c>
      <c r="BL75" s="1036">
        <f t="shared" si="409"/>
        <v>0.14494590000000007</v>
      </c>
      <c r="BM75" s="1036">
        <f t="shared" si="410"/>
        <v>0.1594404900000001</v>
      </c>
      <c r="BN75" s="1036">
        <v>0.1</v>
      </c>
      <c r="BO75" s="1036">
        <f t="shared" si="467"/>
        <v>9.0000000000000011E-2</v>
      </c>
      <c r="BP75" s="1036">
        <f t="shared" si="468"/>
        <v>9.0000000000000011E-2</v>
      </c>
      <c r="BQ75" s="1036">
        <f t="shared" si="411"/>
        <v>9.0000000000000011E-2</v>
      </c>
      <c r="BR75" s="1036">
        <f t="shared" si="412"/>
        <v>9.9000000000000019E-2</v>
      </c>
      <c r="BS75" s="1036">
        <f t="shared" si="413"/>
        <v>0.10890000000000002</v>
      </c>
      <c r="BT75" s="1036">
        <f t="shared" si="414"/>
        <v>0.10890000000000002</v>
      </c>
      <c r="BU75" s="1036">
        <f t="shared" si="415"/>
        <v>0.11979000000000004</v>
      </c>
      <c r="BV75" s="1036">
        <f t="shared" si="416"/>
        <v>0.13176900000000005</v>
      </c>
      <c r="BW75" s="1036">
        <f t="shared" si="417"/>
        <v>0.13176900000000005</v>
      </c>
      <c r="BX75" s="1036">
        <f t="shared" si="418"/>
        <v>0.14494590000000007</v>
      </c>
      <c r="BY75" s="1036">
        <f t="shared" si="419"/>
        <v>0.1594404900000001</v>
      </c>
      <c r="BZ75" s="1036">
        <v>0.1</v>
      </c>
      <c r="CA75" s="1036">
        <f t="shared" si="469"/>
        <v>9.0000000000000011E-2</v>
      </c>
      <c r="CB75" s="1036">
        <f t="shared" si="470"/>
        <v>9.0000000000000011E-2</v>
      </c>
      <c r="CC75" s="1036">
        <f t="shared" si="420"/>
        <v>9.0000000000000011E-2</v>
      </c>
      <c r="CD75" s="1036">
        <f t="shared" si="421"/>
        <v>9.9000000000000019E-2</v>
      </c>
      <c r="CE75" s="1036">
        <f t="shared" si="422"/>
        <v>0.10890000000000002</v>
      </c>
      <c r="CF75" s="1036">
        <f t="shared" si="423"/>
        <v>0.10890000000000002</v>
      </c>
      <c r="CG75" s="1036">
        <f t="shared" si="424"/>
        <v>0.11979000000000004</v>
      </c>
      <c r="CH75" s="1036">
        <f t="shared" si="425"/>
        <v>0.13176900000000005</v>
      </c>
      <c r="CI75" s="1036">
        <f t="shared" si="426"/>
        <v>0.13176900000000005</v>
      </c>
      <c r="CJ75" s="1036">
        <f t="shared" si="427"/>
        <v>0.14494590000000007</v>
      </c>
      <c r="CK75" s="1036">
        <f t="shared" si="428"/>
        <v>0.1594404900000001</v>
      </c>
      <c r="CL75" s="1036">
        <v>0.1</v>
      </c>
      <c r="CM75" s="1036">
        <f t="shared" si="471"/>
        <v>9.0000000000000011E-2</v>
      </c>
      <c r="CN75" s="1036">
        <f t="shared" si="472"/>
        <v>9.0000000000000011E-2</v>
      </c>
      <c r="CO75" s="1036">
        <f t="shared" si="429"/>
        <v>9.0000000000000011E-2</v>
      </c>
      <c r="CP75" s="1036">
        <f t="shared" si="430"/>
        <v>9.9000000000000019E-2</v>
      </c>
      <c r="CQ75" s="1036">
        <f t="shared" si="431"/>
        <v>0.10890000000000002</v>
      </c>
      <c r="CR75" s="1036">
        <f t="shared" si="432"/>
        <v>0.10890000000000002</v>
      </c>
      <c r="CS75" s="1036">
        <f t="shared" si="433"/>
        <v>0.11979000000000004</v>
      </c>
      <c r="CT75" s="1036">
        <f t="shared" si="434"/>
        <v>0.13176900000000005</v>
      </c>
      <c r="CU75" s="1036">
        <f t="shared" si="435"/>
        <v>0.13176900000000005</v>
      </c>
      <c r="CV75" s="1036">
        <f t="shared" si="436"/>
        <v>0.14494590000000007</v>
      </c>
      <c r="CW75" s="1036">
        <f t="shared" si="437"/>
        <v>0.1594404900000001</v>
      </c>
      <c r="CX75" s="1036">
        <v>0.1</v>
      </c>
      <c r="CY75" s="1036">
        <f t="shared" si="473"/>
        <v>9.0000000000000011E-2</v>
      </c>
      <c r="CZ75" s="1036">
        <f t="shared" si="474"/>
        <v>9.0000000000000011E-2</v>
      </c>
      <c r="DA75" s="1036">
        <f t="shared" si="438"/>
        <v>9.0000000000000011E-2</v>
      </c>
      <c r="DB75" s="1036">
        <f t="shared" si="439"/>
        <v>9.9000000000000019E-2</v>
      </c>
      <c r="DC75" s="1036">
        <f t="shared" si="440"/>
        <v>0.10890000000000002</v>
      </c>
      <c r="DD75" s="1036">
        <f t="shared" si="441"/>
        <v>0.10890000000000002</v>
      </c>
      <c r="DE75" s="1036">
        <f t="shared" si="442"/>
        <v>0.11979000000000004</v>
      </c>
      <c r="DF75" s="1036">
        <f t="shared" si="443"/>
        <v>0.13176900000000005</v>
      </c>
      <c r="DG75" s="1036">
        <f t="shared" si="444"/>
        <v>0.13176900000000005</v>
      </c>
      <c r="DH75" s="1036">
        <f t="shared" si="445"/>
        <v>0.14494590000000007</v>
      </c>
      <c r="DI75" s="1036">
        <f t="shared" si="446"/>
        <v>0.1594404900000001</v>
      </c>
      <c r="DK75" s="1899"/>
      <c r="DL75" s="940" t="s">
        <v>125</v>
      </c>
      <c r="DN75" s="977">
        <v>0</v>
      </c>
      <c r="DO75" s="978">
        <f>DO64*$AJ$75</f>
        <v>0.4281894576012224</v>
      </c>
      <c r="DP75" s="978">
        <f>DP64*$AJ$75</f>
        <v>1.2845683728036672</v>
      </c>
      <c r="DQ75" s="978">
        <f>DQ64*$AJ$75</f>
        <v>0.68510313216195584</v>
      </c>
      <c r="DR75" s="979">
        <f>DR64*$AJ$75</f>
        <v>1.7127578304048896</v>
      </c>
      <c r="DT75" s="977">
        <v>0</v>
      </c>
      <c r="DU75" s="978">
        <f>DU64*$AH$75</f>
        <v>0</v>
      </c>
      <c r="DV75" s="978">
        <f>DV64*$AH$75</f>
        <v>0</v>
      </c>
      <c r="DW75" s="978">
        <f>DW64*$AH$75</f>
        <v>0</v>
      </c>
      <c r="DX75" s="979">
        <f>DX64*$AH$75</f>
        <v>0</v>
      </c>
      <c r="DZ75" s="977">
        <v>0</v>
      </c>
      <c r="EA75" s="978">
        <f>EA64*AL$75</f>
        <v>0.47100840336134464</v>
      </c>
      <c r="EB75" s="978">
        <f>EB64*AM$75</f>
        <v>1.4130252100840339</v>
      </c>
      <c r="EC75" s="978">
        <f>EC64*AN$75</f>
        <v>0.72535294117647076</v>
      </c>
      <c r="ED75" s="979">
        <f>ED64*AO$75</f>
        <v>2.2796806722689085</v>
      </c>
      <c r="EF75" s="977">
        <f t="shared" si="475"/>
        <v>1.5</v>
      </c>
      <c r="EG75" s="978">
        <f t="shared" si="447"/>
        <v>1.62</v>
      </c>
      <c r="EH75" s="978">
        <f t="shared" si="448"/>
        <v>2.16</v>
      </c>
      <c r="EI75" s="978">
        <f t="shared" si="449"/>
        <v>2.3400000000000003</v>
      </c>
      <c r="EJ75" s="978">
        <f t="shared" si="450"/>
        <v>2.2770000000000006</v>
      </c>
      <c r="EK75" s="978">
        <f t="shared" si="451"/>
        <v>2.8314000000000008</v>
      </c>
      <c r="EL75" s="978">
        <f t="shared" si="452"/>
        <v>2.3958000000000004</v>
      </c>
      <c r="EM75" s="978">
        <f t="shared" si="453"/>
        <v>2.5155900000000009</v>
      </c>
      <c r="EN75" s="978">
        <f t="shared" si="454"/>
        <v>2.3059575000000008</v>
      </c>
      <c r="EO75" s="978">
        <f t="shared" si="455"/>
        <v>0.9223830000000004</v>
      </c>
      <c r="EP75" s="978">
        <f t="shared" si="456"/>
        <v>0.94214835000000052</v>
      </c>
      <c r="EQ75" s="979">
        <f t="shared" si="457"/>
        <v>1.0363631850000006</v>
      </c>
      <c r="ES75" s="977">
        <f t="shared" si="476"/>
        <v>0.5</v>
      </c>
      <c r="ET75" s="978">
        <f t="shared" si="458"/>
        <v>0.63000000000000012</v>
      </c>
      <c r="EU75" s="978">
        <f t="shared" si="458"/>
        <v>0.63000000000000012</v>
      </c>
      <c r="EV75" s="978">
        <f t="shared" si="458"/>
        <v>0.63000000000000012</v>
      </c>
      <c r="EW75" s="978">
        <f t="shared" si="458"/>
        <v>0.59400000000000008</v>
      </c>
      <c r="EX75" s="978">
        <f t="shared" si="458"/>
        <v>0.5445000000000001</v>
      </c>
      <c r="EY75" s="978">
        <f t="shared" si="458"/>
        <v>0.3811500000000001</v>
      </c>
      <c r="EZ75" s="978">
        <f t="shared" si="458"/>
        <v>0.23958000000000007</v>
      </c>
      <c r="FA75" s="978">
        <f t="shared" si="458"/>
        <v>0.59296050000000022</v>
      </c>
      <c r="FB75" s="978">
        <f t="shared" si="458"/>
        <v>0.9223830000000004</v>
      </c>
      <c r="FC75" s="978">
        <f t="shared" si="458"/>
        <v>1.0146213000000004</v>
      </c>
      <c r="FD75" s="979">
        <f t="shared" si="458"/>
        <v>1.1160834300000007</v>
      </c>
      <c r="FF75" s="977">
        <f t="shared" si="477"/>
        <v>0.70000000000000007</v>
      </c>
      <c r="FG75" s="978">
        <f t="shared" si="459"/>
        <v>0.63000000000000012</v>
      </c>
      <c r="FH75" s="978">
        <f t="shared" si="459"/>
        <v>0.63000000000000012</v>
      </c>
      <c r="FI75" s="978">
        <f t="shared" si="459"/>
        <v>0.63000000000000012</v>
      </c>
      <c r="FJ75" s="978">
        <f t="shared" si="459"/>
        <v>0.69300000000000017</v>
      </c>
      <c r="FK75" s="978">
        <f t="shared" si="459"/>
        <v>0.7623000000000002</v>
      </c>
      <c r="FL75" s="978">
        <f t="shared" si="459"/>
        <v>0.4900500000000001</v>
      </c>
      <c r="FM75" s="978">
        <f t="shared" si="459"/>
        <v>0.23958000000000007</v>
      </c>
      <c r="FN75" s="978">
        <f t="shared" si="459"/>
        <v>0.59296050000000022</v>
      </c>
      <c r="FO75" s="978">
        <f t="shared" si="459"/>
        <v>0.79061400000000037</v>
      </c>
      <c r="FP75" s="978">
        <f t="shared" si="459"/>
        <v>0.72472950000000036</v>
      </c>
      <c r="FQ75" s="979">
        <f t="shared" si="459"/>
        <v>0.79720245000000056</v>
      </c>
      <c r="FS75" s="977">
        <f t="shared" si="478"/>
        <v>0.5</v>
      </c>
      <c r="FT75" s="978">
        <f t="shared" si="460"/>
        <v>0.45000000000000007</v>
      </c>
      <c r="FU75" s="978">
        <f t="shared" si="460"/>
        <v>0.45000000000000007</v>
      </c>
      <c r="FV75" s="978">
        <f t="shared" si="460"/>
        <v>0.45000000000000007</v>
      </c>
      <c r="FW75" s="978">
        <f t="shared" si="460"/>
        <v>0.49500000000000011</v>
      </c>
      <c r="FX75" s="978">
        <f t="shared" si="460"/>
        <v>0.5445000000000001</v>
      </c>
      <c r="FY75" s="978">
        <f t="shared" si="460"/>
        <v>0.3811500000000001</v>
      </c>
      <c r="FZ75" s="978">
        <f t="shared" si="460"/>
        <v>0.23958000000000007</v>
      </c>
      <c r="GA75" s="978">
        <f t="shared" si="460"/>
        <v>0.26353800000000011</v>
      </c>
      <c r="GB75" s="978">
        <f t="shared" si="460"/>
        <v>0.26353800000000011</v>
      </c>
      <c r="GC75" s="978">
        <f t="shared" si="460"/>
        <v>0.28989180000000014</v>
      </c>
      <c r="GD75" s="979">
        <f t="shared" si="460"/>
        <v>0.3188809800000002</v>
      </c>
      <c r="GF75" s="977">
        <f t="shared" si="479"/>
        <v>0.2</v>
      </c>
      <c r="GG75" s="978">
        <f t="shared" si="461"/>
        <v>0.18000000000000002</v>
      </c>
      <c r="GH75" s="978">
        <f t="shared" si="461"/>
        <v>0.18000000000000002</v>
      </c>
      <c r="GI75" s="978">
        <f t="shared" si="461"/>
        <v>0.18000000000000002</v>
      </c>
      <c r="GJ75" s="978">
        <f t="shared" si="461"/>
        <v>0.19800000000000004</v>
      </c>
      <c r="GK75" s="978">
        <f t="shared" si="461"/>
        <v>0.21780000000000005</v>
      </c>
      <c r="GL75" s="978">
        <f t="shared" si="461"/>
        <v>0.21780000000000005</v>
      </c>
      <c r="GM75" s="978">
        <f t="shared" si="461"/>
        <v>0.23958000000000007</v>
      </c>
      <c r="GN75" s="978">
        <f t="shared" si="461"/>
        <v>0.26353800000000011</v>
      </c>
      <c r="GO75" s="978">
        <f t="shared" si="461"/>
        <v>0.26353800000000011</v>
      </c>
      <c r="GP75" s="978">
        <f t="shared" si="461"/>
        <v>0.28989180000000014</v>
      </c>
      <c r="GQ75" s="979">
        <f t="shared" si="461"/>
        <v>0.3188809800000002</v>
      </c>
      <c r="GS75" s="977">
        <f t="shared" si="480"/>
        <v>0.2</v>
      </c>
      <c r="GT75" s="978">
        <f t="shared" si="462"/>
        <v>0.18000000000000002</v>
      </c>
      <c r="GU75" s="978">
        <f t="shared" si="462"/>
        <v>0.18000000000000002</v>
      </c>
      <c r="GV75" s="978">
        <f t="shared" si="462"/>
        <v>0.18000000000000002</v>
      </c>
      <c r="GW75" s="978">
        <f t="shared" si="462"/>
        <v>0.19800000000000004</v>
      </c>
      <c r="GX75" s="978">
        <f t="shared" si="462"/>
        <v>0.21780000000000005</v>
      </c>
      <c r="GY75" s="978">
        <f t="shared" si="462"/>
        <v>0.21780000000000005</v>
      </c>
      <c r="GZ75" s="978">
        <f t="shared" si="462"/>
        <v>0.23958000000000007</v>
      </c>
      <c r="HA75" s="978">
        <f t="shared" si="462"/>
        <v>0.26353800000000011</v>
      </c>
      <c r="HB75" s="978">
        <f t="shared" si="462"/>
        <v>0.26353800000000011</v>
      </c>
      <c r="HC75" s="978">
        <f t="shared" si="462"/>
        <v>0.28989180000000014</v>
      </c>
      <c r="HD75" s="979">
        <f t="shared" si="462"/>
        <v>0.3188809800000002</v>
      </c>
    </row>
    <row r="76" spans="2:212">
      <c r="B76" s="960"/>
      <c r="C76" s="966" t="s">
        <v>1044</v>
      </c>
      <c r="D76" s="966"/>
      <c r="E76" s="966"/>
      <c r="F76" s="966"/>
      <c r="G76" s="966"/>
      <c r="H76" s="965"/>
      <c r="I76" s="965"/>
      <c r="N76" s="1899"/>
      <c r="O76" s="940" t="s">
        <v>126</v>
      </c>
      <c r="P76" s="595">
        <v>0</v>
      </c>
      <c r="Q76" s="595">
        <v>1</v>
      </c>
      <c r="R76" s="595">
        <v>2</v>
      </c>
      <c r="S76" s="595">
        <v>1</v>
      </c>
      <c r="T76" s="595">
        <v>3</v>
      </c>
      <c r="U76" s="595">
        <v>1</v>
      </c>
      <c r="V76" s="595">
        <v>0</v>
      </c>
      <c r="X76" s="1063"/>
      <c r="AA76" s="1899"/>
      <c r="AB76" s="940" t="s">
        <v>126</v>
      </c>
      <c r="AC76" s="599">
        <f t="shared" si="395"/>
        <v>0</v>
      </c>
      <c r="AD76" s="599">
        <f t="shared" si="395"/>
        <v>7.6923076923076927E-2</v>
      </c>
      <c r="AE76" s="599">
        <f t="shared" si="395"/>
        <v>0.18181818181818182</v>
      </c>
      <c r="AF76" s="599">
        <f t="shared" si="395"/>
        <v>0.1</v>
      </c>
      <c r="AG76" s="599">
        <f t="shared" si="395"/>
        <v>0.1875</v>
      </c>
      <c r="AH76" s="599">
        <f t="shared" si="395"/>
        <v>0.125</v>
      </c>
      <c r="AI76" s="599">
        <f t="shared" si="395"/>
        <v>0</v>
      </c>
      <c r="AJ76" s="935">
        <f t="shared" si="396"/>
        <v>9.5891608391608388E-2</v>
      </c>
      <c r="AK76" s="935">
        <f t="shared" si="397"/>
        <v>9.5891608391608388E-2</v>
      </c>
      <c r="AL76" s="935">
        <f t="shared" si="463"/>
        <v>0.10548076923076924</v>
      </c>
      <c r="AM76" s="935">
        <f t="shared" si="398"/>
        <v>0.10548076923076924</v>
      </c>
      <c r="AN76" s="935">
        <f t="shared" si="399"/>
        <v>0.11602884615384618</v>
      </c>
      <c r="AO76" s="935">
        <f t="shared" si="400"/>
        <v>0.12763173076923082</v>
      </c>
      <c r="AP76" s="1036">
        <v>0.1</v>
      </c>
      <c r="AQ76" s="1036">
        <f t="shared" si="464"/>
        <v>9.0000000000000011E-2</v>
      </c>
      <c r="AR76" s="1036">
        <f t="shared" si="464"/>
        <v>9.0000000000000011E-2</v>
      </c>
      <c r="AS76" s="1036">
        <f t="shared" si="464"/>
        <v>9.0000000000000011E-2</v>
      </c>
      <c r="AT76" s="1036">
        <f t="shared" si="464"/>
        <v>9.9000000000000019E-2</v>
      </c>
      <c r="AU76" s="1036">
        <f t="shared" si="464"/>
        <v>0.10890000000000002</v>
      </c>
      <c r="AV76" s="1036">
        <f t="shared" si="464"/>
        <v>0.10890000000000002</v>
      </c>
      <c r="AW76" s="1036">
        <f t="shared" si="464"/>
        <v>0.11979000000000004</v>
      </c>
      <c r="AX76" s="1036">
        <f t="shared" si="464"/>
        <v>0.13176900000000005</v>
      </c>
      <c r="AY76" s="1036">
        <f t="shared" si="464"/>
        <v>0.13176900000000005</v>
      </c>
      <c r="AZ76" s="1036">
        <f t="shared" si="464"/>
        <v>0.14494590000000007</v>
      </c>
      <c r="BA76" s="1036">
        <f t="shared" si="464"/>
        <v>0.1594404900000001</v>
      </c>
      <c r="BB76" s="1036">
        <v>0.1</v>
      </c>
      <c r="BC76" s="1036">
        <f t="shared" si="465"/>
        <v>9.0000000000000011E-2</v>
      </c>
      <c r="BD76" s="1036">
        <f t="shared" si="466"/>
        <v>9.0000000000000011E-2</v>
      </c>
      <c r="BE76" s="1036">
        <f t="shared" si="402"/>
        <v>9.0000000000000011E-2</v>
      </c>
      <c r="BF76" s="1036">
        <f t="shared" si="403"/>
        <v>9.9000000000000019E-2</v>
      </c>
      <c r="BG76" s="1036">
        <f t="shared" si="404"/>
        <v>0.10890000000000002</v>
      </c>
      <c r="BH76" s="1036">
        <f t="shared" si="405"/>
        <v>0.10890000000000002</v>
      </c>
      <c r="BI76" s="1036">
        <f t="shared" si="406"/>
        <v>0.11979000000000004</v>
      </c>
      <c r="BJ76" s="1036">
        <f t="shared" si="407"/>
        <v>0.13176900000000005</v>
      </c>
      <c r="BK76" s="1036">
        <f t="shared" si="408"/>
        <v>0.13176900000000005</v>
      </c>
      <c r="BL76" s="1036">
        <f t="shared" si="409"/>
        <v>0.14494590000000007</v>
      </c>
      <c r="BM76" s="1036">
        <f t="shared" si="410"/>
        <v>0.1594404900000001</v>
      </c>
      <c r="BN76" s="1036">
        <v>0.1</v>
      </c>
      <c r="BO76" s="1036">
        <f t="shared" si="467"/>
        <v>9.0000000000000011E-2</v>
      </c>
      <c r="BP76" s="1036">
        <f t="shared" si="468"/>
        <v>9.0000000000000011E-2</v>
      </c>
      <c r="BQ76" s="1036">
        <f t="shared" si="411"/>
        <v>9.0000000000000011E-2</v>
      </c>
      <c r="BR76" s="1036">
        <f t="shared" si="412"/>
        <v>9.9000000000000019E-2</v>
      </c>
      <c r="BS76" s="1036">
        <f t="shared" si="413"/>
        <v>0.10890000000000002</v>
      </c>
      <c r="BT76" s="1036">
        <f t="shared" si="414"/>
        <v>0.10890000000000002</v>
      </c>
      <c r="BU76" s="1036">
        <f t="shared" si="415"/>
        <v>0.11979000000000004</v>
      </c>
      <c r="BV76" s="1036">
        <f t="shared" si="416"/>
        <v>0.13176900000000005</v>
      </c>
      <c r="BW76" s="1036">
        <f t="shared" si="417"/>
        <v>0.13176900000000005</v>
      </c>
      <c r="BX76" s="1036">
        <f t="shared" si="418"/>
        <v>0.14494590000000007</v>
      </c>
      <c r="BY76" s="1036">
        <f t="shared" si="419"/>
        <v>0.1594404900000001</v>
      </c>
      <c r="BZ76" s="1036">
        <v>0.1</v>
      </c>
      <c r="CA76" s="1036">
        <f t="shared" si="469"/>
        <v>9.0000000000000011E-2</v>
      </c>
      <c r="CB76" s="1036">
        <f t="shared" si="470"/>
        <v>9.0000000000000011E-2</v>
      </c>
      <c r="CC76" s="1036">
        <f t="shared" si="420"/>
        <v>9.0000000000000011E-2</v>
      </c>
      <c r="CD76" s="1036">
        <f t="shared" si="421"/>
        <v>9.9000000000000019E-2</v>
      </c>
      <c r="CE76" s="1036">
        <f t="shared" si="422"/>
        <v>0.10890000000000002</v>
      </c>
      <c r="CF76" s="1036">
        <f t="shared" si="423"/>
        <v>0.10890000000000002</v>
      </c>
      <c r="CG76" s="1036">
        <f t="shared" si="424"/>
        <v>0.11979000000000004</v>
      </c>
      <c r="CH76" s="1036">
        <f t="shared" si="425"/>
        <v>0.13176900000000005</v>
      </c>
      <c r="CI76" s="1036">
        <f t="shared" si="426"/>
        <v>0.13176900000000005</v>
      </c>
      <c r="CJ76" s="1036">
        <f t="shared" si="427"/>
        <v>0.14494590000000007</v>
      </c>
      <c r="CK76" s="1036">
        <f t="shared" si="428"/>
        <v>0.1594404900000001</v>
      </c>
      <c r="CL76" s="1036">
        <v>0.1</v>
      </c>
      <c r="CM76" s="1036">
        <f t="shared" si="471"/>
        <v>9.0000000000000011E-2</v>
      </c>
      <c r="CN76" s="1036">
        <f t="shared" si="472"/>
        <v>9.0000000000000011E-2</v>
      </c>
      <c r="CO76" s="1036">
        <f t="shared" si="429"/>
        <v>9.0000000000000011E-2</v>
      </c>
      <c r="CP76" s="1036">
        <f t="shared" si="430"/>
        <v>9.9000000000000019E-2</v>
      </c>
      <c r="CQ76" s="1036">
        <f t="shared" si="431"/>
        <v>0.10890000000000002</v>
      </c>
      <c r="CR76" s="1036">
        <f t="shared" si="432"/>
        <v>0.10890000000000002</v>
      </c>
      <c r="CS76" s="1036">
        <f t="shared" si="433"/>
        <v>0.11979000000000004</v>
      </c>
      <c r="CT76" s="1036">
        <f t="shared" si="434"/>
        <v>0.13176900000000005</v>
      </c>
      <c r="CU76" s="1036">
        <f t="shared" si="435"/>
        <v>0.13176900000000005</v>
      </c>
      <c r="CV76" s="1036">
        <f t="shared" si="436"/>
        <v>0.14494590000000007</v>
      </c>
      <c r="CW76" s="1036">
        <f t="shared" si="437"/>
        <v>0.1594404900000001</v>
      </c>
      <c r="CX76" s="1036">
        <v>0.1</v>
      </c>
      <c r="CY76" s="1036">
        <f t="shared" si="473"/>
        <v>9.0000000000000011E-2</v>
      </c>
      <c r="CZ76" s="1036">
        <f t="shared" si="474"/>
        <v>9.0000000000000011E-2</v>
      </c>
      <c r="DA76" s="1036">
        <f t="shared" si="438"/>
        <v>9.0000000000000011E-2</v>
      </c>
      <c r="DB76" s="1036">
        <f t="shared" si="439"/>
        <v>9.9000000000000019E-2</v>
      </c>
      <c r="DC76" s="1036">
        <f t="shared" si="440"/>
        <v>0.10890000000000002</v>
      </c>
      <c r="DD76" s="1036">
        <f t="shared" si="441"/>
        <v>0.10890000000000002</v>
      </c>
      <c r="DE76" s="1036">
        <f t="shared" si="442"/>
        <v>0.11979000000000004</v>
      </c>
      <c r="DF76" s="1036">
        <f t="shared" si="443"/>
        <v>0.13176900000000005</v>
      </c>
      <c r="DG76" s="1036">
        <f t="shared" si="444"/>
        <v>0.13176900000000005</v>
      </c>
      <c r="DH76" s="1036">
        <f t="shared" si="445"/>
        <v>0.14494590000000007</v>
      </c>
      <c r="DI76" s="1036">
        <f t="shared" si="446"/>
        <v>0.1594404900000001</v>
      </c>
      <c r="DK76" s="1899"/>
      <c r="DL76" s="940" t="s">
        <v>126</v>
      </c>
      <c r="DN76" s="977">
        <v>1</v>
      </c>
      <c r="DO76" s="978">
        <f>DO65*$AJ$76</f>
        <v>9.5891608391608388E-2</v>
      </c>
      <c r="DP76" s="978">
        <f>DP65*$AJ$76</f>
        <v>0.47945804195804193</v>
      </c>
      <c r="DQ76" s="978">
        <f>DQ65*$AJ$76</f>
        <v>1.4383741258741258</v>
      </c>
      <c r="DR76" s="979">
        <f>DR65*$AJ$76</f>
        <v>0.7671328671328671</v>
      </c>
      <c r="DT76" s="977">
        <v>1</v>
      </c>
      <c r="DU76" s="978">
        <f>DU65*$AH$76</f>
        <v>0.125</v>
      </c>
      <c r="DV76" s="978">
        <f>DV65*$AH$76</f>
        <v>0.625</v>
      </c>
      <c r="DW76" s="978">
        <f>DW65*$AH$76</f>
        <v>1.875</v>
      </c>
      <c r="DX76" s="979">
        <f>DX65*$AH$76</f>
        <v>1</v>
      </c>
      <c r="DZ76" s="977">
        <v>1</v>
      </c>
      <c r="EA76" s="978">
        <f>EA65*AL$76</f>
        <v>0.10548076923076924</v>
      </c>
      <c r="EB76" s="978">
        <f>EB65*AM$76</f>
        <v>0.52740384615384617</v>
      </c>
      <c r="EC76" s="978">
        <f>EC65*AN$76</f>
        <v>1.7404326923076927</v>
      </c>
      <c r="ED76" s="979">
        <f>ED65*AO$76</f>
        <v>0.89342211538461569</v>
      </c>
      <c r="EF76" s="977">
        <f t="shared" si="475"/>
        <v>2</v>
      </c>
      <c r="EG76" s="978">
        <f t="shared" si="447"/>
        <v>1.35</v>
      </c>
      <c r="EH76" s="978">
        <f t="shared" si="448"/>
        <v>1.62</v>
      </c>
      <c r="EI76" s="978">
        <f t="shared" si="449"/>
        <v>2.16</v>
      </c>
      <c r="EJ76" s="978">
        <f t="shared" si="450"/>
        <v>2.5740000000000003</v>
      </c>
      <c r="EK76" s="978">
        <f t="shared" si="451"/>
        <v>2.5047000000000006</v>
      </c>
      <c r="EL76" s="978">
        <f t="shared" si="452"/>
        <v>2.8314000000000008</v>
      </c>
      <c r="EM76" s="978">
        <f t="shared" si="453"/>
        <v>2.6353800000000009</v>
      </c>
      <c r="EN76" s="978">
        <f t="shared" si="454"/>
        <v>2.7671490000000012</v>
      </c>
      <c r="EO76" s="978">
        <f t="shared" si="455"/>
        <v>2.3059575000000008</v>
      </c>
      <c r="EP76" s="978">
        <f t="shared" si="456"/>
        <v>1.0146213000000004</v>
      </c>
      <c r="EQ76" s="979">
        <f t="shared" si="457"/>
        <v>1.0363631850000006</v>
      </c>
      <c r="ES76" s="977">
        <f t="shared" si="476"/>
        <v>0.65</v>
      </c>
      <c r="ET76" s="978">
        <f t="shared" si="458"/>
        <v>0.45000000000000007</v>
      </c>
      <c r="EU76" s="978">
        <f t="shared" si="458"/>
        <v>0.63000000000000012</v>
      </c>
      <c r="EV76" s="978">
        <f t="shared" si="458"/>
        <v>0.63000000000000012</v>
      </c>
      <c r="EW76" s="978">
        <f t="shared" si="458"/>
        <v>0.69300000000000017</v>
      </c>
      <c r="EX76" s="978">
        <f t="shared" si="458"/>
        <v>0.6534000000000002</v>
      </c>
      <c r="EY76" s="978">
        <f t="shared" si="458"/>
        <v>0.5445000000000001</v>
      </c>
      <c r="EZ76" s="978">
        <f t="shared" si="458"/>
        <v>0.41926500000000011</v>
      </c>
      <c r="FA76" s="978">
        <f t="shared" si="458"/>
        <v>0.26353800000000011</v>
      </c>
      <c r="FB76" s="978">
        <f t="shared" si="458"/>
        <v>0.59296050000000022</v>
      </c>
      <c r="FC76" s="978">
        <f t="shared" si="458"/>
        <v>1.0146213000000004</v>
      </c>
      <c r="FD76" s="979">
        <f t="shared" si="458"/>
        <v>1.1160834300000007</v>
      </c>
      <c r="FF76" s="977">
        <f t="shared" si="477"/>
        <v>0.70000000000000007</v>
      </c>
      <c r="FG76" s="978">
        <f t="shared" si="459"/>
        <v>0.63000000000000012</v>
      </c>
      <c r="FH76" s="978">
        <f t="shared" si="459"/>
        <v>0.63000000000000012</v>
      </c>
      <c r="FI76" s="978">
        <f t="shared" si="459"/>
        <v>0.63000000000000012</v>
      </c>
      <c r="FJ76" s="978">
        <f t="shared" si="459"/>
        <v>0.69300000000000017</v>
      </c>
      <c r="FK76" s="978">
        <f t="shared" si="459"/>
        <v>0.7623000000000002</v>
      </c>
      <c r="FL76" s="978">
        <f t="shared" si="459"/>
        <v>0.7623000000000002</v>
      </c>
      <c r="FM76" s="978">
        <f t="shared" si="459"/>
        <v>0.53905500000000017</v>
      </c>
      <c r="FN76" s="978">
        <f t="shared" si="459"/>
        <v>0.26353800000000011</v>
      </c>
      <c r="FO76" s="978">
        <f t="shared" si="459"/>
        <v>0.59296050000000022</v>
      </c>
      <c r="FP76" s="978">
        <f t="shared" si="459"/>
        <v>0.86967540000000043</v>
      </c>
      <c r="FQ76" s="979">
        <f t="shared" si="459"/>
        <v>0.79720245000000056</v>
      </c>
      <c r="FS76" s="977">
        <f t="shared" si="478"/>
        <v>0.5</v>
      </c>
      <c r="FT76" s="978">
        <f t="shared" si="460"/>
        <v>0.45000000000000007</v>
      </c>
      <c r="FU76" s="978">
        <f t="shared" si="460"/>
        <v>0.45000000000000007</v>
      </c>
      <c r="FV76" s="978">
        <f t="shared" si="460"/>
        <v>0.45000000000000007</v>
      </c>
      <c r="FW76" s="978">
        <f t="shared" si="460"/>
        <v>0.49500000000000011</v>
      </c>
      <c r="FX76" s="978">
        <f t="shared" si="460"/>
        <v>0.5445000000000001</v>
      </c>
      <c r="FY76" s="978">
        <f t="shared" si="460"/>
        <v>0.5445000000000001</v>
      </c>
      <c r="FZ76" s="978">
        <f t="shared" si="460"/>
        <v>0.41926500000000011</v>
      </c>
      <c r="GA76" s="978">
        <f t="shared" si="460"/>
        <v>0.26353800000000011</v>
      </c>
      <c r="GB76" s="978">
        <f t="shared" si="460"/>
        <v>0.26353800000000011</v>
      </c>
      <c r="GC76" s="978">
        <f t="shared" si="460"/>
        <v>0.28989180000000014</v>
      </c>
      <c r="GD76" s="979">
        <f t="shared" si="460"/>
        <v>0.3188809800000002</v>
      </c>
      <c r="GF76" s="977">
        <f t="shared" si="479"/>
        <v>0.2</v>
      </c>
      <c r="GG76" s="978">
        <f t="shared" si="461"/>
        <v>0.18000000000000002</v>
      </c>
      <c r="GH76" s="978">
        <f t="shared" si="461"/>
        <v>0.18000000000000002</v>
      </c>
      <c r="GI76" s="978">
        <f t="shared" si="461"/>
        <v>0.18000000000000002</v>
      </c>
      <c r="GJ76" s="978">
        <f t="shared" si="461"/>
        <v>0.19800000000000004</v>
      </c>
      <c r="GK76" s="978">
        <f t="shared" si="461"/>
        <v>0.21780000000000005</v>
      </c>
      <c r="GL76" s="978">
        <f t="shared" si="461"/>
        <v>0.21780000000000005</v>
      </c>
      <c r="GM76" s="978">
        <f t="shared" si="461"/>
        <v>0.23958000000000007</v>
      </c>
      <c r="GN76" s="978">
        <f t="shared" si="461"/>
        <v>0.26353800000000011</v>
      </c>
      <c r="GO76" s="978">
        <f t="shared" si="461"/>
        <v>0.26353800000000011</v>
      </c>
      <c r="GP76" s="978">
        <f t="shared" si="461"/>
        <v>0.28989180000000014</v>
      </c>
      <c r="GQ76" s="979">
        <f t="shared" si="461"/>
        <v>0.3188809800000002</v>
      </c>
      <c r="GS76" s="977">
        <f t="shared" si="480"/>
        <v>0.2</v>
      </c>
      <c r="GT76" s="978">
        <f t="shared" si="462"/>
        <v>0.18000000000000002</v>
      </c>
      <c r="GU76" s="978">
        <f t="shared" si="462"/>
        <v>0.18000000000000002</v>
      </c>
      <c r="GV76" s="978">
        <f t="shared" si="462"/>
        <v>0.18000000000000002</v>
      </c>
      <c r="GW76" s="978">
        <f t="shared" si="462"/>
        <v>0.19800000000000004</v>
      </c>
      <c r="GX76" s="978">
        <f t="shared" si="462"/>
        <v>0.21780000000000005</v>
      </c>
      <c r="GY76" s="978">
        <f t="shared" si="462"/>
        <v>0.21780000000000005</v>
      </c>
      <c r="GZ76" s="978">
        <f t="shared" si="462"/>
        <v>0.23958000000000007</v>
      </c>
      <c r="HA76" s="978">
        <f t="shared" si="462"/>
        <v>0.26353800000000011</v>
      </c>
      <c r="HB76" s="978">
        <f t="shared" si="462"/>
        <v>0.26353800000000011</v>
      </c>
      <c r="HC76" s="978">
        <f t="shared" si="462"/>
        <v>0.28989180000000014</v>
      </c>
      <c r="HD76" s="979">
        <f t="shared" si="462"/>
        <v>0.3188809800000002</v>
      </c>
    </row>
    <row r="77" spans="2:212">
      <c r="B77" s="960"/>
      <c r="C77" s="990" t="s">
        <v>1045</v>
      </c>
      <c r="D77" s="960"/>
      <c r="E77" s="960"/>
      <c r="F77" s="960"/>
      <c r="G77" s="960"/>
      <c r="H77" s="964"/>
      <c r="I77" s="964"/>
      <c r="N77" s="1899"/>
      <c r="O77" s="940" t="s">
        <v>127</v>
      </c>
      <c r="P77" s="595">
        <v>0</v>
      </c>
      <c r="Q77" s="595">
        <v>1</v>
      </c>
      <c r="R77" s="595">
        <v>1</v>
      </c>
      <c r="S77" s="595">
        <v>3</v>
      </c>
      <c r="T77" s="595">
        <v>3</v>
      </c>
      <c r="U77" s="595">
        <v>4</v>
      </c>
      <c r="V77" s="595">
        <v>0</v>
      </c>
      <c r="X77" s="1063"/>
      <c r="AA77" s="1899"/>
      <c r="AB77" s="940" t="s">
        <v>127</v>
      </c>
      <c r="AC77" s="599">
        <f t="shared" si="395"/>
        <v>0</v>
      </c>
      <c r="AD77" s="599">
        <f t="shared" si="395"/>
        <v>0.1111111111111111</v>
      </c>
      <c r="AE77" s="599">
        <f t="shared" si="395"/>
        <v>7.6923076923076927E-2</v>
      </c>
      <c r="AF77" s="599">
        <f t="shared" si="395"/>
        <v>0.27272727272727271</v>
      </c>
      <c r="AG77" s="599">
        <f t="shared" si="395"/>
        <v>0.3</v>
      </c>
      <c r="AH77" s="599">
        <f t="shared" si="395"/>
        <v>0.26666666666666666</v>
      </c>
      <c r="AI77" s="599">
        <f t="shared" si="395"/>
        <v>0</v>
      </c>
      <c r="AJ77" s="935">
        <f t="shared" si="396"/>
        <v>0.14677544677544677</v>
      </c>
      <c r="AK77" s="935">
        <f t="shared" si="397"/>
        <v>0.14677544677544677</v>
      </c>
      <c r="AL77" s="935">
        <f t="shared" si="463"/>
        <v>0.16145299145299147</v>
      </c>
      <c r="AM77" s="935">
        <f t="shared" si="398"/>
        <v>0.16145299145299147</v>
      </c>
      <c r="AN77" s="935">
        <f t="shared" si="399"/>
        <v>0.17759829059829063</v>
      </c>
      <c r="AO77" s="935">
        <f t="shared" si="400"/>
        <v>0.19535811965811972</v>
      </c>
      <c r="AP77" s="1036">
        <v>0.1</v>
      </c>
      <c r="AQ77" s="1036">
        <f t="shared" si="464"/>
        <v>9.0000000000000011E-2</v>
      </c>
      <c r="AR77" s="1036">
        <f t="shared" si="464"/>
        <v>9.0000000000000011E-2</v>
      </c>
      <c r="AS77" s="1036">
        <f t="shared" si="464"/>
        <v>9.0000000000000011E-2</v>
      </c>
      <c r="AT77" s="1036">
        <f t="shared" si="464"/>
        <v>9.9000000000000019E-2</v>
      </c>
      <c r="AU77" s="1036">
        <f t="shared" si="464"/>
        <v>0.10890000000000002</v>
      </c>
      <c r="AV77" s="1036">
        <f t="shared" si="464"/>
        <v>0.10890000000000002</v>
      </c>
      <c r="AW77" s="1036">
        <f t="shared" si="464"/>
        <v>0.11979000000000004</v>
      </c>
      <c r="AX77" s="1036">
        <f t="shared" si="464"/>
        <v>0.13176900000000005</v>
      </c>
      <c r="AY77" s="1036">
        <f t="shared" si="464"/>
        <v>0.13176900000000005</v>
      </c>
      <c r="AZ77" s="1036">
        <f t="shared" si="464"/>
        <v>0.14494590000000007</v>
      </c>
      <c r="BA77" s="1036">
        <f t="shared" si="464"/>
        <v>0.1594404900000001</v>
      </c>
      <c r="BB77" s="1036">
        <v>0.1</v>
      </c>
      <c r="BC77" s="1036">
        <f t="shared" si="465"/>
        <v>9.0000000000000011E-2</v>
      </c>
      <c r="BD77" s="1036">
        <f t="shared" si="466"/>
        <v>9.0000000000000011E-2</v>
      </c>
      <c r="BE77" s="1036">
        <f t="shared" si="402"/>
        <v>9.0000000000000011E-2</v>
      </c>
      <c r="BF77" s="1036">
        <f t="shared" si="403"/>
        <v>9.9000000000000019E-2</v>
      </c>
      <c r="BG77" s="1036">
        <f t="shared" si="404"/>
        <v>0.10890000000000002</v>
      </c>
      <c r="BH77" s="1036">
        <f t="shared" si="405"/>
        <v>0.10890000000000002</v>
      </c>
      <c r="BI77" s="1036">
        <f t="shared" si="406"/>
        <v>0.11979000000000004</v>
      </c>
      <c r="BJ77" s="1036">
        <f t="shared" si="407"/>
        <v>0.13176900000000005</v>
      </c>
      <c r="BK77" s="1036">
        <f t="shared" si="408"/>
        <v>0.13176900000000005</v>
      </c>
      <c r="BL77" s="1036">
        <f t="shared" si="409"/>
        <v>0.14494590000000007</v>
      </c>
      <c r="BM77" s="1036">
        <f t="shared" si="410"/>
        <v>0.1594404900000001</v>
      </c>
      <c r="BN77" s="1036">
        <v>0.1</v>
      </c>
      <c r="BO77" s="1036">
        <f t="shared" si="467"/>
        <v>9.0000000000000011E-2</v>
      </c>
      <c r="BP77" s="1036">
        <f t="shared" si="468"/>
        <v>9.0000000000000011E-2</v>
      </c>
      <c r="BQ77" s="1036">
        <f t="shared" si="411"/>
        <v>9.0000000000000011E-2</v>
      </c>
      <c r="BR77" s="1036">
        <f t="shared" si="412"/>
        <v>9.9000000000000019E-2</v>
      </c>
      <c r="BS77" s="1036">
        <f t="shared" si="413"/>
        <v>0.10890000000000002</v>
      </c>
      <c r="BT77" s="1036">
        <f t="shared" si="414"/>
        <v>0.10890000000000002</v>
      </c>
      <c r="BU77" s="1036">
        <f t="shared" si="415"/>
        <v>0.11979000000000004</v>
      </c>
      <c r="BV77" s="1036">
        <f t="shared" si="416"/>
        <v>0.13176900000000005</v>
      </c>
      <c r="BW77" s="1036">
        <f t="shared" si="417"/>
        <v>0.13176900000000005</v>
      </c>
      <c r="BX77" s="1036">
        <f t="shared" si="418"/>
        <v>0.14494590000000007</v>
      </c>
      <c r="BY77" s="1036">
        <f t="shared" si="419"/>
        <v>0.1594404900000001</v>
      </c>
      <c r="BZ77" s="1036">
        <v>0.1</v>
      </c>
      <c r="CA77" s="1036">
        <f t="shared" si="469"/>
        <v>9.0000000000000011E-2</v>
      </c>
      <c r="CB77" s="1036">
        <f t="shared" si="470"/>
        <v>9.0000000000000011E-2</v>
      </c>
      <c r="CC77" s="1036">
        <f t="shared" si="420"/>
        <v>9.0000000000000011E-2</v>
      </c>
      <c r="CD77" s="1036">
        <f t="shared" si="421"/>
        <v>9.9000000000000019E-2</v>
      </c>
      <c r="CE77" s="1036">
        <f t="shared" si="422"/>
        <v>0.10890000000000002</v>
      </c>
      <c r="CF77" s="1036">
        <f t="shared" si="423"/>
        <v>0.10890000000000002</v>
      </c>
      <c r="CG77" s="1036">
        <f t="shared" si="424"/>
        <v>0.11979000000000004</v>
      </c>
      <c r="CH77" s="1036">
        <f t="shared" si="425"/>
        <v>0.13176900000000005</v>
      </c>
      <c r="CI77" s="1036">
        <f t="shared" si="426"/>
        <v>0.13176900000000005</v>
      </c>
      <c r="CJ77" s="1036">
        <f t="shared" si="427"/>
        <v>0.14494590000000007</v>
      </c>
      <c r="CK77" s="1036">
        <f t="shared" si="428"/>
        <v>0.1594404900000001</v>
      </c>
      <c r="CL77" s="1036">
        <v>0.1</v>
      </c>
      <c r="CM77" s="1036">
        <f t="shared" si="471"/>
        <v>9.0000000000000011E-2</v>
      </c>
      <c r="CN77" s="1036">
        <f t="shared" si="472"/>
        <v>9.0000000000000011E-2</v>
      </c>
      <c r="CO77" s="1036">
        <f t="shared" si="429"/>
        <v>9.0000000000000011E-2</v>
      </c>
      <c r="CP77" s="1036">
        <f t="shared" si="430"/>
        <v>9.9000000000000019E-2</v>
      </c>
      <c r="CQ77" s="1036">
        <f t="shared" si="431"/>
        <v>0.10890000000000002</v>
      </c>
      <c r="CR77" s="1036">
        <f t="shared" si="432"/>
        <v>0.10890000000000002</v>
      </c>
      <c r="CS77" s="1036">
        <f t="shared" si="433"/>
        <v>0.11979000000000004</v>
      </c>
      <c r="CT77" s="1036">
        <f t="shared" si="434"/>
        <v>0.13176900000000005</v>
      </c>
      <c r="CU77" s="1036">
        <f t="shared" si="435"/>
        <v>0.13176900000000005</v>
      </c>
      <c r="CV77" s="1036">
        <f t="shared" si="436"/>
        <v>0.14494590000000007</v>
      </c>
      <c r="CW77" s="1036">
        <f t="shared" si="437"/>
        <v>0.1594404900000001</v>
      </c>
      <c r="CX77" s="1036">
        <v>0.1</v>
      </c>
      <c r="CY77" s="1036">
        <f t="shared" si="473"/>
        <v>9.0000000000000011E-2</v>
      </c>
      <c r="CZ77" s="1036">
        <f t="shared" si="474"/>
        <v>9.0000000000000011E-2</v>
      </c>
      <c r="DA77" s="1036">
        <f t="shared" si="438"/>
        <v>9.0000000000000011E-2</v>
      </c>
      <c r="DB77" s="1036">
        <f t="shared" si="439"/>
        <v>9.9000000000000019E-2</v>
      </c>
      <c r="DC77" s="1036">
        <f t="shared" si="440"/>
        <v>0.10890000000000002</v>
      </c>
      <c r="DD77" s="1036">
        <f t="shared" si="441"/>
        <v>0.10890000000000002</v>
      </c>
      <c r="DE77" s="1036">
        <f t="shared" si="442"/>
        <v>0.11979000000000004</v>
      </c>
      <c r="DF77" s="1036">
        <f t="shared" si="443"/>
        <v>0.13176900000000005</v>
      </c>
      <c r="DG77" s="1036">
        <f t="shared" si="444"/>
        <v>0.13176900000000005</v>
      </c>
      <c r="DH77" s="1036">
        <f t="shared" si="445"/>
        <v>0.14494590000000007</v>
      </c>
      <c r="DI77" s="1036">
        <f t="shared" si="446"/>
        <v>0.1594404900000001</v>
      </c>
      <c r="DK77" s="1899"/>
      <c r="DL77" s="940" t="s">
        <v>127</v>
      </c>
      <c r="DN77" s="977">
        <v>0</v>
      </c>
      <c r="DO77" s="978">
        <f>DO66*$AJ$77</f>
        <v>0.88065268065268065</v>
      </c>
      <c r="DP77" s="978">
        <f>DP66*$AJ$77</f>
        <v>0.14677544677544677</v>
      </c>
      <c r="DQ77" s="978">
        <f>DQ66*$AJ$77</f>
        <v>0.7338772338772338</v>
      </c>
      <c r="DR77" s="979">
        <f>DR66*$AJ$77</f>
        <v>2.2016317016317015</v>
      </c>
      <c r="DT77" s="977">
        <v>0</v>
      </c>
      <c r="DU77" s="978">
        <f>DU66*$AH$77</f>
        <v>1.6</v>
      </c>
      <c r="DV77" s="978">
        <f>DV66*$AH$77</f>
        <v>0.26666666666666666</v>
      </c>
      <c r="DW77" s="978">
        <f>DW66*$AH$77</f>
        <v>1.3333333333333333</v>
      </c>
      <c r="DX77" s="979">
        <f>DX66*$AH$77</f>
        <v>4</v>
      </c>
      <c r="DZ77" s="977">
        <v>0</v>
      </c>
      <c r="EA77" s="978">
        <f>EA66*AL$77</f>
        <v>0.80726495726495728</v>
      </c>
      <c r="EB77" s="978">
        <f>EB66*AM$77</f>
        <v>0.16145299145299147</v>
      </c>
      <c r="EC77" s="978">
        <f>EC66*AN$77</f>
        <v>0.88799145299145321</v>
      </c>
      <c r="ED77" s="979">
        <f>ED66*AO$77</f>
        <v>2.930371794871796</v>
      </c>
      <c r="EF77" s="977">
        <f t="shared" si="475"/>
        <v>0.70000000000000007</v>
      </c>
      <c r="EG77" s="978">
        <f t="shared" si="447"/>
        <v>1.8000000000000003</v>
      </c>
      <c r="EH77" s="978">
        <f t="shared" si="448"/>
        <v>1.35</v>
      </c>
      <c r="EI77" s="978">
        <f t="shared" si="449"/>
        <v>1.62</v>
      </c>
      <c r="EJ77" s="978">
        <f t="shared" si="450"/>
        <v>2.3760000000000003</v>
      </c>
      <c r="EK77" s="978">
        <f t="shared" si="451"/>
        <v>2.8314000000000008</v>
      </c>
      <c r="EL77" s="978">
        <f t="shared" si="452"/>
        <v>2.5047000000000006</v>
      </c>
      <c r="EM77" s="978">
        <f t="shared" si="453"/>
        <v>3.1145400000000008</v>
      </c>
      <c r="EN77" s="978">
        <f t="shared" si="454"/>
        <v>2.898918000000001</v>
      </c>
      <c r="EO77" s="978">
        <f t="shared" si="455"/>
        <v>2.7671490000000012</v>
      </c>
      <c r="EP77" s="978">
        <f t="shared" si="456"/>
        <v>2.5365532500000012</v>
      </c>
      <c r="EQ77" s="979">
        <f t="shared" si="457"/>
        <v>1.1160834300000007</v>
      </c>
      <c r="ES77" s="977">
        <f t="shared" si="476"/>
        <v>0.65</v>
      </c>
      <c r="ET77" s="978">
        <f t="shared" si="458"/>
        <v>0.58500000000000008</v>
      </c>
      <c r="EU77" s="978">
        <f t="shared" si="458"/>
        <v>0.45000000000000007</v>
      </c>
      <c r="EV77" s="978">
        <f t="shared" si="458"/>
        <v>0.63000000000000012</v>
      </c>
      <c r="EW77" s="978">
        <f t="shared" si="458"/>
        <v>0.69300000000000017</v>
      </c>
      <c r="EX77" s="978">
        <f t="shared" si="458"/>
        <v>0.7623000000000002</v>
      </c>
      <c r="EY77" s="978">
        <f t="shared" si="458"/>
        <v>0.6534000000000002</v>
      </c>
      <c r="EZ77" s="978">
        <f t="shared" si="458"/>
        <v>0.5989500000000002</v>
      </c>
      <c r="FA77" s="978">
        <f t="shared" si="458"/>
        <v>0.4611915000000002</v>
      </c>
      <c r="FB77" s="978">
        <f t="shared" si="458"/>
        <v>0.26353800000000011</v>
      </c>
      <c r="FC77" s="978">
        <f t="shared" si="458"/>
        <v>0.65225655000000038</v>
      </c>
      <c r="FD77" s="979">
        <f t="shared" si="458"/>
        <v>1.1160834300000007</v>
      </c>
      <c r="FF77" s="977">
        <f t="shared" si="477"/>
        <v>0.70000000000000007</v>
      </c>
      <c r="FG77" s="978">
        <f t="shared" si="459"/>
        <v>0.63000000000000012</v>
      </c>
      <c r="FH77" s="978">
        <f t="shared" si="459"/>
        <v>0.63000000000000012</v>
      </c>
      <c r="FI77" s="978">
        <f t="shared" si="459"/>
        <v>0.63000000000000012</v>
      </c>
      <c r="FJ77" s="978">
        <f t="shared" si="459"/>
        <v>0.69300000000000017</v>
      </c>
      <c r="FK77" s="978">
        <f t="shared" si="459"/>
        <v>0.7623000000000002</v>
      </c>
      <c r="FL77" s="978">
        <f t="shared" si="459"/>
        <v>0.7623000000000002</v>
      </c>
      <c r="FM77" s="978">
        <f t="shared" si="459"/>
        <v>0.83853000000000022</v>
      </c>
      <c r="FN77" s="978">
        <f t="shared" si="459"/>
        <v>0.59296050000000022</v>
      </c>
      <c r="FO77" s="978">
        <f t="shared" si="459"/>
        <v>0.26353800000000011</v>
      </c>
      <c r="FP77" s="978">
        <f t="shared" si="459"/>
        <v>0.65225655000000038</v>
      </c>
      <c r="FQ77" s="979">
        <f t="shared" si="459"/>
        <v>0.95664294000000061</v>
      </c>
      <c r="FS77" s="977">
        <f t="shared" si="478"/>
        <v>0.5</v>
      </c>
      <c r="FT77" s="978">
        <f t="shared" si="460"/>
        <v>0.45000000000000007</v>
      </c>
      <c r="FU77" s="978">
        <f t="shared" si="460"/>
        <v>0.45000000000000007</v>
      </c>
      <c r="FV77" s="978">
        <f t="shared" si="460"/>
        <v>0.45000000000000007</v>
      </c>
      <c r="FW77" s="978">
        <f t="shared" si="460"/>
        <v>0.49500000000000011</v>
      </c>
      <c r="FX77" s="978">
        <f t="shared" si="460"/>
        <v>0.5445000000000001</v>
      </c>
      <c r="FY77" s="978">
        <f t="shared" si="460"/>
        <v>0.5445000000000001</v>
      </c>
      <c r="FZ77" s="978">
        <f t="shared" si="460"/>
        <v>0.5989500000000002</v>
      </c>
      <c r="GA77" s="978">
        <f t="shared" si="460"/>
        <v>0.4611915000000002</v>
      </c>
      <c r="GB77" s="978">
        <f t="shared" si="460"/>
        <v>0.26353800000000011</v>
      </c>
      <c r="GC77" s="978">
        <f t="shared" si="460"/>
        <v>0.28989180000000014</v>
      </c>
      <c r="GD77" s="979">
        <f t="shared" si="460"/>
        <v>0.3188809800000002</v>
      </c>
      <c r="GF77" s="977">
        <f t="shared" si="479"/>
        <v>0.2</v>
      </c>
      <c r="GG77" s="978">
        <f t="shared" si="461"/>
        <v>0.18000000000000002</v>
      </c>
      <c r="GH77" s="978">
        <f t="shared" si="461"/>
        <v>0.18000000000000002</v>
      </c>
      <c r="GI77" s="978">
        <f t="shared" si="461"/>
        <v>0.18000000000000002</v>
      </c>
      <c r="GJ77" s="978">
        <f t="shared" si="461"/>
        <v>0.19800000000000004</v>
      </c>
      <c r="GK77" s="978">
        <f t="shared" si="461"/>
        <v>0.21780000000000005</v>
      </c>
      <c r="GL77" s="978">
        <f t="shared" si="461"/>
        <v>0.21780000000000005</v>
      </c>
      <c r="GM77" s="978">
        <f t="shared" si="461"/>
        <v>0.23958000000000007</v>
      </c>
      <c r="GN77" s="978">
        <f t="shared" si="461"/>
        <v>0.26353800000000011</v>
      </c>
      <c r="GO77" s="978">
        <f t="shared" si="461"/>
        <v>0.26353800000000011</v>
      </c>
      <c r="GP77" s="978">
        <f t="shared" si="461"/>
        <v>0.28989180000000014</v>
      </c>
      <c r="GQ77" s="979">
        <f t="shared" si="461"/>
        <v>0.3188809800000002</v>
      </c>
      <c r="GS77" s="977">
        <f t="shared" si="480"/>
        <v>0.2</v>
      </c>
      <c r="GT77" s="978">
        <f t="shared" si="462"/>
        <v>0.18000000000000002</v>
      </c>
      <c r="GU77" s="978">
        <f t="shared" si="462"/>
        <v>0.18000000000000002</v>
      </c>
      <c r="GV77" s="978">
        <f t="shared" si="462"/>
        <v>0.18000000000000002</v>
      </c>
      <c r="GW77" s="978">
        <f t="shared" si="462"/>
        <v>0.19800000000000004</v>
      </c>
      <c r="GX77" s="978">
        <f t="shared" si="462"/>
        <v>0.21780000000000005</v>
      </c>
      <c r="GY77" s="978">
        <f t="shared" si="462"/>
        <v>0.21780000000000005</v>
      </c>
      <c r="GZ77" s="978">
        <f t="shared" si="462"/>
        <v>0.23958000000000007</v>
      </c>
      <c r="HA77" s="978">
        <f t="shared" si="462"/>
        <v>0.26353800000000011</v>
      </c>
      <c r="HB77" s="978">
        <f t="shared" si="462"/>
        <v>0.26353800000000011</v>
      </c>
      <c r="HC77" s="978">
        <f t="shared" si="462"/>
        <v>0.28989180000000014</v>
      </c>
      <c r="HD77" s="979">
        <f t="shared" si="462"/>
        <v>0.3188809800000002</v>
      </c>
    </row>
    <row r="78" spans="2:212">
      <c r="B78" s="960"/>
      <c r="C78" s="960" t="s">
        <v>1046</v>
      </c>
      <c r="D78" s="960"/>
      <c r="E78" s="960"/>
      <c r="F78" s="960"/>
      <c r="G78" s="960"/>
      <c r="H78" s="964"/>
      <c r="I78" s="964"/>
      <c r="O78" s="940" t="s">
        <v>1061</v>
      </c>
      <c r="P78" s="595">
        <v>2</v>
      </c>
      <c r="Q78" s="595">
        <v>0</v>
      </c>
      <c r="R78" s="595">
        <v>2</v>
      </c>
      <c r="S78" s="595">
        <v>3</v>
      </c>
      <c r="T78" s="595">
        <v>1</v>
      </c>
      <c r="U78" s="595">
        <v>0</v>
      </c>
      <c r="V78" s="595">
        <v>3</v>
      </c>
      <c r="X78" s="1063"/>
      <c r="AB78" s="940" t="s">
        <v>1061</v>
      </c>
      <c r="DL78" s="940" t="s">
        <v>1061</v>
      </c>
      <c r="DN78" s="1046">
        <v>1</v>
      </c>
      <c r="DO78" s="603">
        <v>0</v>
      </c>
      <c r="DP78" s="603">
        <v>4</v>
      </c>
      <c r="DQ78" s="603">
        <v>1</v>
      </c>
      <c r="DR78" s="930">
        <v>3</v>
      </c>
      <c r="DT78" s="1046">
        <v>1</v>
      </c>
      <c r="DU78" s="603">
        <v>0</v>
      </c>
      <c r="DV78" s="603">
        <v>4</v>
      </c>
      <c r="DW78" s="603">
        <v>1</v>
      </c>
      <c r="DX78" s="930">
        <v>3</v>
      </c>
      <c r="DZ78" s="1046">
        <v>1</v>
      </c>
      <c r="EA78" s="603">
        <v>1</v>
      </c>
      <c r="EB78" s="603">
        <v>4</v>
      </c>
      <c r="EC78" s="603">
        <v>2</v>
      </c>
      <c r="ED78" s="930">
        <v>3</v>
      </c>
      <c r="EF78" s="1046">
        <f t="shared" si="475"/>
        <v>0</v>
      </c>
      <c r="EG78" s="991">
        <f t="shared" si="447"/>
        <v>0</v>
      </c>
      <c r="EH78" s="991">
        <f t="shared" si="448"/>
        <v>0</v>
      </c>
      <c r="EI78" s="991">
        <f t="shared" si="449"/>
        <v>0</v>
      </c>
      <c r="EJ78" s="991">
        <f t="shared" si="450"/>
        <v>0</v>
      </c>
      <c r="EK78" s="991">
        <f t="shared" si="451"/>
        <v>0</v>
      </c>
      <c r="EL78" s="991">
        <f t="shared" si="452"/>
        <v>0</v>
      </c>
      <c r="EM78" s="991">
        <f t="shared" si="453"/>
        <v>0</v>
      </c>
      <c r="EN78" s="991">
        <f t="shared" si="454"/>
        <v>0</v>
      </c>
      <c r="EO78" s="991">
        <f t="shared" si="455"/>
        <v>0</v>
      </c>
      <c r="EP78" s="991">
        <f t="shared" si="456"/>
        <v>0</v>
      </c>
      <c r="EQ78" s="1287">
        <f t="shared" si="457"/>
        <v>0</v>
      </c>
      <c r="ES78" s="1046">
        <f t="shared" si="476"/>
        <v>0</v>
      </c>
      <c r="ET78" s="991">
        <f t="shared" si="458"/>
        <v>0</v>
      </c>
      <c r="EU78" s="991">
        <f t="shared" si="458"/>
        <v>0</v>
      </c>
      <c r="EV78" s="991">
        <f t="shared" si="458"/>
        <v>0</v>
      </c>
      <c r="EW78" s="991">
        <f t="shared" si="458"/>
        <v>0</v>
      </c>
      <c r="EX78" s="991">
        <f t="shared" si="458"/>
        <v>0</v>
      </c>
      <c r="EY78" s="991">
        <f t="shared" si="458"/>
        <v>0</v>
      </c>
      <c r="EZ78" s="991">
        <f t="shared" si="458"/>
        <v>0</v>
      </c>
      <c r="FA78" s="991">
        <f t="shared" si="458"/>
        <v>0</v>
      </c>
      <c r="FB78" s="991">
        <f t="shared" si="458"/>
        <v>0</v>
      </c>
      <c r="FC78" s="991">
        <f t="shared" si="458"/>
        <v>0</v>
      </c>
      <c r="FD78" s="1287">
        <f t="shared" si="458"/>
        <v>0</v>
      </c>
      <c r="FF78" s="1046">
        <f t="shared" si="477"/>
        <v>0</v>
      </c>
      <c r="FG78" s="991">
        <f t="shared" si="459"/>
        <v>0</v>
      </c>
      <c r="FH78" s="991">
        <f t="shared" si="459"/>
        <v>0</v>
      </c>
      <c r="FI78" s="991">
        <f t="shared" si="459"/>
        <v>0</v>
      </c>
      <c r="FJ78" s="991">
        <f t="shared" si="459"/>
        <v>0</v>
      </c>
      <c r="FK78" s="991">
        <f t="shared" si="459"/>
        <v>0</v>
      </c>
      <c r="FL78" s="991">
        <f t="shared" si="459"/>
        <v>0</v>
      </c>
      <c r="FM78" s="991">
        <f t="shared" si="459"/>
        <v>0</v>
      </c>
      <c r="FN78" s="991">
        <f t="shared" si="459"/>
        <v>0</v>
      </c>
      <c r="FO78" s="991">
        <f t="shared" si="459"/>
        <v>0</v>
      </c>
      <c r="FP78" s="991">
        <f t="shared" si="459"/>
        <v>0</v>
      </c>
      <c r="FQ78" s="1287">
        <f t="shared" si="459"/>
        <v>0</v>
      </c>
      <c r="FS78" s="1046">
        <f t="shared" si="478"/>
        <v>0</v>
      </c>
      <c r="FT78" s="991">
        <f t="shared" si="460"/>
        <v>0</v>
      </c>
      <c r="FU78" s="991">
        <f t="shared" si="460"/>
        <v>0</v>
      </c>
      <c r="FV78" s="991">
        <f t="shared" si="460"/>
        <v>0</v>
      </c>
      <c r="FW78" s="991">
        <f t="shared" si="460"/>
        <v>0</v>
      </c>
      <c r="FX78" s="991">
        <f t="shared" si="460"/>
        <v>0</v>
      </c>
      <c r="FY78" s="991">
        <f t="shared" si="460"/>
        <v>0</v>
      </c>
      <c r="FZ78" s="991">
        <f t="shared" si="460"/>
        <v>0</v>
      </c>
      <c r="GA78" s="991">
        <f t="shared" si="460"/>
        <v>0</v>
      </c>
      <c r="GB78" s="991">
        <f t="shared" si="460"/>
        <v>0</v>
      </c>
      <c r="GC78" s="991">
        <f t="shared" si="460"/>
        <v>0</v>
      </c>
      <c r="GD78" s="1287">
        <f t="shared" si="460"/>
        <v>0</v>
      </c>
      <c r="GF78" s="1046">
        <f t="shared" si="479"/>
        <v>0</v>
      </c>
      <c r="GG78" s="991">
        <f t="shared" si="461"/>
        <v>0</v>
      </c>
      <c r="GH78" s="991">
        <f t="shared" si="461"/>
        <v>0</v>
      </c>
      <c r="GI78" s="991">
        <f t="shared" si="461"/>
        <v>0</v>
      </c>
      <c r="GJ78" s="991">
        <f t="shared" si="461"/>
        <v>0</v>
      </c>
      <c r="GK78" s="991">
        <f t="shared" si="461"/>
        <v>0</v>
      </c>
      <c r="GL78" s="991">
        <f t="shared" si="461"/>
        <v>0</v>
      </c>
      <c r="GM78" s="991">
        <f t="shared" si="461"/>
        <v>0</v>
      </c>
      <c r="GN78" s="991">
        <f t="shared" si="461"/>
        <v>0</v>
      </c>
      <c r="GO78" s="991">
        <f t="shared" si="461"/>
        <v>0</v>
      </c>
      <c r="GP78" s="991">
        <f t="shared" si="461"/>
        <v>0</v>
      </c>
      <c r="GQ78" s="1287">
        <f t="shared" si="461"/>
        <v>0</v>
      </c>
      <c r="GS78" s="1046">
        <f t="shared" si="480"/>
        <v>0</v>
      </c>
      <c r="GT78" s="991">
        <f t="shared" si="462"/>
        <v>0</v>
      </c>
      <c r="GU78" s="991">
        <f t="shared" si="462"/>
        <v>0</v>
      </c>
      <c r="GV78" s="991">
        <f t="shared" si="462"/>
        <v>0</v>
      </c>
      <c r="GW78" s="991">
        <f t="shared" si="462"/>
        <v>0</v>
      </c>
      <c r="GX78" s="991">
        <f t="shared" si="462"/>
        <v>0</v>
      </c>
      <c r="GY78" s="991">
        <f t="shared" si="462"/>
        <v>0</v>
      </c>
      <c r="GZ78" s="991">
        <f t="shared" si="462"/>
        <v>0</v>
      </c>
      <c r="HA78" s="991">
        <f t="shared" si="462"/>
        <v>0</v>
      </c>
      <c r="HB78" s="991">
        <f t="shared" si="462"/>
        <v>0</v>
      </c>
      <c r="HC78" s="991">
        <f t="shared" si="462"/>
        <v>0</v>
      </c>
      <c r="HD78" s="1287">
        <f t="shared" si="462"/>
        <v>0</v>
      </c>
    </row>
    <row r="79" spans="2:212">
      <c r="B79" s="1031"/>
      <c r="C79" s="1079"/>
      <c r="D79" s="1045"/>
      <c r="E79" s="1045"/>
      <c r="F79" s="1045"/>
      <c r="G79" s="1045"/>
      <c r="H79" s="1045"/>
      <c r="I79" s="1045"/>
      <c r="O79" s="1107" t="s">
        <v>221</v>
      </c>
      <c r="P79" s="1107">
        <f>SUM(P69:P78)</f>
        <v>15</v>
      </c>
      <c r="Q79" s="1107">
        <f t="shared" ref="Q79:V79" si="481">SUM(Q69:Q78)</f>
        <v>9</v>
      </c>
      <c r="R79" s="1107">
        <f t="shared" si="481"/>
        <v>21</v>
      </c>
      <c r="S79" s="1107">
        <f t="shared" si="481"/>
        <v>23</v>
      </c>
      <c r="T79" s="1107">
        <f t="shared" si="481"/>
        <v>20</v>
      </c>
      <c r="U79" s="1107">
        <f t="shared" si="481"/>
        <v>34</v>
      </c>
      <c r="V79" s="1107">
        <f t="shared" si="481"/>
        <v>33</v>
      </c>
      <c r="X79" s="1063"/>
      <c r="DN79" s="928" t="s">
        <v>1035</v>
      </c>
      <c r="DT79" s="928" t="s">
        <v>1037</v>
      </c>
      <c r="DZ79" s="928" t="s">
        <v>1038</v>
      </c>
      <c r="EF79" s="1260">
        <f>SUM(EF69:EF78)</f>
        <v>40.349999999999994</v>
      </c>
      <c r="EG79" s="1260">
        <f t="shared" ref="EG79" si="482">SUM(EG69:EG78)</f>
        <v>36.494999999999997</v>
      </c>
      <c r="EH79" s="1260">
        <f t="shared" ref="EH79" si="483">SUM(EH69:EH78)</f>
        <v>34.065000000000005</v>
      </c>
      <c r="EI79" s="1260">
        <f t="shared" ref="EI79" si="484">SUM(EI69:EI78)</f>
        <v>27.517500000000002</v>
      </c>
      <c r="EJ79" s="1260">
        <f t="shared" ref="EJ79" si="485">SUM(EJ69:EJ78)</f>
        <v>25.715250000000008</v>
      </c>
      <c r="EK79" s="1260">
        <f t="shared" ref="EK79" si="486">SUM(EK69:EK78)</f>
        <v>24.339150000000007</v>
      </c>
      <c r="EL79" s="1260">
        <f t="shared" ref="EL79" si="487">SUM(EL69:EL78)</f>
        <v>20.582100000000004</v>
      </c>
      <c r="EM79" s="1260">
        <f>SUM(EM69:EM78)</f>
        <v>21.442410000000006</v>
      </c>
      <c r="EN79" s="1260">
        <f t="shared" ref="EN79" si="488">SUM(EN69:EN78)</f>
        <v>21.445404750000009</v>
      </c>
      <c r="EO79" s="1260">
        <f t="shared" ref="EO79" si="489">SUM(EO69:EO78)</f>
        <v>19.765350000000005</v>
      </c>
      <c r="EP79" s="1260">
        <f t="shared" ref="EP79" si="490">SUM(EP69:EP78)</f>
        <v>18.987912900000008</v>
      </c>
      <c r="EQ79" s="1260">
        <f t="shared" ref="EQ79" si="491">SUM(EQ69:EQ78)</f>
        <v>17.697894390000009</v>
      </c>
      <c r="ES79" s="1260">
        <f>SUM(ES69:ES78)</f>
        <v>9.6000000000000014</v>
      </c>
      <c r="ET79" s="1260">
        <f t="shared" ref="ET79:EY79" si="492">SUM(ET69:ET78)</f>
        <v>7.0424999999999995</v>
      </c>
      <c r="EU79" s="1260">
        <f t="shared" si="492"/>
        <v>7.4024999999999999</v>
      </c>
      <c r="EV79" s="1260">
        <f t="shared" si="492"/>
        <v>9.0000000000000018</v>
      </c>
      <c r="EW79" s="1260">
        <f t="shared" si="492"/>
        <v>10.81575</v>
      </c>
      <c r="EX79" s="1260">
        <f t="shared" si="492"/>
        <v>12.441825</v>
      </c>
      <c r="EY79" s="1260">
        <f t="shared" si="492"/>
        <v>12.57795</v>
      </c>
      <c r="EZ79" s="1260">
        <f>SUM(EZ69:EZ78)</f>
        <v>13.955535000000001</v>
      </c>
      <c r="FA79" s="1260">
        <f t="shared" ref="FA79:FD79" si="493">SUM(FA69:FA78)</f>
        <v>15.614626500000004</v>
      </c>
      <c r="FB79" s="1260">
        <f t="shared" si="493"/>
        <v>16.075818000000002</v>
      </c>
      <c r="FC79" s="1260">
        <f t="shared" si="493"/>
        <v>18.408129300000009</v>
      </c>
      <c r="FD79" s="1260">
        <f t="shared" si="493"/>
        <v>20.647543455000008</v>
      </c>
      <c r="FF79" s="1260">
        <f>SUM(FF69:FF78)</f>
        <v>11.449999999999996</v>
      </c>
      <c r="FG79" s="1260">
        <f t="shared" ref="FG79:FL79" si="494">SUM(FG69:FG78)</f>
        <v>8.1675000000000004</v>
      </c>
      <c r="FH79" s="1260">
        <f t="shared" si="494"/>
        <v>8.1675000000000004</v>
      </c>
      <c r="FI79" s="1260">
        <f t="shared" si="494"/>
        <v>8.865000000000002</v>
      </c>
      <c r="FJ79" s="1260">
        <f t="shared" si="494"/>
        <v>9.6772500000000008</v>
      </c>
      <c r="FK79" s="1260">
        <f t="shared" si="494"/>
        <v>10.536075</v>
      </c>
      <c r="FL79" s="1260">
        <f t="shared" si="494"/>
        <v>10.236600000000001</v>
      </c>
      <c r="FM79" s="1260">
        <f>SUM(FM69:FM78)</f>
        <v>10.960785000000003</v>
      </c>
      <c r="FN79" s="1260">
        <f t="shared" ref="FN79:FQ79" si="495">SUM(FN69:FN78)</f>
        <v>11.793325500000003</v>
      </c>
      <c r="FO79" s="1260">
        <f t="shared" si="495"/>
        <v>11.859210000000003</v>
      </c>
      <c r="FP79" s="1260">
        <f t="shared" si="495"/>
        <v>13.479968700000006</v>
      </c>
      <c r="FQ79" s="1260">
        <f t="shared" si="495"/>
        <v>14.907685815000006</v>
      </c>
      <c r="FS79" s="1260">
        <f>SUM(FS69:FS78)</f>
        <v>8.35</v>
      </c>
      <c r="FT79" s="1260">
        <f t="shared" ref="FT79:FY79" si="496">SUM(FT69:FT78)</f>
        <v>6.2325000000000008</v>
      </c>
      <c r="FU79" s="1260">
        <f t="shared" si="496"/>
        <v>5.4225000000000012</v>
      </c>
      <c r="FV79" s="1260">
        <f t="shared" si="496"/>
        <v>4.8825000000000012</v>
      </c>
      <c r="FW79" s="1260">
        <f t="shared" si="496"/>
        <v>4.9995000000000012</v>
      </c>
      <c r="FX79" s="1260">
        <f t="shared" si="496"/>
        <v>5.1727500000000015</v>
      </c>
      <c r="FY79" s="1260">
        <f t="shared" si="496"/>
        <v>4.8460500000000009</v>
      </c>
      <c r="FZ79" s="1260">
        <f>SUM(FZ69:FZ78)</f>
        <v>4.9712850000000017</v>
      </c>
      <c r="GA79" s="1260">
        <f t="shared" ref="GA79:GD79" si="497">SUM(GA69:GA78)</f>
        <v>5.0731065000000024</v>
      </c>
      <c r="GB79" s="1260">
        <f t="shared" si="497"/>
        <v>4.8754530000000029</v>
      </c>
      <c r="GC79" s="1260">
        <f t="shared" si="497"/>
        <v>5.3629983000000037</v>
      </c>
      <c r="GD79" s="1260">
        <f t="shared" si="497"/>
        <v>5.8992981300000036</v>
      </c>
      <c r="GF79" s="1260">
        <f>SUM(GF69:GF78)</f>
        <v>3.7000000000000006</v>
      </c>
      <c r="GG79" s="1260">
        <f t="shared" ref="GG79:GL79" si="498">SUM(GG69:GG78)</f>
        <v>3.330000000000001</v>
      </c>
      <c r="GH79" s="1260">
        <f t="shared" si="498"/>
        <v>3.330000000000001</v>
      </c>
      <c r="GI79" s="1260">
        <f t="shared" si="498"/>
        <v>3.330000000000001</v>
      </c>
      <c r="GJ79" s="1260">
        <f t="shared" si="498"/>
        <v>3.6630000000000003</v>
      </c>
      <c r="GK79" s="1260">
        <f t="shared" si="498"/>
        <v>4.029300000000001</v>
      </c>
      <c r="GL79" s="1260">
        <f t="shared" si="498"/>
        <v>4.029300000000001</v>
      </c>
      <c r="GM79" s="1260">
        <f>SUM(GM69:GM78)</f>
        <v>4.4322300000000014</v>
      </c>
      <c r="GN79" s="1260">
        <f t="shared" ref="GN79:GQ79" si="499">SUM(GN69:GN78)</f>
        <v>4.8754530000000029</v>
      </c>
      <c r="GO79" s="1260">
        <f t="shared" si="499"/>
        <v>4.8754530000000029</v>
      </c>
      <c r="GP79" s="1260">
        <f t="shared" si="499"/>
        <v>5.3629983000000037</v>
      </c>
      <c r="GQ79" s="1260">
        <f t="shared" si="499"/>
        <v>5.8992981300000036</v>
      </c>
      <c r="GS79" s="1260">
        <f>SUM(GS69:GS78)</f>
        <v>3.7000000000000006</v>
      </c>
      <c r="GT79" s="1260">
        <f t="shared" ref="GT79:GY79" si="500">SUM(GT69:GT78)</f>
        <v>3.330000000000001</v>
      </c>
      <c r="GU79" s="1260">
        <f t="shared" si="500"/>
        <v>3.330000000000001</v>
      </c>
      <c r="GV79" s="1260">
        <f t="shared" si="500"/>
        <v>3.330000000000001</v>
      </c>
      <c r="GW79" s="1260">
        <f t="shared" si="500"/>
        <v>3.6630000000000003</v>
      </c>
      <c r="GX79" s="1260">
        <f t="shared" si="500"/>
        <v>4.029300000000001</v>
      </c>
      <c r="GY79" s="1260">
        <f t="shared" si="500"/>
        <v>4.029300000000001</v>
      </c>
      <c r="GZ79" s="1260">
        <f>SUM(GZ69:GZ78)</f>
        <v>4.4322300000000014</v>
      </c>
      <c r="HA79" s="1260">
        <f t="shared" ref="HA79:HD79" si="501">SUM(HA69:HA78)</f>
        <v>4.8754530000000029</v>
      </c>
      <c r="HB79" s="1260">
        <f t="shared" si="501"/>
        <v>4.8754530000000029</v>
      </c>
      <c r="HC79" s="1260">
        <f t="shared" si="501"/>
        <v>5.3629983000000037</v>
      </c>
      <c r="HD79" s="1260">
        <f t="shared" si="501"/>
        <v>5.8992981300000036</v>
      </c>
    </row>
    <row r="80" spans="2:212">
      <c r="B80" s="1037" t="s">
        <v>1081</v>
      </c>
      <c r="C80" s="1038"/>
      <c r="D80" s="1038"/>
      <c r="E80" s="1039"/>
      <c r="F80" s="1039"/>
      <c r="G80" s="1040"/>
      <c r="H80" s="1039"/>
      <c r="I80" s="1039"/>
      <c r="P80" s="1259">
        <f>P79/P53</f>
        <v>0.1388888888888889</v>
      </c>
      <c r="Q80" s="1259">
        <f t="shared" ref="Q80:V80" si="502">Q79/Q53</f>
        <v>0.10344827586206896</v>
      </c>
      <c r="R80" s="1259">
        <f t="shared" si="502"/>
        <v>0.25609756097560976</v>
      </c>
      <c r="S80" s="1259">
        <f t="shared" si="502"/>
        <v>0.27058823529411763</v>
      </c>
      <c r="T80" s="1259">
        <f t="shared" si="502"/>
        <v>0.25</v>
      </c>
      <c r="U80" s="1259">
        <f t="shared" si="502"/>
        <v>0.38202247191011235</v>
      </c>
      <c r="V80" s="1259">
        <f t="shared" si="502"/>
        <v>0.37931034482758619</v>
      </c>
      <c r="X80" s="1063"/>
      <c r="DN80" s="928" t="s">
        <v>1065</v>
      </c>
      <c r="DT80" s="928" t="s">
        <v>1065</v>
      </c>
      <c r="DZ80" s="928" t="s">
        <v>1065</v>
      </c>
      <c r="EF80" s="1259">
        <f>EF79/EF53</f>
        <v>0.22292817679558008</v>
      </c>
      <c r="EG80" s="1259">
        <f t="shared" ref="EG80" si="503">EG79/EG53</f>
        <v>0.18715384615384614</v>
      </c>
      <c r="EH80" s="1259">
        <f t="shared" ref="EH80" si="504">EH79/EH53</f>
        <v>0.17696103896103899</v>
      </c>
      <c r="EI80" s="1259">
        <f t="shared" ref="EI80" si="505">EI79/EI53</f>
        <v>0.14914634146341466</v>
      </c>
      <c r="EJ80" s="1259">
        <f t="shared" ref="EJ80" si="506">EJ79/EJ53</f>
        <v>0.14864306358381507</v>
      </c>
      <c r="EK80" s="1259">
        <f t="shared" ref="EK80" si="507">EK79/EK53</f>
        <v>0.15652186495176854</v>
      </c>
      <c r="EL80" s="1259">
        <f t="shared" ref="EL80" si="508">EL79/EL53</f>
        <v>0.15302676579925653</v>
      </c>
      <c r="EM80" s="1259">
        <f>EM79/EM53</f>
        <v>0.18094860759493675</v>
      </c>
      <c r="EN80" s="1259">
        <f t="shared" ref="EN80" si="509">EN79/EN53</f>
        <v>0.21553170603015084</v>
      </c>
      <c r="EO80" s="1259">
        <f t="shared" ref="EO80" si="510">EO79/EO53</f>
        <v>0.23390946745562136</v>
      </c>
      <c r="EP80" s="1259">
        <f t="shared" ref="EP80" si="511">EP79/EP53</f>
        <v>0.27320737985611521</v>
      </c>
      <c r="EQ80" s="1259">
        <f>EQ79/EQ53</f>
        <v>0.31048937526315806</v>
      </c>
      <c r="ES80" s="1259">
        <f>ES79/ES53</f>
        <v>0.17943925233644861</v>
      </c>
      <c r="ET80" s="1259">
        <f t="shared" ref="ET80:EY80" si="512">ET79/ET53</f>
        <v>0.14372448979591837</v>
      </c>
      <c r="EU80" s="1259">
        <f t="shared" si="512"/>
        <v>0.1575</v>
      </c>
      <c r="EV80" s="1259">
        <f t="shared" si="512"/>
        <v>0.18367346938775514</v>
      </c>
      <c r="EW80" s="1259">
        <f t="shared" si="512"/>
        <v>0.22072959183673468</v>
      </c>
      <c r="EX80" s="1259">
        <f t="shared" si="512"/>
        <v>0.25391479591836735</v>
      </c>
      <c r="EY80" s="1259">
        <f t="shared" si="512"/>
        <v>0.25669285714285711</v>
      </c>
      <c r="EZ80" s="1259">
        <f>EZ79/EZ53</f>
        <v>0.27911070000000004</v>
      </c>
      <c r="FA80" s="1259">
        <f t="shared" ref="FA80:FC80" si="513">FA79/FA53</f>
        <v>0.30028127884615391</v>
      </c>
      <c r="FB80" s="1259">
        <f t="shared" si="513"/>
        <v>0.28965437837837843</v>
      </c>
      <c r="FC80" s="1259">
        <f t="shared" si="513"/>
        <v>0.30426660000000016</v>
      </c>
      <c r="FD80" s="1259">
        <f>FD79/FD53</f>
        <v>0.32773878500000014</v>
      </c>
      <c r="FF80" s="1259">
        <f>FF79/FF53</f>
        <v>0.18925619834710736</v>
      </c>
      <c r="FG80" s="1259">
        <f t="shared" ref="FG80:FL80" si="514">FG79/FG53</f>
        <v>0.14716216216216216</v>
      </c>
      <c r="FH80" s="1259">
        <f t="shared" si="514"/>
        <v>0.15410377358490568</v>
      </c>
      <c r="FI80" s="1259">
        <f t="shared" si="514"/>
        <v>0.17048076923076927</v>
      </c>
      <c r="FJ80" s="1259">
        <f t="shared" si="514"/>
        <v>0.19354500000000002</v>
      </c>
      <c r="FK80" s="1259">
        <f t="shared" si="514"/>
        <v>0.2195015625</v>
      </c>
      <c r="FL80" s="1259">
        <f t="shared" si="514"/>
        <v>0.22253478260869566</v>
      </c>
      <c r="FM80" s="1259">
        <f>FM79/FM53</f>
        <v>0.24910875000000007</v>
      </c>
      <c r="FN80" s="1259">
        <f t="shared" ref="FN80:FP80" si="515">FN79/FN53</f>
        <v>0.28079346428571439</v>
      </c>
      <c r="FO80" s="1259">
        <f t="shared" si="515"/>
        <v>0.2790402352941177</v>
      </c>
      <c r="FP80" s="1259">
        <f t="shared" si="515"/>
        <v>0.29626304835164846</v>
      </c>
      <c r="FQ80" s="1259">
        <f>FQ79/FQ53</f>
        <v>0.32408012641304362</v>
      </c>
      <c r="FS80" s="1259">
        <f>FS79/FS53</f>
        <v>0.19195402298850575</v>
      </c>
      <c r="FT80" s="1259">
        <f t="shared" ref="FT80:FY80" si="516">FT79/FT53</f>
        <v>0.15388888888888891</v>
      </c>
      <c r="FU80" s="1259">
        <f t="shared" si="516"/>
        <v>0.14460000000000003</v>
      </c>
      <c r="FV80" s="1259">
        <f t="shared" si="516"/>
        <v>0.14152173913043481</v>
      </c>
      <c r="FW80" s="1259">
        <f t="shared" si="516"/>
        <v>0.15871428571428575</v>
      </c>
      <c r="FX80" s="1259">
        <f t="shared" si="516"/>
        <v>0.18150000000000005</v>
      </c>
      <c r="FY80" s="1259">
        <f t="shared" si="516"/>
        <v>0.19004117647058827</v>
      </c>
      <c r="FZ80" s="1259">
        <f>FZ79/FZ53</f>
        <v>0.22094600000000009</v>
      </c>
      <c r="GA80" s="1259">
        <f t="shared" ref="GA80:GC80" si="517">GA79/GA53</f>
        <v>0.26015930769230783</v>
      </c>
      <c r="GB80" s="1259">
        <f t="shared" si="517"/>
        <v>0.27085850000000017</v>
      </c>
      <c r="GC80" s="1259">
        <f t="shared" si="517"/>
        <v>0.29794435000000019</v>
      </c>
      <c r="GD80" s="1259">
        <f>GD79/GD53</f>
        <v>0.3277387850000002</v>
      </c>
      <c r="GF80" s="1259">
        <f>GF79/GF53</f>
        <v>0.2055555555555556</v>
      </c>
      <c r="GG80" s="1259">
        <f t="shared" ref="GG80:GL80" si="518">GG79/GG53</f>
        <v>0.18500000000000005</v>
      </c>
      <c r="GH80" s="1259">
        <f t="shared" si="518"/>
        <v>0.18500000000000005</v>
      </c>
      <c r="GI80" s="1259">
        <f t="shared" si="518"/>
        <v>0.18500000000000005</v>
      </c>
      <c r="GJ80" s="1259">
        <f t="shared" si="518"/>
        <v>0.20350000000000001</v>
      </c>
      <c r="GK80" s="1259">
        <f t="shared" si="518"/>
        <v>0.22385000000000005</v>
      </c>
      <c r="GL80" s="1259">
        <f t="shared" si="518"/>
        <v>0.22385000000000005</v>
      </c>
      <c r="GM80" s="1259">
        <f>GM79/GM53</f>
        <v>0.24623500000000009</v>
      </c>
      <c r="GN80" s="1259">
        <f t="shared" ref="GN80:GP80" si="519">GN79/GN53</f>
        <v>0.27085850000000017</v>
      </c>
      <c r="GO80" s="1259">
        <f t="shared" si="519"/>
        <v>0.27085850000000017</v>
      </c>
      <c r="GP80" s="1259">
        <f t="shared" si="519"/>
        <v>0.29794435000000019</v>
      </c>
      <c r="GQ80" s="1259">
        <f>GQ79/GQ53</f>
        <v>0.3277387850000002</v>
      </c>
      <c r="GS80" s="1259">
        <f>GS79/GS53</f>
        <v>0.2055555555555556</v>
      </c>
      <c r="GT80" s="1259">
        <f t="shared" ref="GT80:GY80" si="520">GT79/GT53</f>
        <v>0.18500000000000005</v>
      </c>
      <c r="GU80" s="1259">
        <f t="shared" si="520"/>
        <v>0.18500000000000005</v>
      </c>
      <c r="GV80" s="1259">
        <f t="shared" si="520"/>
        <v>0.18500000000000005</v>
      </c>
      <c r="GW80" s="1259">
        <f t="shared" si="520"/>
        <v>0.20350000000000001</v>
      </c>
      <c r="GX80" s="1259">
        <f t="shared" si="520"/>
        <v>0.22385000000000005</v>
      </c>
      <c r="GY80" s="1259">
        <f t="shared" si="520"/>
        <v>0.22385000000000005</v>
      </c>
      <c r="GZ80" s="1259">
        <f>GZ79/GZ53</f>
        <v>0.24623500000000009</v>
      </c>
      <c r="HA80" s="1259">
        <f t="shared" ref="HA80:HC80" si="521">HA79/HA53</f>
        <v>0.27085850000000017</v>
      </c>
      <c r="HB80" s="1259">
        <f t="shared" si="521"/>
        <v>0.27085850000000017</v>
      </c>
      <c r="HC80" s="1259">
        <f t="shared" si="521"/>
        <v>0.29794435000000019</v>
      </c>
      <c r="HD80" s="1259">
        <f>HD79/HD53</f>
        <v>0.3277387850000002</v>
      </c>
    </row>
    <row r="81" spans="1:212" ht="15">
      <c r="B81" s="1041">
        <v>30</v>
      </c>
      <c r="C81" s="1042" t="s">
        <v>1082</v>
      </c>
      <c r="D81" s="1042"/>
      <c r="E81" s="1042"/>
      <c r="F81" s="1042"/>
      <c r="G81" s="1042"/>
      <c r="H81" s="1042"/>
      <c r="I81" s="1080"/>
      <c r="J81" s="929"/>
      <c r="K81" s="929"/>
      <c r="X81" s="1063"/>
      <c r="DN81" s="928" t="s">
        <v>1047</v>
      </c>
      <c r="DT81" s="928" t="s">
        <v>1047</v>
      </c>
      <c r="DZ81" s="928" t="s">
        <v>1047</v>
      </c>
      <c r="EF81" s="928" t="s">
        <v>1038</v>
      </c>
      <c r="ES81" s="928" t="s">
        <v>1038</v>
      </c>
      <c r="FF81" s="928" t="s">
        <v>1038</v>
      </c>
      <c r="FS81" s="928" t="s">
        <v>1038</v>
      </c>
      <c r="GF81" s="928" t="s">
        <v>1038</v>
      </c>
      <c r="GS81" s="928" t="s">
        <v>1038</v>
      </c>
    </row>
    <row r="82" spans="1:212">
      <c r="B82" s="963"/>
      <c r="C82" s="929" t="s">
        <v>156</v>
      </c>
      <c r="D82" s="1081"/>
      <c r="E82" s="1082"/>
      <c r="F82" s="1083"/>
      <c r="G82" s="988"/>
      <c r="H82" s="929"/>
      <c r="I82" s="1081"/>
      <c r="J82" s="929"/>
      <c r="K82" s="929"/>
      <c r="X82" s="1063"/>
      <c r="EF82" s="928" t="s">
        <v>1065</v>
      </c>
      <c r="ES82" s="928" t="s">
        <v>1065</v>
      </c>
      <c r="FF82" s="928" t="s">
        <v>1065</v>
      </c>
      <c r="FS82" s="928" t="s">
        <v>1065</v>
      </c>
      <c r="GF82" s="928" t="s">
        <v>1065</v>
      </c>
      <c r="GS82" s="928" t="s">
        <v>1065</v>
      </c>
    </row>
    <row r="83" spans="1:212">
      <c r="B83" s="1031"/>
      <c r="C83" s="1079"/>
      <c r="D83" s="1045"/>
      <c r="E83" s="1045"/>
      <c r="F83" s="1045"/>
      <c r="G83" s="1045"/>
      <c r="H83" s="1045"/>
      <c r="I83" s="1045"/>
      <c r="EF83" s="928" t="s">
        <v>1231</v>
      </c>
      <c r="ES83" s="928" t="s">
        <v>1231</v>
      </c>
      <c r="FF83" s="928" t="s">
        <v>1231</v>
      </c>
      <c r="FS83" s="928" t="s">
        <v>1231</v>
      </c>
      <c r="GF83" s="928" t="s">
        <v>1231</v>
      </c>
      <c r="GS83" s="928" t="s">
        <v>1231</v>
      </c>
    </row>
    <row r="84" spans="1:212" ht="14.25">
      <c r="B84" s="1048" t="s">
        <v>1036</v>
      </c>
      <c r="C84" s="31"/>
      <c r="D84" s="31"/>
      <c r="E84" s="31"/>
      <c r="F84" s="31"/>
      <c r="G84" s="31"/>
      <c r="H84" s="1072"/>
      <c r="I84" s="1072"/>
    </row>
    <row r="85" spans="1:212" ht="14.25">
      <c r="B85" s="1084" t="s">
        <v>1083</v>
      </c>
      <c r="C85" s="31"/>
      <c r="D85" s="31"/>
      <c r="E85" s="31"/>
      <c r="F85" s="31"/>
      <c r="G85" s="31"/>
      <c r="H85" s="1072"/>
      <c r="I85" s="1072"/>
    </row>
    <row r="86" spans="1:212" ht="14.25">
      <c r="B86" s="1050" t="s">
        <v>1066</v>
      </c>
      <c r="C86" s="31"/>
      <c r="D86" s="31"/>
      <c r="E86" s="31"/>
      <c r="F86" s="31"/>
      <c r="G86" s="31"/>
      <c r="H86" s="1072"/>
      <c r="I86" s="1072"/>
    </row>
    <row r="87" spans="1:212" ht="14.25">
      <c r="B87" s="1052" t="s">
        <v>1067</v>
      </c>
      <c r="C87" s="31"/>
      <c r="D87" s="31"/>
      <c r="E87" s="31"/>
      <c r="F87" s="31"/>
      <c r="G87" s="31"/>
      <c r="H87" s="1072"/>
      <c r="I87" s="1072"/>
    </row>
    <row r="88" spans="1:212" ht="14.25">
      <c r="B88" s="941"/>
      <c r="C88" s="31"/>
      <c r="D88" s="31"/>
      <c r="E88" s="31"/>
      <c r="F88" s="31"/>
      <c r="G88" s="31"/>
      <c r="H88" s="1072"/>
      <c r="I88" s="1072"/>
    </row>
    <row r="91" spans="1:212" s="918" customFormat="1">
      <c r="A91" s="915" t="s">
        <v>1084</v>
      </c>
      <c r="B91" s="916" t="s">
        <v>1085</v>
      </c>
      <c r="C91" s="917"/>
      <c r="D91" s="917"/>
      <c r="E91" s="917"/>
      <c r="F91" s="917"/>
      <c r="G91" s="917"/>
      <c r="H91" s="917"/>
      <c r="I91" s="917"/>
      <c r="J91" s="917"/>
      <c r="K91" s="917"/>
      <c r="L91" s="917"/>
      <c r="M91" s="917"/>
      <c r="N91" s="917"/>
      <c r="O91" s="917"/>
      <c r="P91" s="917"/>
      <c r="Q91" s="917"/>
      <c r="R91" s="917"/>
      <c r="S91" s="917"/>
      <c r="T91" s="917"/>
      <c r="U91" s="917"/>
      <c r="V91" s="917"/>
      <c r="W91" s="917"/>
      <c r="X91" s="917"/>
      <c r="Y91" s="917"/>
      <c r="Z91" s="917"/>
      <c r="AA91" s="917"/>
      <c r="AB91" s="917"/>
      <c r="AC91" s="917"/>
      <c r="AD91" s="917"/>
      <c r="AE91" s="917"/>
      <c r="AF91" s="917"/>
      <c r="AG91" s="917"/>
      <c r="AH91" s="917"/>
      <c r="AI91" s="917"/>
      <c r="AJ91" s="917"/>
      <c r="AK91" s="917"/>
      <c r="AL91" s="917"/>
      <c r="AM91" s="917"/>
      <c r="AN91" s="917"/>
      <c r="AO91" s="917"/>
      <c r="AP91" s="917"/>
      <c r="AQ91" s="917"/>
      <c r="AR91" s="917"/>
      <c r="AS91" s="917"/>
      <c r="AT91" s="917"/>
      <c r="AU91" s="917"/>
      <c r="AV91" s="917"/>
      <c r="AW91" s="917"/>
      <c r="AX91" s="917"/>
      <c r="AY91" s="917"/>
      <c r="AZ91" s="917"/>
      <c r="BA91" s="917"/>
      <c r="BB91" s="917"/>
      <c r="BC91" s="917"/>
      <c r="BD91" s="917"/>
      <c r="BE91" s="917"/>
      <c r="BF91" s="917"/>
      <c r="BG91" s="917"/>
      <c r="BH91" s="917"/>
      <c r="BI91" s="917"/>
      <c r="BJ91" s="917"/>
      <c r="BK91" s="917"/>
      <c r="BL91" s="917"/>
      <c r="BM91" s="917"/>
      <c r="BN91" s="917"/>
      <c r="BO91" s="917"/>
      <c r="BP91" s="917"/>
      <c r="BQ91" s="917"/>
      <c r="BR91" s="917"/>
      <c r="BS91" s="917"/>
      <c r="BT91" s="917"/>
      <c r="BU91" s="917"/>
      <c r="BV91" s="917"/>
      <c r="BW91" s="917"/>
      <c r="BX91" s="917"/>
      <c r="BY91" s="917"/>
      <c r="BZ91" s="917"/>
      <c r="CA91" s="917"/>
      <c r="CB91" s="917"/>
      <c r="CC91" s="917"/>
      <c r="CD91" s="917"/>
      <c r="CE91" s="917"/>
      <c r="CF91" s="917"/>
      <c r="CG91" s="917"/>
      <c r="CH91" s="917"/>
      <c r="CI91" s="917"/>
      <c r="CJ91" s="917"/>
      <c r="CK91" s="917"/>
      <c r="CL91" s="917"/>
      <c r="CM91" s="917"/>
      <c r="CN91" s="917"/>
      <c r="CO91" s="917"/>
      <c r="CP91" s="917"/>
      <c r="CQ91" s="917"/>
      <c r="CR91" s="917"/>
      <c r="CS91" s="917"/>
      <c r="CT91" s="917"/>
      <c r="CU91" s="917"/>
      <c r="CV91" s="917"/>
      <c r="CW91" s="917"/>
      <c r="CX91" s="917"/>
      <c r="CY91" s="917"/>
      <c r="CZ91" s="917"/>
      <c r="DA91" s="917"/>
      <c r="DB91" s="917"/>
      <c r="DC91" s="917"/>
      <c r="DD91" s="917"/>
      <c r="DE91" s="917"/>
      <c r="DF91" s="917"/>
      <c r="DG91" s="917"/>
      <c r="DH91" s="917"/>
      <c r="DI91" s="917"/>
      <c r="DJ91" s="917"/>
      <c r="DK91" s="917"/>
      <c r="DL91" s="917"/>
      <c r="DM91" s="917"/>
      <c r="DN91" s="917"/>
      <c r="DO91" s="917"/>
      <c r="DP91" s="917"/>
      <c r="DQ91" s="917"/>
      <c r="DR91" s="917"/>
      <c r="DS91" s="917"/>
      <c r="DT91" s="917"/>
      <c r="DU91" s="917"/>
      <c r="DV91" s="917"/>
      <c r="DW91" s="917"/>
      <c r="DX91" s="917"/>
      <c r="DY91" s="917"/>
      <c r="DZ91" s="917"/>
      <c r="EA91" s="917"/>
      <c r="EB91" s="917"/>
      <c r="EC91" s="917"/>
      <c r="ED91" s="917"/>
      <c r="EE91" s="917"/>
      <c r="EF91" s="917"/>
      <c r="EG91" s="917"/>
      <c r="EH91" s="917"/>
      <c r="EI91" s="917"/>
      <c r="EJ91" s="917"/>
      <c r="EK91" s="917"/>
      <c r="EL91" s="917"/>
      <c r="EM91" s="917"/>
      <c r="EN91" s="917"/>
      <c r="EO91" s="917"/>
      <c r="EP91" s="917"/>
      <c r="EQ91" s="917"/>
      <c r="ES91" s="917"/>
      <c r="ET91" s="917"/>
      <c r="EU91" s="917"/>
      <c r="EV91" s="917"/>
      <c r="EW91" s="917"/>
      <c r="EX91" s="917"/>
      <c r="EY91" s="917"/>
      <c r="EZ91" s="917"/>
      <c r="FA91" s="917"/>
      <c r="FB91" s="917"/>
      <c r="FC91" s="917"/>
      <c r="FD91" s="917"/>
      <c r="FF91" s="917"/>
      <c r="FG91" s="917"/>
      <c r="FH91" s="917"/>
      <c r="FI91" s="917"/>
      <c r="FJ91" s="917"/>
      <c r="FK91" s="917"/>
      <c r="FL91" s="917"/>
      <c r="FM91" s="917"/>
      <c r="FN91" s="917"/>
      <c r="FO91" s="917"/>
      <c r="FP91" s="917"/>
      <c r="FQ91" s="917"/>
      <c r="FS91" s="917"/>
      <c r="FT91" s="917"/>
      <c r="FU91" s="917"/>
      <c r="FV91" s="917"/>
      <c r="FW91" s="917"/>
      <c r="FX91" s="917"/>
      <c r="FY91" s="917"/>
      <c r="FZ91" s="917"/>
      <c r="GA91" s="917"/>
      <c r="GB91" s="917"/>
      <c r="GC91" s="917"/>
      <c r="GD91" s="917"/>
      <c r="GF91" s="917"/>
      <c r="GG91" s="917"/>
      <c r="GH91" s="917"/>
      <c r="GI91" s="917"/>
      <c r="GJ91" s="917"/>
      <c r="GK91" s="917"/>
      <c r="GL91" s="917"/>
      <c r="GM91" s="917"/>
      <c r="GN91" s="917"/>
      <c r="GO91" s="917"/>
      <c r="GP91" s="917"/>
      <c r="GQ91" s="917"/>
      <c r="GS91" s="917"/>
      <c r="GT91" s="917"/>
      <c r="GU91" s="917"/>
      <c r="GV91" s="917"/>
      <c r="GW91" s="917"/>
      <c r="GX91" s="917"/>
      <c r="GY91" s="917"/>
      <c r="GZ91" s="917"/>
      <c r="HA91" s="917"/>
      <c r="HB91" s="917"/>
      <c r="HC91" s="917"/>
      <c r="HD91" s="917"/>
    </row>
    <row r="93" spans="1:212">
      <c r="B93" s="919" t="s">
        <v>1029</v>
      </c>
      <c r="C93" s="920"/>
      <c r="D93" s="920"/>
      <c r="E93" s="920"/>
      <c r="F93" s="920"/>
      <c r="G93" s="920"/>
      <c r="H93" s="920"/>
      <c r="I93" s="920"/>
      <c r="J93" s="920"/>
      <c r="K93" s="920"/>
      <c r="L93" s="920"/>
      <c r="N93" s="921" t="s">
        <v>1030</v>
      </c>
      <c r="O93" s="922"/>
      <c r="P93" s="922"/>
      <c r="Q93" s="922"/>
      <c r="R93" s="922"/>
      <c r="S93" s="922"/>
      <c r="T93" s="922"/>
      <c r="U93" s="922"/>
      <c r="V93" s="922"/>
      <c r="W93" s="922"/>
      <c r="X93" s="922"/>
      <c r="Y93" s="922"/>
      <c r="AA93" s="923" t="s">
        <v>1031</v>
      </c>
      <c r="AB93" s="924"/>
      <c r="AC93" s="924"/>
      <c r="AD93" s="924"/>
      <c r="AE93" s="924"/>
      <c r="AF93" s="924"/>
      <c r="AG93" s="924"/>
      <c r="AH93" s="924"/>
      <c r="AI93" s="924"/>
      <c r="AJ93" s="924"/>
      <c r="AK93" s="924"/>
      <c r="AL93" s="924"/>
      <c r="AM93" s="924"/>
      <c r="AN93" s="924"/>
      <c r="AO93" s="924"/>
      <c r="AP93" s="924"/>
      <c r="AQ93" s="924"/>
      <c r="AR93" s="924"/>
      <c r="AS93" s="924"/>
      <c r="AT93" s="924"/>
      <c r="AU93" s="924"/>
      <c r="AV93" s="924"/>
      <c r="AW93" s="924"/>
      <c r="AX93" s="924"/>
      <c r="AY93" s="924"/>
      <c r="AZ93" s="924"/>
      <c r="BA93" s="924"/>
      <c r="BB93" s="924"/>
      <c r="BC93" s="924"/>
      <c r="BD93" s="924"/>
      <c r="BE93" s="924"/>
      <c r="BF93" s="924"/>
      <c r="BG93" s="924"/>
      <c r="BH93" s="924"/>
      <c r="BI93" s="924"/>
      <c r="BJ93" s="924"/>
      <c r="BK93" s="924"/>
      <c r="BL93" s="924"/>
      <c r="BM93" s="924"/>
      <c r="BN93" s="924"/>
      <c r="BO93" s="924"/>
      <c r="BP93" s="924"/>
      <c r="BQ93" s="924"/>
      <c r="BR93" s="924"/>
      <c r="BS93" s="924"/>
      <c r="BT93" s="924"/>
      <c r="BU93" s="924"/>
      <c r="BV93" s="924"/>
      <c r="BW93" s="924"/>
      <c r="BX93" s="924"/>
      <c r="BY93" s="924"/>
      <c r="BZ93" s="924"/>
      <c r="CA93" s="924"/>
      <c r="CB93" s="924"/>
      <c r="CC93" s="924"/>
      <c r="CD93" s="924"/>
      <c r="CE93" s="924"/>
      <c r="CF93" s="924"/>
      <c r="CG93" s="924"/>
      <c r="CH93" s="924"/>
      <c r="CI93" s="924"/>
      <c r="CJ93" s="924"/>
      <c r="CK93" s="924"/>
      <c r="CL93" s="924"/>
      <c r="CM93" s="924"/>
      <c r="CN93" s="924"/>
      <c r="CO93" s="924"/>
      <c r="CP93" s="924"/>
      <c r="CQ93" s="924"/>
      <c r="CR93" s="924"/>
      <c r="CS93" s="924"/>
      <c r="CT93" s="924"/>
      <c r="CU93" s="924"/>
      <c r="CV93" s="924"/>
      <c r="CW93" s="924"/>
      <c r="CX93" s="924"/>
      <c r="CY93" s="924"/>
      <c r="CZ93" s="924"/>
      <c r="DA93" s="924"/>
      <c r="DB93" s="924"/>
      <c r="DC93" s="924"/>
      <c r="DD93" s="924"/>
      <c r="DE93" s="924"/>
      <c r="DF93" s="924"/>
      <c r="DG93" s="924"/>
      <c r="DH93" s="924"/>
      <c r="DI93" s="924"/>
      <c r="DK93" s="925" t="s">
        <v>1032</v>
      </c>
      <c r="DL93" s="926"/>
      <c r="DM93" s="926"/>
      <c r="DN93" s="926"/>
      <c r="DO93" s="926"/>
      <c r="DP93" s="926"/>
      <c r="DQ93" s="926"/>
      <c r="DR93" s="926"/>
      <c r="DS93" s="926"/>
      <c r="DT93" s="926"/>
      <c r="DU93" s="926"/>
      <c r="DV93" s="926"/>
      <c r="DW93" s="926"/>
      <c r="DX93" s="926"/>
      <c r="DY93" s="926"/>
      <c r="DZ93" s="926"/>
      <c r="EA93" s="926"/>
      <c r="EB93" s="926"/>
      <c r="EC93" s="926"/>
      <c r="ED93" s="926"/>
      <c r="EE93" s="926"/>
      <c r="EF93" s="926"/>
      <c r="EG93" s="926"/>
      <c r="EH93" s="926"/>
      <c r="EI93" s="926"/>
      <c r="EJ93" s="926"/>
      <c r="EK93" s="926"/>
      <c r="EL93" s="926"/>
      <c r="EM93" s="926"/>
      <c r="EN93" s="926"/>
      <c r="EO93" s="926"/>
      <c r="EP93" s="926"/>
      <c r="EQ93" s="926"/>
      <c r="ES93" s="926"/>
      <c r="ET93" s="926"/>
      <c r="EU93" s="926"/>
      <c r="EV93" s="926"/>
      <c r="EW93" s="926"/>
      <c r="EX93" s="926"/>
      <c r="EY93" s="926"/>
      <c r="EZ93" s="926"/>
      <c r="FA93" s="926"/>
      <c r="FB93" s="926"/>
      <c r="FC93" s="926"/>
      <c r="FD93" s="926"/>
      <c r="FF93" s="926"/>
      <c r="FG93" s="926"/>
      <c r="FH93" s="926"/>
      <c r="FI93" s="926"/>
      <c r="FJ93" s="926"/>
      <c r="FK93" s="926"/>
      <c r="FL93" s="926"/>
      <c r="FM93" s="926"/>
      <c r="FN93" s="926"/>
      <c r="FO93" s="926"/>
      <c r="FP93" s="926"/>
      <c r="FQ93" s="926"/>
      <c r="FS93" s="926"/>
      <c r="FT93" s="926"/>
      <c r="FU93" s="926"/>
      <c r="FV93" s="926"/>
      <c r="FW93" s="926"/>
      <c r="FX93" s="926"/>
      <c r="FY93" s="926"/>
      <c r="FZ93" s="926"/>
      <c r="GA93" s="926"/>
      <c r="GB93" s="926"/>
      <c r="GC93" s="926"/>
      <c r="GD93" s="926"/>
      <c r="GF93" s="926"/>
      <c r="GG93" s="926"/>
      <c r="GH93" s="926"/>
      <c r="GI93" s="926"/>
      <c r="GJ93" s="926"/>
      <c r="GK93" s="926"/>
      <c r="GL93" s="926"/>
      <c r="GM93" s="926"/>
      <c r="GN93" s="926"/>
      <c r="GO93" s="926"/>
      <c r="GP93" s="926"/>
      <c r="GQ93" s="926"/>
      <c r="GS93" s="926"/>
      <c r="GT93" s="926"/>
      <c r="GU93" s="926"/>
      <c r="GV93" s="926"/>
      <c r="GW93" s="926"/>
      <c r="GX93" s="926"/>
      <c r="GY93" s="926"/>
      <c r="GZ93" s="926"/>
      <c r="HA93" s="926"/>
      <c r="HB93" s="926"/>
      <c r="HC93" s="926"/>
      <c r="HD93" s="926"/>
    </row>
    <row r="95" spans="1:212" ht="42.75">
      <c r="B95" s="980" t="s">
        <v>114</v>
      </c>
      <c r="C95" s="1054" t="s">
        <v>158</v>
      </c>
      <c r="D95" s="1085" t="s">
        <v>1086</v>
      </c>
      <c r="E95" s="1086" t="s">
        <v>1087</v>
      </c>
      <c r="F95" s="1087" t="s">
        <v>1088</v>
      </c>
      <c r="G95" s="1057" t="s">
        <v>162</v>
      </c>
      <c r="H95" s="1088" t="s">
        <v>118</v>
      </c>
      <c r="I95" s="938" t="s">
        <v>1039</v>
      </c>
    </row>
    <row r="96" spans="1:212" ht="14.25">
      <c r="B96" s="967" t="s">
        <v>119</v>
      </c>
      <c r="C96" s="1059">
        <v>20</v>
      </c>
      <c r="D96" s="1089">
        <v>10</v>
      </c>
      <c r="E96" s="1008">
        <v>2</v>
      </c>
      <c r="F96" s="1089">
        <v>1</v>
      </c>
      <c r="G96" s="1060">
        <v>5</v>
      </c>
      <c r="H96" s="1010">
        <v>10</v>
      </c>
      <c r="I96" s="1061">
        <f>H96/C96</f>
        <v>0.5</v>
      </c>
      <c r="N96" s="944"/>
      <c r="O96" s="930"/>
      <c r="P96" s="945">
        <v>42370</v>
      </c>
      <c r="Q96" s="945">
        <v>42401</v>
      </c>
      <c r="R96" s="945">
        <v>42430</v>
      </c>
      <c r="S96" s="945">
        <v>42461</v>
      </c>
      <c r="T96" s="945">
        <v>42491</v>
      </c>
      <c r="U96" s="945">
        <v>42522</v>
      </c>
      <c r="V96" s="945">
        <v>42552</v>
      </c>
      <c r="W96" s="995"/>
      <c r="X96" s="995"/>
      <c r="Y96" s="995"/>
      <c r="AA96" s="944"/>
      <c r="AB96" s="930"/>
      <c r="AC96" s="945">
        <v>42370</v>
      </c>
      <c r="AD96" s="945">
        <v>42401</v>
      </c>
      <c r="AE96" s="945">
        <v>42430</v>
      </c>
      <c r="AF96" s="945">
        <v>42461</v>
      </c>
      <c r="AG96" s="945">
        <v>42491</v>
      </c>
      <c r="AH96" s="945">
        <v>42522</v>
      </c>
      <c r="AI96" s="945">
        <v>42552</v>
      </c>
      <c r="AJ96" s="932" t="s">
        <v>1033</v>
      </c>
      <c r="AK96" s="946">
        <v>42583</v>
      </c>
      <c r="AL96" s="946">
        <v>42614</v>
      </c>
      <c r="AM96" s="946">
        <v>42644</v>
      </c>
      <c r="AN96" s="946">
        <v>42675</v>
      </c>
      <c r="AO96" s="946">
        <v>42705</v>
      </c>
      <c r="AP96" s="996">
        <v>42736</v>
      </c>
      <c r="AQ96" s="996">
        <v>42767</v>
      </c>
      <c r="AR96" s="996">
        <v>42795</v>
      </c>
      <c r="AS96" s="996">
        <v>42826</v>
      </c>
      <c r="AT96" s="996">
        <v>42856</v>
      </c>
      <c r="AU96" s="996">
        <v>42887</v>
      </c>
      <c r="AV96" s="996">
        <v>42917</v>
      </c>
      <c r="AW96" s="996">
        <v>42948</v>
      </c>
      <c r="AX96" s="996">
        <v>42979</v>
      </c>
      <c r="AY96" s="996">
        <v>43009</v>
      </c>
      <c r="AZ96" s="996">
        <v>43040</v>
      </c>
      <c r="BA96" s="996">
        <v>43070</v>
      </c>
      <c r="BB96" s="996">
        <v>43101</v>
      </c>
      <c r="BC96" s="996">
        <v>43132</v>
      </c>
      <c r="BD96" s="996">
        <v>43160</v>
      </c>
      <c r="BE96" s="996">
        <v>43191</v>
      </c>
      <c r="BF96" s="996">
        <v>43221</v>
      </c>
      <c r="BG96" s="996">
        <v>43252</v>
      </c>
      <c r="BH96" s="996">
        <v>43282</v>
      </c>
      <c r="BI96" s="996">
        <v>43313</v>
      </c>
      <c r="BJ96" s="996">
        <v>43344</v>
      </c>
      <c r="BK96" s="996">
        <v>43374</v>
      </c>
      <c r="BL96" s="996">
        <v>43405</v>
      </c>
      <c r="BM96" s="996">
        <v>43435</v>
      </c>
      <c r="BN96" s="996">
        <v>43466</v>
      </c>
      <c r="BO96" s="996">
        <v>43497</v>
      </c>
      <c r="BP96" s="996">
        <v>43525</v>
      </c>
      <c r="BQ96" s="996">
        <v>43556</v>
      </c>
      <c r="BR96" s="996">
        <v>43586</v>
      </c>
      <c r="BS96" s="996">
        <v>43617</v>
      </c>
      <c r="BT96" s="996">
        <v>43647</v>
      </c>
      <c r="BU96" s="996">
        <v>43678</v>
      </c>
      <c r="BV96" s="996">
        <v>43709</v>
      </c>
      <c r="BW96" s="996">
        <v>43739</v>
      </c>
      <c r="BX96" s="996">
        <v>43770</v>
      </c>
      <c r="BY96" s="996">
        <v>43800</v>
      </c>
      <c r="BZ96" s="996">
        <v>43831</v>
      </c>
      <c r="CA96" s="996">
        <v>43862</v>
      </c>
      <c r="CB96" s="996">
        <v>43891</v>
      </c>
      <c r="CC96" s="996">
        <v>43922</v>
      </c>
      <c r="CD96" s="996">
        <v>43952</v>
      </c>
      <c r="CE96" s="996">
        <v>43983</v>
      </c>
      <c r="CF96" s="996">
        <v>44013</v>
      </c>
      <c r="CG96" s="996">
        <v>44044</v>
      </c>
      <c r="CH96" s="996">
        <v>44075</v>
      </c>
      <c r="CI96" s="996">
        <v>44105</v>
      </c>
      <c r="CJ96" s="996">
        <v>44136</v>
      </c>
      <c r="CK96" s="996">
        <v>44166</v>
      </c>
      <c r="CL96" s="996">
        <v>44197</v>
      </c>
      <c r="CM96" s="996">
        <v>44228</v>
      </c>
      <c r="CN96" s="996">
        <v>44256</v>
      </c>
      <c r="CO96" s="996">
        <v>44287</v>
      </c>
      <c r="CP96" s="996">
        <v>44317</v>
      </c>
      <c r="CQ96" s="996">
        <v>44348</v>
      </c>
      <c r="CR96" s="996">
        <v>44378</v>
      </c>
      <c r="CS96" s="996">
        <v>44409</v>
      </c>
      <c r="CT96" s="996">
        <v>44440</v>
      </c>
      <c r="CU96" s="996">
        <v>44470</v>
      </c>
      <c r="CV96" s="996">
        <v>44501</v>
      </c>
      <c r="CW96" s="996">
        <v>44531</v>
      </c>
      <c r="CX96" s="996">
        <v>44562</v>
      </c>
      <c r="CY96" s="996">
        <v>44593</v>
      </c>
      <c r="CZ96" s="996">
        <v>44621</v>
      </c>
      <c r="DA96" s="996">
        <v>44652</v>
      </c>
      <c r="DB96" s="996">
        <v>44682</v>
      </c>
      <c r="DC96" s="996">
        <v>44713</v>
      </c>
      <c r="DD96" s="996">
        <v>44743</v>
      </c>
      <c r="DE96" s="996">
        <v>44774</v>
      </c>
      <c r="DF96" s="996">
        <v>44805</v>
      </c>
      <c r="DG96" s="996">
        <v>44835</v>
      </c>
      <c r="DH96" s="996">
        <v>44866</v>
      </c>
      <c r="DI96" s="996">
        <v>44896</v>
      </c>
      <c r="DK96" s="944"/>
      <c r="DL96" s="930"/>
      <c r="DN96" s="947">
        <v>42583</v>
      </c>
      <c r="DO96" s="948">
        <v>42614</v>
      </c>
      <c r="DP96" s="948">
        <v>42644</v>
      </c>
      <c r="DQ96" s="948">
        <v>42675</v>
      </c>
      <c r="DR96" s="949">
        <v>42705</v>
      </c>
      <c r="DT96" s="947">
        <v>42583</v>
      </c>
      <c r="DU96" s="948">
        <v>42614</v>
      </c>
      <c r="DV96" s="948">
        <v>42644</v>
      </c>
      <c r="DW96" s="948">
        <v>42675</v>
      </c>
      <c r="DX96" s="949">
        <v>42705</v>
      </c>
      <c r="DZ96" s="947">
        <v>42583</v>
      </c>
      <c r="EA96" s="948">
        <v>42614</v>
      </c>
      <c r="EB96" s="948">
        <v>42644</v>
      </c>
      <c r="EC96" s="948">
        <v>42675</v>
      </c>
      <c r="ED96" s="949">
        <v>42705</v>
      </c>
      <c r="EF96" s="947">
        <v>42736</v>
      </c>
      <c r="EG96" s="948">
        <v>42767</v>
      </c>
      <c r="EH96" s="948">
        <v>42795</v>
      </c>
      <c r="EI96" s="948">
        <v>42826</v>
      </c>
      <c r="EJ96" s="948">
        <v>42856</v>
      </c>
      <c r="EK96" s="948">
        <v>42887</v>
      </c>
      <c r="EL96" s="948">
        <v>42917</v>
      </c>
      <c r="EM96" s="948">
        <v>42948</v>
      </c>
      <c r="EN96" s="948">
        <v>42979</v>
      </c>
      <c r="EO96" s="948">
        <v>43009</v>
      </c>
      <c r="EP96" s="948">
        <v>43040</v>
      </c>
      <c r="EQ96" s="949">
        <v>42705</v>
      </c>
      <c r="ES96" s="947">
        <v>43101</v>
      </c>
      <c r="ET96" s="1105">
        <v>43132</v>
      </c>
      <c r="EU96" s="1105">
        <v>43160</v>
      </c>
      <c r="EV96" s="1105">
        <v>43191</v>
      </c>
      <c r="EW96" s="1105">
        <v>43221</v>
      </c>
      <c r="EX96" s="1105">
        <v>43252</v>
      </c>
      <c r="EY96" s="1105">
        <v>43282</v>
      </c>
      <c r="EZ96" s="1105">
        <v>43313</v>
      </c>
      <c r="FA96" s="1105">
        <v>43344</v>
      </c>
      <c r="FB96" s="1105">
        <v>43374</v>
      </c>
      <c r="FC96" s="1105">
        <v>43405</v>
      </c>
      <c r="FD96" s="949">
        <v>43435</v>
      </c>
      <c r="FF96" s="947">
        <v>43466</v>
      </c>
      <c r="FG96" s="1105">
        <v>43497</v>
      </c>
      <c r="FH96" s="1105">
        <v>43525</v>
      </c>
      <c r="FI96" s="1105">
        <v>43556</v>
      </c>
      <c r="FJ96" s="1105">
        <v>43586</v>
      </c>
      <c r="FK96" s="1105">
        <v>43617</v>
      </c>
      <c r="FL96" s="1105">
        <v>43647</v>
      </c>
      <c r="FM96" s="1105">
        <v>43678</v>
      </c>
      <c r="FN96" s="1105">
        <v>43709</v>
      </c>
      <c r="FO96" s="1105">
        <v>43739</v>
      </c>
      <c r="FP96" s="1105">
        <v>43770</v>
      </c>
      <c r="FQ96" s="949">
        <v>43800</v>
      </c>
      <c r="FS96" s="947">
        <v>43831</v>
      </c>
      <c r="FT96" s="1105">
        <v>43862</v>
      </c>
      <c r="FU96" s="1105">
        <v>43891</v>
      </c>
      <c r="FV96" s="1105">
        <v>43922</v>
      </c>
      <c r="FW96" s="1105">
        <v>43952</v>
      </c>
      <c r="FX96" s="1105">
        <v>43983</v>
      </c>
      <c r="FY96" s="1105">
        <v>44013</v>
      </c>
      <c r="FZ96" s="1105">
        <v>44044</v>
      </c>
      <c r="GA96" s="1105">
        <v>44075</v>
      </c>
      <c r="GB96" s="1105">
        <v>44105</v>
      </c>
      <c r="GC96" s="1105">
        <v>44136</v>
      </c>
      <c r="GD96" s="949">
        <v>44166</v>
      </c>
      <c r="GF96" s="947">
        <v>44197</v>
      </c>
      <c r="GG96" s="1105">
        <v>44228</v>
      </c>
      <c r="GH96" s="1105">
        <v>44256</v>
      </c>
      <c r="GI96" s="1105">
        <v>44287</v>
      </c>
      <c r="GJ96" s="1105">
        <v>44317</v>
      </c>
      <c r="GK96" s="1105">
        <v>44348</v>
      </c>
      <c r="GL96" s="1105">
        <v>44378</v>
      </c>
      <c r="GM96" s="1105">
        <v>44409</v>
      </c>
      <c r="GN96" s="1105">
        <v>44440</v>
      </c>
      <c r="GO96" s="1105">
        <v>44470</v>
      </c>
      <c r="GP96" s="1105">
        <v>44501</v>
      </c>
      <c r="GQ96" s="949">
        <v>44531</v>
      </c>
      <c r="GS96" s="947">
        <v>44562</v>
      </c>
      <c r="GT96" s="1105">
        <v>44593</v>
      </c>
      <c r="GU96" s="1105">
        <v>44621</v>
      </c>
      <c r="GV96" s="1105">
        <v>44652</v>
      </c>
      <c r="GW96" s="1105">
        <v>44682</v>
      </c>
      <c r="GX96" s="1105">
        <v>44713</v>
      </c>
      <c r="GY96" s="1105">
        <v>44743</v>
      </c>
      <c r="GZ96" s="1105">
        <v>44774</v>
      </c>
      <c r="HA96" s="1105">
        <v>44805</v>
      </c>
      <c r="HB96" s="1105">
        <v>44835</v>
      </c>
      <c r="HC96" s="1105">
        <v>44866</v>
      </c>
      <c r="HD96" s="949">
        <v>44896</v>
      </c>
    </row>
    <row r="97" spans="2:212" ht="14.25">
      <c r="B97" s="967" t="s">
        <v>120</v>
      </c>
      <c r="C97" s="1059">
        <v>40</v>
      </c>
      <c r="D97" s="1090">
        <v>10</v>
      </c>
      <c r="E97" s="1008">
        <v>3</v>
      </c>
      <c r="F97" s="1090">
        <v>2</v>
      </c>
      <c r="G97" s="1062">
        <v>9</v>
      </c>
      <c r="H97" s="1010">
        <v>10</v>
      </c>
      <c r="I97" s="1061">
        <f t="shared" ref="I97:I107" si="522">H97/C97</f>
        <v>0.25</v>
      </c>
      <c r="N97" s="914" t="s">
        <v>206</v>
      </c>
      <c r="O97" s="933"/>
      <c r="P97" s="934">
        <f>[5]Assumption!D4</f>
        <v>13641.9247</v>
      </c>
      <c r="Q97" s="934">
        <f>[5]Assumption!E4</f>
        <v>13892.638999999999</v>
      </c>
      <c r="R97" s="934">
        <f>[5]Assumption!F4</f>
        <v>33141.966699999997</v>
      </c>
      <c r="S97" s="934">
        <f>[5]Assumption!G4</f>
        <v>30639.373500000002</v>
      </c>
      <c r="T97" s="934">
        <f>[5]Assumption!H4</f>
        <v>27458.014999999999</v>
      </c>
      <c r="U97" s="934">
        <f>[5]Assumption!I4</f>
        <v>41468.133600000001</v>
      </c>
      <c r="V97" s="934">
        <f>[5]Assumption!J4</f>
        <v>29747.920999999998</v>
      </c>
      <c r="W97" s="934"/>
      <c r="X97" s="934"/>
      <c r="Y97" s="934"/>
      <c r="AA97" s="914" t="s">
        <v>206</v>
      </c>
      <c r="AB97" s="933"/>
      <c r="AC97" s="934"/>
      <c r="AD97" s="934"/>
      <c r="AE97" s="934"/>
      <c r="AF97" s="934"/>
      <c r="AG97" s="934"/>
      <c r="AH97" s="934"/>
      <c r="AI97" s="934"/>
      <c r="DK97" s="914" t="s">
        <v>206</v>
      </c>
      <c r="DL97" s="933"/>
      <c r="DN97" s="968">
        <f>[5]Assumption!K4</f>
        <v>31024.388999999999</v>
      </c>
      <c r="DO97" s="975">
        <f>[5]Assumption!L4</f>
        <v>57115.435752778605</v>
      </c>
      <c r="DP97" s="975">
        <f>[5]Assumption!M4</f>
        <v>47631.558536618817</v>
      </c>
      <c r="DQ97" s="975">
        <f>[5]Assumption!N4</f>
        <v>53942.523858297791</v>
      </c>
      <c r="DR97" s="969">
        <f>[5]Assumption!O4</f>
        <v>70376.045614909744</v>
      </c>
      <c r="DT97" s="968">
        <f>[5]Assumption!K4</f>
        <v>31024.388999999999</v>
      </c>
      <c r="DU97" s="975">
        <f>[5]Assumption!L4</f>
        <v>57115.435752778605</v>
      </c>
      <c r="DV97" s="975">
        <f>[5]Assumption!M4</f>
        <v>47631.558536618817</v>
      </c>
      <c r="DW97" s="975">
        <f>[5]Assumption!N4</f>
        <v>53942.523858297791</v>
      </c>
      <c r="DX97" s="969">
        <f>[5]Assumption!O4</f>
        <v>70376.045614909744</v>
      </c>
      <c r="DZ97" s="1600">
        <f>DZ50</f>
        <v>31024.388999999999</v>
      </c>
      <c r="EA97" s="1605">
        <f t="shared" ref="EA97:ED97" si="523">EA50</f>
        <v>48843.572999999997</v>
      </c>
      <c r="EB97" s="1605">
        <f t="shared" si="523"/>
        <v>39101.214999999997</v>
      </c>
      <c r="EC97" s="1605">
        <f t="shared" si="523"/>
        <v>50426.896000000001</v>
      </c>
      <c r="ED97" s="1607">
        <f t="shared" si="523"/>
        <v>94434.854000000007</v>
      </c>
      <c r="EF97" s="1600">
        <f>EF50</f>
        <v>27131.55</v>
      </c>
      <c r="EG97" s="1605">
        <f t="shared" ref="EG97:EQ97" si="524">EG50</f>
        <v>40723.482300000003</v>
      </c>
      <c r="EH97" s="1605">
        <f t="shared" si="524"/>
        <v>56762.074000000001</v>
      </c>
      <c r="EI97" s="1605">
        <f t="shared" si="524"/>
        <v>49965.190999999999</v>
      </c>
      <c r="EJ97" s="1605">
        <f t="shared" si="524"/>
        <v>53646.534</v>
      </c>
      <c r="EK97" s="1605">
        <f t="shared" si="524"/>
        <v>58133.574000000001</v>
      </c>
      <c r="EL97" s="975">
        <f t="shared" si="524"/>
        <v>58800</v>
      </c>
      <c r="EM97" s="975">
        <f t="shared" si="524"/>
        <v>65660</v>
      </c>
      <c r="EN97" s="975">
        <f t="shared" si="524"/>
        <v>73500</v>
      </c>
      <c r="EO97" s="975">
        <f t="shared" si="524"/>
        <v>69580</v>
      </c>
      <c r="EP97" s="975">
        <f t="shared" si="524"/>
        <v>78400</v>
      </c>
      <c r="EQ97" s="969">
        <f t="shared" si="524"/>
        <v>88779.18</v>
      </c>
      <c r="ES97" s="968">
        <f>ES50</f>
        <v>33634.87184066388</v>
      </c>
      <c r="ET97" s="975">
        <f t="shared" ref="ET97:FD97" si="525">ET50</f>
        <v>31605.909403366346</v>
      </c>
      <c r="EU97" s="975">
        <f t="shared" si="525"/>
        <v>69270.736047451515</v>
      </c>
      <c r="EV97" s="975">
        <f t="shared" si="525"/>
        <v>68993.157764707124</v>
      </c>
      <c r="EW97" s="975">
        <f t="shared" si="525"/>
        <v>79757.509393595945</v>
      </c>
      <c r="EX97" s="975">
        <f t="shared" si="525"/>
        <v>86426.017720658405</v>
      </c>
      <c r="EY97" s="975">
        <f t="shared" si="525"/>
        <v>81303.597495043112</v>
      </c>
      <c r="EZ97" s="975">
        <f t="shared" si="525"/>
        <v>90323.510560228984</v>
      </c>
      <c r="FA97" s="975">
        <f t="shared" si="525"/>
        <v>99856.734877479015</v>
      </c>
      <c r="FB97" s="975">
        <f t="shared" si="525"/>
        <v>94095.128673818224</v>
      </c>
      <c r="FC97" s="975">
        <f t="shared" si="525"/>
        <v>102732.11183509197</v>
      </c>
      <c r="FD97" s="969">
        <f t="shared" si="525"/>
        <v>110588.30482163659</v>
      </c>
      <c r="FF97" s="968">
        <f>FF50</f>
        <v>46318.349922487585</v>
      </c>
      <c r="FG97" s="975">
        <f t="shared" ref="FG97:FQ97" si="526">FG50</f>
        <v>43005.179342212272</v>
      </c>
      <c r="FH97" s="975">
        <f t="shared" si="526"/>
        <v>98133.872946411808</v>
      </c>
      <c r="FI97" s="975">
        <f t="shared" si="526"/>
        <v>96299.872808433443</v>
      </c>
      <c r="FJ97" s="975">
        <f t="shared" si="526"/>
        <v>111182.80365888127</v>
      </c>
      <c r="FK97" s="975">
        <f t="shared" si="526"/>
        <v>119200.54428490785</v>
      </c>
      <c r="FL97" s="975">
        <f t="shared" si="526"/>
        <v>113362.15964138735</v>
      </c>
      <c r="FM97" s="975">
        <f t="shared" si="526"/>
        <v>125688.20032751787</v>
      </c>
      <c r="FN97" s="975">
        <f t="shared" si="526"/>
        <v>138762.26956290167</v>
      </c>
      <c r="FO97" s="975">
        <f t="shared" si="526"/>
        <v>132466.46696807331</v>
      </c>
      <c r="FP97" s="975">
        <f t="shared" si="526"/>
        <v>143880.03889398318</v>
      </c>
      <c r="FQ97" s="969">
        <f t="shared" si="526"/>
        <v>155348.77457851273</v>
      </c>
      <c r="FS97" s="968">
        <f>FS50</f>
        <v>61647.896999521479</v>
      </c>
      <c r="FT97" s="975">
        <f t="shared" ref="FT97:GD97" si="527">FT50</f>
        <v>57434.081744434043</v>
      </c>
      <c r="FU97" s="975">
        <f t="shared" si="527"/>
        <v>129200.72136715053</v>
      </c>
      <c r="FV97" s="975">
        <f t="shared" si="527"/>
        <v>128308.48034392958</v>
      </c>
      <c r="FW97" s="975">
        <f t="shared" si="527"/>
        <v>146860.52938208671</v>
      </c>
      <c r="FX97" s="975">
        <f t="shared" si="527"/>
        <v>155524.25254895756</v>
      </c>
      <c r="FY97" s="975">
        <f t="shared" si="527"/>
        <v>148398.75353611138</v>
      </c>
      <c r="FZ97" s="975">
        <f t="shared" si="527"/>
        <v>163072.75855433659</v>
      </c>
      <c r="GA97" s="975">
        <f t="shared" si="527"/>
        <v>179474.28221131454</v>
      </c>
      <c r="GB97" s="975">
        <f t="shared" si="527"/>
        <v>169825.29204644155</v>
      </c>
      <c r="GC97" s="975">
        <f t="shared" si="527"/>
        <v>182638.97724914533</v>
      </c>
      <c r="GD97" s="969">
        <f t="shared" si="527"/>
        <v>195891.76575396219</v>
      </c>
      <c r="GF97" s="968">
        <f>GF50</f>
        <v>79773.566176795241</v>
      </c>
      <c r="GG97" s="975">
        <f t="shared" ref="GG97:GQ97" si="528">GG50</f>
        <v>73960.874577816241</v>
      </c>
      <c r="GH97" s="975">
        <f t="shared" si="528"/>
        <v>166045.69701742672</v>
      </c>
      <c r="GI97" s="975">
        <f t="shared" si="528"/>
        <v>165098.28269728503</v>
      </c>
      <c r="GJ97" s="975">
        <f t="shared" si="528"/>
        <v>188943.1789052675</v>
      </c>
      <c r="GK97" s="975">
        <f t="shared" si="528"/>
        <v>200169.61300769183</v>
      </c>
      <c r="GL97" s="975">
        <f t="shared" si="528"/>
        <v>191093.14991266411</v>
      </c>
      <c r="GM97" s="975">
        <f t="shared" si="528"/>
        <v>212241.04562907212</v>
      </c>
      <c r="GN97" s="975">
        <f t="shared" si="528"/>
        <v>233831.69508343982</v>
      </c>
      <c r="GO97" s="975">
        <f t="shared" si="528"/>
        <v>221837.58026768558</v>
      </c>
      <c r="GP97" s="975">
        <f t="shared" si="528"/>
        <v>240114.07890424004</v>
      </c>
      <c r="GQ97" s="969">
        <f t="shared" si="528"/>
        <v>258165.48648485605</v>
      </c>
      <c r="GS97" s="968">
        <f>GS50</f>
        <v>102243.17354613698</v>
      </c>
      <c r="GT97" s="975">
        <f t="shared" ref="GT97:HD97" si="529">GT50</f>
        <v>94914.436736920587</v>
      </c>
      <c r="GU97" s="975">
        <f t="shared" si="529"/>
        <v>213376.11169026361</v>
      </c>
      <c r="GV97" s="975">
        <f t="shared" si="529"/>
        <v>212686.06389340316</v>
      </c>
      <c r="GW97" s="975">
        <f t="shared" si="529"/>
        <v>243766.73602706607</v>
      </c>
      <c r="GX97" s="975">
        <f t="shared" si="529"/>
        <v>258677.59641993258</v>
      </c>
      <c r="GY97" s="975">
        <f t="shared" si="529"/>
        <v>247325.83416245971</v>
      </c>
      <c r="GZ97" s="975">
        <f t="shared" si="529"/>
        <v>274551.78277930809</v>
      </c>
      <c r="HA97" s="975">
        <f t="shared" si="529"/>
        <v>302543.5324840942</v>
      </c>
      <c r="HB97" s="975">
        <f t="shared" si="529"/>
        <v>290274.66133140703</v>
      </c>
      <c r="HC97" s="975">
        <f t="shared" si="529"/>
        <v>317209.68443916366</v>
      </c>
      <c r="HD97" s="969">
        <f t="shared" si="529"/>
        <v>341316.06647489819</v>
      </c>
    </row>
    <row r="98" spans="2:212" ht="14.25">
      <c r="B98" s="967" t="s">
        <v>121</v>
      </c>
      <c r="C98" s="1059">
        <v>60</v>
      </c>
      <c r="D98" s="1090">
        <v>10</v>
      </c>
      <c r="E98" s="1008">
        <v>4</v>
      </c>
      <c r="F98" s="1090">
        <v>2</v>
      </c>
      <c r="G98" s="1062">
        <v>10</v>
      </c>
      <c r="H98" s="1010">
        <v>10</v>
      </c>
      <c r="I98" s="1061">
        <f t="shared" si="522"/>
        <v>0.16666666666666666</v>
      </c>
      <c r="N98" s="914" t="s">
        <v>1034</v>
      </c>
      <c r="O98" s="933"/>
      <c r="P98" s="934">
        <f>[5]Assumption!D5</f>
        <v>4254.7024700000002</v>
      </c>
      <c r="Q98" s="934">
        <f>[5]Assumption!E5</f>
        <v>4245.9432999999999</v>
      </c>
      <c r="R98" s="934">
        <f>[5]Assumption!F5</f>
        <v>10233.976975</v>
      </c>
      <c r="S98" s="934">
        <f>[5]Assumption!G5</f>
        <v>9777.6431200000006</v>
      </c>
      <c r="T98" s="934">
        <f>[5]Assumption!H5</f>
        <v>8583.7165700000005</v>
      </c>
      <c r="U98" s="934">
        <f>[5]Assumption!I5</f>
        <v>12969.911534999999</v>
      </c>
      <c r="V98" s="934">
        <f>[5]Assumption!J5</f>
        <v>9370.4067799999993</v>
      </c>
      <c r="W98" s="934"/>
      <c r="X98" s="934"/>
      <c r="Y98" s="934"/>
      <c r="AA98" s="914" t="s">
        <v>1034</v>
      </c>
      <c r="AB98" s="933"/>
      <c r="AC98" s="934"/>
      <c r="AD98" s="934"/>
      <c r="AE98" s="934"/>
      <c r="AF98" s="934"/>
      <c r="AG98" s="934"/>
      <c r="AH98" s="934"/>
      <c r="AI98" s="934"/>
      <c r="DK98" s="914" t="s">
        <v>1034</v>
      </c>
      <c r="DL98" s="933"/>
      <c r="DN98" s="936">
        <f>[5]Assumption!K5</f>
        <v>9881.3886650000004</v>
      </c>
      <c r="DO98" s="950">
        <f>[5]Assumption!L5</f>
        <v>18276.939440889153</v>
      </c>
      <c r="DP98" s="950">
        <f>[5]Assumption!M5</f>
        <v>15242.098731718022</v>
      </c>
      <c r="DQ98" s="950">
        <f>[5]Assumption!N5</f>
        <v>17261.607634655295</v>
      </c>
      <c r="DR98" s="937">
        <f>[5]Assumption!O5</f>
        <v>22520.334596771118</v>
      </c>
      <c r="DT98" s="936">
        <f>[5]Assumption!K5</f>
        <v>9881.3886650000004</v>
      </c>
      <c r="DU98" s="950">
        <f>[5]Assumption!L5</f>
        <v>18276.939440889153</v>
      </c>
      <c r="DV98" s="950">
        <f>[5]Assumption!M5</f>
        <v>15242.098731718022</v>
      </c>
      <c r="DW98" s="950">
        <f>[5]Assumption!N5</f>
        <v>17261.607634655295</v>
      </c>
      <c r="DX98" s="937">
        <f>[5]Assumption!O5</f>
        <v>22520.334596771118</v>
      </c>
      <c r="DZ98" s="1602">
        <f>DZ51</f>
        <v>9881.3886649999986</v>
      </c>
      <c r="EA98" s="1601">
        <f t="shared" ref="EA98:ED98" si="530">EA51</f>
        <v>15624.916090000001</v>
      </c>
      <c r="EB98" s="1601">
        <f t="shared" si="530"/>
        <v>12404.99087</v>
      </c>
      <c r="EC98" s="1601">
        <f t="shared" si="530"/>
        <v>16642.730624999997</v>
      </c>
      <c r="ED98" s="1608">
        <f t="shared" si="530"/>
        <v>30928.548119999999</v>
      </c>
      <c r="EF98" s="1602">
        <f>EF51</f>
        <v>8913.6049149999999</v>
      </c>
      <c r="EG98" s="1601">
        <f t="shared" ref="EG98:EQ98" si="531">EG51</f>
        <v>13438.240889999999</v>
      </c>
      <c r="EH98" s="1601">
        <f t="shared" si="531"/>
        <v>18358.636490000001</v>
      </c>
      <c r="EI98" s="1601">
        <f t="shared" si="531"/>
        <v>15994.539525</v>
      </c>
      <c r="EJ98" s="1601">
        <f t="shared" si="531"/>
        <v>16959.788120000001</v>
      </c>
      <c r="EK98" s="1601">
        <f t="shared" si="531"/>
        <v>18586.203744999999</v>
      </c>
      <c r="EL98" s="950">
        <f t="shared" si="531"/>
        <v>19110</v>
      </c>
      <c r="EM98" s="950">
        <f t="shared" si="531"/>
        <v>21339.5</v>
      </c>
      <c r="EN98" s="950">
        <f t="shared" si="531"/>
        <v>23887.5</v>
      </c>
      <c r="EO98" s="950">
        <f t="shared" si="531"/>
        <v>22613.5</v>
      </c>
      <c r="EP98" s="950">
        <f t="shared" si="531"/>
        <v>25480</v>
      </c>
      <c r="EQ98" s="937">
        <f t="shared" si="531"/>
        <v>28853.233499999998</v>
      </c>
      <c r="ES98" s="936">
        <f>ES51</f>
        <v>10931.333348215761</v>
      </c>
      <c r="ET98" s="950">
        <f t="shared" ref="ET98:FD98" si="532">ET51</f>
        <v>10271.920556094063</v>
      </c>
      <c r="EU98" s="950">
        <f t="shared" si="532"/>
        <v>22512.989215421745</v>
      </c>
      <c r="EV98" s="950">
        <f t="shared" si="532"/>
        <v>22422.776273529817</v>
      </c>
      <c r="EW98" s="950">
        <f t="shared" si="532"/>
        <v>25921.190552918684</v>
      </c>
      <c r="EX98" s="950">
        <f t="shared" si="532"/>
        <v>28088.455759213983</v>
      </c>
      <c r="EY98" s="950">
        <f t="shared" si="532"/>
        <v>26423.669185889012</v>
      </c>
      <c r="EZ98" s="950">
        <f t="shared" si="532"/>
        <v>29355.140932074421</v>
      </c>
      <c r="FA98" s="950">
        <f t="shared" si="532"/>
        <v>32453.438835180681</v>
      </c>
      <c r="FB98" s="950">
        <f t="shared" si="532"/>
        <v>30580.916818990925</v>
      </c>
      <c r="FC98" s="950">
        <f t="shared" si="532"/>
        <v>33387.936346404895</v>
      </c>
      <c r="FD98" s="937">
        <f t="shared" si="532"/>
        <v>35941.199067031892</v>
      </c>
      <c r="FF98" s="936">
        <f>FF51</f>
        <v>15053.463724808465</v>
      </c>
      <c r="FG98" s="950">
        <f t="shared" ref="FG98:FQ98" si="533">FG51</f>
        <v>13976.683286218989</v>
      </c>
      <c r="FH98" s="950">
        <f t="shared" si="533"/>
        <v>31893.508707583838</v>
      </c>
      <c r="FI98" s="950">
        <f t="shared" si="533"/>
        <v>31297.458662740872</v>
      </c>
      <c r="FJ98" s="950">
        <f t="shared" si="533"/>
        <v>36134.411189136415</v>
      </c>
      <c r="FK98" s="950">
        <f t="shared" si="533"/>
        <v>38740.176892595053</v>
      </c>
      <c r="FL98" s="950">
        <f t="shared" si="533"/>
        <v>36842.701883450893</v>
      </c>
      <c r="FM98" s="950">
        <f t="shared" si="533"/>
        <v>40848.66510644331</v>
      </c>
      <c r="FN98" s="950">
        <f t="shared" si="533"/>
        <v>45097.737607943047</v>
      </c>
      <c r="FO98" s="950">
        <f t="shared" si="533"/>
        <v>43051.601764623825</v>
      </c>
      <c r="FP98" s="950">
        <f t="shared" si="533"/>
        <v>46761.012640544533</v>
      </c>
      <c r="FQ98" s="937">
        <f t="shared" si="533"/>
        <v>50488.351738016638</v>
      </c>
      <c r="FS98" s="936">
        <f>FS51</f>
        <v>20035.566524844482</v>
      </c>
      <c r="FT98" s="950">
        <f t="shared" ref="FT98:GD98" si="534">FT51</f>
        <v>18666.076566941065</v>
      </c>
      <c r="FU98" s="950">
        <f t="shared" si="534"/>
        <v>41990.234444323927</v>
      </c>
      <c r="FV98" s="950">
        <f t="shared" si="534"/>
        <v>41700.256111777111</v>
      </c>
      <c r="FW98" s="950">
        <f t="shared" si="534"/>
        <v>47729.672049178182</v>
      </c>
      <c r="FX98" s="950">
        <f t="shared" si="534"/>
        <v>50545.38207841121</v>
      </c>
      <c r="FY98" s="950">
        <f t="shared" si="534"/>
        <v>48229.594899236203</v>
      </c>
      <c r="FZ98" s="950">
        <f t="shared" si="534"/>
        <v>52998.646530159393</v>
      </c>
      <c r="GA98" s="950">
        <f t="shared" si="534"/>
        <v>58329.141718677223</v>
      </c>
      <c r="GB98" s="950">
        <f t="shared" si="534"/>
        <v>55193.219915093505</v>
      </c>
      <c r="GC98" s="950">
        <f t="shared" si="534"/>
        <v>59357.667605972238</v>
      </c>
      <c r="GD98" s="937">
        <f t="shared" si="534"/>
        <v>63664.823870037711</v>
      </c>
      <c r="GF98" s="936">
        <f>GF51</f>
        <v>25926.409007458453</v>
      </c>
      <c r="GG98" s="950">
        <f t="shared" ref="GG98:GQ98" si="535">GG51</f>
        <v>24037.284237790278</v>
      </c>
      <c r="GH98" s="950">
        <f t="shared" si="535"/>
        <v>53964.851530663684</v>
      </c>
      <c r="GI98" s="950">
        <f t="shared" si="535"/>
        <v>53656.941876617639</v>
      </c>
      <c r="GJ98" s="950">
        <f t="shared" si="535"/>
        <v>61406.533144211942</v>
      </c>
      <c r="GK98" s="950">
        <f t="shared" si="535"/>
        <v>65055.124227499851</v>
      </c>
      <c r="GL98" s="950">
        <f t="shared" si="535"/>
        <v>62105.273721615842</v>
      </c>
      <c r="GM98" s="950">
        <f t="shared" si="535"/>
        <v>68978.339829448436</v>
      </c>
      <c r="GN98" s="950">
        <f t="shared" si="535"/>
        <v>75995.300902117946</v>
      </c>
      <c r="GO98" s="950">
        <f t="shared" si="535"/>
        <v>72097.213586997823</v>
      </c>
      <c r="GP98" s="950">
        <f t="shared" si="535"/>
        <v>78037.075643878023</v>
      </c>
      <c r="GQ98" s="937">
        <f t="shared" si="535"/>
        <v>83903.783107578216</v>
      </c>
      <c r="GS98" s="936">
        <f>GS51</f>
        <v>33229.031402494518</v>
      </c>
      <c r="GT98" s="950">
        <f t="shared" ref="GT98:HD98" si="536">GT51</f>
        <v>30847.191939499193</v>
      </c>
      <c r="GU98" s="950">
        <f t="shared" si="536"/>
        <v>69347.23629933568</v>
      </c>
      <c r="GV98" s="950">
        <f t="shared" si="536"/>
        <v>69122.970765356033</v>
      </c>
      <c r="GW98" s="950">
        <f t="shared" si="536"/>
        <v>79224.189208796481</v>
      </c>
      <c r="GX98" s="950">
        <f t="shared" si="536"/>
        <v>84070.218836478089</v>
      </c>
      <c r="GY98" s="950">
        <f t="shared" si="536"/>
        <v>80380.896102799408</v>
      </c>
      <c r="GZ98" s="950">
        <f t="shared" si="536"/>
        <v>89229.329403275129</v>
      </c>
      <c r="HA98" s="950">
        <f t="shared" si="536"/>
        <v>98326.648057330618</v>
      </c>
      <c r="HB98" s="950">
        <f t="shared" si="536"/>
        <v>94339.264932707287</v>
      </c>
      <c r="HC98" s="950">
        <f t="shared" si="536"/>
        <v>103093.14744272819</v>
      </c>
      <c r="HD98" s="937">
        <f t="shared" si="536"/>
        <v>110927.72160434192</v>
      </c>
    </row>
    <row r="99" spans="2:212" ht="14.25">
      <c r="B99" s="967" t="s">
        <v>122</v>
      </c>
      <c r="C99" s="1059">
        <v>90</v>
      </c>
      <c r="D99" s="1090">
        <v>20</v>
      </c>
      <c r="E99" s="976">
        <v>6</v>
      </c>
      <c r="F99" s="1090">
        <v>2</v>
      </c>
      <c r="G99" s="1062"/>
      <c r="H99" s="1015">
        <v>14</v>
      </c>
      <c r="I99" s="1061">
        <f t="shared" si="522"/>
        <v>0.15555555555555556</v>
      </c>
      <c r="N99" s="914" t="s">
        <v>1089</v>
      </c>
      <c r="O99" s="933"/>
      <c r="P99" s="934">
        <f>[5]Assumption!D16</f>
        <v>70</v>
      </c>
      <c r="Q99" s="934">
        <f>[5]Assumption!E16</f>
        <v>67</v>
      </c>
      <c r="R99" s="934">
        <f>[5]Assumption!F16</f>
        <v>68</v>
      </c>
      <c r="S99" s="934">
        <f>[5]Assumption!G16</f>
        <v>68</v>
      </c>
      <c r="T99" s="934">
        <f>[5]Assumption!H16</f>
        <v>69</v>
      </c>
      <c r="U99" s="934">
        <f>[5]Assumption!I16</f>
        <v>75</v>
      </c>
      <c r="V99" s="934">
        <f>[5]Assumption!J16</f>
        <v>78</v>
      </c>
      <c r="W99" s="934"/>
      <c r="X99" s="934"/>
      <c r="Y99" s="934"/>
      <c r="AA99" s="914" t="s">
        <v>1089</v>
      </c>
      <c r="AB99" s="933"/>
      <c r="AC99" s="934"/>
      <c r="AD99" s="934"/>
      <c r="AE99" s="934"/>
      <c r="AF99" s="934"/>
      <c r="AG99" s="934"/>
      <c r="AH99" s="934"/>
      <c r="AI99" s="934"/>
      <c r="DK99" s="914" t="s">
        <v>1089</v>
      </c>
      <c r="DL99" s="933"/>
      <c r="DN99" s="952">
        <f>[5]Assumption!K16</f>
        <v>80</v>
      </c>
      <c r="DO99" s="953">
        <f>[5]Assumption!L16</f>
        <v>96</v>
      </c>
      <c r="DP99" s="953">
        <f>[5]Assumption!M16</f>
        <v>109</v>
      </c>
      <c r="DQ99" s="953">
        <f>[5]Assumption!N16</f>
        <v>114</v>
      </c>
      <c r="DR99" s="933">
        <f>[5]Assumption!O16</f>
        <v>119</v>
      </c>
      <c r="DT99" s="952">
        <f>[5]Assumption!K16</f>
        <v>80</v>
      </c>
      <c r="DU99" s="953">
        <f>[5]Assumption!L16</f>
        <v>96</v>
      </c>
      <c r="DV99" s="953">
        <f>[5]Assumption!M16</f>
        <v>109</v>
      </c>
      <c r="DW99" s="953">
        <f>[5]Assumption!N16</f>
        <v>114</v>
      </c>
      <c r="DX99" s="933">
        <f>[5]Assumption!O16</f>
        <v>119</v>
      </c>
      <c r="DZ99" s="952">
        <f>[5]Assumption!K16</f>
        <v>80</v>
      </c>
      <c r="EA99" s="953">
        <f>[5]Assumption!L16</f>
        <v>96</v>
      </c>
      <c r="EB99" s="953">
        <f>[5]Assumption!M16</f>
        <v>109</v>
      </c>
      <c r="EC99" s="953">
        <f>[5]Assumption!N16</f>
        <v>114</v>
      </c>
      <c r="ED99" s="933">
        <f>[5]Assumption!O16</f>
        <v>119</v>
      </c>
      <c r="EF99" s="952"/>
      <c r="EG99" s="953"/>
      <c r="EH99" s="953"/>
      <c r="EI99" s="953"/>
      <c r="EJ99" s="953"/>
      <c r="EK99" s="953"/>
      <c r="EL99" s="953"/>
      <c r="EM99" s="953"/>
      <c r="EN99" s="953"/>
      <c r="EO99" s="953"/>
      <c r="EP99" s="953"/>
      <c r="EQ99" s="933"/>
      <c r="ES99" s="952"/>
      <c r="ET99" s="953"/>
      <c r="EU99" s="953"/>
      <c r="EV99" s="953"/>
      <c r="EW99" s="953"/>
      <c r="EX99" s="953"/>
      <c r="EY99" s="953"/>
      <c r="EZ99" s="953"/>
      <c r="FA99" s="953"/>
      <c r="FB99" s="953"/>
      <c r="FC99" s="953"/>
      <c r="FD99" s="933"/>
      <c r="FF99" s="952"/>
      <c r="FG99" s="953"/>
      <c r="FH99" s="953"/>
      <c r="FI99" s="953"/>
      <c r="FJ99" s="953"/>
      <c r="FK99" s="953"/>
      <c r="FL99" s="953"/>
      <c r="FM99" s="953"/>
      <c r="FN99" s="953"/>
      <c r="FO99" s="953"/>
      <c r="FP99" s="953"/>
      <c r="FQ99" s="933"/>
      <c r="FS99" s="952"/>
      <c r="FT99" s="953"/>
      <c r="FU99" s="953"/>
      <c r="FV99" s="953"/>
      <c r="FW99" s="953"/>
      <c r="FX99" s="953"/>
      <c r="FY99" s="953"/>
      <c r="FZ99" s="953"/>
      <c r="GA99" s="953"/>
      <c r="GB99" s="953"/>
      <c r="GC99" s="953"/>
      <c r="GD99" s="933"/>
      <c r="GF99" s="952"/>
      <c r="GG99" s="953"/>
      <c r="GH99" s="953"/>
      <c r="GI99" s="953"/>
      <c r="GJ99" s="953"/>
      <c r="GK99" s="953"/>
      <c r="GL99" s="953"/>
      <c r="GM99" s="953"/>
      <c r="GN99" s="953"/>
      <c r="GO99" s="953"/>
      <c r="GP99" s="953"/>
      <c r="GQ99" s="933"/>
      <c r="GS99" s="952"/>
      <c r="GT99" s="953"/>
      <c r="GU99" s="953"/>
      <c r="GV99" s="953"/>
      <c r="GW99" s="953"/>
      <c r="GX99" s="953"/>
      <c r="GY99" s="953"/>
      <c r="GZ99" s="953"/>
      <c r="HA99" s="953"/>
      <c r="HB99" s="953"/>
      <c r="HC99" s="953"/>
      <c r="HD99" s="933"/>
    </row>
    <row r="100" spans="2:212" ht="14.25">
      <c r="B100" s="967" t="s">
        <v>123</v>
      </c>
      <c r="C100" s="1059">
        <v>100</v>
      </c>
      <c r="D100" s="1090">
        <v>20</v>
      </c>
      <c r="E100" s="976">
        <v>8</v>
      </c>
      <c r="F100" s="1090">
        <v>3</v>
      </c>
      <c r="G100" s="1062"/>
      <c r="H100" s="1015">
        <v>14</v>
      </c>
      <c r="I100" s="1061">
        <f t="shared" si="522"/>
        <v>0.14000000000000001</v>
      </c>
      <c r="N100" s="914" t="s">
        <v>1090</v>
      </c>
      <c r="O100" s="933"/>
      <c r="P100" s="934">
        <f t="shared" ref="P100:V100" si="537">SUM(P105:P116)</f>
        <v>38</v>
      </c>
      <c r="Q100" s="934">
        <f t="shared" si="537"/>
        <v>29</v>
      </c>
      <c r="R100" s="934">
        <f t="shared" si="537"/>
        <v>30</v>
      </c>
      <c r="S100" s="934">
        <f t="shared" si="537"/>
        <v>25</v>
      </c>
      <c r="T100" s="934">
        <f t="shared" si="537"/>
        <v>20</v>
      </c>
      <c r="U100" s="934">
        <f t="shared" si="537"/>
        <v>22</v>
      </c>
      <c r="V100" s="934">
        <f t="shared" si="537"/>
        <v>29</v>
      </c>
      <c r="W100" s="934"/>
      <c r="X100" s="934"/>
      <c r="Y100" s="934"/>
      <c r="AA100" s="914" t="s">
        <v>1091</v>
      </c>
      <c r="AB100" s="933"/>
      <c r="AC100" s="599">
        <f t="shared" ref="AC100:AI100" si="538">P100/P99</f>
        <v>0.54285714285714282</v>
      </c>
      <c r="AD100" s="599">
        <f t="shared" si="538"/>
        <v>0.43283582089552236</v>
      </c>
      <c r="AE100" s="599">
        <f t="shared" si="538"/>
        <v>0.44117647058823528</v>
      </c>
      <c r="AF100" s="599">
        <f t="shared" si="538"/>
        <v>0.36764705882352944</v>
      </c>
      <c r="AG100" s="599">
        <f t="shared" si="538"/>
        <v>0.28985507246376813</v>
      </c>
      <c r="AH100" s="599">
        <f t="shared" si="538"/>
        <v>0.29333333333333333</v>
      </c>
      <c r="AI100" s="599">
        <f t="shared" si="538"/>
        <v>0.37179487179487181</v>
      </c>
      <c r="AJ100" s="935">
        <f>AVERAGE(AC100:AI100)</f>
        <v>0.39135711010805763</v>
      </c>
      <c r="AK100" s="935"/>
      <c r="AL100" s="935"/>
      <c r="AM100" s="935"/>
      <c r="AN100" s="935"/>
      <c r="AO100" s="935"/>
      <c r="AP100" s="935"/>
      <c r="AQ100" s="935"/>
      <c r="AR100" s="935"/>
      <c r="AS100" s="935"/>
      <c r="AT100" s="935"/>
      <c r="AU100" s="935"/>
      <c r="AV100" s="935"/>
      <c r="AW100" s="935"/>
      <c r="AX100" s="935"/>
      <c r="AY100" s="935"/>
      <c r="AZ100" s="935"/>
      <c r="BA100" s="935"/>
      <c r="BB100" s="935"/>
      <c r="BC100" s="935"/>
      <c r="BD100" s="935"/>
      <c r="BE100" s="935"/>
      <c r="BF100" s="935"/>
      <c r="BG100" s="935"/>
      <c r="BH100" s="935"/>
      <c r="BI100" s="935"/>
      <c r="BJ100" s="935"/>
      <c r="BK100" s="935"/>
      <c r="BL100" s="935"/>
      <c r="BM100" s="935"/>
      <c r="BN100" s="935"/>
      <c r="BO100" s="935"/>
      <c r="BP100" s="935"/>
      <c r="BQ100" s="935"/>
      <c r="BR100" s="935"/>
      <c r="BS100" s="935"/>
      <c r="BT100" s="935"/>
      <c r="BU100" s="935"/>
      <c r="BV100" s="935"/>
      <c r="BW100" s="935"/>
      <c r="BX100" s="935"/>
      <c r="BY100" s="935"/>
      <c r="BZ100" s="935"/>
      <c r="CA100" s="935"/>
      <c r="CB100" s="935"/>
      <c r="CC100" s="935"/>
      <c r="CD100" s="935"/>
      <c r="CE100" s="935"/>
      <c r="CF100" s="935"/>
      <c r="CG100" s="935"/>
      <c r="CH100" s="935"/>
      <c r="CI100" s="935"/>
      <c r="CJ100" s="935"/>
      <c r="CK100" s="935"/>
      <c r="CL100" s="935"/>
      <c r="CM100" s="935"/>
      <c r="CN100" s="935"/>
      <c r="CO100" s="935"/>
      <c r="CP100" s="935"/>
      <c r="CQ100" s="935"/>
      <c r="CR100" s="935"/>
      <c r="CS100" s="935"/>
      <c r="CT100" s="935"/>
      <c r="CU100" s="935"/>
      <c r="CV100" s="935"/>
      <c r="CW100" s="935"/>
      <c r="CX100" s="935"/>
      <c r="CY100" s="935"/>
      <c r="CZ100" s="935"/>
      <c r="DA100" s="935"/>
      <c r="DB100" s="935"/>
      <c r="DC100" s="935"/>
      <c r="DD100" s="935"/>
      <c r="DE100" s="935"/>
      <c r="DF100" s="935"/>
      <c r="DG100" s="935"/>
      <c r="DH100" s="935"/>
      <c r="DI100" s="935"/>
      <c r="DK100" s="914" t="s">
        <v>1090</v>
      </c>
      <c r="DL100" s="933"/>
      <c r="DN100" s="936">
        <f>SUM(DN105:DN116)</f>
        <v>12</v>
      </c>
      <c r="DO100" s="950">
        <f>SUM(DO105:DO116)</f>
        <v>36.25</v>
      </c>
      <c r="DP100" s="950">
        <f>SUM(DP105:DP116)</f>
        <v>46.85</v>
      </c>
      <c r="DQ100" s="950">
        <f>SUM(DQ105:DQ116)</f>
        <v>53.95</v>
      </c>
      <c r="DR100" s="937">
        <f>SUM(DR105:DR116)</f>
        <v>56.45</v>
      </c>
      <c r="DT100" s="936">
        <f>SUM(DT105:DT116)</f>
        <v>12</v>
      </c>
      <c r="DU100" s="950">
        <f>SUM(DU105:DU116)</f>
        <v>36.25</v>
      </c>
      <c r="DV100" s="950">
        <f>SUM(DV105:DV116)</f>
        <v>46.85</v>
      </c>
      <c r="DW100" s="950">
        <f>SUM(DW105:DW116)</f>
        <v>53.95</v>
      </c>
      <c r="DX100" s="937">
        <f>SUM(DX105:DX116)</f>
        <v>56.45</v>
      </c>
      <c r="DZ100" s="936">
        <f>SUM(DZ105:DZ116)</f>
        <v>12</v>
      </c>
      <c r="EA100" s="950">
        <f>SUM(EA105:EA116)</f>
        <v>18.5</v>
      </c>
      <c r="EB100" s="950">
        <f>SUM(EB105:EB116)</f>
        <v>30</v>
      </c>
      <c r="EC100" s="950">
        <f>SUM(EC105:EC116)</f>
        <v>38</v>
      </c>
      <c r="ED100" s="937">
        <f>SUM(ED105:ED116)</f>
        <v>41</v>
      </c>
      <c r="EF100" s="936">
        <f>SUM(EF105:EF116)</f>
        <v>43</v>
      </c>
      <c r="EG100" s="950">
        <f t="shared" ref="EG100:EQ100" si="539">SUM(EG105:EG116)</f>
        <v>48.5</v>
      </c>
      <c r="EH100" s="950">
        <f t="shared" si="539"/>
        <v>53</v>
      </c>
      <c r="EI100" s="950">
        <f t="shared" si="539"/>
        <v>55.5</v>
      </c>
      <c r="EJ100" s="950">
        <f t="shared" si="539"/>
        <v>59</v>
      </c>
      <c r="EK100" s="950">
        <f t="shared" si="539"/>
        <v>62</v>
      </c>
      <c r="EL100" s="950">
        <f t="shared" si="539"/>
        <v>58.5</v>
      </c>
      <c r="EM100" s="950">
        <f t="shared" si="539"/>
        <v>57.5</v>
      </c>
      <c r="EN100" s="950">
        <f t="shared" si="539"/>
        <v>53</v>
      </c>
      <c r="EO100" s="950">
        <f t="shared" si="539"/>
        <v>43.5</v>
      </c>
      <c r="EP100" s="950">
        <f t="shared" si="539"/>
        <v>37.5</v>
      </c>
      <c r="EQ100" s="937">
        <f t="shared" si="539"/>
        <v>36.5</v>
      </c>
      <c r="ES100" s="936">
        <f>SUM(ES105:ES116)</f>
        <v>35</v>
      </c>
      <c r="ET100" s="950">
        <f t="shared" ref="ET100:FD100" si="540">SUM(ET105:ET116)</f>
        <v>30.5</v>
      </c>
      <c r="EU100" s="950">
        <f t="shared" si="540"/>
        <v>27.5</v>
      </c>
      <c r="EV100" s="950">
        <f t="shared" si="540"/>
        <v>27</v>
      </c>
      <c r="EW100" s="950">
        <f t="shared" si="540"/>
        <v>24.5</v>
      </c>
      <c r="EX100" s="950">
        <f t="shared" si="540"/>
        <v>22.5</v>
      </c>
      <c r="EY100" s="950">
        <f t="shared" si="540"/>
        <v>22</v>
      </c>
      <c r="EZ100" s="950">
        <f t="shared" si="540"/>
        <v>22</v>
      </c>
      <c r="FA100" s="950">
        <f t="shared" si="540"/>
        <v>22</v>
      </c>
      <c r="FB100" s="950">
        <f t="shared" si="540"/>
        <v>22</v>
      </c>
      <c r="FC100" s="950">
        <f t="shared" si="540"/>
        <v>22</v>
      </c>
      <c r="FD100" s="937">
        <f t="shared" si="540"/>
        <v>22</v>
      </c>
      <c r="FF100" s="936">
        <f>SUM(FF105:FF116)</f>
        <v>22</v>
      </c>
      <c r="FG100" s="950">
        <f t="shared" ref="FG100:FQ100" si="541">SUM(FG105:FG116)</f>
        <v>22</v>
      </c>
      <c r="FH100" s="950">
        <f t="shared" si="541"/>
        <v>22</v>
      </c>
      <c r="FI100" s="950">
        <f t="shared" si="541"/>
        <v>22</v>
      </c>
      <c r="FJ100" s="950">
        <f t="shared" si="541"/>
        <v>22</v>
      </c>
      <c r="FK100" s="950">
        <f t="shared" si="541"/>
        <v>22</v>
      </c>
      <c r="FL100" s="950">
        <f t="shared" si="541"/>
        <v>22</v>
      </c>
      <c r="FM100" s="950">
        <f t="shared" si="541"/>
        <v>22</v>
      </c>
      <c r="FN100" s="950">
        <f t="shared" si="541"/>
        <v>22</v>
      </c>
      <c r="FO100" s="950">
        <f t="shared" si="541"/>
        <v>22</v>
      </c>
      <c r="FP100" s="950">
        <f t="shared" si="541"/>
        <v>22</v>
      </c>
      <c r="FQ100" s="937">
        <f t="shared" si="541"/>
        <v>22</v>
      </c>
      <c r="FS100" s="936">
        <f>SUM(FS105:FS116)</f>
        <v>22</v>
      </c>
      <c r="FT100" s="950">
        <f t="shared" ref="FT100:GD100" si="542">SUM(FT105:FT116)</f>
        <v>22</v>
      </c>
      <c r="FU100" s="950">
        <f t="shared" si="542"/>
        <v>21.5</v>
      </c>
      <c r="FV100" s="950">
        <f t="shared" si="542"/>
        <v>20.5</v>
      </c>
      <c r="FW100" s="950">
        <f t="shared" si="542"/>
        <v>19.5</v>
      </c>
      <c r="FX100" s="950">
        <f t="shared" si="542"/>
        <v>18.5</v>
      </c>
      <c r="FY100" s="950">
        <f t="shared" si="542"/>
        <v>17.5</v>
      </c>
      <c r="FZ100" s="950">
        <f t="shared" si="542"/>
        <v>16.5</v>
      </c>
      <c r="GA100" s="950">
        <f t="shared" si="542"/>
        <v>15.5</v>
      </c>
      <c r="GB100" s="950">
        <f t="shared" si="542"/>
        <v>14.5</v>
      </c>
      <c r="GC100" s="950">
        <f t="shared" si="542"/>
        <v>13.5</v>
      </c>
      <c r="GD100" s="937">
        <f t="shared" si="542"/>
        <v>12.5</v>
      </c>
      <c r="GF100" s="936">
        <f>SUM(GF105:GF116)</f>
        <v>12</v>
      </c>
      <c r="GG100" s="950">
        <f t="shared" ref="GG100:GQ100" si="543">SUM(GG105:GG116)</f>
        <v>12</v>
      </c>
      <c r="GH100" s="950">
        <f t="shared" si="543"/>
        <v>12</v>
      </c>
      <c r="GI100" s="950">
        <f t="shared" si="543"/>
        <v>12</v>
      </c>
      <c r="GJ100" s="950">
        <f t="shared" si="543"/>
        <v>12</v>
      </c>
      <c r="GK100" s="950">
        <f t="shared" si="543"/>
        <v>12</v>
      </c>
      <c r="GL100" s="950">
        <f t="shared" si="543"/>
        <v>12</v>
      </c>
      <c r="GM100" s="950">
        <f t="shared" si="543"/>
        <v>12</v>
      </c>
      <c r="GN100" s="950">
        <f t="shared" si="543"/>
        <v>12</v>
      </c>
      <c r="GO100" s="950">
        <f t="shared" si="543"/>
        <v>12</v>
      </c>
      <c r="GP100" s="950">
        <f t="shared" si="543"/>
        <v>12</v>
      </c>
      <c r="GQ100" s="937">
        <f t="shared" si="543"/>
        <v>12</v>
      </c>
      <c r="GS100" s="936">
        <f>SUM(GS105:GS116)</f>
        <v>12</v>
      </c>
      <c r="GT100" s="950">
        <f t="shared" ref="GT100:HD100" si="544">SUM(GT105:GT116)</f>
        <v>12</v>
      </c>
      <c r="GU100" s="950">
        <f t="shared" si="544"/>
        <v>12</v>
      </c>
      <c r="GV100" s="950">
        <f t="shared" si="544"/>
        <v>12</v>
      </c>
      <c r="GW100" s="950">
        <f t="shared" si="544"/>
        <v>12</v>
      </c>
      <c r="GX100" s="950">
        <f t="shared" si="544"/>
        <v>12</v>
      </c>
      <c r="GY100" s="950">
        <f t="shared" si="544"/>
        <v>12</v>
      </c>
      <c r="GZ100" s="950">
        <f t="shared" si="544"/>
        <v>12</v>
      </c>
      <c r="HA100" s="950">
        <f t="shared" si="544"/>
        <v>12</v>
      </c>
      <c r="HB100" s="950">
        <f t="shared" si="544"/>
        <v>12</v>
      </c>
      <c r="HC100" s="950">
        <f t="shared" si="544"/>
        <v>12</v>
      </c>
      <c r="HD100" s="937">
        <f t="shared" si="544"/>
        <v>12</v>
      </c>
    </row>
    <row r="101" spans="2:212" ht="14.25">
      <c r="B101" s="967" t="s">
        <v>124</v>
      </c>
      <c r="C101" s="1059">
        <v>100</v>
      </c>
      <c r="D101" s="1090">
        <v>20</v>
      </c>
      <c r="E101" s="976">
        <v>8</v>
      </c>
      <c r="F101" s="1090">
        <v>3</v>
      </c>
      <c r="G101" s="1062"/>
      <c r="H101" s="1015">
        <v>14</v>
      </c>
      <c r="I101" s="1061">
        <f t="shared" si="522"/>
        <v>0.14000000000000001</v>
      </c>
      <c r="N101" s="914" t="s">
        <v>1092</v>
      </c>
      <c r="O101" s="933"/>
      <c r="P101" s="595">
        <f>[5]Assumption!D35</f>
        <v>0</v>
      </c>
      <c r="Q101" s="595">
        <f>[5]Assumption!E35</f>
        <v>0</v>
      </c>
      <c r="R101" s="595">
        <f>[5]Assumption!F35</f>
        <v>3</v>
      </c>
      <c r="S101" s="595">
        <f>[5]Assumption!G35</f>
        <v>1</v>
      </c>
      <c r="T101" s="595">
        <f>[5]Assumption!H35</f>
        <v>6</v>
      </c>
      <c r="U101" s="595">
        <f>[5]Assumption!I35</f>
        <v>6</v>
      </c>
      <c r="V101" s="595">
        <f>[5]Assumption!J35</f>
        <v>2</v>
      </c>
      <c r="X101" s="1063"/>
      <c r="AA101" s="914" t="s">
        <v>1092</v>
      </c>
      <c r="AB101" s="933"/>
      <c r="DK101" s="914" t="s">
        <v>1092</v>
      </c>
      <c r="DL101" s="933"/>
      <c r="DN101" s="952">
        <f>[5]Assumption!K35</f>
        <v>5</v>
      </c>
      <c r="DO101" s="953">
        <f>[5]Assumption!L35</f>
        <v>13.5</v>
      </c>
      <c r="DP101" s="953">
        <f>[5]Assumption!M35</f>
        <v>11.700000000000001</v>
      </c>
      <c r="DQ101" s="953">
        <f>[5]Assumption!N35</f>
        <v>4.5</v>
      </c>
      <c r="DR101" s="933">
        <f>[5]Assumption!O35</f>
        <v>4.5</v>
      </c>
      <c r="DT101" s="952">
        <f>[5]Assumption!K35</f>
        <v>5</v>
      </c>
      <c r="DU101" s="953">
        <f>[5]Assumption!L35</f>
        <v>13.5</v>
      </c>
      <c r="DV101" s="953">
        <f>[5]Assumption!M35</f>
        <v>11.700000000000001</v>
      </c>
      <c r="DW101" s="953">
        <f>[5]Assumption!N35</f>
        <v>4.5</v>
      </c>
      <c r="DX101" s="933">
        <f>[5]Assumption!O35</f>
        <v>4.5</v>
      </c>
      <c r="DZ101" s="1603">
        <v>3</v>
      </c>
      <c r="EA101" s="1604">
        <v>10</v>
      </c>
      <c r="EB101" s="1604">
        <v>13</v>
      </c>
      <c r="EC101" s="1604">
        <v>3</v>
      </c>
      <c r="ED101" s="1612">
        <v>3</v>
      </c>
      <c r="EF101" s="1603">
        <v>3</v>
      </c>
      <c r="EG101" s="1604">
        <v>8</v>
      </c>
      <c r="EH101" s="1604">
        <v>1</v>
      </c>
      <c r="EI101" s="1604">
        <v>4</v>
      </c>
      <c r="EJ101" s="1604">
        <v>5</v>
      </c>
      <c r="EK101" s="1604">
        <v>3</v>
      </c>
      <c r="EL101" s="978">
        <f>'[1]AL Promotion &amp; Recruited'!AF12</f>
        <v>2</v>
      </c>
      <c r="EM101" s="978">
        <f>'[1]AL Promotion &amp; Recruited'!AG12</f>
        <v>2</v>
      </c>
      <c r="EN101" s="978">
        <f>'[1]AL Promotion &amp; Recruited'!AH12</f>
        <v>2</v>
      </c>
      <c r="EO101" s="978">
        <f>'[1]AL Promotion &amp; Recruited'!AI12</f>
        <v>2</v>
      </c>
      <c r="EP101" s="978">
        <f>'[1]AL Promotion &amp; Recruited'!AJ12</f>
        <v>2</v>
      </c>
      <c r="EQ101" s="979">
        <f>'[1]AL Promotion &amp; Recruited'!AK12</f>
        <v>2</v>
      </c>
      <c r="ES101" s="977">
        <f>'[6]AL Promotion &amp; Recruited'!AL$12</f>
        <v>1</v>
      </c>
      <c r="ET101" s="978">
        <f>'[6]AL Promotion &amp; Recruited'!AM$12</f>
        <v>1</v>
      </c>
      <c r="EU101" s="978">
        <f>'[6]AL Promotion &amp; Recruited'!AN$12</f>
        <v>2</v>
      </c>
      <c r="EV101" s="978">
        <f>'[6]AL Promotion &amp; Recruited'!AO$12</f>
        <v>2</v>
      </c>
      <c r="EW101" s="978">
        <f>'[6]AL Promotion &amp; Recruited'!AP$12</f>
        <v>2</v>
      </c>
      <c r="EX101" s="978">
        <f>'[6]AL Promotion &amp; Recruited'!AQ$12</f>
        <v>2</v>
      </c>
      <c r="EY101" s="978">
        <f>'[6]AL Promotion &amp; Recruited'!AR$12</f>
        <v>2</v>
      </c>
      <c r="EZ101" s="978">
        <f>'[6]AL Promotion &amp; Recruited'!AS$12</f>
        <v>2</v>
      </c>
      <c r="FA101" s="978">
        <f>'[6]AL Promotion &amp; Recruited'!AT$12</f>
        <v>2</v>
      </c>
      <c r="FB101" s="978">
        <f>'[6]AL Promotion &amp; Recruited'!AU$12</f>
        <v>2</v>
      </c>
      <c r="FC101" s="978">
        <f>'[6]AL Promotion &amp; Recruited'!AV$12</f>
        <v>2</v>
      </c>
      <c r="FD101" s="979">
        <f>'[6]AL Promotion &amp; Recruited'!AW$12</f>
        <v>2</v>
      </c>
      <c r="FF101" s="977">
        <f>'[6]AL Promotion &amp; Recruited'!AX$12</f>
        <v>1</v>
      </c>
      <c r="FG101" s="978">
        <f>'[6]AL Promotion &amp; Recruited'!AY$12</f>
        <v>1</v>
      </c>
      <c r="FH101" s="978">
        <f>'[6]AL Promotion &amp; Recruited'!AZ$12</f>
        <v>2</v>
      </c>
      <c r="FI101" s="978">
        <f>'[6]AL Promotion &amp; Recruited'!BA$12</f>
        <v>2</v>
      </c>
      <c r="FJ101" s="978">
        <f>'[6]AL Promotion &amp; Recruited'!BB$12</f>
        <v>2</v>
      </c>
      <c r="FK101" s="978">
        <f>'[6]AL Promotion &amp; Recruited'!BC$12</f>
        <v>2</v>
      </c>
      <c r="FL101" s="978">
        <f>'[6]AL Promotion &amp; Recruited'!BD$12</f>
        <v>2</v>
      </c>
      <c r="FM101" s="978">
        <f>'[6]AL Promotion &amp; Recruited'!BE$12</f>
        <v>2</v>
      </c>
      <c r="FN101" s="978">
        <f>'[6]AL Promotion &amp; Recruited'!BF$12</f>
        <v>2</v>
      </c>
      <c r="FO101" s="978">
        <f>'[6]AL Promotion &amp; Recruited'!BG$12</f>
        <v>2</v>
      </c>
      <c r="FP101" s="978">
        <f>'[6]AL Promotion &amp; Recruited'!BH$12</f>
        <v>2</v>
      </c>
      <c r="FQ101" s="979">
        <f>'[6]AL Promotion &amp; Recruited'!BI$12</f>
        <v>2</v>
      </c>
      <c r="FS101" s="977">
        <f>'[6]AL Promotion &amp; Recruited'!BJ$12</f>
        <v>1</v>
      </c>
      <c r="FT101" s="978">
        <f>'[6]AL Promotion &amp; Recruited'!BK$12</f>
        <v>1</v>
      </c>
      <c r="FU101" s="978">
        <f>'[6]AL Promotion &amp; Recruited'!BL$12</f>
        <v>1</v>
      </c>
      <c r="FV101" s="978">
        <f>'[6]AL Promotion &amp; Recruited'!BM$12</f>
        <v>1</v>
      </c>
      <c r="FW101" s="978">
        <f>'[6]AL Promotion &amp; Recruited'!BN$12</f>
        <v>1</v>
      </c>
      <c r="FX101" s="978">
        <f>'[6]AL Promotion &amp; Recruited'!BO$12</f>
        <v>1</v>
      </c>
      <c r="FY101" s="978">
        <f>'[6]AL Promotion &amp; Recruited'!BP$12</f>
        <v>1</v>
      </c>
      <c r="FZ101" s="978">
        <f>'[6]AL Promotion &amp; Recruited'!BQ$12</f>
        <v>1</v>
      </c>
      <c r="GA101" s="978">
        <f>'[6]AL Promotion &amp; Recruited'!BR$12</f>
        <v>1</v>
      </c>
      <c r="GB101" s="978">
        <f>'[6]AL Promotion &amp; Recruited'!BS$12</f>
        <v>1</v>
      </c>
      <c r="GC101" s="978">
        <f>'[6]AL Promotion &amp; Recruited'!BT$12</f>
        <v>1</v>
      </c>
      <c r="GD101" s="979">
        <f>'[6]AL Promotion &amp; Recruited'!BU$12</f>
        <v>1</v>
      </c>
      <c r="GF101" s="977">
        <f>'[6]AL Promotion &amp; Recruited'!BV$12</f>
        <v>1</v>
      </c>
      <c r="GG101" s="978">
        <f>'[6]AL Promotion &amp; Recruited'!BW$12</f>
        <v>1</v>
      </c>
      <c r="GH101" s="978">
        <f>'[6]AL Promotion &amp; Recruited'!BX$12</f>
        <v>1</v>
      </c>
      <c r="GI101" s="978">
        <f>'[6]AL Promotion &amp; Recruited'!BY$12</f>
        <v>1</v>
      </c>
      <c r="GJ101" s="978">
        <f>'[6]AL Promotion &amp; Recruited'!BZ$12</f>
        <v>1</v>
      </c>
      <c r="GK101" s="978">
        <f>'[6]AL Promotion &amp; Recruited'!CA$12</f>
        <v>1</v>
      </c>
      <c r="GL101" s="978">
        <f>'[6]AL Promotion &amp; Recruited'!CB$12</f>
        <v>1</v>
      </c>
      <c r="GM101" s="978">
        <f>'[6]AL Promotion &amp; Recruited'!CC$12</f>
        <v>1</v>
      </c>
      <c r="GN101" s="978">
        <f>'[6]AL Promotion &amp; Recruited'!CD$12</f>
        <v>1</v>
      </c>
      <c r="GO101" s="978">
        <f>'[6]AL Promotion &amp; Recruited'!CE$12</f>
        <v>1</v>
      </c>
      <c r="GP101" s="978">
        <f>'[6]AL Promotion &amp; Recruited'!CF$12</f>
        <v>1</v>
      </c>
      <c r="GQ101" s="979">
        <f>'[6]AL Promotion &amp; Recruited'!CG$12</f>
        <v>1</v>
      </c>
      <c r="GS101" s="977">
        <f>'[6]AL Promotion &amp; Recruited'!CH$12</f>
        <v>1</v>
      </c>
      <c r="GT101" s="978">
        <f>'[6]AL Promotion &amp; Recruited'!CI$12</f>
        <v>1</v>
      </c>
      <c r="GU101" s="978">
        <f>'[6]AL Promotion &amp; Recruited'!CJ$12</f>
        <v>1</v>
      </c>
      <c r="GV101" s="978">
        <f>'[6]AL Promotion &amp; Recruited'!CK$12</f>
        <v>1</v>
      </c>
      <c r="GW101" s="978">
        <f>'[6]AL Promotion &amp; Recruited'!CL$12</f>
        <v>1</v>
      </c>
      <c r="GX101" s="978">
        <f>'[6]AL Promotion &amp; Recruited'!CM$12</f>
        <v>1</v>
      </c>
      <c r="GY101" s="978">
        <f>'[6]AL Promotion &amp; Recruited'!CN$12</f>
        <v>1</v>
      </c>
      <c r="GZ101" s="978">
        <f>'[6]AL Promotion &amp; Recruited'!CO$12</f>
        <v>1</v>
      </c>
      <c r="HA101" s="978">
        <f>'[6]AL Promotion &amp; Recruited'!CP$12</f>
        <v>1</v>
      </c>
      <c r="HB101" s="978">
        <f>'[6]AL Promotion &amp; Recruited'!CQ$12</f>
        <v>1</v>
      </c>
      <c r="HC101" s="978">
        <f>'[6]AL Promotion &amp; Recruited'!CR$12</f>
        <v>1</v>
      </c>
      <c r="HD101" s="979">
        <f>'[6]AL Promotion &amp; Recruited'!CS$12</f>
        <v>1</v>
      </c>
    </row>
    <row r="102" spans="2:212" ht="14.25">
      <c r="B102" s="967" t="s">
        <v>125</v>
      </c>
      <c r="C102" s="1059">
        <v>125</v>
      </c>
      <c r="D102" s="1090">
        <v>20</v>
      </c>
      <c r="E102" s="976">
        <v>10</v>
      </c>
      <c r="F102" s="1090">
        <v>4</v>
      </c>
      <c r="G102" s="1062"/>
      <c r="H102" s="1015">
        <v>14</v>
      </c>
      <c r="I102" s="1061">
        <f t="shared" si="522"/>
        <v>0.112</v>
      </c>
      <c r="N102" s="914" t="s">
        <v>1040</v>
      </c>
      <c r="O102" s="933"/>
      <c r="P102" s="595">
        <v>430</v>
      </c>
      <c r="Q102" s="595">
        <v>65</v>
      </c>
      <c r="R102" s="595">
        <v>116</v>
      </c>
      <c r="S102" s="595">
        <v>202</v>
      </c>
      <c r="T102" s="595">
        <v>356</v>
      </c>
      <c r="U102" s="595">
        <v>353</v>
      </c>
      <c r="V102" s="595">
        <v>207</v>
      </c>
      <c r="X102" s="1063"/>
      <c r="AA102" s="914" t="s">
        <v>1041</v>
      </c>
      <c r="AB102" s="933"/>
      <c r="AC102" s="599">
        <f t="shared" ref="AC102:AI102" si="545">P102/P97</f>
        <v>3.152047892479571E-2</v>
      </c>
      <c r="AD102" s="599">
        <f t="shared" si="545"/>
        <v>4.6787367036601182E-3</v>
      </c>
      <c r="AE102" s="599">
        <f t="shared" si="545"/>
        <v>3.5000940363626642E-3</v>
      </c>
      <c r="AF102" s="599">
        <f t="shared" si="545"/>
        <v>6.592824099356992E-3</v>
      </c>
      <c r="AG102" s="599">
        <f t="shared" si="545"/>
        <v>1.296524894461599E-2</v>
      </c>
      <c r="AH102" s="599">
        <f t="shared" si="545"/>
        <v>8.5125605942390423E-3</v>
      </c>
      <c r="AI102" s="599">
        <f t="shared" si="545"/>
        <v>6.9584694674965693E-3</v>
      </c>
      <c r="AJ102" s="935">
        <f>AVERAGE(AC102:AI102)</f>
        <v>1.0675487538646725E-2</v>
      </c>
      <c r="AK102" s="935"/>
      <c r="AL102" s="935"/>
      <c r="AM102" s="935"/>
      <c r="AN102" s="935"/>
      <c r="AO102" s="935"/>
      <c r="AP102" s="935"/>
      <c r="AQ102" s="935"/>
      <c r="AR102" s="935"/>
      <c r="AS102" s="935"/>
      <c r="AT102" s="935"/>
      <c r="AU102" s="935"/>
      <c r="AV102" s="935"/>
      <c r="AW102" s="935"/>
      <c r="AX102" s="935"/>
      <c r="AY102" s="935"/>
      <c r="AZ102" s="935"/>
      <c r="BA102" s="935"/>
      <c r="BB102" s="935"/>
      <c r="BC102" s="935"/>
      <c r="BD102" s="935"/>
      <c r="BE102" s="935"/>
      <c r="BF102" s="935"/>
      <c r="BG102" s="935"/>
      <c r="BH102" s="935"/>
      <c r="BI102" s="935"/>
      <c r="BJ102" s="935"/>
      <c r="BK102" s="935"/>
      <c r="BL102" s="935"/>
      <c r="BM102" s="935"/>
      <c r="BN102" s="935"/>
      <c r="BO102" s="935"/>
      <c r="BP102" s="935"/>
      <c r="BQ102" s="935"/>
      <c r="BR102" s="935"/>
      <c r="BS102" s="935"/>
      <c r="BT102" s="935"/>
      <c r="BU102" s="935"/>
      <c r="BV102" s="935"/>
      <c r="BW102" s="935"/>
      <c r="BX102" s="935"/>
      <c r="BY102" s="935"/>
      <c r="BZ102" s="935"/>
      <c r="CA102" s="935"/>
      <c r="CB102" s="935"/>
      <c r="CC102" s="935"/>
      <c r="CD102" s="935"/>
      <c r="CE102" s="935"/>
      <c r="CF102" s="935"/>
      <c r="CG102" s="935"/>
      <c r="CH102" s="935"/>
      <c r="CI102" s="935"/>
      <c r="CJ102" s="935"/>
      <c r="CK102" s="935"/>
      <c r="CL102" s="935"/>
      <c r="CM102" s="935"/>
      <c r="CN102" s="935"/>
      <c r="CO102" s="935"/>
      <c r="CP102" s="935"/>
      <c r="CQ102" s="935"/>
      <c r="CR102" s="935"/>
      <c r="CS102" s="935"/>
      <c r="CT102" s="935"/>
      <c r="CU102" s="935"/>
      <c r="CV102" s="935"/>
      <c r="CW102" s="935"/>
      <c r="CX102" s="935"/>
      <c r="CY102" s="935"/>
      <c r="CZ102" s="935"/>
      <c r="DA102" s="935"/>
      <c r="DB102" s="935"/>
      <c r="DC102" s="935"/>
      <c r="DD102" s="935"/>
      <c r="DE102" s="935"/>
      <c r="DF102" s="935"/>
      <c r="DG102" s="935"/>
      <c r="DH102" s="935"/>
      <c r="DI102" s="935"/>
      <c r="DK102" s="914" t="s">
        <v>1040</v>
      </c>
      <c r="DL102" s="933"/>
      <c r="DN102" s="977">
        <f>SUM(DN119:DN121)*18+SUM(DN122:DN124)*15+SUM(DN125:DN130)*12+DN131*35</f>
        <v>175.66666666666666</v>
      </c>
      <c r="DO102" s="978">
        <f t="shared" ref="DO102:DX102" si="546">SUM(DO119:DO121)*18+SUM(DO122:DO124)*15+SUM(DO125:DO130)*12+DO131*35</f>
        <v>264.30714285714282</v>
      </c>
      <c r="DP102" s="978">
        <f t="shared" si="546"/>
        <v>401.7990476190476</v>
      </c>
      <c r="DQ102" s="978">
        <f t="shared" si="546"/>
        <v>454.78833333333336</v>
      </c>
      <c r="DR102" s="979">
        <f t="shared" si="546"/>
        <v>333.86964285714282</v>
      </c>
      <c r="DT102" s="977">
        <f t="shared" si="546"/>
        <v>174</v>
      </c>
      <c r="DU102" s="978">
        <f t="shared" si="546"/>
        <v>310.71428571428567</v>
      </c>
      <c r="DV102" s="978">
        <f t="shared" si="546"/>
        <v>428.90000000000003</v>
      </c>
      <c r="DW102" s="978">
        <f t="shared" si="546"/>
        <v>505.92142857142863</v>
      </c>
      <c r="DX102" s="979">
        <f t="shared" si="546"/>
        <v>409.40357142857141</v>
      </c>
      <c r="DZ102" s="977">
        <f>SUM(DZ119:DZ121)*18+SUM(DZ122:DZ124)*15+SUM(DZ125:DZ130)*12+DZ131*35</f>
        <v>175.66666666666666</v>
      </c>
      <c r="EA102" s="978">
        <f>SUM(EA119:EA121)*18+SUM(EA122:EA124)*15+SUM(EA125:EA130)*12+EA131*35</f>
        <v>215.78071428571431</v>
      </c>
      <c r="EB102" s="978">
        <f>SUM(EB119:EB121)*18+SUM(EB122:EB124)*15+SUM(EB125:EB130)*12+EB131*35</f>
        <v>377.94857142857143</v>
      </c>
      <c r="EC102" s="978">
        <f>SUM(EC119:EC121)*18+SUM(EC122:EC124)*15+SUM(EC125:EC130)*12+EC131*35</f>
        <v>430.76857142857142</v>
      </c>
      <c r="ED102" s="979">
        <f>SUM(ED119:ED121)*18+SUM(ED122:ED124)*15+SUM(ED125:ED130)*12+ED131*35</f>
        <v>301.77583333333331</v>
      </c>
      <c r="EF102" s="977">
        <f>SUM(EF119:EF121)*18+SUM(EF122:EF124)*15+SUM(EF125:EF130)*12+EF131*35</f>
        <v>330.42</v>
      </c>
      <c r="EG102" s="978">
        <f t="shared" ref="EG102:EQ102" si="547">SUM(EG119:EG121)*18+SUM(EG122:EG124)*15+SUM(EG125:EG130)*12+EG131*35</f>
        <v>328.83840000000004</v>
      </c>
      <c r="EH102" s="978">
        <f t="shared" si="547"/>
        <v>275.18939999999998</v>
      </c>
      <c r="EI102" s="978">
        <f t="shared" si="547"/>
        <v>234.28440000000001</v>
      </c>
      <c r="EJ102" s="978">
        <f t="shared" si="547"/>
        <v>276.834294</v>
      </c>
      <c r="EK102" s="978">
        <f t="shared" si="547"/>
        <v>301.10037606000003</v>
      </c>
      <c r="EL102" s="978">
        <f t="shared" si="547"/>
        <v>250.84058670000005</v>
      </c>
      <c r="EM102" s="978">
        <f t="shared" si="547"/>
        <v>261.07962606000001</v>
      </c>
      <c r="EN102" s="978">
        <f t="shared" si="547"/>
        <v>256.02877872000005</v>
      </c>
      <c r="EO102" s="978">
        <f t="shared" si="547"/>
        <v>218.1705867</v>
      </c>
      <c r="EP102" s="978">
        <f t="shared" si="547"/>
        <v>177.99948936000004</v>
      </c>
      <c r="EQ102" s="979">
        <f t="shared" si="547"/>
        <v>161.17443936000001</v>
      </c>
      <c r="ES102" s="977">
        <f>SUM(ES119:ES121)*10+SUM(ES122:ES125)*14+SUM(ES126:ES130)*17+ES131*35</f>
        <v>113.71000000000001</v>
      </c>
      <c r="ET102" s="978">
        <f t="shared" ref="ET102:FD102" si="548">SUM(ET119:ET121)*10+SUM(ET122:ET125)*14+SUM(ET126:ET130)*17+ET131*35</f>
        <v>90.138599999999997</v>
      </c>
      <c r="EU102" s="978">
        <f t="shared" si="548"/>
        <v>83.523600000000002</v>
      </c>
      <c r="EV102" s="978">
        <f t="shared" si="548"/>
        <v>78.201450000000008</v>
      </c>
      <c r="EW102" s="978">
        <f t="shared" si="548"/>
        <v>71.962803000000008</v>
      </c>
      <c r="EX102" s="978">
        <f t="shared" si="548"/>
        <v>73.588363695000027</v>
      </c>
      <c r="EY102" s="978">
        <f t="shared" si="548"/>
        <v>76.265218260000012</v>
      </c>
      <c r="EZ102" s="978">
        <f t="shared" si="548"/>
        <v>77.680918260000013</v>
      </c>
      <c r="FA102" s="978">
        <f t="shared" si="548"/>
        <v>78.878818260000017</v>
      </c>
      <c r="FB102" s="978">
        <f t="shared" si="548"/>
        <v>80.784568260000015</v>
      </c>
      <c r="FC102" s="978">
        <f t="shared" si="548"/>
        <v>82.064143260000009</v>
      </c>
      <c r="FD102" s="979">
        <f t="shared" si="548"/>
        <v>81.955243260000017</v>
      </c>
      <c r="FF102" s="977">
        <f t="shared" ref="FF102:FQ102" si="549">SUM(FF119:FF121)*10+SUM(FF122:FF125)*14+SUM(FF126:FF130)*17+FF131*35</f>
        <v>76.034999999999997</v>
      </c>
      <c r="FG102" s="978">
        <f t="shared" si="549"/>
        <v>70.451099999999997</v>
      </c>
      <c r="FH102" s="978">
        <f t="shared" si="549"/>
        <v>71.598600000000005</v>
      </c>
      <c r="FI102" s="978">
        <f t="shared" si="549"/>
        <v>66.92895</v>
      </c>
      <c r="FJ102" s="978">
        <f t="shared" si="549"/>
        <v>65.651553000000007</v>
      </c>
      <c r="FK102" s="978">
        <f t="shared" si="549"/>
        <v>72.199888695000027</v>
      </c>
      <c r="FL102" s="978">
        <f t="shared" si="549"/>
        <v>76.265218260000012</v>
      </c>
      <c r="FM102" s="978">
        <f t="shared" si="549"/>
        <v>77.680918260000013</v>
      </c>
      <c r="FN102" s="978">
        <f t="shared" si="549"/>
        <v>78.878818260000017</v>
      </c>
      <c r="FO102" s="978">
        <f t="shared" si="549"/>
        <v>80.784568260000015</v>
      </c>
      <c r="FP102" s="978">
        <f t="shared" si="549"/>
        <v>82.064143260000009</v>
      </c>
      <c r="FQ102" s="979">
        <f t="shared" si="549"/>
        <v>81.955243260000017</v>
      </c>
      <c r="FS102" s="977">
        <f t="shared" ref="FS102:GD102" si="550">SUM(FS119:FS121)*10+SUM(FS122:FS125)*14+SUM(FS126:FS130)*17+FS131*35</f>
        <v>76.034999999999997</v>
      </c>
      <c r="FT102" s="978">
        <f t="shared" si="550"/>
        <v>70.451099999999997</v>
      </c>
      <c r="FU102" s="978">
        <f t="shared" si="550"/>
        <v>71.598600000000005</v>
      </c>
      <c r="FV102" s="978">
        <f t="shared" si="550"/>
        <v>66.92895</v>
      </c>
      <c r="FW102" s="978">
        <f t="shared" si="550"/>
        <v>65.651553000000007</v>
      </c>
      <c r="FX102" s="978">
        <f t="shared" si="550"/>
        <v>66.39215913000001</v>
      </c>
      <c r="FY102" s="978">
        <f t="shared" si="550"/>
        <v>61.382759130000011</v>
      </c>
      <c r="FZ102" s="978">
        <f t="shared" si="550"/>
        <v>56.808959130000005</v>
      </c>
      <c r="GA102" s="978">
        <f t="shared" si="550"/>
        <v>52.99745913000001</v>
      </c>
      <c r="GB102" s="978">
        <f t="shared" si="550"/>
        <v>50.329409130000009</v>
      </c>
      <c r="GC102" s="978">
        <f t="shared" si="550"/>
        <v>47.797484130000008</v>
      </c>
      <c r="GD102" s="979">
        <f t="shared" si="550"/>
        <v>45.020534130000009</v>
      </c>
      <c r="GF102" s="977">
        <f t="shared" ref="GF102:GQ102" si="551">SUM(GF119:GF121)*10+SUM(GF122:GF125)*14+SUM(GF126:GF130)*17+GF131*35</f>
        <v>39.93</v>
      </c>
      <c r="GG102" s="978">
        <f t="shared" si="551"/>
        <v>35.799300000000002</v>
      </c>
      <c r="GH102" s="978">
        <f t="shared" si="551"/>
        <v>35.799300000000002</v>
      </c>
      <c r="GI102" s="978">
        <f t="shared" si="551"/>
        <v>35.799300000000002</v>
      </c>
      <c r="GJ102" s="978">
        <f t="shared" si="551"/>
        <v>39.515553000000004</v>
      </c>
      <c r="GK102" s="978">
        <f t="shared" si="551"/>
        <v>43.632059130000009</v>
      </c>
      <c r="GL102" s="978">
        <f t="shared" si="551"/>
        <v>43.632059130000009</v>
      </c>
      <c r="GM102" s="978">
        <f t="shared" si="551"/>
        <v>43.632059130000009</v>
      </c>
      <c r="GN102" s="978">
        <f t="shared" si="551"/>
        <v>43.632059130000009</v>
      </c>
      <c r="GO102" s="978">
        <f t="shared" si="551"/>
        <v>43.632059130000009</v>
      </c>
      <c r="GP102" s="978">
        <f t="shared" si="551"/>
        <v>43.632059130000009</v>
      </c>
      <c r="GQ102" s="979">
        <f t="shared" si="551"/>
        <v>43.632059130000009</v>
      </c>
      <c r="GS102" s="977">
        <f t="shared" ref="GS102:HD102" si="552">SUM(GS119:GS121)*10+SUM(GS122:GS125)*14+SUM(GS126:GS130)*17+GS131*35</f>
        <v>39.93</v>
      </c>
      <c r="GT102" s="978">
        <f t="shared" si="552"/>
        <v>35.799300000000002</v>
      </c>
      <c r="GU102" s="978">
        <f t="shared" si="552"/>
        <v>35.799300000000002</v>
      </c>
      <c r="GV102" s="978">
        <f t="shared" si="552"/>
        <v>35.799300000000002</v>
      </c>
      <c r="GW102" s="978">
        <f t="shared" si="552"/>
        <v>39.515553000000004</v>
      </c>
      <c r="GX102" s="978">
        <f t="shared" si="552"/>
        <v>43.632059130000009</v>
      </c>
      <c r="GY102" s="978">
        <f t="shared" si="552"/>
        <v>43.632059130000009</v>
      </c>
      <c r="GZ102" s="978">
        <f t="shared" si="552"/>
        <v>43.632059130000009</v>
      </c>
      <c r="HA102" s="978">
        <f t="shared" si="552"/>
        <v>43.632059130000009</v>
      </c>
      <c r="HB102" s="978">
        <f t="shared" si="552"/>
        <v>43.632059130000009</v>
      </c>
      <c r="HC102" s="978">
        <f t="shared" si="552"/>
        <v>43.632059130000009</v>
      </c>
      <c r="HD102" s="979">
        <f t="shared" si="552"/>
        <v>43.632059130000009</v>
      </c>
    </row>
    <row r="103" spans="2:212" ht="14.25">
      <c r="B103" s="967" t="s">
        <v>126</v>
      </c>
      <c r="C103" s="1059">
        <v>125</v>
      </c>
      <c r="D103" s="1090">
        <v>20</v>
      </c>
      <c r="E103" s="976">
        <v>10</v>
      </c>
      <c r="F103" s="1090">
        <v>4</v>
      </c>
      <c r="G103" s="1062"/>
      <c r="H103" s="1015">
        <v>17</v>
      </c>
      <c r="I103" s="1061">
        <f t="shared" si="522"/>
        <v>0.13600000000000001</v>
      </c>
      <c r="N103" s="914"/>
      <c r="O103" s="933"/>
      <c r="P103" s="961"/>
      <c r="Q103" s="961"/>
      <c r="R103" s="961"/>
      <c r="S103" s="961"/>
      <c r="T103" s="961"/>
      <c r="U103" s="961"/>
      <c r="X103" s="1063"/>
      <c r="AA103" s="914"/>
      <c r="AB103" s="933"/>
      <c r="AC103" s="961"/>
      <c r="AD103" s="961"/>
      <c r="AE103" s="961"/>
      <c r="AF103" s="961"/>
      <c r="AG103" s="961"/>
      <c r="AH103" s="961"/>
      <c r="DK103" s="914"/>
      <c r="DL103" s="933"/>
      <c r="DM103" s="982">
        <v>1.1499999999999999</v>
      </c>
      <c r="DN103" s="983">
        <f>DN102*$DM$103</f>
        <v>202.01666666666665</v>
      </c>
      <c r="DO103" s="984">
        <f>DO102*$DM$103</f>
        <v>303.95321428571424</v>
      </c>
      <c r="DP103" s="984">
        <f>DP102*$DM$103</f>
        <v>462.06890476190472</v>
      </c>
      <c r="DQ103" s="984">
        <f>DQ102*$DM$103</f>
        <v>523.00658333333331</v>
      </c>
      <c r="DR103" s="985">
        <f>DR102*$DM$103</f>
        <v>383.95008928571423</v>
      </c>
      <c r="DT103" s="983">
        <f>DT102*$DM$103</f>
        <v>200.1</v>
      </c>
      <c r="DU103" s="984">
        <f>DU102*$DM$103</f>
        <v>357.3214285714285</v>
      </c>
      <c r="DV103" s="984">
        <f>DV102*$DM$103</f>
        <v>493.23500000000001</v>
      </c>
      <c r="DW103" s="984">
        <f>DW102*$DM$103</f>
        <v>581.80964285714288</v>
      </c>
      <c r="DX103" s="985">
        <f>DX102*$DM$103</f>
        <v>470.8141071428571</v>
      </c>
      <c r="DZ103" s="1598">
        <v>156</v>
      </c>
      <c r="EA103" s="1599">
        <v>239</v>
      </c>
      <c r="EB103" s="1599">
        <v>352</v>
      </c>
      <c r="EC103" s="1599">
        <v>498</v>
      </c>
      <c r="ED103" s="1611">
        <v>432</v>
      </c>
      <c r="EF103" s="1598">
        <v>234</v>
      </c>
      <c r="EG103" s="1599">
        <v>356</v>
      </c>
      <c r="EH103" s="1599">
        <v>411</v>
      </c>
      <c r="EI103" s="1599">
        <v>317</v>
      </c>
      <c r="EJ103" s="1599">
        <v>350</v>
      </c>
      <c r="EK103" s="1599">
        <v>216</v>
      </c>
      <c r="EL103" s="984">
        <f t="shared" ref="EL103:EQ103" si="553">EL102*$DM$103</f>
        <v>288.466674705</v>
      </c>
      <c r="EM103" s="984">
        <f t="shared" si="553"/>
        <v>300.24156996900001</v>
      </c>
      <c r="EN103" s="984">
        <f t="shared" si="553"/>
        <v>294.43309552800002</v>
      </c>
      <c r="EO103" s="984">
        <f t="shared" si="553"/>
        <v>250.89617470499999</v>
      </c>
      <c r="EP103" s="984">
        <f t="shared" si="553"/>
        <v>204.69941276400004</v>
      </c>
      <c r="EQ103" s="985">
        <f t="shared" si="553"/>
        <v>185.350605264</v>
      </c>
      <c r="ES103" s="983">
        <f>ES102*$DM$103</f>
        <v>130.76650000000001</v>
      </c>
      <c r="ET103" s="984">
        <f t="shared" ref="ET103:FD103" si="554">ET102*$DM$103</f>
        <v>103.65938999999999</v>
      </c>
      <c r="EU103" s="984">
        <f t="shared" si="554"/>
        <v>96.052139999999994</v>
      </c>
      <c r="EV103" s="984">
        <f t="shared" si="554"/>
        <v>89.931667500000003</v>
      </c>
      <c r="EW103" s="984">
        <f t="shared" si="554"/>
        <v>82.757223449999998</v>
      </c>
      <c r="EX103" s="984">
        <f t="shared" si="554"/>
        <v>84.626618249250029</v>
      </c>
      <c r="EY103" s="984">
        <f t="shared" si="554"/>
        <v>87.705000999000006</v>
      </c>
      <c r="EZ103" s="984">
        <f t="shared" si="554"/>
        <v>89.33305599900001</v>
      </c>
      <c r="FA103" s="984">
        <f t="shared" si="554"/>
        <v>90.710640999000006</v>
      </c>
      <c r="FB103" s="984">
        <f t="shared" si="554"/>
        <v>92.902253499000011</v>
      </c>
      <c r="FC103" s="984">
        <f t="shared" si="554"/>
        <v>94.373764749000003</v>
      </c>
      <c r="FD103" s="985">
        <f t="shared" si="554"/>
        <v>94.248529749000014</v>
      </c>
      <c r="FF103" s="983">
        <f>FF102*$DM$103</f>
        <v>87.440249999999992</v>
      </c>
      <c r="FG103" s="984">
        <f t="shared" ref="FG103:FQ103" si="555">FG102*$DM$103</f>
        <v>81.018764999999988</v>
      </c>
      <c r="FH103" s="984">
        <f t="shared" si="555"/>
        <v>82.338390000000004</v>
      </c>
      <c r="FI103" s="984">
        <f t="shared" si="555"/>
        <v>76.96829249999999</v>
      </c>
      <c r="FJ103" s="984">
        <f t="shared" si="555"/>
        <v>75.499285950000001</v>
      </c>
      <c r="FK103" s="984">
        <f t="shared" si="555"/>
        <v>83.02987199925002</v>
      </c>
      <c r="FL103" s="984">
        <f t="shared" si="555"/>
        <v>87.705000999000006</v>
      </c>
      <c r="FM103" s="984">
        <f t="shared" si="555"/>
        <v>89.33305599900001</v>
      </c>
      <c r="FN103" s="984">
        <f t="shared" si="555"/>
        <v>90.710640999000006</v>
      </c>
      <c r="FO103" s="984">
        <f t="shared" si="555"/>
        <v>92.902253499000011</v>
      </c>
      <c r="FP103" s="984">
        <f t="shared" si="555"/>
        <v>94.373764749000003</v>
      </c>
      <c r="FQ103" s="985">
        <f t="shared" si="555"/>
        <v>94.248529749000014</v>
      </c>
      <c r="FS103" s="983">
        <f>FS102*$DM$103</f>
        <v>87.440249999999992</v>
      </c>
      <c r="FT103" s="984">
        <f t="shared" ref="FT103:GD103" si="556">FT102*$DM$103</f>
        <v>81.018764999999988</v>
      </c>
      <c r="FU103" s="984">
        <f t="shared" si="556"/>
        <v>82.338390000000004</v>
      </c>
      <c r="FV103" s="984">
        <f t="shared" si="556"/>
        <v>76.96829249999999</v>
      </c>
      <c r="FW103" s="984">
        <f t="shared" si="556"/>
        <v>75.499285950000001</v>
      </c>
      <c r="FX103" s="984">
        <f t="shared" si="556"/>
        <v>76.350982999500005</v>
      </c>
      <c r="FY103" s="984">
        <f t="shared" si="556"/>
        <v>70.590172999500012</v>
      </c>
      <c r="FZ103" s="984">
        <f t="shared" si="556"/>
        <v>65.330302999500006</v>
      </c>
      <c r="GA103" s="984">
        <f t="shared" si="556"/>
        <v>60.94707799950001</v>
      </c>
      <c r="GB103" s="984">
        <f t="shared" si="556"/>
        <v>57.878820499500009</v>
      </c>
      <c r="GC103" s="984">
        <f t="shared" si="556"/>
        <v>54.967106749500005</v>
      </c>
      <c r="GD103" s="985">
        <f t="shared" si="556"/>
        <v>51.773614249500007</v>
      </c>
      <c r="GF103" s="983">
        <f>GF102*$DM$103</f>
        <v>45.919499999999999</v>
      </c>
      <c r="GG103" s="984">
        <f t="shared" ref="GG103:GQ103" si="557">GG102*$DM$103</f>
        <v>41.169195000000002</v>
      </c>
      <c r="GH103" s="984">
        <f t="shared" si="557"/>
        <v>41.169195000000002</v>
      </c>
      <c r="GI103" s="984">
        <f t="shared" si="557"/>
        <v>41.169195000000002</v>
      </c>
      <c r="GJ103" s="984">
        <f t="shared" si="557"/>
        <v>45.442885950000004</v>
      </c>
      <c r="GK103" s="984">
        <f t="shared" si="557"/>
        <v>50.176867999500004</v>
      </c>
      <c r="GL103" s="984">
        <f t="shared" si="557"/>
        <v>50.176867999500004</v>
      </c>
      <c r="GM103" s="984">
        <f t="shared" si="557"/>
        <v>50.176867999500004</v>
      </c>
      <c r="GN103" s="984">
        <f t="shared" si="557"/>
        <v>50.176867999500004</v>
      </c>
      <c r="GO103" s="984">
        <f t="shared" si="557"/>
        <v>50.176867999500004</v>
      </c>
      <c r="GP103" s="984">
        <f t="shared" si="557"/>
        <v>50.176867999500004</v>
      </c>
      <c r="GQ103" s="985">
        <f t="shared" si="557"/>
        <v>50.176867999500004</v>
      </c>
      <c r="GS103" s="983">
        <f>GS102*$DM$103</f>
        <v>45.919499999999999</v>
      </c>
      <c r="GT103" s="984">
        <f t="shared" ref="GT103:HD103" si="558">GT102*$DM$103</f>
        <v>41.169195000000002</v>
      </c>
      <c r="GU103" s="984">
        <f t="shared" si="558"/>
        <v>41.169195000000002</v>
      </c>
      <c r="GV103" s="984">
        <f t="shared" si="558"/>
        <v>41.169195000000002</v>
      </c>
      <c r="GW103" s="984">
        <f t="shared" si="558"/>
        <v>45.442885950000004</v>
      </c>
      <c r="GX103" s="984">
        <f t="shared" si="558"/>
        <v>50.176867999500004</v>
      </c>
      <c r="GY103" s="984">
        <f t="shared" si="558"/>
        <v>50.176867999500004</v>
      </c>
      <c r="GZ103" s="984">
        <f t="shared" si="558"/>
        <v>50.176867999500004</v>
      </c>
      <c r="HA103" s="984">
        <f t="shared" si="558"/>
        <v>50.176867999500004</v>
      </c>
      <c r="HB103" s="984">
        <f t="shared" si="558"/>
        <v>50.176867999500004</v>
      </c>
      <c r="HC103" s="984">
        <f t="shared" si="558"/>
        <v>50.176867999500004</v>
      </c>
      <c r="HD103" s="985">
        <f t="shared" si="558"/>
        <v>50.176867999500004</v>
      </c>
    </row>
    <row r="104" spans="2:212" ht="14.25">
      <c r="B104" s="967" t="s">
        <v>127</v>
      </c>
      <c r="C104" s="1059">
        <v>150</v>
      </c>
      <c r="D104" s="1090">
        <v>20</v>
      </c>
      <c r="E104" s="976">
        <v>12</v>
      </c>
      <c r="F104" s="1090">
        <v>5</v>
      </c>
      <c r="G104" s="1062"/>
      <c r="H104" s="1015">
        <v>17</v>
      </c>
      <c r="I104" s="1061">
        <f t="shared" si="522"/>
        <v>0.11333333333333333</v>
      </c>
      <c r="N104" s="914"/>
      <c r="O104" s="933"/>
      <c r="X104" s="1063"/>
      <c r="AA104" s="914"/>
      <c r="AB104" s="933"/>
      <c r="DK104" s="914"/>
      <c r="DL104" s="933"/>
      <c r="DN104" s="954">
        <f>DN103/DN97</f>
        <v>6.5115437621242646E-3</v>
      </c>
      <c r="DO104" s="986">
        <f>DO103/DO97</f>
        <v>5.3217350140049883E-3</v>
      </c>
      <c r="DP104" s="986">
        <f>DP103/DP97</f>
        <v>9.7008982900836493E-3</v>
      </c>
      <c r="DQ104" s="986">
        <f>DQ103/DQ97</f>
        <v>9.6956268621621235E-3</v>
      </c>
      <c r="DR104" s="955">
        <f>DR103/DR97</f>
        <v>5.4556928558709928E-3</v>
      </c>
      <c r="DT104" s="954">
        <f>DT103/DT97</f>
        <v>6.449764409542441E-3</v>
      </c>
      <c r="DU104" s="986">
        <f>DU103/DU97</f>
        <v>6.2561271548041229E-3</v>
      </c>
      <c r="DV104" s="986">
        <f>DV103/DV97</f>
        <v>1.0355214382095104E-2</v>
      </c>
      <c r="DW104" s="986">
        <f>DW103/DW97</f>
        <v>1.0785732688101599E-2</v>
      </c>
      <c r="DX104" s="955">
        <f>DX103/DX97</f>
        <v>6.6899767247381578E-3</v>
      </c>
      <c r="DZ104" s="954">
        <f>DZ103/DZ97</f>
        <v>5.0283020883989046E-3</v>
      </c>
      <c r="EA104" s="986">
        <f>EA103/EA97</f>
        <v>4.8931719225372809E-3</v>
      </c>
      <c r="EB104" s="986">
        <f>EB103/EB97</f>
        <v>9.0022778064569094E-3</v>
      </c>
      <c r="EC104" s="986">
        <f>EC103/EC97</f>
        <v>9.875682215300342E-3</v>
      </c>
      <c r="ED104" s="955">
        <f>ED103/ED97</f>
        <v>4.5745821770423866E-3</v>
      </c>
      <c r="EF104" s="954">
        <f>EF103/EF97</f>
        <v>8.6246454773133124E-3</v>
      </c>
      <c r="EG104" s="986">
        <f t="shared" ref="EG104:EQ104" si="559">EG103/EG97</f>
        <v>8.7418850229318418E-3</v>
      </c>
      <c r="EH104" s="986">
        <f t="shared" si="559"/>
        <v>7.2407502234678742E-3</v>
      </c>
      <c r="EI104" s="986">
        <f t="shared" si="559"/>
        <v>6.3444168561268988E-3</v>
      </c>
      <c r="EJ104" s="986">
        <f t="shared" si="559"/>
        <v>6.524186632448613E-3</v>
      </c>
      <c r="EK104" s="986">
        <f t="shared" si="559"/>
        <v>3.715580948110983E-3</v>
      </c>
      <c r="EL104" s="986">
        <f t="shared" si="559"/>
        <v>4.9058958283163265E-3</v>
      </c>
      <c r="EM104" s="986">
        <f t="shared" si="559"/>
        <v>4.5726708798202861E-3</v>
      </c>
      <c r="EN104" s="986">
        <f t="shared" si="559"/>
        <v>4.0058924561632656E-3</v>
      </c>
      <c r="EO104" s="986">
        <f t="shared" si="559"/>
        <v>3.605866264803104E-3</v>
      </c>
      <c r="EP104" s="986">
        <f t="shared" si="559"/>
        <v>2.6109618975000007E-3</v>
      </c>
      <c r="EQ104" s="955">
        <f t="shared" si="559"/>
        <v>2.0877710884916936E-3</v>
      </c>
      <c r="ES104" s="954">
        <f>ES103/ES97</f>
        <v>3.8878251304024876E-3</v>
      </c>
      <c r="ET104" s="986">
        <f t="shared" ref="ET104:FD104" si="560">ET103/ET97</f>
        <v>3.2797471092212657E-3</v>
      </c>
      <c r="EU104" s="986">
        <f t="shared" si="560"/>
        <v>1.3866193068051537E-3</v>
      </c>
      <c r="EV104" s="986">
        <f t="shared" si="560"/>
        <v>1.3034867574361671E-3</v>
      </c>
      <c r="EW104" s="986">
        <f t="shared" si="560"/>
        <v>1.0376104278984031E-3</v>
      </c>
      <c r="EX104" s="986">
        <f t="shared" si="560"/>
        <v>9.7917988681111862E-4</v>
      </c>
      <c r="EY104" s="986">
        <f t="shared" si="560"/>
        <v>1.0787345665036184E-3</v>
      </c>
      <c r="EZ104" s="986">
        <f t="shared" si="560"/>
        <v>9.8903436596866419E-4</v>
      </c>
      <c r="FA104" s="986">
        <f t="shared" si="560"/>
        <v>9.0840784159725463E-4</v>
      </c>
      <c r="FB104" s="986">
        <f t="shared" si="560"/>
        <v>9.8732266811650451E-4</v>
      </c>
      <c r="FC104" s="986">
        <f t="shared" si="560"/>
        <v>9.1863939194096402E-4</v>
      </c>
      <c r="FD104" s="955">
        <f t="shared" si="560"/>
        <v>8.5224680766207293E-4</v>
      </c>
      <c r="FF104" s="954">
        <f>FF103/FF97</f>
        <v>1.8878101259291126E-3</v>
      </c>
      <c r="FG104" s="986">
        <f t="shared" ref="FG104:FQ104" si="561">FG103/FG97</f>
        <v>1.8839304065051301E-3</v>
      </c>
      <c r="FH104" s="986">
        <f t="shared" si="561"/>
        <v>8.3904148005004063E-4</v>
      </c>
      <c r="FI104" s="986">
        <f t="shared" si="561"/>
        <v>7.9925642947743856E-4</v>
      </c>
      <c r="FJ104" s="986">
        <f t="shared" si="561"/>
        <v>6.7905542462878095E-4</v>
      </c>
      <c r="FK104" s="986">
        <f t="shared" si="561"/>
        <v>6.9655614827391818E-4</v>
      </c>
      <c r="FL104" s="986">
        <f t="shared" si="561"/>
        <v>7.7367087285958708E-4</v>
      </c>
      <c r="FM104" s="986">
        <f t="shared" si="561"/>
        <v>7.1075133358753045E-4</v>
      </c>
      <c r="FN104" s="986">
        <f t="shared" si="561"/>
        <v>6.5371257824433607E-4</v>
      </c>
      <c r="FO104" s="986">
        <f t="shared" si="561"/>
        <v>7.0132657438045092E-4</v>
      </c>
      <c r="FP104" s="986">
        <f t="shared" si="561"/>
        <v>6.559197889746092E-4</v>
      </c>
      <c r="FQ104" s="955">
        <f t="shared" si="561"/>
        <v>6.0668988220030748E-4</v>
      </c>
      <c r="FS104" s="954">
        <f>FS103/FS97</f>
        <v>1.4183817170710417E-3</v>
      </c>
      <c r="FT104" s="986">
        <f t="shared" ref="FT104:GD104" si="562">FT103/FT97</f>
        <v>1.4106391630062326E-3</v>
      </c>
      <c r="FU104" s="986">
        <f t="shared" si="562"/>
        <v>6.3729048204009999E-4</v>
      </c>
      <c r="FV104" s="986">
        <f t="shared" si="562"/>
        <v>5.9986909901580364E-4</v>
      </c>
      <c r="FW104" s="986">
        <f t="shared" si="562"/>
        <v>5.1408834128313457E-4</v>
      </c>
      <c r="FX104" s="986">
        <f t="shared" si="562"/>
        <v>4.9092653877545842E-4</v>
      </c>
      <c r="FY104" s="986">
        <f t="shared" si="562"/>
        <v>4.7567901560792143E-4</v>
      </c>
      <c r="FZ104" s="986">
        <f t="shared" si="562"/>
        <v>4.0062057929639825E-4</v>
      </c>
      <c r="GA104" s="986">
        <f t="shared" si="562"/>
        <v>3.3958669313824251E-4</v>
      </c>
      <c r="GB104" s="986">
        <f t="shared" si="562"/>
        <v>3.4081390234660735E-4</v>
      </c>
      <c r="GC104" s="986">
        <f t="shared" si="562"/>
        <v>3.0096043888001584E-4</v>
      </c>
      <c r="GD104" s="955">
        <f t="shared" si="562"/>
        <v>2.6429704204375322E-4</v>
      </c>
      <c r="GF104" s="954">
        <f>GF103/GF97</f>
        <v>5.7562300647601226E-4</v>
      </c>
      <c r="GG104" s="986">
        <f t="shared" ref="GG104:GQ104" si="563">GG103/GG97</f>
        <v>5.5663477798230702E-4</v>
      </c>
      <c r="GH104" s="986">
        <f t="shared" si="563"/>
        <v>2.4793894535959726E-4</v>
      </c>
      <c r="GI104" s="986">
        <f t="shared" si="563"/>
        <v>2.4936173973102754E-4</v>
      </c>
      <c r="GJ104" s="986">
        <f t="shared" si="563"/>
        <v>2.4051085735560848E-4</v>
      </c>
      <c r="GK104" s="986">
        <f t="shared" si="563"/>
        <v>2.5067175404676372E-4</v>
      </c>
      <c r="GL104" s="986">
        <f t="shared" si="563"/>
        <v>2.625780569446497E-4</v>
      </c>
      <c r="GM104" s="986">
        <f t="shared" si="563"/>
        <v>2.3641453447790088E-4</v>
      </c>
      <c r="GN104" s="986">
        <f t="shared" si="563"/>
        <v>2.1458540075841744E-4</v>
      </c>
      <c r="GO104" s="986">
        <f t="shared" si="563"/>
        <v>2.2618741125355268E-4</v>
      </c>
      <c r="GP104" s="986">
        <f t="shared" si="563"/>
        <v>2.0897095342548011E-4</v>
      </c>
      <c r="GQ104" s="955">
        <f t="shared" si="563"/>
        <v>1.9435931844609047E-4</v>
      </c>
      <c r="GS104" s="954">
        <f>GS103/GS97</f>
        <v>4.4912044889998387E-4</v>
      </c>
      <c r="GT104" s="986">
        <f t="shared" ref="GT104:HD104" si="564">GT103/GT97</f>
        <v>4.3375061176531934E-4</v>
      </c>
      <c r="GU104" s="986">
        <f t="shared" si="564"/>
        <v>1.9294191216569329E-4</v>
      </c>
      <c r="GV104" s="986">
        <f t="shared" si="564"/>
        <v>1.9356790118902069E-4</v>
      </c>
      <c r="GW104" s="986">
        <f t="shared" si="564"/>
        <v>1.8641955293258042E-4</v>
      </c>
      <c r="GX104" s="986">
        <f t="shared" si="564"/>
        <v>1.9397454087227475E-4</v>
      </c>
      <c r="GY104" s="986">
        <f t="shared" si="564"/>
        <v>2.0287758522848272E-4</v>
      </c>
      <c r="GZ104" s="986">
        <f t="shared" si="564"/>
        <v>1.8275921391424176E-4</v>
      </c>
      <c r="HA104" s="986">
        <f t="shared" si="564"/>
        <v>1.6585007647498787E-4</v>
      </c>
      <c r="HB104" s="986">
        <f t="shared" si="564"/>
        <v>1.7285996569370895E-4</v>
      </c>
      <c r="HC104" s="986">
        <f t="shared" si="564"/>
        <v>1.5818201795513977E-4</v>
      </c>
      <c r="HD104" s="955">
        <f t="shared" si="564"/>
        <v>1.4700997968752292E-4</v>
      </c>
    </row>
    <row r="105" spans="2:212" ht="14.25" customHeight="1">
      <c r="B105" s="967" t="s">
        <v>163</v>
      </c>
      <c r="C105" s="1059">
        <v>150</v>
      </c>
      <c r="D105" s="1090">
        <v>20</v>
      </c>
      <c r="E105" s="976">
        <v>12</v>
      </c>
      <c r="F105" s="1090">
        <v>5</v>
      </c>
      <c r="G105" s="1062"/>
      <c r="H105" s="1015">
        <v>17</v>
      </c>
      <c r="I105" s="1061">
        <f t="shared" si="522"/>
        <v>0.11333333333333333</v>
      </c>
      <c r="N105" s="1899" t="s">
        <v>1093</v>
      </c>
      <c r="O105" s="940" t="s">
        <v>119</v>
      </c>
      <c r="P105" s="595">
        <v>1</v>
      </c>
      <c r="Q105" s="595">
        <v>0</v>
      </c>
      <c r="R105" s="595">
        <v>2</v>
      </c>
      <c r="S105" s="595">
        <v>2</v>
      </c>
      <c r="T105" s="595">
        <v>3</v>
      </c>
      <c r="U105" s="595">
        <v>7</v>
      </c>
      <c r="V105" s="595">
        <v>5</v>
      </c>
      <c r="X105" s="1063"/>
      <c r="AA105" s="1899" t="s">
        <v>1093</v>
      </c>
      <c r="AB105" s="940" t="s">
        <v>119</v>
      </c>
      <c r="DK105" s="1899" t="s">
        <v>1093</v>
      </c>
      <c r="DL105" s="940" t="s">
        <v>119</v>
      </c>
      <c r="DN105" s="977">
        <v>3</v>
      </c>
      <c r="DO105" s="978">
        <f>DN101*0.5+DO101*0.5</f>
        <v>9.25</v>
      </c>
      <c r="DP105" s="978">
        <f>DO101*0.5+DP101*0.5</f>
        <v>12.600000000000001</v>
      </c>
      <c r="DQ105" s="978">
        <f>DP101*0.5+DQ101*0.5</f>
        <v>8.1000000000000014</v>
      </c>
      <c r="DR105" s="979">
        <f>DQ101*0.5+DR101*0.5</f>
        <v>4.5</v>
      </c>
      <c r="DS105" s="961"/>
      <c r="DT105" s="977">
        <v>3</v>
      </c>
      <c r="DU105" s="978">
        <f>DT101*0.5+DU101*0.5</f>
        <v>9.25</v>
      </c>
      <c r="DV105" s="978">
        <f>DU101*0.5+DV101*0.5</f>
        <v>12.600000000000001</v>
      </c>
      <c r="DW105" s="978">
        <f>DV101*0.5+DW101*0.5</f>
        <v>8.1000000000000014</v>
      </c>
      <c r="DX105" s="979">
        <f>DW101*0.5+DX101*0.5</f>
        <v>4.5</v>
      </c>
      <c r="DY105" s="961"/>
      <c r="DZ105" s="977">
        <v>3</v>
      </c>
      <c r="EA105" s="978">
        <f>DZ101*0.5+EA101*0.5</f>
        <v>6.5</v>
      </c>
      <c r="EB105" s="978">
        <f>EA101*0.5+EB101*0.5</f>
        <v>11.5</v>
      </c>
      <c r="EC105" s="978">
        <f>EB101*0.5+EC101*0.5</f>
        <v>8</v>
      </c>
      <c r="ED105" s="979">
        <f>EC101*0.5+ED101*0.5</f>
        <v>3</v>
      </c>
      <c r="EF105" s="977">
        <f>ED101*0.5+EF101*0.5</f>
        <v>3</v>
      </c>
      <c r="EG105" s="978">
        <f>EF101*0.5+EG101*0.5</f>
        <v>5.5</v>
      </c>
      <c r="EH105" s="978">
        <f t="shared" ref="EH105:EQ105" si="565">EG101*0.5+EH101*0.5</f>
        <v>4.5</v>
      </c>
      <c r="EI105" s="978">
        <f t="shared" si="565"/>
        <v>2.5</v>
      </c>
      <c r="EJ105" s="978">
        <f t="shared" si="565"/>
        <v>4.5</v>
      </c>
      <c r="EK105" s="978">
        <f t="shared" si="565"/>
        <v>4</v>
      </c>
      <c r="EL105" s="978">
        <f t="shared" si="565"/>
        <v>2.5</v>
      </c>
      <c r="EM105" s="978">
        <f t="shared" si="565"/>
        <v>2</v>
      </c>
      <c r="EN105" s="978">
        <f t="shared" si="565"/>
        <v>2</v>
      </c>
      <c r="EO105" s="978">
        <f t="shared" si="565"/>
        <v>2</v>
      </c>
      <c r="EP105" s="978">
        <f t="shared" si="565"/>
        <v>2</v>
      </c>
      <c r="EQ105" s="979">
        <f t="shared" si="565"/>
        <v>2</v>
      </c>
      <c r="ES105" s="977">
        <f>EQ101*0.5+ES101*0.5</f>
        <v>1.5</v>
      </c>
      <c r="ET105" s="978">
        <f>ES101*0.5+ET101*0.5</f>
        <v>1</v>
      </c>
      <c r="EU105" s="978">
        <f t="shared" ref="EU105" si="566">ET101*0.5+EU101*0.5</f>
        <v>1.5</v>
      </c>
      <c r="EV105" s="978">
        <f t="shared" ref="EV105" si="567">EU101*0.5+EV101*0.5</f>
        <v>2</v>
      </c>
      <c r="EW105" s="978">
        <f t="shared" ref="EW105" si="568">EV101*0.5+EW101*0.5</f>
        <v>2</v>
      </c>
      <c r="EX105" s="978">
        <f t="shared" ref="EX105" si="569">EW101*0.5+EX101*0.5</f>
        <v>2</v>
      </c>
      <c r="EY105" s="978">
        <f t="shared" ref="EY105" si="570">EX101*0.5+EY101*0.5</f>
        <v>2</v>
      </c>
      <c r="EZ105" s="978">
        <f t="shared" ref="EZ105" si="571">EY101*0.5+EZ101*0.5</f>
        <v>2</v>
      </c>
      <c r="FA105" s="978">
        <f t="shared" ref="FA105" si="572">EZ101*0.5+FA101*0.5</f>
        <v>2</v>
      </c>
      <c r="FB105" s="978">
        <f t="shared" ref="FB105" si="573">FA101*0.5+FB101*0.5</f>
        <v>2</v>
      </c>
      <c r="FC105" s="978">
        <f t="shared" ref="FC105" si="574">FB101*0.5+FC101*0.5</f>
        <v>2</v>
      </c>
      <c r="FD105" s="979">
        <f t="shared" ref="FD105" si="575">FC101*0.5+FD101*0.5</f>
        <v>2</v>
      </c>
      <c r="FF105" s="977">
        <f>FD101*0.5+FF101*0.5</f>
        <v>1.5</v>
      </c>
      <c r="FG105" s="978">
        <f>FF101*0.5+FG101*0.5</f>
        <v>1</v>
      </c>
      <c r="FH105" s="978">
        <f t="shared" ref="FH105" si="576">FG101*0.5+FH101*0.5</f>
        <v>1.5</v>
      </c>
      <c r="FI105" s="978">
        <f t="shared" ref="FI105" si="577">FH101*0.5+FI101*0.5</f>
        <v>2</v>
      </c>
      <c r="FJ105" s="978">
        <f t="shared" ref="FJ105" si="578">FI101*0.5+FJ101*0.5</f>
        <v>2</v>
      </c>
      <c r="FK105" s="978">
        <f t="shared" ref="FK105" si="579">FJ101*0.5+FK101*0.5</f>
        <v>2</v>
      </c>
      <c r="FL105" s="978">
        <f t="shared" ref="FL105" si="580">FK101*0.5+FL101*0.5</f>
        <v>2</v>
      </c>
      <c r="FM105" s="978">
        <f t="shared" ref="FM105" si="581">FL101*0.5+FM101*0.5</f>
        <v>2</v>
      </c>
      <c r="FN105" s="978">
        <f t="shared" ref="FN105" si="582">FM101*0.5+FN101*0.5</f>
        <v>2</v>
      </c>
      <c r="FO105" s="978">
        <f t="shared" ref="FO105" si="583">FN101*0.5+FO101*0.5</f>
        <v>2</v>
      </c>
      <c r="FP105" s="978">
        <f t="shared" ref="FP105" si="584">FO101*0.5+FP101*0.5</f>
        <v>2</v>
      </c>
      <c r="FQ105" s="979">
        <f t="shared" ref="FQ105" si="585">FP101*0.5+FQ101*0.5</f>
        <v>2</v>
      </c>
      <c r="FS105" s="977">
        <f>FQ101*0.5+FS101*0.5</f>
        <v>1.5</v>
      </c>
      <c r="FT105" s="978">
        <f>FS101*0.5+FT101*0.5</f>
        <v>1</v>
      </c>
      <c r="FU105" s="978">
        <f t="shared" ref="FU105" si="586">FT101*0.5+FU101*0.5</f>
        <v>1</v>
      </c>
      <c r="FV105" s="978">
        <f t="shared" ref="FV105" si="587">FU101*0.5+FV101*0.5</f>
        <v>1</v>
      </c>
      <c r="FW105" s="978">
        <f t="shared" ref="FW105" si="588">FV101*0.5+FW101*0.5</f>
        <v>1</v>
      </c>
      <c r="FX105" s="978">
        <f t="shared" ref="FX105" si="589">FW101*0.5+FX101*0.5</f>
        <v>1</v>
      </c>
      <c r="FY105" s="978">
        <f t="shared" ref="FY105" si="590">FX101*0.5+FY101*0.5</f>
        <v>1</v>
      </c>
      <c r="FZ105" s="978">
        <f t="shared" ref="FZ105" si="591">FY101*0.5+FZ101*0.5</f>
        <v>1</v>
      </c>
      <c r="GA105" s="978">
        <f t="shared" ref="GA105" si="592">FZ101*0.5+GA101*0.5</f>
        <v>1</v>
      </c>
      <c r="GB105" s="978">
        <f t="shared" ref="GB105" si="593">GA101*0.5+GB101*0.5</f>
        <v>1</v>
      </c>
      <c r="GC105" s="978">
        <f t="shared" ref="GC105" si="594">GB101*0.5+GC101*0.5</f>
        <v>1</v>
      </c>
      <c r="GD105" s="979">
        <f t="shared" ref="GD105" si="595">GC101*0.5+GD101*0.5</f>
        <v>1</v>
      </c>
      <c r="GF105" s="977">
        <f>GD101*0.5+GF101*0.5</f>
        <v>1</v>
      </c>
      <c r="GG105" s="978">
        <f>GF101*0.5+GG101*0.5</f>
        <v>1</v>
      </c>
      <c r="GH105" s="978">
        <f t="shared" ref="GH105" si="596">GG101*0.5+GH101*0.5</f>
        <v>1</v>
      </c>
      <c r="GI105" s="978">
        <f t="shared" ref="GI105" si="597">GH101*0.5+GI101*0.5</f>
        <v>1</v>
      </c>
      <c r="GJ105" s="978">
        <f t="shared" ref="GJ105" si="598">GI101*0.5+GJ101*0.5</f>
        <v>1</v>
      </c>
      <c r="GK105" s="978">
        <f t="shared" ref="GK105" si="599">GJ101*0.5+GK101*0.5</f>
        <v>1</v>
      </c>
      <c r="GL105" s="978">
        <f t="shared" ref="GL105" si="600">GK101*0.5+GL101*0.5</f>
        <v>1</v>
      </c>
      <c r="GM105" s="978">
        <f t="shared" ref="GM105" si="601">GL101*0.5+GM101*0.5</f>
        <v>1</v>
      </c>
      <c r="GN105" s="978">
        <f t="shared" ref="GN105" si="602">GM101*0.5+GN101*0.5</f>
        <v>1</v>
      </c>
      <c r="GO105" s="978">
        <f t="shared" ref="GO105" si="603">GN101*0.5+GO101*0.5</f>
        <v>1</v>
      </c>
      <c r="GP105" s="978">
        <f t="shared" ref="GP105" si="604">GO101*0.5+GP101*0.5</f>
        <v>1</v>
      </c>
      <c r="GQ105" s="979">
        <f t="shared" ref="GQ105" si="605">GP101*0.5+GQ101*0.5</f>
        <v>1</v>
      </c>
      <c r="GS105" s="977">
        <f>GQ101*0.5+GS101*0.5</f>
        <v>1</v>
      </c>
      <c r="GT105" s="978">
        <f>GS101*0.5+GT101*0.5</f>
        <v>1</v>
      </c>
      <c r="GU105" s="978">
        <f t="shared" ref="GU105" si="606">GT101*0.5+GU101*0.5</f>
        <v>1</v>
      </c>
      <c r="GV105" s="978">
        <f t="shared" ref="GV105" si="607">GU101*0.5+GV101*0.5</f>
        <v>1</v>
      </c>
      <c r="GW105" s="978">
        <f t="shared" ref="GW105" si="608">GV101*0.5+GW101*0.5</f>
        <v>1</v>
      </c>
      <c r="GX105" s="978">
        <f t="shared" ref="GX105" si="609">GW101*0.5+GX101*0.5</f>
        <v>1</v>
      </c>
      <c r="GY105" s="978">
        <f t="shared" ref="GY105" si="610">GX101*0.5+GY101*0.5</f>
        <v>1</v>
      </c>
      <c r="GZ105" s="978">
        <f t="shared" ref="GZ105" si="611">GY101*0.5+GZ101*0.5</f>
        <v>1</v>
      </c>
      <c r="HA105" s="978">
        <f t="shared" ref="HA105" si="612">GZ101*0.5+HA101*0.5</f>
        <v>1</v>
      </c>
      <c r="HB105" s="978">
        <f t="shared" ref="HB105" si="613">HA101*0.5+HB101*0.5</f>
        <v>1</v>
      </c>
      <c r="HC105" s="978">
        <f t="shared" ref="HC105" si="614">HB101*0.5+HC101*0.5</f>
        <v>1</v>
      </c>
      <c r="HD105" s="979">
        <f t="shared" ref="HD105" si="615">HC101*0.5+HD101*0.5</f>
        <v>1</v>
      </c>
    </row>
    <row r="106" spans="2:212" ht="14.25">
      <c r="B106" s="967" t="s">
        <v>164</v>
      </c>
      <c r="C106" s="1059">
        <v>170</v>
      </c>
      <c r="D106" s="1090">
        <v>20</v>
      </c>
      <c r="E106" s="976">
        <v>12</v>
      </c>
      <c r="F106" s="1091" t="s">
        <v>165</v>
      </c>
      <c r="G106" s="1062"/>
      <c r="H106" s="1015">
        <v>17</v>
      </c>
      <c r="I106" s="1061">
        <f t="shared" si="522"/>
        <v>0.1</v>
      </c>
      <c r="N106" s="1899"/>
      <c r="O106" s="940" t="s">
        <v>120</v>
      </c>
      <c r="P106" s="595">
        <v>2</v>
      </c>
      <c r="Q106" s="595">
        <v>1</v>
      </c>
      <c r="R106" s="595">
        <v>0</v>
      </c>
      <c r="S106" s="595">
        <v>2</v>
      </c>
      <c r="T106" s="595">
        <v>2</v>
      </c>
      <c r="U106" s="595">
        <v>3</v>
      </c>
      <c r="V106" s="595">
        <v>6</v>
      </c>
      <c r="X106" s="1063"/>
      <c r="AA106" s="1899"/>
      <c r="AB106" s="940" t="s">
        <v>120</v>
      </c>
      <c r="DK106" s="1899"/>
      <c r="DL106" s="940" t="s">
        <v>120</v>
      </c>
      <c r="DN106" s="977">
        <v>6</v>
      </c>
      <c r="DO106" s="978">
        <f>DN105</f>
        <v>3</v>
      </c>
      <c r="DP106" s="978">
        <f>DO105</f>
        <v>9.25</v>
      </c>
      <c r="DQ106" s="978">
        <f>DP105</f>
        <v>12.600000000000001</v>
      </c>
      <c r="DR106" s="979">
        <f>DQ105</f>
        <v>8.1000000000000014</v>
      </c>
      <c r="DS106" s="961"/>
      <c r="DT106" s="977">
        <v>6</v>
      </c>
      <c r="DU106" s="978">
        <f>DT105</f>
        <v>3</v>
      </c>
      <c r="DV106" s="978">
        <f>DU105</f>
        <v>9.25</v>
      </c>
      <c r="DW106" s="978">
        <f>DV105</f>
        <v>12.600000000000001</v>
      </c>
      <c r="DX106" s="979">
        <f>DW105</f>
        <v>8.1000000000000014</v>
      </c>
      <c r="DY106" s="961"/>
      <c r="DZ106" s="977">
        <v>6</v>
      </c>
      <c r="EA106" s="978">
        <f>DZ105</f>
        <v>3</v>
      </c>
      <c r="EB106" s="978">
        <f>EA105</f>
        <v>6.5</v>
      </c>
      <c r="EC106" s="978">
        <f>EB105</f>
        <v>11.5</v>
      </c>
      <c r="ED106" s="979">
        <f>EC105</f>
        <v>8</v>
      </c>
      <c r="EF106" s="977">
        <f>ED105</f>
        <v>3</v>
      </c>
      <c r="EG106" s="978">
        <f t="shared" ref="EG106:EQ116" si="616">EF105</f>
        <v>3</v>
      </c>
      <c r="EH106" s="978">
        <f t="shared" si="616"/>
        <v>5.5</v>
      </c>
      <c r="EI106" s="978">
        <f t="shared" si="616"/>
        <v>4.5</v>
      </c>
      <c r="EJ106" s="978">
        <f t="shared" si="616"/>
        <v>2.5</v>
      </c>
      <c r="EK106" s="978">
        <f t="shared" si="616"/>
        <v>4.5</v>
      </c>
      <c r="EL106" s="978">
        <f t="shared" si="616"/>
        <v>4</v>
      </c>
      <c r="EM106" s="978">
        <f t="shared" si="616"/>
        <v>2.5</v>
      </c>
      <c r="EN106" s="978">
        <f t="shared" si="616"/>
        <v>2</v>
      </c>
      <c r="EO106" s="978">
        <f t="shared" si="616"/>
        <v>2</v>
      </c>
      <c r="EP106" s="978">
        <f t="shared" si="616"/>
        <v>2</v>
      </c>
      <c r="EQ106" s="979">
        <f t="shared" si="616"/>
        <v>2</v>
      </c>
      <c r="ES106" s="977">
        <f>EQ105</f>
        <v>2</v>
      </c>
      <c r="ET106" s="978">
        <f t="shared" ref="ET106:ET116" si="617">ES105</f>
        <v>1.5</v>
      </c>
      <c r="EU106" s="978">
        <f t="shared" ref="EU106:EU116" si="618">ET105</f>
        <v>1</v>
      </c>
      <c r="EV106" s="978">
        <f t="shared" ref="EV106:EV116" si="619">EU105</f>
        <v>1.5</v>
      </c>
      <c r="EW106" s="978">
        <f t="shared" ref="EW106:EW116" si="620">EV105</f>
        <v>2</v>
      </c>
      <c r="EX106" s="978">
        <f t="shared" ref="EX106:EX116" si="621">EW105</f>
        <v>2</v>
      </c>
      <c r="EY106" s="978">
        <f t="shared" ref="EY106:EY116" si="622">EX105</f>
        <v>2</v>
      </c>
      <c r="EZ106" s="978">
        <f t="shared" ref="EZ106:EZ116" si="623">EY105</f>
        <v>2</v>
      </c>
      <c r="FA106" s="978">
        <f t="shared" ref="FA106:FA116" si="624">EZ105</f>
        <v>2</v>
      </c>
      <c r="FB106" s="978">
        <f t="shared" ref="FB106:FB116" si="625">FA105</f>
        <v>2</v>
      </c>
      <c r="FC106" s="978">
        <f t="shared" ref="FC106:FC116" si="626">FB105</f>
        <v>2</v>
      </c>
      <c r="FD106" s="979">
        <f t="shared" ref="FD106:FD116" si="627">FC105</f>
        <v>2</v>
      </c>
      <c r="FF106" s="977">
        <f>FD105</f>
        <v>2</v>
      </c>
      <c r="FG106" s="978">
        <f t="shared" ref="FG106:FG116" si="628">FF105</f>
        <v>1.5</v>
      </c>
      <c r="FH106" s="978">
        <f t="shared" ref="FH106:FH116" si="629">FG105</f>
        <v>1</v>
      </c>
      <c r="FI106" s="978">
        <f t="shared" ref="FI106:FI116" si="630">FH105</f>
        <v>1.5</v>
      </c>
      <c r="FJ106" s="978">
        <f t="shared" ref="FJ106:FJ116" si="631">FI105</f>
        <v>2</v>
      </c>
      <c r="FK106" s="978">
        <f t="shared" ref="FK106:FK116" si="632">FJ105</f>
        <v>2</v>
      </c>
      <c r="FL106" s="978">
        <f t="shared" ref="FL106:FL116" si="633">FK105</f>
        <v>2</v>
      </c>
      <c r="FM106" s="978">
        <f t="shared" ref="FM106:FM116" si="634">FL105</f>
        <v>2</v>
      </c>
      <c r="FN106" s="978">
        <f t="shared" ref="FN106:FN116" si="635">FM105</f>
        <v>2</v>
      </c>
      <c r="FO106" s="978">
        <f t="shared" ref="FO106:FO116" si="636">FN105</f>
        <v>2</v>
      </c>
      <c r="FP106" s="978">
        <f t="shared" ref="FP106:FP116" si="637">FO105</f>
        <v>2</v>
      </c>
      <c r="FQ106" s="979">
        <f t="shared" ref="FQ106:FQ116" si="638">FP105</f>
        <v>2</v>
      </c>
      <c r="FS106" s="977">
        <f>FQ105</f>
        <v>2</v>
      </c>
      <c r="FT106" s="978">
        <f t="shared" ref="FT106:FT116" si="639">FS105</f>
        <v>1.5</v>
      </c>
      <c r="FU106" s="978">
        <f t="shared" ref="FU106:FU116" si="640">FT105</f>
        <v>1</v>
      </c>
      <c r="FV106" s="978">
        <f t="shared" ref="FV106:FV116" si="641">FU105</f>
        <v>1</v>
      </c>
      <c r="FW106" s="978">
        <f t="shared" ref="FW106:FW116" si="642">FV105</f>
        <v>1</v>
      </c>
      <c r="FX106" s="978">
        <f t="shared" ref="FX106:FX116" si="643">FW105</f>
        <v>1</v>
      </c>
      <c r="FY106" s="978">
        <f t="shared" ref="FY106:FY116" si="644">FX105</f>
        <v>1</v>
      </c>
      <c r="FZ106" s="978">
        <f t="shared" ref="FZ106:FZ116" si="645">FY105</f>
        <v>1</v>
      </c>
      <c r="GA106" s="978">
        <f t="shared" ref="GA106:GA116" si="646">FZ105</f>
        <v>1</v>
      </c>
      <c r="GB106" s="978">
        <f t="shared" ref="GB106:GB116" si="647">GA105</f>
        <v>1</v>
      </c>
      <c r="GC106" s="978">
        <f t="shared" ref="GC106:GC116" si="648">GB105</f>
        <v>1</v>
      </c>
      <c r="GD106" s="979">
        <f t="shared" ref="GD106:GD116" si="649">GC105</f>
        <v>1</v>
      </c>
      <c r="GF106" s="977">
        <f>GD105</f>
        <v>1</v>
      </c>
      <c r="GG106" s="978">
        <f t="shared" ref="GG106:GG116" si="650">GF105</f>
        <v>1</v>
      </c>
      <c r="GH106" s="978">
        <f t="shared" ref="GH106:GH116" si="651">GG105</f>
        <v>1</v>
      </c>
      <c r="GI106" s="978">
        <f t="shared" ref="GI106:GI116" si="652">GH105</f>
        <v>1</v>
      </c>
      <c r="GJ106" s="978">
        <f t="shared" ref="GJ106:GJ116" si="653">GI105</f>
        <v>1</v>
      </c>
      <c r="GK106" s="978">
        <f t="shared" ref="GK106:GK116" si="654">GJ105</f>
        <v>1</v>
      </c>
      <c r="GL106" s="978">
        <f t="shared" ref="GL106:GL116" si="655">GK105</f>
        <v>1</v>
      </c>
      <c r="GM106" s="978">
        <f t="shared" ref="GM106:GM116" si="656">GL105</f>
        <v>1</v>
      </c>
      <c r="GN106" s="978">
        <f t="shared" ref="GN106:GN116" si="657">GM105</f>
        <v>1</v>
      </c>
      <c r="GO106" s="978">
        <f t="shared" ref="GO106:GO116" si="658">GN105</f>
        <v>1</v>
      </c>
      <c r="GP106" s="978">
        <f t="shared" ref="GP106:GP116" si="659">GO105</f>
        <v>1</v>
      </c>
      <c r="GQ106" s="979">
        <f t="shared" ref="GQ106:GQ116" si="660">GP105</f>
        <v>1</v>
      </c>
      <c r="GS106" s="977">
        <f>GQ105</f>
        <v>1</v>
      </c>
      <c r="GT106" s="978">
        <f t="shared" ref="GT106:GT116" si="661">GS105</f>
        <v>1</v>
      </c>
      <c r="GU106" s="978">
        <f t="shared" ref="GU106:GU116" si="662">GT105</f>
        <v>1</v>
      </c>
      <c r="GV106" s="978">
        <f t="shared" ref="GV106:GV116" si="663">GU105</f>
        <v>1</v>
      </c>
      <c r="GW106" s="978">
        <f t="shared" ref="GW106:GW116" si="664">GV105</f>
        <v>1</v>
      </c>
      <c r="GX106" s="978">
        <f t="shared" ref="GX106:GX116" si="665">GW105</f>
        <v>1</v>
      </c>
      <c r="GY106" s="978">
        <f t="shared" ref="GY106:GY116" si="666">GX105</f>
        <v>1</v>
      </c>
      <c r="GZ106" s="978">
        <f t="shared" ref="GZ106:GZ116" si="667">GY105</f>
        <v>1</v>
      </c>
      <c r="HA106" s="978">
        <f t="shared" ref="HA106:HA116" si="668">GZ105</f>
        <v>1</v>
      </c>
      <c r="HB106" s="978">
        <f t="shared" ref="HB106:HB116" si="669">HA105</f>
        <v>1</v>
      </c>
      <c r="HC106" s="978">
        <f t="shared" ref="HC106:HC116" si="670">HB105</f>
        <v>1</v>
      </c>
      <c r="HD106" s="979">
        <f t="shared" ref="HD106:HD116" si="671">HC105</f>
        <v>1</v>
      </c>
    </row>
    <row r="107" spans="2:212" ht="14.25">
      <c r="B107" s="980" t="s">
        <v>166</v>
      </c>
      <c r="C107" s="1064">
        <v>170</v>
      </c>
      <c r="D107" s="1092">
        <v>20</v>
      </c>
      <c r="E107" s="981">
        <v>12</v>
      </c>
      <c r="F107" s="1093" t="s">
        <v>165</v>
      </c>
      <c r="G107" s="1065"/>
      <c r="H107" s="1019">
        <v>17</v>
      </c>
      <c r="I107" s="1061">
        <f t="shared" si="522"/>
        <v>0.1</v>
      </c>
      <c r="N107" s="1899"/>
      <c r="O107" s="940" t="s">
        <v>121</v>
      </c>
      <c r="P107" s="595">
        <v>2</v>
      </c>
      <c r="Q107" s="595">
        <v>2</v>
      </c>
      <c r="R107" s="595">
        <v>1</v>
      </c>
      <c r="S107" s="595">
        <v>0</v>
      </c>
      <c r="T107" s="595">
        <v>2</v>
      </c>
      <c r="U107" s="595">
        <v>2</v>
      </c>
      <c r="V107" s="595">
        <v>3</v>
      </c>
      <c r="X107" s="1063"/>
      <c r="AA107" s="1899"/>
      <c r="AB107" s="940" t="s">
        <v>121</v>
      </c>
      <c r="DK107" s="1899"/>
      <c r="DL107" s="940" t="s">
        <v>121</v>
      </c>
      <c r="DN107" s="977">
        <v>1</v>
      </c>
      <c r="DO107" s="978">
        <v>5</v>
      </c>
      <c r="DP107" s="978">
        <f>DO106</f>
        <v>3</v>
      </c>
      <c r="DQ107" s="978">
        <f>DP106</f>
        <v>9.25</v>
      </c>
      <c r="DR107" s="979">
        <f>DQ106</f>
        <v>12.600000000000001</v>
      </c>
      <c r="DS107" s="961"/>
      <c r="DT107" s="977">
        <v>1</v>
      </c>
      <c r="DU107" s="978">
        <v>5</v>
      </c>
      <c r="DV107" s="978">
        <f>DU106</f>
        <v>3</v>
      </c>
      <c r="DW107" s="978">
        <f>DV106</f>
        <v>9.25</v>
      </c>
      <c r="DX107" s="979">
        <f>DW106</f>
        <v>12.600000000000001</v>
      </c>
      <c r="DY107" s="961"/>
      <c r="DZ107" s="977">
        <v>1</v>
      </c>
      <c r="EA107" s="978">
        <f t="shared" ref="EA107:ED116" si="672">DZ106</f>
        <v>6</v>
      </c>
      <c r="EB107" s="978">
        <f>EA106</f>
        <v>3</v>
      </c>
      <c r="EC107" s="978">
        <f>EB106</f>
        <v>6.5</v>
      </c>
      <c r="ED107" s="979">
        <f>EC106</f>
        <v>11.5</v>
      </c>
      <c r="EF107" s="977">
        <f t="shared" ref="EF107:EF116" si="673">ED106</f>
        <v>8</v>
      </c>
      <c r="EG107" s="978">
        <f t="shared" si="616"/>
        <v>3</v>
      </c>
      <c r="EH107" s="978">
        <f t="shared" si="616"/>
        <v>3</v>
      </c>
      <c r="EI107" s="978">
        <f t="shared" si="616"/>
        <v>5.5</v>
      </c>
      <c r="EJ107" s="978">
        <f t="shared" si="616"/>
        <v>4.5</v>
      </c>
      <c r="EK107" s="978">
        <f t="shared" si="616"/>
        <v>2.5</v>
      </c>
      <c r="EL107" s="978">
        <f t="shared" si="616"/>
        <v>4.5</v>
      </c>
      <c r="EM107" s="978">
        <f t="shared" si="616"/>
        <v>4</v>
      </c>
      <c r="EN107" s="978">
        <f t="shared" si="616"/>
        <v>2.5</v>
      </c>
      <c r="EO107" s="978">
        <f t="shared" si="616"/>
        <v>2</v>
      </c>
      <c r="EP107" s="978">
        <f t="shared" si="616"/>
        <v>2</v>
      </c>
      <c r="EQ107" s="979">
        <f t="shared" si="616"/>
        <v>2</v>
      </c>
      <c r="ES107" s="977">
        <f t="shared" ref="ES107:ES116" si="674">EQ106</f>
        <v>2</v>
      </c>
      <c r="ET107" s="978">
        <f t="shared" si="617"/>
        <v>2</v>
      </c>
      <c r="EU107" s="978">
        <f t="shared" si="618"/>
        <v>1.5</v>
      </c>
      <c r="EV107" s="978">
        <f t="shared" si="619"/>
        <v>1</v>
      </c>
      <c r="EW107" s="978">
        <f t="shared" si="620"/>
        <v>1.5</v>
      </c>
      <c r="EX107" s="978">
        <f t="shared" si="621"/>
        <v>2</v>
      </c>
      <c r="EY107" s="978">
        <f t="shared" si="622"/>
        <v>2</v>
      </c>
      <c r="EZ107" s="978">
        <f t="shared" si="623"/>
        <v>2</v>
      </c>
      <c r="FA107" s="978">
        <f t="shared" si="624"/>
        <v>2</v>
      </c>
      <c r="FB107" s="978">
        <f t="shared" si="625"/>
        <v>2</v>
      </c>
      <c r="FC107" s="978">
        <f t="shared" si="626"/>
        <v>2</v>
      </c>
      <c r="FD107" s="979">
        <f t="shared" si="627"/>
        <v>2</v>
      </c>
      <c r="FF107" s="977">
        <f t="shared" ref="FF107:FF116" si="675">FD106</f>
        <v>2</v>
      </c>
      <c r="FG107" s="978">
        <f t="shared" si="628"/>
        <v>2</v>
      </c>
      <c r="FH107" s="978">
        <f t="shared" si="629"/>
        <v>1.5</v>
      </c>
      <c r="FI107" s="978">
        <f t="shared" si="630"/>
        <v>1</v>
      </c>
      <c r="FJ107" s="978">
        <f t="shared" si="631"/>
        <v>1.5</v>
      </c>
      <c r="FK107" s="978">
        <f t="shared" si="632"/>
        <v>2</v>
      </c>
      <c r="FL107" s="978">
        <f t="shared" si="633"/>
        <v>2</v>
      </c>
      <c r="FM107" s="978">
        <f t="shared" si="634"/>
        <v>2</v>
      </c>
      <c r="FN107" s="978">
        <f t="shared" si="635"/>
        <v>2</v>
      </c>
      <c r="FO107" s="978">
        <f t="shared" si="636"/>
        <v>2</v>
      </c>
      <c r="FP107" s="978">
        <f t="shared" si="637"/>
        <v>2</v>
      </c>
      <c r="FQ107" s="979">
        <f t="shared" si="638"/>
        <v>2</v>
      </c>
      <c r="FS107" s="977">
        <f t="shared" ref="FS107:FS116" si="676">FQ106</f>
        <v>2</v>
      </c>
      <c r="FT107" s="978">
        <f t="shared" si="639"/>
        <v>2</v>
      </c>
      <c r="FU107" s="978">
        <f t="shared" si="640"/>
        <v>1.5</v>
      </c>
      <c r="FV107" s="978">
        <f t="shared" si="641"/>
        <v>1</v>
      </c>
      <c r="FW107" s="978">
        <f t="shared" si="642"/>
        <v>1</v>
      </c>
      <c r="FX107" s="978">
        <f t="shared" si="643"/>
        <v>1</v>
      </c>
      <c r="FY107" s="978">
        <f t="shared" si="644"/>
        <v>1</v>
      </c>
      <c r="FZ107" s="978">
        <f t="shared" si="645"/>
        <v>1</v>
      </c>
      <c r="GA107" s="978">
        <f t="shared" si="646"/>
        <v>1</v>
      </c>
      <c r="GB107" s="978">
        <f t="shared" si="647"/>
        <v>1</v>
      </c>
      <c r="GC107" s="978">
        <f t="shared" si="648"/>
        <v>1</v>
      </c>
      <c r="GD107" s="979">
        <f t="shared" si="649"/>
        <v>1</v>
      </c>
      <c r="GF107" s="977">
        <f t="shared" ref="GF107:GF116" si="677">GD106</f>
        <v>1</v>
      </c>
      <c r="GG107" s="978">
        <f t="shared" si="650"/>
        <v>1</v>
      </c>
      <c r="GH107" s="978">
        <f t="shared" si="651"/>
        <v>1</v>
      </c>
      <c r="GI107" s="978">
        <f t="shared" si="652"/>
        <v>1</v>
      </c>
      <c r="GJ107" s="978">
        <f t="shared" si="653"/>
        <v>1</v>
      </c>
      <c r="GK107" s="978">
        <f t="shared" si="654"/>
        <v>1</v>
      </c>
      <c r="GL107" s="978">
        <f t="shared" si="655"/>
        <v>1</v>
      </c>
      <c r="GM107" s="978">
        <f t="shared" si="656"/>
        <v>1</v>
      </c>
      <c r="GN107" s="978">
        <f t="shared" si="657"/>
        <v>1</v>
      </c>
      <c r="GO107" s="978">
        <f t="shared" si="658"/>
        <v>1</v>
      </c>
      <c r="GP107" s="978">
        <f t="shared" si="659"/>
        <v>1</v>
      </c>
      <c r="GQ107" s="979">
        <f t="shared" si="660"/>
        <v>1</v>
      </c>
      <c r="GS107" s="977">
        <f t="shared" ref="GS107:GS116" si="678">GQ106</f>
        <v>1</v>
      </c>
      <c r="GT107" s="978">
        <f t="shared" si="661"/>
        <v>1</v>
      </c>
      <c r="GU107" s="978">
        <f t="shared" si="662"/>
        <v>1</v>
      </c>
      <c r="GV107" s="978">
        <f t="shared" si="663"/>
        <v>1</v>
      </c>
      <c r="GW107" s="978">
        <f t="shared" si="664"/>
        <v>1</v>
      </c>
      <c r="GX107" s="978">
        <f t="shared" si="665"/>
        <v>1</v>
      </c>
      <c r="GY107" s="978">
        <f t="shared" si="666"/>
        <v>1</v>
      </c>
      <c r="GZ107" s="978">
        <f t="shared" si="667"/>
        <v>1</v>
      </c>
      <c r="HA107" s="978">
        <f t="shared" si="668"/>
        <v>1</v>
      </c>
      <c r="HB107" s="978">
        <f t="shared" si="669"/>
        <v>1</v>
      </c>
      <c r="HC107" s="978">
        <f t="shared" si="670"/>
        <v>1</v>
      </c>
      <c r="HD107" s="979">
        <f t="shared" si="671"/>
        <v>1</v>
      </c>
    </row>
    <row r="108" spans="2:212">
      <c r="B108" s="596" t="s">
        <v>167</v>
      </c>
      <c r="C108" s="1066">
        <v>1300</v>
      </c>
      <c r="D108" s="1094">
        <v>210</v>
      </c>
      <c r="E108" s="1021">
        <v>99</v>
      </c>
      <c r="F108" s="1095" t="s">
        <v>165</v>
      </c>
      <c r="G108" s="1096"/>
      <c r="H108" s="1022">
        <f>SUM(H96:H107)</f>
        <v>171</v>
      </c>
      <c r="I108" s="1061">
        <f>H108/C108</f>
        <v>0.13153846153846155</v>
      </c>
      <c r="N108" s="1899"/>
      <c r="O108" s="940" t="s">
        <v>122</v>
      </c>
      <c r="P108" s="595">
        <v>5</v>
      </c>
      <c r="Q108" s="595">
        <v>2</v>
      </c>
      <c r="R108" s="595">
        <v>2</v>
      </c>
      <c r="S108" s="595">
        <v>1</v>
      </c>
      <c r="T108" s="595">
        <v>0</v>
      </c>
      <c r="U108" s="595">
        <v>2</v>
      </c>
      <c r="V108" s="595">
        <v>2</v>
      </c>
      <c r="X108" s="1063"/>
      <c r="AA108" s="1899"/>
      <c r="AB108" s="940" t="s">
        <v>122</v>
      </c>
      <c r="DK108" s="1899"/>
      <c r="DL108" s="940" t="s">
        <v>122</v>
      </c>
      <c r="DN108" s="977">
        <v>1</v>
      </c>
      <c r="DO108" s="978">
        <v>6</v>
      </c>
      <c r="DP108" s="978">
        <v>5</v>
      </c>
      <c r="DQ108" s="978">
        <f>DP107</f>
        <v>3</v>
      </c>
      <c r="DR108" s="979">
        <f>DQ107</f>
        <v>9.25</v>
      </c>
      <c r="DS108" s="961"/>
      <c r="DT108" s="977">
        <v>1</v>
      </c>
      <c r="DU108" s="978">
        <v>6</v>
      </c>
      <c r="DV108" s="978">
        <v>5</v>
      </c>
      <c r="DW108" s="978">
        <f>DV107</f>
        <v>3</v>
      </c>
      <c r="DX108" s="979">
        <f>DW107</f>
        <v>9.25</v>
      </c>
      <c r="DY108" s="961"/>
      <c r="DZ108" s="977">
        <v>1</v>
      </c>
      <c r="EA108" s="978">
        <f t="shared" si="672"/>
        <v>1</v>
      </c>
      <c r="EB108" s="978">
        <f t="shared" si="672"/>
        <v>6</v>
      </c>
      <c r="EC108" s="978">
        <f>EB107</f>
        <v>3</v>
      </c>
      <c r="ED108" s="979">
        <f>EC107</f>
        <v>6.5</v>
      </c>
      <c r="EF108" s="977">
        <f t="shared" si="673"/>
        <v>11.5</v>
      </c>
      <c r="EG108" s="978">
        <f t="shared" si="616"/>
        <v>8</v>
      </c>
      <c r="EH108" s="978">
        <f t="shared" si="616"/>
        <v>3</v>
      </c>
      <c r="EI108" s="978">
        <f t="shared" si="616"/>
        <v>3</v>
      </c>
      <c r="EJ108" s="978">
        <f t="shared" si="616"/>
        <v>5.5</v>
      </c>
      <c r="EK108" s="978">
        <f t="shared" si="616"/>
        <v>4.5</v>
      </c>
      <c r="EL108" s="978">
        <f t="shared" si="616"/>
        <v>2.5</v>
      </c>
      <c r="EM108" s="978">
        <f t="shared" si="616"/>
        <v>4.5</v>
      </c>
      <c r="EN108" s="978">
        <f t="shared" si="616"/>
        <v>4</v>
      </c>
      <c r="EO108" s="978">
        <f t="shared" si="616"/>
        <v>2.5</v>
      </c>
      <c r="EP108" s="978">
        <f t="shared" si="616"/>
        <v>2</v>
      </c>
      <c r="EQ108" s="979">
        <f t="shared" si="616"/>
        <v>2</v>
      </c>
      <c r="ES108" s="977">
        <f t="shared" si="674"/>
        <v>2</v>
      </c>
      <c r="ET108" s="978">
        <f t="shared" si="617"/>
        <v>2</v>
      </c>
      <c r="EU108" s="978">
        <f t="shared" si="618"/>
        <v>2</v>
      </c>
      <c r="EV108" s="978">
        <f t="shared" si="619"/>
        <v>1.5</v>
      </c>
      <c r="EW108" s="978">
        <f t="shared" si="620"/>
        <v>1</v>
      </c>
      <c r="EX108" s="978">
        <f t="shared" si="621"/>
        <v>1.5</v>
      </c>
      <c r="EY108" s="978">
        <f t="shared" si="622"/>
        <v>2</v>
      </c>
      <c r="EZ108" s="978">
        <f t="shared" si="623"/>
        <v>2</v>
      </c>
      <c r="FA108" s="978">
        <f t="shared" si="624"/>
        <v>2</v>
      </c>
      <c r="FB108" s="978">
        <f t="shared" si="625"/>
        <v>2</v>
      </c>
      <c r="FC108" s="978">
        <f t="shared" si="626"/>
        <v>2</v>
      </c>
      <c r="FD108" s="979">
        <f t="shared" si="627"/>
        <v>2</v>
      </c>
      <c r="FF108" s="977">
        <f t="shared" si="675"/>
        <v>2</v>
      </c>
      <c r="FG108" s="978">
        <f t="shared" si="628"/>
        <v>2</v>
      </c>
      <c r="FH108" s="978">
        <f t="shared" si="629"/>
        <v>2</v>
      </c>
      <c r="FI108" s="978">
        <f t="shared" si="630"/>
        <v>1.5</v>
      </c>
      <c r="FJ108" s="978">
        <f t="shared" si="631"/>
        <v>1</v>
      </c>
      <c r="FK108" s="978">
        <f t="shared" si="632"/>
        <v>1.5</v>
      </c>
      <c r="FL108" s="978">
        <f t="shared" si="633"/>
        <v>2</v>
      </c>
      <c r="FM108" s="978">
        <f t="shared" si="634"/>
        <v>2</v>
      </c>
      <c r="FN108" s="978">
        <f t="shared" si="635"/>
        <v>2</v>
      </c>
      <c r="FO108" s="978">
        <f t="shared" si="636"/>
        <v>2</v>
      </c>
      <c r="FP108" s="978">
        <f t="shared" si="637"/>
        <v>2</v>
      </c>
      <c r="FQ108" s="979">
        <f t="shared" si="638"/>
        <v>2</v>
      </c>
      <c r="FS108" s="977">
        <f t="shared" si="676"/>
        <v>2</v>
      </c>
      <c r="FT108" s="978">
        <f t="shared" si="639"/>
        <v>2</v>
      </c>
      <c r="FU108" s="978">
        <f t="shared" si="640"/>
        <v>2</v>
      </c>
      <c r="FV108" s="978">
        <f t="shared" si="641"/>
        <v>1.5</v>
      </c>
      <c r="FW108" s="978">
        <f t="shared" si="642"/>
        <v>1</v>
      </c>
      <c r="FX108" s="978">
        <f t="shared" si="643"/>
        <v>1</v>
      </c>
      <c r="FY108" s="978">
        <f t="shared" si="644"/>
        <v>1</v>
      </c>
      <c r="FZ108" s="978">
        <f t="shared" si="645"/>
        <v>1</v>
      </c>
      <c r="GA108" s="978">
        <f t="shared" si="646"/>
        <v>1</v>
      </c>
      <c r="GB108" s="978">
        <f t="shared" si="647"/>
        <v>1</v>
      </c>
      <c r="GC108" s="978">
        <f t="shared" si="648"/>
        <v>1</v>
      </c>
      <c r="GD108" s="979">
        <f t="shared" si="649"/>
        <v>1</v>
      </c>
      <c r="GF108" s="977">
        <f t="shared" si="677"/>
        <v>1</v>
      </c>
      <c r="GG108" s="978">
        <f t="shared" si="650"/>
        <v>1</v>
      </c>
      <c r="GH108" s="978">
        <f t="shared" si="651"/>
        <v>1</v>
      </c>
      <c r="GI108" s="978">
        <f t="shared" si="652"/>
        <v>1</v>
      </c>
      <c r="GJ108" s="978">
        <f t="shared" si="653"/>
        <v>1</v>
      </c>
      <c r="GK108" s="978">
        <f t="shared" si="654"/>
        <v>1</v>
      </c>
      <c r="GL108" s="978">
        <f t="shared" si="655"/>
        <v>1</v>
      </c>
      <c r="GM108" s="978">
        <f t="shared" si="656"/>
        <v>1</v>
      </c>
      <c r="GN108" s="978">
        <f t="shared" si="657"/>
        <v>1</v>
      </c>
      <c r="GO108" s="978">
        <f t="shared" si="658"/>
        <v>1</v>
      </c>
      <c r="GP108" s="978">
        <f t="shared" si="659"/>
        <v>1</v>
      </c>
      <c r="GQ108" s="979">
        <f t="shared" si="660"/>
        <v>1</v>
      </c>
      <c r="GS108" s="977">
        <f t="shared" si="678"/>
        <v>1</v>
      </c>
      <c r="GT108" s="978">
        <f t="shared" si="661"/>
        <v>1</v>
      </c>
      <c r="GU108" s="978">
        <f t="shared" si="662"/>
        <v>1</v>
      </c>
      <c r="GV108" s="978">
        <f t="shared" si="663"/>
        <v>1</v>
      </c>
      <c r="GW108" s="978">
        <f t="shared" si="664"/>
        <v>1</v>
      </c>
      <c r="GX108" s="978">
        <f t="shared" si="665"/>
        <v>1</v>
      </c>
      <c r="GY108" s="978">
        <f t="shared" si="666"/>
        <v>1</v>
      </c>
      <c r="GZ108" s="978">
        <f t="shared" si="667"/>
        <v>1</v>
      </c>
      <c r="HA108" s="978">
        <f t="shared" si="668"/>
        <v>1</v>
      </c>
      <c r="HB108" s="978">
        <f t="shared" si="669"/>
        <v>1</v>
      </c>
      <c r="HC108" s="978">
        <f t="shared" si="670"/>
        <v>1</v>
      </c>
      <c r="HD108" s="979">
        <f t="shared" si="671"/>
        <v>1</v>
      </c>
    </row>
    <row r="109" spans="2:212" ht="14.25">
      <c r="B109" s="31"/>
      <c r="C109" s="1097" t="s">
        <v>168</v>
      </c>
      <c r="D109" s="31"/>
      <c r="E109" s="31"/>
      <c r="F109" s="31"/>
      <c r="G109" s="31"/>
      <c r="H109" s="1098"/>
      <c r="I109" s="31"/>
      <c r="N109" s="1899"/>
      <c r="O109" s="940" t="s">
        <v>123</v>
      </c>
      <c r="P109" s="595">
        <v>2</v>
      </c>
      <c r="Q109" s="595">
        <v>5</v>
      </c>
      <c r="R109" s="595">
        <v>2</v>
      </c>
      <c r="S109" s="595">
        <v>2</v>
      </c>
      <c r="T109" s="595">
        <v>1</v>
      </c>
      <c r="U109" s="595">
        <v>0</v>
      </c>
      <c r="V109" s="595">
        <v>2</v>
      </c>
      <c r="X109" s="1063"/>
      <c r="AA109" s="1899"/>
      <c r="AB109" s="940" t="s">
        <v>123</v>
      </c>
      <c r="DK109" s="1899"/>
      <c r="DL109" s="940" t="s">
        <v>123</v>
      </c>
      <c r="DN109" s="977">
        <v>0</v>
      </c>
      <c r="DO109" s="978">
        <v>3</v>
      </c>
      <c r="DP109" s="978">
        <v>6</v>
      </c>
      <c r="DQ109" s="978">
        <v>5</v>
      </c>
      <c r="DR109" s="979">
        <f>DQ108</f>
        <v>3</v>
      </c>
      <c r="DS109" s="961"/>
      <c r="DT109" s="977">
        <v>0</v>
      </c>
      <c r="DU109" s="978">
        <v>3</v>
      </c>
      <c r="DV109" s="978">
        <v>6</v>
      </c>
      <c r="DW109" s="978">
        <v>5</v>
      </c>
      <c r="DX109" s="979">
        <f>DW108</f>
        <v>3</v>
      </c>
      <c r="DY109" s="961"/>
      <c r="DZ109" s="977">
        <v>0</v>
      </c>
      <c r="EA109" s="978">
        <f t="shared" si="672"/>
        <v>1</v>
      </c>
      <c r="EB109" s="978">
        <f t="shared" si="672"/>
        <v>1</v>
      </c>
      <c r="EC109" s="978">
        <f t="shared" si="672"/>
        <v>6</v>
      </c>
      <c r="ED109" s="979">
        <f>EC108</f>
        <v>3</v>
      </c>
      <c r="EF109" s="977">
        <f t="shared" si="673"/>
        <v>6.5</v>
      </c>
      <c r="EG109" s="978">
        <f t="shared" si="616"/>
        <v>11.5</v>
      </c>
      <c r="EH109" s="978">
        <f t="shared" si="616"/>
        <v>8</v>
      </c>
      <c r="EI109" s="978">
        <f t="shared" si="616"/>
        <v>3</v>
      </c>
      <c r="EJ109" s="978">
        <f t="shared" si="616"/>
        <v>3</v>
      </c>
      <c r="EK109" s="978">
        <f t="shared" si="616"/>
        <v>5.5</v>
      </c>
      <c r="EL109" s="978">
        <f t="shared" si="616"/>
        <v>4.5</v>
      </c>
      <c r="EM109" s="978">
        <f t="shared" si="616"/>
        <v>2.5</v>
      </c>
      <c r="EN109" s="978">
        <f t="shared" si="616"/>
        <v>4.5</v>
      </c>
      <c r="EO109" s="978">
        <f t="shared" si="616"/>
        <v>4</v>
      </c>
      <c r="EP109" s="978">
        <f t="shared" si="616"/>
        <v>2.5</v>
      </c>
      <c r="EQ109" s="979">
        <f t="shared" si="616"/>
        <v>2</v>
      </c>
      <c r="ES109" s="977">
        <f t="shared" si="674"/>
        <v>2</v>
      </c>
      <c r="ET109" s="978">
        <f t="shared" si="617"/>
        <v>2</v>
      </c>
      <c r="EU109" s="978">
        <f t="shared" si="618"/>
        <v>2</v>
      </c>
      <c r="EV109" s="978">
        <f t="shared" si="619"/>
        <v>2</v>
      </c>
      <c r="EW109" s="978">
        <f t="shared" si="620"/>
        <v>1.5</v>
      </c>
      <c r="EX109" s="978">
        <f t="shared" si="621"/>
        <v>1</v>
      </c>
      <c r="EY109" s="978">
        <f t="shared" si="622"/>
        <v>1.5</v>
      </c>
      <c r="EZ109" s="978">
        <f t="shared" si="623"/>
        <v>2</v>
      </c>
      <c r="FA109" s="978">
        <f t="shared" si="624"/>
        <v>2</v>
      </c>
      <c r="FB109" s="978">
        <f t="shared" si="625"/>
        <v>2</v>
      </c>
      <c r="FC109" s="978">
        <f t="shared" si="626"/>
        <v>2</v>
      </c>
      <c r="FD109" s="979">
        <f t="shared" si="627"/>
        <v>2</v>
      </c>
      <c r="FF109" s="977">
        <f t="shared" si="675"/>
        <v>2</v>
      </c>
      <c r="FG109" s="978">
        <f t="shared" si="628"/>
        <v>2</v>
      </c>
      <c r="FH109" s="978">
        <f t="shared" si="629"/>
        <v>2</v>
      </c>
      <c r="FI109" s="978">
        <f t="shared" si="630"/>
        <v>2</v>
      </c>
      <c r="FJ109" s="978">
        <f t="shared" si="631"/>
        <v>1.5</v>
      </c>
      <c r="FK109" s="978">
        <f t="shared" si="632"/>
        <v>1</v>
      </c>
      <c r="FL109" s="978">
        <f t="shared" si="633"/>
        <v>1.5</v>
      </c>
      <c r="FM109" s="978">
        <f t="shared" si="634"/>
        <v>2</v>
      </c>
      <c r="FN109" s="978">
        <f t="shared" si="635"/>
        <v>2</v>
      </c>
      <c r="FO109" s="978">
        <f t="shared" si="636"/>
        <v>2</v>
      </c>
      <c r="FP109" s="978">
        <f t="shared" si="637"/>
        <v>2</v>
      </c>
      <c r="FQ109" s="979">
        <f t="shared" si="638"/>
        <v>2</v>
      </c>
      <c r="FS109" s="977">
        <f t="shared" si="676"/>
        <v>2</v>
      </c>
      <c r="FT109" s="978">
        <f t="shared" si="639"/>
        <v>2</v>
      </c>
      <c r="FU109" s="978">
        <f t="shared" si="640"/>
        <v>2</v>
      </c>
      <c r="FV109" s="978">
        <f t="shared" si="641"/>
        <v>2</v>
      </c>
      <c r="FW109" s="978">
        <f t="shared" si="642"/>
        <v>1.5</v>
      </c>
      <c r="FX109" s="978">
        <f t="shared" si="643"/>
        <v>1</v>
      </c>
      <c r="FY109" s="978">
        <f t="shared" si="644"/>
        <v>1</v>
      </c>
      <c r="FZ109" s="978">
        <f t="shared" si="645"/>
        <v>1</v>
      </c>
      <c r="GA109" s="978">
        <f t="shared" si="646"/>
        <v>1</v>
      </c>
      <c r="GB109" s="978">
        <f t="shared" si="647"/>
        <v>1</v>
      </c>
      <c r="GC109" s="978">
        <f t="shared" si="648"/>
        <v>1</v>
      </c>
      <c r="GD109" s="979">
        <f t="shared" si="649"/>
        <v>1</v>
      </c>
      <c r="GF109" s="977">
        <f t="shared" si="677"/>
        <v>1</v>
      </c>
      <c r="GG109" s="978">
        <f t="shared" si="650"/>
        <v>1</v>
      </c>
      <c r="GH109" s="978">
        <f t="shared" si="651"/>
        <v>1</v>
      </c>
      <c r="GI109" s="978">
        <f t="shared" si="652"/>
        <v>1</v>
      </c>
      <c r="GJ109" s="978">
        <f t="shared" si="653"/>
        <v>1</v>
      </c>
      <c r="GK109" s="978">
        <f t="shared" si="654"/>
        <v>1</v>
      </c>
      <c r="GL109" s="978">
        <f t="shared" si="655"/>
        <v>1</v>
      </c>
      <c r="GM109" s="978">
        <f t="shared" si="656"/>
        <v>1</v>
      </c>
      <c r="GN109" s="978">
        <f t="shared" si="657"/>
        <v>1</v>
      </c>
      <c r="GO109" s="978">
        <f t="shared" si="658"/>
        <v>1</v>
      </c>
      <c r="GP109" s="978">
        <f t="shared" si="659"/>
        <v>1</v>
      </c>
      <c r="GQ109" s="979">
        <f t="shared" si="660"/>
        <v>1</v>
      </c>
      <c r="GS109" s="977">
        <f t="shared" si="678"/>
        <v>1</v>
      </c>
      <c r="GT109" s="978">
        <f t="shared" si="661"/>
        <v>1</v>
      </c>
      <c r="GU109" s="978">
        <f t="shared" si="662"/>
        <v>1</v>
      </c>
      <c r="GV109" s="978">
        <f t="shared" si="663"/>
        <v>1</v>
      </c>
      <c r="GW109" s="978">
        <f t="shared" si="664"/>
        <v>1</v>
      </c>
      <c r="GX109" s="978">
        <f t="shared" si="665"/>
        <v>1</v>
      </c>
      <c r="GY109" s="978">
        <f t="shared" si="666"/>
        <v>1</v>
      </c>
      <c r="GZ109" s="978">
        <f t="shared" si="667"/>
        <v>1</v>
      </c>
      <c r="HA109" s="978">
        <f t="shared" si="668"/>
        <v>1</v>
      </c>
      <c r="HB109" s="978">
        <f t="shared" si="669"/>
        <v>1</v>
      </c>
      <c r="HC109" s="978">
        <f t="shared" si="670"/>
        <v>1</v>
      </c>
      <c r="HD109" s="979">
        <f t="shared" si="671"/>
        <v>1</v>
      </c>
    </row>
    <row r="110" spans="2:212" ht="14.25">
      <c r="B110" s="31"/>
      <c r="C110" s="1097" t="s">
        <v>1094</v>
      </c>
      <c r="D110" s="31"/>
      <c r="E110" s="31"/>
      <c r="F110" s="31"/>
      <c r="G110" s="31"/>
      <c r="H110" s="31"/>
      <c r="I110" s="31"/>
      <c r="N110" s="1899"/>
      <c r="O110" s="940" t="s">
        <v>124</v>
      </c>
      <c r="P110" s="595">
        <v>1</v>
      </c>
      <c r="Q110" s="595">
        <v>2</v>
      </c>
      <c r="R110" s="595">
        <v>5</v>
      </c>
      <c r="S110" s="595">
        <v>2</v>
      </c>
      <c r="T110" s="595">
        <v>2</v>
      </c>
      <c r="U110" s="595">
        <v>1</v>
      </c>
      <c r="V110" s="595">
        <v>0</v>
      </c>
      <c r="X110" s="1063"/>
      <c r="AA110" s="1899"/>
      <c r="AB110" s="940" t="s">
        <v>124</v>
      </c>
      <c r="DK110" s="1899"/>
      <c r="DL110" s="940" t="s">
        <v>124</v>
      </c>
      <c r="DN110" s="977">
        <v>0</v>
      </c>
      <c r="DO110" s="978">
        <v>2</v>
      </c>
      <c r="DP110" s="978">
        <v>3</v>
      </c>
      <c r="DQ110" s="978">
        <v>6</v>
      </c>
      <c r="DR110" s="979">
        <v>5</v>
      </c>
      <c r="DS110" s="961"/>
      <c r="DT110" s="977">
        <v>0</v>
      </c>
      <c r="DU110" s="978">
        <v>2</v>
      </c>
      <c r="DV110" s="978">
        <v>3</v>
      </c>
      <c r="DW110" s="978">
        <v>6</v>
      </c>
      <c r="DX110" s="979">
        <v>5</v>
      </c>
      <c r="DY110" s="961"/>
      <c r="DZ110" s="977">
        <v>0</v>
      </c>
      <c r="EA110" s="978">
        <f t="shared" si="672"/>
        <v>0</v>
      </c>
      <c r="EB110" s="978">
        <f t="shared" si="672"/>
        <v>1</v>
      </c>
      <c r="EC110" s="978">
        <f t="shared" si="672"/>
        <v>1</v>
      </c>
      <c r="ED110" s="979">
        <f t="shared" si="672"/>
        <v>6</v>
      </c>
      <c r="EF110" s="977">
        <f t="shared" si="673"/>
        <v>3</v>
      </c>
      <c r="EG110" s="978">
        <f t="shared" si="616"/>
        <v>6.5</v>
      </c>
      <c r="EH110" s="978">
        <f t="shared" si="616"/>
        <v>11.5</v>
      </c>
      <c r="EI110" s="978">
        <f t="shared" si="616"/>
        <v>8</v>
      </c>
      <c r="EJ110" s="978">
        <f t="shared" si="616"/>
        <v>3</v>
      </c>
      <c r="EK110" s="978">
        <f t="shared" si="616"/>
        <v>3</v>
      </c>
      <c r="EL110" s="978">
        <f t="shared" si="616"/>
        <v>5.5</v>
      </c>
      <c r="EM110" s="978">
        <f t="shared" si="616"/>
        <v>4.5</v>
      </c>
      <c r="EN110" s="978">
        <f t="shared" si="616"/>
        <v>2.5</v>
      </c>
      <c r="EO110" s="978">
        <f t="shared" si="616"/>
        <v>4.5</v>
      </c>
      <c r="EP110" s="978">
        <f t="shared" si="616"/>
        <v>4</v>
      </c>
      <c r="EQ110" s="979">
        <f t="shared" si="616"/>
        <v>2.5</v>
      </c>
      <c r="ES110" s="977">
        <f t="shared" si="674"/>
        <v>2</v>
      </c>
      <c r="ET110" s="978">
        <f t="shared" si="617"/>
        <v>2</v>
      </c>
      <c r="EU110" s="978">
        <f t="shared" si="618"/>
        <v>2</v>
      </c>
      <c r="EV110" s="978">
        <f t="shared" si="619"/>
        <v>2</v>
      </c>
      <c r="EW110" s="978">
        <f t="shared" si="620"/>
        <v>2</v>
      </c>
      <c r="EX110" s="978">
        <f t="shared" si="621"/>
        <v>1.5</v>
      </c>
      <c r="EY110" s="978">
        <f t="shared" si="622"/>
        <v>1</v>
      </c>
      <c r="EZ110" s="978">
        <f t="shared" si="623"/>
        <v>1.5</v>
      </c>
      <c r="FA110" s="978">
        <f t="shared" si="624"/>
        <v>2</v>
      </c>
      <c r="FB110" s="978">
        <f t="shared" si="625"/>
        <v>2</v>
      </c>
      <c r="FC110" s="978">
        <f t="shared" si="626"/>
        <v>2</v>
      </c>
      <c r="FD110" s="979">
        <f t="shared" si="627"/>
        <v>2</v>
      </c>
      <c r="FF110" s="977">
        <f t="shared" si="675"/>
        <v>2</v>
      </c>
      <c r="FG110" s="978">
        <f t="shared" si="628"/>
        <v>2</v>
      </c>
      <c r="FH110" s="978">
        <f t="shared" si="629"/>
        <v>2</v>
      </c>
      <c r="FI110" s="978">
        <f t="shared" si="630"/>
        <v>2</v>
      </c>
      <c r="FJ110" s="978">
        <f t="shared" si="631"/>
        <v>2</v>
      </c>
      <c r="FK110" s="978">
        <f t="shared" si="632"/>
        <v>1.5</v>
      </c>
      <c r="FL110" s="978">
        <f t="shared" si="633"/>
        <v>1</v>
      </c>
      <c r="FM110" s="978">
        <f t="shared" si="634"/>
        <v>1.5</v>
      </c>
      <c r="FN110" s="978">
        <f t="shared" si="635"/>
        <v>2</v>
      </c>
      <c r="FO110" s="978">
        <f t="shared" si="636"/>
        <v>2</v>
      </c>
      <c r="FP110" s="978">
        <f t="shared" si="637"/>
        <v>2</v>
      </c>
      <c r="FQ110" s="979">
        <f t="shared" si="638"/>
        <v>2</v>
      </c>
      <c r="FS110" s="977">
        <f t="shared" si="676"/>
        <v>2</v>
      </c>
      <c r="FT110" s="978">
        <f t="shared" si="639"/>
        <v>2</v>
      </c>
      <c r="FU110" s="978">
        <f t="shared" si="640"/>
        <v>2</v>
      </c>
      <c r="FV110" s="978">
        <f t="shared" si="641"/>
        <v>2</v>
      </c>
      <c r="FW110" s="978">
        <f t="shared" si="642"/>
        <v>2</v>
      </c>
      <c r="FX110" s="978">
        <f t="shared" si="643"/>
        <v>1.5</v>
      </c>
      <c r="FY110" s="978">
        <f t="shared" si="644"/>
        <v>1</v>
      </c>
      <c r="FZ110" s="978">
        <f t="shared" si="645"/>
        <v>1</v>
      </c>
      <c r="GA110" s="978">
        <f t="shared" si="646"/>
        <v>1</v>
      </c>
      <c r="GB110" s="978">
        <f t="shared" si="647"/>
        <v>1</v>
      </c>
      <c r="GC110" s="978">
        <f t="shared" si="648"/>
        <v>1</v>
      </c>
      <c r="GD110" s="979">
        <f t="shared" si="649"/>
        <v>1</v>
      </c>
      <c r="GF110" s="977">
        <f t="shared" si="677"/>
        <v>1</v>
      </c>
      <c r="GG110" s="978">
        <f t="shared" si="650"/>
        <v>1</v>
      </c>
      <c r="GH110" s="978">
        <f t="shared" si="651"/>
        <v>1</v>
      </c>
      <c r="GI110" s="978">
        <f t="shared" si="652"/>
        <v>1</v>
      </c>
      <c r="GJ110" s="978">
        <f t="shared" si="653"/>
        <v>1</v>
      </c>
      <c r="GK110" s="978">
        <f t="shared" si="654"/>
        <v>1</v>
      </c>
      <c r="GL110" s="978">
        <f t="shared" si="655"/>
        <v>1</v>
      </c>
      <c r="GM110" s="978">
        <f t="shared" si="656"/>
        <v>1</v>
      </c>
      <c r="GN110" s="978">
        <f t="shared" si="657"/>
        <v>1</v>
      </c>
      <c r="GO110" s="978">
        <f t="shared" si="658"/>
        <v>1</v>
      </c>
      <c r="GP110" s="978">
        <f t="shared" si="659"/>
        <v>1</v>
      </c>
      <c r="GQ110" s="979">
        <f t="shared" si="660"/>
        <v>1</v>
      </c>
      <c r="GS110" s="977">
        <f t="shared" si="678"/>
        <v>1</v>
      </c>
      <c r="GT110" s="978">
        <f t="shared" si="661"/>
        <v>1</v>
      </c>
      <c r="GU110" s="978">
        <f t="shared" si="662"/>
        <v>1</v>
      </c>
      <c r="GV110" s="978">
        <f t="shared" si="663"/>
        <v>1</v>
      </c>
      <c r="GW110" s="978">
        <f t="shared" si="664"/>
        <v>1</v>
      </c>
      <c r="GX110" s="978">
        <f t="shared" si="665"/>
        <v>1</v>
      </c>
      <c r="GY110" s="978">
        <f t="shared" si="666"/>
        <v>1</v>
      </c>
      <c r="GZ110" s="978">
        <f t="shared" si="667"/>
        <v>1</v>
      </c>
      <c r="HA110" s="978">
        <f t="shared" si="668"/>
        <v>1</v>
      </c>
      <c r="HB110" s="978">
        <f t="shared" si="669"/>
        <v>1</v>
      </c>
      <c r="HC110" s="978">
        <f t="shared" si="670"/>
        <v>1</v>
      </c>
      <c r="HD110" s="979">
        <f t="shared" si="671"/>
        <v>1</v>
      </c>
    </row>
    <row r="111" spans="2:212" ht="14.25">
      <c r="B111" s="31"/>
      <c r="C111" s="1099"/>
      <c r="D111" s="31"/>
      <c r="E111" s="31"/>
      <c r="F111" s="31"/>
      <c r="G111" s="31"/>
      <c r="H111" s="31"/>
      <c r="I111" s="31"/>
      <c r="N111" s="1899"/>
      <c r="O111" s="940" t="s">
        <v>125</v>
      </c>
      <c r="P111" s="595">
        <v>2</v>
      </c>
      <c r="Q111" s="595">
        <v>0</v>
      </c>
      <c r="R111" s="595">
        <v>2</v>
      </c>
      <c r="S111" s="595">
        <v>4</v>
      </c>
      <c r="T111" s="595">
        <v>2</v>
      </c>
      <c r="U111" s="595">
        <v>2</v>
      </c>
      <c r="V111" s="595">
        <v>1</v>
      </c>
      <c r="X111" s="1063"/>
      <c r="AA111" s="1899"/>
      <c r="AB111" s="940" t="s">
        <v>125</v>
      </c>
      <c r="DK111" s="1899"/>
      <c r="DL111" s="940" t="s">
        <v>125</v>
      </c>
      <c r="DN111" s="977">
        <v>0</v>
      </c>
      <c r="DO111" s="978">
        <v>2</v>
      </c>
      <c r="DP111" s="978">
        <v>2</v>
      </c>
      <c r="DQ111" s="978">
        <v>3</v>
      </c>
      <c r="DR111" s="979">
        <v>6</v>
      </c>
      <c r="DS111" s="961"/>
      <c r="DT111" s="977">
        <v>0</v>
      </c>
      <c r="DU111" s="978">
        <v>2</v>
      </c>
      <c r="DV111" s="978">
        <v>2</v>
      </c>
      <c r="DW111" s="978">
        <v>3</v>
      </c>
      <c r="DX111" s="979">
        <v>6</v>
      </c>
      <c r="DY111" s="961"/>
      <c r="DZ111" s="977">
        <v>0</v>
      </c>
      <c r="EA111" s="978">
        <f t="shared" si="672"/>
        <v>0</v>
      </c>
      <c r="EB111" s="978">
        <f t="shared" si="672"/>
        <v>0</v>
      </c>
      <c r="EC111" s="978">
        <f t="shared" si="672"/>
        <v>1</v>
      </c>
      <c r="ED111" s="979">
        <f t="shared" si="672"/>
        <v>1</v>
      </c>
      <c r="EF111" s="977">
        <f t="shared" si="673"/>
        <v>6</v>
      </c>
      <c r="EG111" s="978">
        <f t="shared" si="616"/>
        <v>3</v>
      </c>
      <c r="EH111" s="978">
        <f t="shared" si="616"/>
        <v>6.5</v>
      </c>
      <c r="EI111" s="978">
        <f t="shared" si="616"/>
        <v>11.5</v>
      </c>
      <c r="EJ111" s="978">
        <f t="shared" si="616"/>
        <v>8</v>
      </c>
      <c r="EK111" s="978">
        <f t="shared" si="616"/>
        <v>3</v>
      </c>
      <c r="EL111" s="978">
        <f t="shared" si="616"/>
        <v>3</v>
      </c>
      <c r="EM111" s="978">
        <f t="shared" si="616"/>
        <v>5.5</v>
      </c>
      <c r="EN111" s="978">
        <f t="shared" si="616"/>
        <v>4.5</v>
      </c>
      <c r="EO111" s="978">
        <f t="shared" si="616"/>
        <v>2.5</v>
      </c>
      <c r="EP111" s="978">
        <f t="shared" si="616"/>
        <v>4.5</v>
      </c>
      <c r="EQ111" s="979">
        <f t="shared" si="616"/>
        <v>4</v>
      </c>
      <c r="ES111" s="977">
        <f t="shared" si="674"/>
        <v>2.5</v>
      </c>
      <c r="ET111" s="978">
        <f t="shared" si="617"/>
        <v>2</v>
      </c>
      <c r="EU111" s="978">
        <f t="shared" si="618"/>
        <v>2</v>
      </c>
      <c r="EV111" s="978">
        <f t="shared" si="619"/>
        <v>2</v>
      </c>
      <c r="EW111" s="978">
        <f t="shared" si="620"/>
        <v>2</v>
      </c>
      <c r="EX111" s="978">
        <f t="shared" si="621"/>
        <v>2</v>
      </c>
      <c r="EY111" s="978">
        <f t="shared" si="622"/>
        <v>1.5</v>
      </c>
      <c r="EZ111" s="978">
        <f t="shared" si="623"/>
        <v>1</v>
      </c>
      <c r="FA111" s="978">
        <f t="shared" si="624"/>
        <v>1.5</v>
      </c>
      <c r="FB111" s="978">
        <f t="shared" si="625"/>
        <v>2</v>
      </c>
      <c r="FC111" s="978">
        <f t="shared" si="626"/>
        <v>2</v>
      </c>
      <c r="FD111" s="979">
        <f t="shared" si="627"/>
        <v>2</v>
      </c>
      <c r="FF111" s="977">
        <f t="shared" si="675"/>
        <v>2</v>
      </c>
      <c r="FG111" s="978">
        <f t="shared" si="628"/>
        <v>2</v>
      </c>
      <c r="FH111" s="978">
        <f t="shared" si="629"/>
        <v>2</v>
      </c>
      <c r="FI111" s="978">
        <f t="shared" si="630"/>
        <v>2</v>
      </c>
      <c r="FJ111" s="978">
        <f t="shared" si="631"/>
        <v>2</v>
      </c>
      <c r="FK111" s="978">
        <f t="shared" si="632"/>
        <v>2</v>
      </c>
      <c r="FL111" s="978">
        <f t="shared" si="633"/>
        <v>1.5</v>
      </c>
      <c r="FM111" s="978">
        <f t="shared" si="634"/>
        <v>1</v>
      </c>
      <c r="FN111" s="978">
        <f t="shared" si="635"/>
        <v>1.5</v>
      </c>
      <c r="FO111" s="978">
        <f t="shared" si="636"/>
        <v>2</v>
      </c>
      <c r="FP111" s="978">
        <f t="shared" si="637"/>
        <v>2</v>
      </c>
      <c r="FQ111" s="979">
        <f t="shared" si="638"/>
        <v>2</v>
      </c>
      <c r="FS111" s="977">
        <f t="shared" si="676"/>
        <v>2</v>
      </c>
      <c r="FT111" s="978">
        <f t="shared" si="639"/>
        <v>2</v>
      </c>
      <c r="FU111" s="978">
        <f t="shared" si="640"/>
        <v>2</v>
      </c>
      <c r="FV111" s="978">
        <f t="shared" si="641"/>
        <v>2</v>
      </c>
      <c r="FW111" s="978">
        <f t="shared" si="642"/>
        <v>2</v>
      </c>
      <c r="FX111" s="978">
        <f t="shared" si="643"/>
        <v>2</v>
      </c>
      <c r="FY111" s="978">
        <f t="shared" si="644"/>
        <v>1.5</v>
      </c>
      <c r="FZ111" s="978">
        <f t="shared" si="645"/>
        <v>1</v>
      </c>
      <c r="GA111" s="978">
        <f t="shared" si="646"/>
        <v>1</v>
      </c>
      <c r="GB111" s="978">
        <f t="shared" si="647"/>
        <v>1</v>
      </c>
      <c r="GC111" s="978">
        <f t="shared" si="648"/>
        <v>1</v>
      </c>
      <c r="GD111" s="979">
        <f t="shared" si="649"/>
        <v>1</v>
      </c>
      <c r="GF111" s="977">
        <f t="shared" si="677"/>
        <v>1</v>
      </c>
      <c r="GG111" s="978">
        <f t="shared" si="650"/>
        <v>1</v>
      </c>
      <c r="GH111" s="978">
        <f t="shared" si="651"/>
        <v>1</v>
      </c>
      <c r="GI111" s="978">
        <f t="shared" si="652"/>
        <v>1</v>
      </c>
      <c r="GJ111" s="978">
        <f t="shared" si="653"/>
        <v>1</v>
      </c>
      <c r="GK111" s="978">
        <f t="shared" si="654"/>
        <v>1</v>
      </c>
      <c r="GL111" s="978">
        <f t="shared" si="655"/>
        <v>1</v>
      </c>
      <c r="GM111" s="978">
        <f t="shared" si="656"/>
        <v>1</v>
      </c>
      <c r="GN111" s="978">
        <f t="shared" si="657"/>
        <v>1</v>
      </c>
      <c r="GO111" s="978">
        <f t="shared" si="658"/>
        <v>1</v>
      </c>
      <c r="GP111" s="978">
        <f t="shared" si="659"/>
        <v>1</v>
      </c>
      <c r="GQ111" s="979">
        <f t="shared" si="660"/>
        <v>1</v>
      </c>
      <c r="GS111" s="977">
        <f t="shared" si="678"/>
        <v>1</v>
      </c>
      <c r="GT111" s="978">
        <f t="shared" si="661"/>
        <v>1</v>
      </c>
      <c r="GU111" s="978">
        <f t="shared" si="662"/>
        <v>1</v>
      </c>
      <c r="GV111" s="978">
        <f t="shared" si="663"/>
        <v>1</v>
      </c>
      <c r="GW111" s="978">
        <f t="shared" si="664"/>
        <v>1</v>
      </c>
      <c r="GX111" s="978">
        <f t="shared" si="665"/>
        <v>1</v>
      </c>
      <c r="GY111" s="978">
        <f t="shared" si="666"/>
        <v>1</v>
      </c>
      <c r="GZ111" s="978">
        <f t="shared" si="667"/>
        <v>1</v>
      </c>
      <c r="HA111" s="978">
        <f t="shared" si="668"/>
        <v>1</v>
      </c>
      <c r="HB111" s="978">
        <f t="shared" si="669"/>
        <v>1</v>
      </c>
      <c r="HC111" s="978">
        <f t="shared" si="670"/>
        <v>1</v>
      </c>
      <c r="HD111" s="979">
        <f t="shared" si="671"/>
        <v>1</v>
      </c>
    </row>
    <row r="112" spans="2:212" ht="14.25" customHeight="1">
      <c r="B112" s="1100" t="s">
        <v>1095</v>
      </c>
      <c r="C112" s="992"/>
      <c r="D112" s="31"/>
      <c r="E112" s="31"/>
      <c r="F112" s="31"/>
      <c r="G112" s="31"/>
      <c r="H112" s="31"/>
      <c r="I112" s="31"/>
      <c r="N112" s="1899"/>
      <c r="O112" s="940" t="s">
        <v>126</v>
      </c>
      <c r="P112" s="595">
        <v>4</v>
      </c>
      <c r="Q112" s="595">
        <v>1</v>
      </c>
      <c r="R112" s="595">
        <v>0</v>
      </c>
      <c r="S112" s="595">
        <v>2</v>
      </c>
      <c r="T112" s="595">
        <v>3</v>
      </c>
      <c r="U112" s="595">
        <v>1</v>
      </c>
      <c r="V112" s="595">
        <v>2</v>
      </c>
      <c r="X112" s="1063"/>
      <c r="AA112" s="1899"/>
      <c r="AB112" s="940" t="s">
        <v>126</v>
      </c>
      <c r="DK112" s="1899"/>
      <c r="DL112" s="940" t="s">
        <v>126</v>
      </c>
      <c r="DN112" s="977">
        <v>1</v>
      </c>
      <c r="DO112" s="978">
        <v>0</v>
      </c>
      <c r="DP112" s="978">
        <v>2</v>
      </c>
      <c r="DQ112" s="978">
        <v>2</v>
      </c>
      <c r="DR112" s="979">
        <v>3</v>
      </c>
      <c r="DS112" s="961"/>
      <c r="DT112" s="977">
        <v>1</v>
      </c>
      <c r="DU112" s="978">
        <v>0</v>
      </c>
      <c r="DV112" s="978">
        <v>2</v>
      </c>
      <c r="DW112" s="978">
        <v>2</v>
      </c>
      <c r="DX112" s="979">
        <v>3</v>
      </c>
      <c r="DY112" s="961"/>
      <c r="DZ112" s="977">
        <v>1</v>
      </c>
      <c r="EA112" s="978">
        <f t="shared" si="672"/>
        <v>0</v>
      </c>
      <c r="EB112" s="978">
        <f t="shared" si="672"/>
        <v>0</v>
      </c>
      <c r="EC112" s="978">
        <f t="shared" si="672"/>
        <v>0</v>
      </c>
      <c r="ED112" s="979">
        <f t="shared" si="672"/>
        <v>1</v>
      </c>
      <c r="EF112" s="977">
        <f t="shared" si="673"/>
        <v>1</v>
      </c>
      <c r="EG112" s="978">
        <f t="shared" si="616"/>
        <v>6</v>
      </c>
      <c r="EH112" s="978">
        <f t="shared" si="616"/>
        <v>3</v>
      </c>
      <c r="EI112" s="978">
        <f t="shared" si="616"/>
        <v>6.5</v>
      </c>
      <c r="EJ112" s="978">
        <f t="shared" si="616"/>
        <v>11.5</v>
      </c>
      <c r="EK112" s="978">
        <f t="shared" si="616"/>
        <v>8</v>
      </c>
      <c r="EL112" s="978">
        <f t="shared" si="616"/>
        <v>3</v>
      </c>
      <c r="EM112" s="978">
        <f t="shared" si="616"/>
        <v>3</v>
      </c>
      <c r="EN112" s="978">
        <f t="shared" si="616"/>
        <v>5.5</v>
      </c>
      <c r="EO112" s="978">
        <f t="shared" si="616"/>
        <v>4.5</v>
      </c>
      <c r="EP112" s="978">
        <f t="shared" si="616"/>
        <v>2.5</v>
      </c>
      <c r="EQ112" s="979">
        <f t="shared" si="616"/>
        <v>4.5</v>
      </c>
      <c r="ES112" s="977">
        <f t="shared" si="674"/>
        <v>4</v>
      </c>
      <c r="ET112" s="978">
        <f t="shared" si="617"/>
        <v>2.5</v>
      </c>
      <c r="EU112" s="978">
        <f t="shared" si="618"/>
        <v>2</v>
      </c>
      <c r="EV112" s="978">
        <f t="shared" si="619"/>
        <v>2</v>
      </c>
      <c r="EW112" s="978">
        <f t="shared" si="620"/>
        <v>2</v>
      </c>
      <c r="EX112" s="978">
        <f t="shared" si="621"/>
        <v>2</v>
      </c>
      <c r="EY112" s="978">
        <f t="shared" si="622"/>
        <v>2</v>
      </c>
      <c r="EZ112" s="978">
        <f t="shared" si="623"/>
        <v>1.5</v>
      </c>
      <c r="FA112" s="978">
        <f t="shared" si="624"/>
        <v>1</v>
      </c>
      <c r="FB112" s="978">
        <f t="shared" si="625"/>
        <v>1.5</v>
      </c>
      <c r="FC112" s="978">
        <f t="shared" si="626"/>
        <v>2</v>
      </c>
      <c r="FD112" s="979">
        <f t="shared" si="627"/>
        <v>2</v>
      </c>
      <c r="FF112" s="977">
        <f t="shared" si="675"/>
        <v>2</v>
      </c>
      <c r="FG112" s="978">
        <f t="shared" si="628"/>
        <v>2</v>
      </c>
      <c r="FH112" s="978">
        <f t="shared" si="629"/>
        <v>2</v>
      </c>
      <c r="FI112" s="978">
        <f t="shared" si="630"/>
        <v>2</v>
      </c>
      <c r="FJ112" s="978">
        <f t="shared" si="631"/>
        <v>2</v>
      </c>
      <c r="FK112" s="978">
        <f t="shared" si="632"/>
        <v>2</v>
      </c>
      <c r="FL112" s="978">
        <f t="shared" si="633"/>
        <v>2</v>
      </c>
      <c r="FM112" s="978">
        <f t="shared" si="634"/>
        <v>1.5</v>
      </c>
      <c r="FN112" s="978">
        <f t="shared" si="635"/>
        <v>1</v>
      </c>
      <c r="FO112" s="978">
        <f t="shared" si="636"/>
        <v>1.5</v>
      </c>
      <c r="FP112" s="978">
        <f t="shared" si="637"/>
        <v>2</v>
      </c>
      <c r="FQ112" s="979">
        <f t="shared" si="638"/>
        <v>2</v>
      </c>
      <c r="FS112" s="977">
        <f t="shared" si="676"/>
        <v>2</v>
      </c>
      <c r="FT112" s="978">
        <f t="shared" si="639"/>
        <v>2</v>
      </c>
      <c r="FU112" s="978">
        <f t="shared" si="640"/>
        <v>2</v>
      </c>
      <c r="FV112" s="978">
        <f t="shared" si="641"/>
        <v>2</v>
      </c>
      <c r="FW112" s="978">
        <f t="shared" si="642"/>
        <v>2</v>
      </c>
      <c r="FX112" s="978">
        <f t="shared" si="643"/>
        <v>2</v>
      </c>
      <c r="FY112" s="978">
        <f t="shared" si="644"/>
        <v>2</v>
      </c>
      <c r="FZ112" s="978">
        <f t="shared" si="645"/>
        <v>1.5</v>
      </c>
      <c r="GA112" s="978">
        <f t="shared" si="646"/>
        <v>1</v>
      </c>
      <c r="GB112" s="978">
        <f t="shared" si="647"/>
        <v>1</v>
      </c>
      <c r="GC112" s="978">
        <f t="shared" si="648"/>
        <v>1</v>
      </c>
      <c r="GD112" s="979">
        <f t="shared" si="649"/>
        <v>1</v>
      </c>
      <c r="GF112" s="977">
        <f t="shared" si="677"/>
        <v>1</v>
      </c>
      <c r="GG112" s="978">
        <f t="shared" si="650"/>
        <v>1</v>
      </c>
      <c r="GH112" s="978">
        <f t="shared" si="651"/>
        <v>1</v>
      </c>
      <c r="GI112" s="978">
        <f t="shared" si="652"/>
        <v>1</v>
      </c>
      <c r="GJ112" s="978">
        <f t="shared" si="653"/>
        <v>1</v>
      </c>
      <c r="GK112" s="978">
        <f t="shared" si="654"/>
        <v>1</v>
      </c>
      <c r="GL112" s="978">
        <f t="shared" si="655"/>
        <v>1</v>
      </c>
      <c r="GM112" s="978">
        <f t="shared" si="656"/>
        <v>1</v>
      </c>
      <c r="GN112" s="978">
        <f t="shared" si="657"/>
        <v>1</v>
      </c>
      <c r="GO112" s="978">
        <f t="shared" si="658"/>
        <v>1</v>
      </c>
      <c r="GP112" s="978">
        <f t="shared" si="659"/>
        <v>1</v>
      </c>
      <c r="GQ112" s="979">
        <f t="shared" si="660"/>
        <v>1</v>
      </c>
      <c r="GS112" s="977">
        <f t="shared" si="678"/>
        <v>1</v>
      </c>
      <c r="GT112" s="978">
        <f t="shared" si="661"/>
        <v>1</v>
      </c>
      <c r="GU112" s="978">
        <f t="shared" si="662"/>
        <v>1</v>
      </c>
      <c r="GV112" s="978">
        <f t="shared" si="663"/>
        <v>1</v>
      </c>
      <c r="GW112" s="978">
        <f t="shared" si="664"/>
        <v>1</v>
      </c>
      <c r="GX112" s="978">
        <f t="shared" si="665"/>
        <v>1</v>
      </c>
      <c r="GY112" s="978">
        <f t="shared" si="666"/>
        <v>1</v>
      </c>
      <c r="GZ112" s="978">
        <f t="shared" si="667"/>
        <v>1</v>
      </c>
      <c r="HA112" s="978">
        <f t="shared" si="668"/>
        <v>1</v>
      </c>
      <c r="HB112" s="978">
        <f t="shared" si="669"/>
        <v>1</v>
      </c>
      <c r="HC112" s="978">
        <f t="shared" si="670"/>
        <v>1</v>
      </c>
      <c r="HD112" s="979">
        <f t="shared" si="671"/>
        <v>1</v>
      </c>
    </row>
    <row r="113" spans="2:212" ht="14.25">
      <c r="B113" s="971" t="s">
        <v>1096</v>
      </c>
      <c r="C113" s="1101"/>
      <c r="D113" s="1102"/>
      <c r="E113" s="31"/>
      <c r="F113" s="31"/>
      <c r="G113" s="31"/>
      <c r="H113" s="31"/>
      <c r="I113" s="31"/>
      <c r="N113" s="1899"/>
      <c r="O113" s="940" t="s">
        <v>127</v>
      </c>
      <c r="P113" s="595">
        <v>5</v>
      </c>
      <c r="Q113" s="595">
        <v>4</v>
      </c>
      <c r="R113" s="595">
        <v>1</v>
      </c>
      <c r="S113" s="595">
        <v>0</v>
      </c>
      <c r="T113" s="595">
        <v>1</v>
      </c>
      <c r="U113" s="595">
        <v>2</v>
      </c>
      <c r="V113" s="595">
        <v>1</v>
      </c>
      <c r="X113" s="1063"/>
      <c r="AA113" s="1899"/>
      <c r="AB113" s="940" t="s">
        <v>127</v>
      </c>
      <c r="DK113" s="1899"/>
      <c r="DL113" s="940" t="s">
        <v>127</v>
      </c>
      <c r="DN113" s="977">
        <v>0</v>
      </c>
      <c r="DO113" s="978">
        <v>1</v>
      </c>
      <c r="DP113" s="978">
        <v>0</v>
      </c>
      <c r="DQ113" s="978">
        <v>2</v>
      </c>
      <c r="DR113" s="979">
        <v>2</v>
      </c>
      <c r="DS113" s="961"/>
      <c r="DT113" s="977">
        <v>0</v>
      </c>
      <c r="DU113" s="978">
        <v>1</v>
      </c>
      <c r="DV113" s="978">
        <v>0</v>
      </c>
      <c r="DW113" s="978">
        <v>2</v>
      </c>
      <c r="DX113" s="979">
        <v>2</v>
      </c>
      <c r="DY113" s="961"/>
      <c r="DZ113" s="977">
        <v>0</v>
      </c>
      <c r="EA113" s="978">
        <f t="shared" si="672"/>
        <v>1</v>
      </c>
      <c r="EB113" s="978">
        <f t="shared" si="672"/>
        <v>0</v>
      </c>
      <c r="EC113" s="978">
        <f t="shared" si="672"/>
        <v>0</v>
      </c>
      <c r="ED113" s="979">
        <f t="shared" si="672"/>
        <v>0</v>
      </c>
      <c r="EF113" s="977">
        <f t="shared" si="673"/>
        <v>1</v>
      </c>
      <c r="EG113" s="978">
        <f t="shared" si="616"/>
        <v>1</v>
      </c>
      <c r="EH113" s="978">
        <f t="shared" si="616"/>
        <v>6</v>
      </c>
      <c r="EI113" s="978">
        <f t="shared" si="616"/>
        <v>3</v>
      </c>
      <c r="EJ113" s="978">
        <f t="shared" si="616"/>
        <v>6.5</v>
      </c>
      <c r="EK113" s="978">
        <f t="shared" si="616"/>
        <v>11.5</v>
      </c>
      <c r="EL113" s="978">
        <f t="shared" si="616"/>
        <v>8</v>
      </c>
      <c r="EM113" s="978">
        <f t="shared" si="616"/>
        <v>3</v>
      </c>
      <c r="EN113" s="978">
        <f t="shared" si="616"/>
        <v>3</v>
      </c>
      <c r="EO113" s="978">
        <f t="shared" si="616"/>
        <v>5.5</v>
      </c>
      <c r="EP113" s="978">
        <f t="shared" si="616"/>
        <v>4.5</v>
      </c>
      <c r="EQ113" s="979">
        <f t="shared" si="616"/>
        <v>2.5</v>
      </c>
      <c r="ES113" s="977">
        <f t="shared" si="674"/>
        <v>4.5</v>
      </c>
      <c r="ET113" s="978">
        <f t="shared" si="617"/>
        <v>4</v>
      </c>
      <c r="EU113" s="978">
        <f t="shared" si="618"/>
        <v>2.5</v>
      </c>
      <c r="EV113" s="978">
        <f t="shared" si="619"/>
        <v>2</v>
      </c>
      <c r="EW113" s="978">
        <f t="shared" si="620"/>
        <v>2</v>
      </c>
      <c r="EX113" s="978">
        <f t="shared" si="621"/>
        <v>2</v>
      </c>
      <c r="EY113" s="978">
        <f t="shared" si="622"/>
        <v>2</v>
      </c>
      <c r="EZ113" s="978">
        <f t="shared" si="623"/>
        <v>2</v>
      </c>
      <c r="FA113" s="978">
        <f t="shared" si="624"/>
        <v>1.5</v>
      </c>
      <c r="FB113" s="978">
        <f t="shared" si="625"/>
        <v>1</v>
      </c>
      <c r="FC113" s="978">
        <f t="shared" si="626"/>
        <v>1.5</v>
      </c>
      <c r="FD113" s="979">
        <f t="shared" si="627"/>
        <v>2</v>
      </c>
      <c r="FF113" s="977">
        <f t="shared" si="675"/>
        <v>2</v>
      </c>
      <c r="FG113" s="978">
        <f t="shared" si="628"/>
        <v>2</v>
      </c>
      <c r="FH113" s="978">
        <f t="shared" si="629"/>
        <v>2</v>
      </c>
      <c r="FI113" s="978">
        <f t="shared" si="630"/>
        <v>2</v>
      </c>
      <c r="FJ113" s="978">
        <f t="shared" si="631"/>
        <v>2</v>
      </c>
      <c r="FK113" s="978">
        <f t="shared" si="632"/>
        <v>2</v>
      </c>
      <c r="FL113" s="978">
        <f t="shared" si="633"/>
        <v>2</v>
      </c>
      <c r="FM113" s="978">
        <f t="shared" si="634"/>
        <v>2</v>
      </c>
      <c r="FN113" s="978">
        <f t="shared" si="635"/>
        <v>1.5</v>
      </c>
      <c r="FO113" s="978">
        <f t="shared" si="636"/>
        <v>1</v>
      </c>
      <c r="FP113" s="978">
        <f t="shared" si="637"/>
        <v>1.5</v>
      </c>
      <c r="FQ113" s="979">
        <f t="shared" si="638"/>
        <v>2</v>
      </c>
      <c r="FS113" s="977">
        <f t="shared" si="676"/>
        <v>2</v>
      </c>
      <c r="FT113" s="978">
        <f t="shared" si="639"/>
        <v>2</v>
      </c>
      <c r="FU113" s="978">
        <f t="shared" si="640"/>
        <v>2</v>
      </c>
      <c r="FV113" s="978">
        <f t="shared" si="641"/>
        <v>2</v>
      </c>
      <c r="FW113" s="978">
        <f t="shared" si="642"/>
        <v>2</v>
      </c>
      <c r="FX113" s="978">
        <f t="shared" si="643"/>
        <v>2</v>
      </c>
      <c r="FY113" s="978">
        <f t="shared" si="644"/>
        <v>2</v>
      </c>
      <c r="FZ113" s="978">
        <f t="shared" si="645"/>
        <v>2</v>
      </c>
      <c r="GA113" s="978">
        <f t="shared" si="646"/>
        <v>1.5</v>
      </c>
      <c r="GB113" s="978">
        <f t="shared" si="647"/>
        <v>1</v>
      </c>
      <c r="GC113" s="978">
        <f t="shared" si="648"/>
        <v>1</v>
      </c>
      <c r="GD113" s="979">
        <f t="shared" si="649"/>
        <v>1</v>
      </c>
      <c r="GF113" s="977">
        <f t="shared" si="677"/>
        <v>1</v>
      </c>
      <c r="GG113" s="978">
        <f t="shared" si="650"/>
        <v>1</v>
      </c>
      <c r="GH113" s="978">
        <f t="shared" si="651"/>
        <v>1</v>
      </c>
      <c r="GI113" s="978">
        <f t="shared" si="652"/>
        <v>1</v>
      </c>
      <c r="GJ113" s="978">
        <f t="shared" si="653"/>
        <v>1</v>
      </c>
      <c r="GK113" s="978">
        <f t="shared" si="654"/>
        <v>1</v>
      </c>
      <c r="GL113" s="978">
        <f t="shared" si="655"/>
        <v>1</v>
      </c>
      <c r="GM113" s="978">
        <f t="shared" si="656"/>
        <v>1</v>
      </c>
      <c r="GN113" s="978">
        <f t="shared" si="657"/>
        <v>1</v>
      </c>
      <c r="GO113" s="978">
        <f t="shared" si="658"/>
        <v>1</v>
      </c>
      <c r="GP113" s="978">
        <f t="shared" si="659"/>
        <v>1</v>
      </c>
      <c r="GQ113" s="979">
        <f t="shared" si="660"/>
        <v>1</v>
      </c>
      <c r="GS113" s="977">
        <f t="shared" si="678"/>
        <v>1</v>
      </c>
      <c r="GT113" s="978">
        <f t="shared" si="661"/>
        <v>1</v>
      </c>
      <c r="GU113" s="978">
        <f t="shared" si="662"/>
        <v>1</v>
      </c>
      <c r="GV113" s="978">
        <f t="shared" si="663"/>
        <v>1</v>
      </c>
      <c r="GW113" s="978">
        <f t="shared" si="664"/>
        <v>1</v>
      </c>
      <c r="GX113" s="978">
        <f t="shared" si="665"/>
        <v>1</v>
      </c>
      <c r="GY113" s="978">
        <f t="shared" si="666"/>
        <v>1</v>
      </c>
      <c r="GZ113" s="978">
        <f t="shared" si="667"/>
        <v>1</v>
      </c>
      <c r="HA113" s="978">
        <f t="shared" si="668"/>
        <v>1</v>
      </c>
      <c r="HB113" s="978">
        <f t="shared" si="669"/>
        <v>1</v>
      </c>
      <c r="HC113" s="978">
        <f t="shared" si="670"/>
        <v>1</v>
      </c>
      <c r="HD113" s="979">
        <f t="shared" si="671"/>
        <v>1</v>
      </c>
    </row>
    <row r="114" spans="2:212">
      <c r="B114" s="1078" t="s">
        <v>1097</v>
      </c>
      <c r="C114" s="971"/>
      <c r="D114" s="971"/>
      <c r="E114" s="1100"/>
      <c r="F114" s="1100"/>
      <c r="G114" s="1100"/>
      <c r="H114" s="1100"/>
      <c r="I114" s="1100"/>
      <c r="N114" s="1899"/>
      <c r="O114" s="940" t="s">
        <v>163</v>
      </c>
      <c r="P114" s="595">
        <v>6</v>
      </c>
      <c r="Q114" s="595">
        <v>5</v>
      </c>
      <c r="R114" s="595">
        <v>4</v>
      </c>
      <c r="S114" s="595">
        <v>1</v>
      </c>
      <c r="T114" s="595">
        <v>0</v>
      </c>
      <c r="U114" s="595">
        <v>1</v>
      </c>
      <c r="V114" s="595">
        <v>2</v>
      </c>
      <c r="X114" s="1063"/>
      <c r="AA114" s="1899"/>
      <c r="AB114" s="940" t="s">
        <v>163</v>
      </c>
      <c r="DK114" s="1899"/>
      <c r="DL114" s="940" t="s">
        <v>163</v>
      </c>
      <c r="DN114" s="977">
        <v>0</v>
      </c>
      <c r="DO114" s="978">
        <v>2</v>
      </c>
      <c r="DP114" s="978">
        <v>1</v>
      </c>
      <c r="DQ114" s="978">
        <v>0</v>
      </c>
      <c r="DR114" s="979">
        <v>2</v>
      </c>
      <c r="DS114" s="961"/>
      <c r="DT114" s="977">
        <v>0</v>
      </c>
      <c r="DU114" s="978">
        <v>2</v>
      </c>
      <c r="DV114" s="978">
        <v>1</v>
      </c>
      <c r="DW114" s="978">
        <v>0</v>
      </c>
      <c r="DX114" s="979">
        <v>2</v>
      </c>
      <c r="DY114" s="961"/>
      <c r="DZ114" s="977">
        <v>0</v>
      </c>
      <c r="EA114" s="978">
        <f t="shared" si="672"/>
        <v>0</v>
      </c>
      <c r="EB114" s="978">
        <f t="shared" si="672"/>
        <v>1</v>
      </c>
      <c r="EC114" s="978">
        <f t="shared" si="672"/>
        <v>0</v>
      </c>
      <c r="ED114" s="979">
        <f t="shared" si="672"/>
        <v>0</v>
      </c>
      <c r="EF114" s="977">
        <f t="shared" si="673"/>
        <v>0</v>
      </c>
      <c r="EG114" s="978">
        <f t="shared" si="616"/>
        <v>1</v>
      </c>
      <c r="EH114" s="978">
        <f t="shared" si="616"/>
        <v>1</v>
      </c>
      <c r="EI114" s="978">
        <f t="shared" si="616"/>
        <v>6</v>
      </c>
      <c r="EJ114" s="978">
        <f t="shared" si="616"/>
        <v>3</v>
      </c>
      <c r="EK114" s="978">
        <f t="shared" si="616"/>
        <v>6.5</v>
      </c>
      <c r="EL114" s="978">
        <f t="shared" si="616"/>
        <v>11.5</v>
      </c>
      <c r="EM114" s="978">
        <f t="shared" si="616"/>
        <v>8</v>
      </c>
      <c r="EN114" s="978">
        <f t="shared" si="616"/>
        <v>3</v>
      </c>
      <c r="EO114" s="978">
        <f t="shared" si="616"/>
        <v>3</v>
      </c>
      <c r="EP114" s="978">
        <f t="shared" si="616"/>
        <v>5.5</v>
      </c>
      <c r="EQ114" s="979">
        <f t="shared" si="616"/>
        <v>4.5</v>
      </c>
      <c r="ES114" s="977">
        <f t="shared" si="674"/>
        <v>2.5</v>
      </c>
      <c r="ET114" s="978">
        <f t="shared" si="617"/>
        <v>4.5</v>
      </c>
      <c r="EU114" s="978">
        <f t="shared" si="618"/>
        <v>4</v>
      </c>
      <c r="EV114" s="978">
        <f t="shared" si="619"/>
        <v>2.5</v>
      </c>
      <c r="EW114" s="978">
        <f t="shared" si="620"/>
        <v>2</v>
      </c>
      <c r="EX114" s="978">
        <f t="shared" si="621"/>
        <v>2</v>
      </c>
      <c r="EY114" s="978">
        <f t="shared" si="622"/>
        <v>2</v>
      </c>
      <c r="EZ114" s="978">
        <f t="shared" si="623"/>
        <v>2</v>
      </c>
      <c r="FA114" s="978">
        <f t="shared" si="624"/>
        <v>2</v>
      </c>
      <c r="FB114" s="978">
        <f t="shared" si="625"/>
        <v>1.5</v>
      </c>
      <c r="FC114" s="978">
        <f t="shared" si="626"/>
        <v>1</v>
      </c>
      <c r="FD114" s="979">
        <f t="shared" si="627"/>
        <v>1.5</v>
      </c>
      <c r="FF114" s="977">
        <f t="shared" si="675"/>
        <v>2</v>
      </c>
      <c r="FG114" s="978">
        <f t="shared" si="628"/>
        <v>2</v>
      </c>
      <c r="FH114" s="978">
        <f t="shared" si="629"/>
        <v>2</v>
      </c>
      <c r="FI114" s="978">
        <f t="shared" si="630"/>
        <v>2</v>
      </c>
      <c r="FJ114" s="978">
        <f t="shared" si="631"/>
        <v>2</v>
      </c>
      <c r="FK114" s="978">
        <f t="shared" si="632"/>
        <v>2</v>
      </c>
      <c r="FL114" s="978">
        <f t="shared" si="633"/>
        <v>2</v>
      </c>
      <c r="FM114" s="978">
        <f t="shared" si="634"/>
        <v>2</v>
      </c>
      <c r="FN114" s="978">
        <f t="shared" si="635"/>
        <v>2</v>
      </c>
      <c r="FO114" s="978">
        <f t="shared" si="636"/>
        <v>1.5</v>
      </c>
      <c r="FP114" s="978">
        <f t="shared" si="637"/>
        <v>1</v>
      </c>
      <c r="FQ114" s="979">
        <f t="shared" si="638"/>
        <v>1.5</v>
      </c>
      <c r="FS114" s="977">
        <f t="shared" si="676"/>
        <v>2</v>
      </c>
      <c r="FT114" s="978">
        <f t="shared" si="639"/>
        <v>2</v>
      </c>
      <c r="FU114" s="978">
        <f t="shared" si="640"/>
        <v>2</v>
      </c>
      <c r="FV114" s="978">
        <f t="shared" si="641"/>
        <v>2</v>
      </c>
      <c r="FW114" s="978">
        <f t="shared" si="642"/>
        <v>2</v>
      </c>
      <c r="FX114" s="978">
        <f t="shared" si="643"/>
        <v>2</v>
      </c>
      <c r="FY114" s="978">
        <f t="shared" si="644"/>
        <v>2</v>
      </c>
      <c r="FZ114" s="978">
        <f t="shared" si="645"/>
        <v>2</v>
      </c>
      <c r="GA114" s="978">
        <f t="shared" si="646"/>
        <v>2</v>
      </c>
      <c r="GB114" s="978">
        <f t="shared" si="647"/>
        <v>1.5</v>
      </c>
      <c r="GC114" s="978">
        <f t="shared" si="648"/>
        <v>1</v>
      </c>
      <c r="GD114" s="979">
        <f t="shared" si="649"/>
        <v>1</v>
      </c>
      <c r="GF114" s="977">
        <f t="shared" si="677"/>
        <v>1</v>
      </c>
      <c r="GG114" s="978">
        <f t="shared" si="650"/>
        <v>1</v>
      </c>
      <c r="GH114" s="978">
        <f t="shared" si="651"/>
        <v>1</v>
      </c>
      <c r="GI114" s="978">
        <f t="shared" si="652"/>
        <v>1</v>
      </c>
      <c r="GJ114" s="978">
        <f t="shared" si="653"/>
        <v>1</v>
      </c>
      <c r="GK114" s="978">
        <f t="shared" si="654"/>
        <v>1</v>
      </c>
      <c r="GL114" s="978">
        <f t="shared" si="655"/>
        <v>1</v>
      </c>
      <c r="GM114" s="978">
        <f t="shared" si="656"/>
        <v>1</v>
      </c>
      <c r="GN114" s="978">
        <f t="shared" si="657"/>
        <v>1</v>
      </c>
      <c r="GO114" s="978">
        <f t="shared" si="658"/>
        <v>1</v>
      </c>
      <c r="GP114" s="978">
        <f t="shared" si="659"/>
        <v>1</v>
      </c>
      <c r="GQ114" s="979">
        <f t="shared" si="660"/>
        <v>1</v>
      </c>
      <c r="GS114" s="977">
        <f t="shared" si="678"/>
        <v>1</v>
      </c>
      <c r="GT114" s="978">
        <f t="shared" si="661"/>
        <v>1</v>
      </c>
      <c r="GU114" s="978">
        <f t="shared" si="662"/>
        <v>1</v>
      </c>
      <c r="GV114" s="978">
        <f t="shared" si="663"/>
        <v>1</v>
      </c>
      <c r="GW114" s="978">
        <f t="shared" si="664"/>
        <v>1</v>
      </c>
      <c r="GX114" s="978">
        <f t="shared" si="665"/>
        <v>1</v>
      </c>
      <c r="GY114" s="978">
        <f t="shared" si="666"/>
        <v>1</v>
      </c>
      <c r="GZ114" s="978">
        <f t="shared" si="667"/>
        <v>1</v>
      </c>
      <c r="HA114" s="978">
        <f t="shared" si="668"/>
        <v>1</v>
      </c>
      <c r="HB114" s="978">
        <f t="shared" si="669"/>
        <v>1</v>
      </c>
      <c r="HC114" s="978">
        <f t="shared" si="670"/>
        <v>1</v>
      </c>
      <c r="HD114" s="979">
        <f t="shared" si="671"/>
        <v>1</v>
      </c>
    </row>
    <row r="115" spans="2:212">
      <c r="B115" s="963"/>
      <c r="D115" s="931"/>
      <c r="E115" s="931"/>
      <c r="F115" s="931"/>
      <c r="G115" s="989"/>
      <c r="H115" s="931"/>
      <c r="I115" s="596"/>
      <c r="N115" s="1899"/>
      <c r="O115" s="940" t="s">
        <v>164</v>
      </c>
      <c r="P115" s="595">
        <v>1</v>
      </c>
      <c r="Q115" s="595">
        <v>6</v>
      </c>
      <c r="R115" s="595">
        <v>5</v>
      </c>
      <c r="S115" s="595">
        <v>4</v>
      </c>
      <c r="T115" s="595">
        <v>1</v>
      </c>
      <c r="U115" s="595">
        <v>0</v>
      </c>
      <c r="V115" s="595">
        <v>1</v>
      </c>
      <c r="X115" s="1063"/>
      <c r="AA115" s="1899"/>
      <c r="AB115" s="940" t="s">
        <v>164</v>
      </c>
      <c r="DK115" s="1899"/>
      <c r="DL115" s="940" t="s">
        <v>164</v>
      </c>
      <c r="DN115" s="977">
        <v>0</v>
      </c>
      <c r="DO115" s="978">
        <v>1</v>
      </c>
      <c r="DP115" s="978">
        <v>2</v>
      </c>
      <c r="DQ115" s="978">
        <v>1</v>
      </c>
      <c r="DR115" s="979">
        <v>0</v>
      </c>
      <c r="DS115" s="961"/>
      <c r="DT115" s="977">
        <v>0</v>
      </c>
      <c r="DU115" s="978">
        <v>1</v>
      </c>
      <c r="DV115" s="978">
        <v>2</v>
      </c>
      <c r="DW115" s="978">
        <v>1</v>
      </c>
      <c r="DX115" s="979">
        <v>0</v>
      </c>
      <c r="DY115" s="961"/>
      <c r="DZ115" s="977">
        <v>0</v>
      </c>
      <c r="EA115" s="978">
        <f t="shared" si="672"/>
        <v>0</v>
      </c>
      <c r="EB115" s="978">
        <f t="shared" si="672"/>
        <v>0</v>
      </c>
      <c r="EC115" s="978">
        <f t="shared" si="672"/>
        <v>1</v>
      </c>
      <c r="ED115" s="979">
        <f t="shared" si="672"/>
        <v>0</v>
      </c>
      <c r="EF115" s="977">
        <f t="shared" si="673"/>
        <v>0</v>
      </c>
      <c r="EG115" s="978">
        <f t="shared" si="616"/>
        <v>0</v>
      </c>
      <c r="EH115" s="978">
        <f t="shared" si="616"/>
        <v>1</v>
      </c>
      <c r="EI115" s="978">
        <f t="shared" si="616"/>
        <v>1</v>
      </c>
      <c r="EJ115" s="978">
        <f t="shared" si="616"/>
        <v>6</v>
      </c>
      <c r="EK115" s="978">
        <f t="shared" si="616"/>
        <v>3</v>
      </c>
      <c r="EL115" s="978">
        <f t="shared" si="616"/>
        <v>6.5</v>
      </c>
      <c r="EM115" s="978">
        <f t="shared" si="616"/>
        <v>11.5</v>
      </c>
      <c r="EN115" s="978">
        <f t="shared" si="616"/>
        <v>8</v>
      </c>
      <c r="EO115" s="978">
        <f t="shared" si="616"/>
        <v>3</v>
      </c>
      <c r="EP115" s="978">
        <f t="shared" si="616"/>
        <v>3</v>
      </c>
      <c r="EQ115" s="979">
        <f t="shared" si="616"/>
        <v>5.5</v>
      </c>
      <c r="ES115" s="977">
        <f t="shared" si="674"/>
        <v>4.5</v>
      </c>
      <c r="ET115" s="978">
        <f t="shared" si="617"/>
        <v>2.5</v>
      </c>
      <c r="EU115" s="978">
        <f t="shared" si="618"/>
        <v>4.5</v>
      </c>
      <c r="EV115" s="978">
        <f t="shared" si="619"/>
        <v>4</v>
      </c>
      <c r="EW115" s="978">
        <f t="shared" si="620"/>
        <v>2.5</v>
      </c>
      <c r="EX115" s="978">
        <f t="shared" si="621"/>
        <v>2</v>
      </c>
      <c r="EY115" s="978">
        <f t="shared" si="622"/>
        <v>2</v>
      </c>
      <c r="EZ115" s="978">
        <f t="shared" si="623"/>
        <v>2</v>
      </c>
      <c r="FA115" s="978">
        <f t="shared" si="624"/>
        <v>2</v>
      </c>
      <c r="FB115" s="978">
        <f t="shared" si="625"/>
        <v>2</v>
      </c>
      <c r="FC115" s="978">
        <f t="shared" si="626"/>
        <v>1.5</v>
      </c>
      <c r="FD115" s="979">
        <f t="shared" si="627"/>
        <v>1</v>
      </c>
      <c r="FF115" s="977">
        <f t="shared" si="675"/>
        <v>1.5</v>
      </c>
      <c r="FG115" s="978">
        <f t="shared" si="628"/>
        <v>2</v>
      </c>
      <c r="FH115" s="978">
        <f t="shared" si="629"/>
        <v>2</v>
      </c>
      <c r="FI115" s="978">
        <f t="shared" si="630"/>
        <v>2</v>
      </c>
      <c r="FJ115" s="978">
        <f t="shared" si="631"/>
        <v>2</v>
      </c>
      <c r="FK115" s="978">
        <f t="shared" si="632"/>
        <v>2</v>
      </c>
      <c r="FL115" s="978">
        <f t="shared" si="633"/>
        <v>2</v>
      </c>
      <c r="FM115" s="978">
        <f t="shared" si="634"/>
        <v>2</v>
      </c>
      <c r="FN115" s="978">
        <f t="shared" si="635"/>
        <v>2</v>
      </c>
      <c r="FO115" s="978">
        <f t="shared" si="636"/>
        <v>2</v>
      </c>
      <c r="FP115" s="978">
        <f t="shared" si="637"/>
        <v>1.5</v>
      </c>
      <c r="FQ115" s="979">
        <f t="shared" si="638"/>
        <v>1</v>
      </c>
      <c r="FS115" s="977">
        <f t="shared" si="676"/>
        <v>1.5</v>
      </c>
      <c r="FT115" s="978">
        <f t="shared" si="639"/>
        <v>2</v>
      </c>
      <c r="FU115" s="978">
        <f t="shared" si="640"/>
        <v>2</v>
      </c>
      <c r="FV115" s="978">
        <f t="shared" si="641"/>
        <v>2</v>
      </c>
      <c r="FW115" s="978">
        <f t="shared" si="642"/>
        <v>2</v>
      </c>
      <c r="FX115" s="978">
        <f t="shared" si="643"/>
        <v>2</v>
      </c>
      <c r="FY115" s="978">
        <f t="shared" si="644"/>
        <v>2</v>
      </c>
      <c r="FZ115" s="978">
        <f t="shared" si="645"/>
        <v>2</v>
      </c>
      <c r="GA115" s="978">
        <f t="shared" si="646"/>
        <v>2</v>
      </c>
      <c r="GB115" s="978">
        <f t="shared" si="647"/>
        <v>2</v>
      </c>
      <c r="GC115" s="978">
        <f t="shared" si="648"/>
        <v>1.5</v>
      </c>
      <c r="GD115" s="979">
        <f t="shared" si="649"/>
        <v>1</v>
      </c>
      <c r="GF115" s="977">
        <f t="shared" si="677"/>
        <v>1</v>
      </c>
      <c r="GG115" s="978">
        <f t="shared" si="650"/>
        <v>1</v>
      </c>
      <c r="GH115" s="978">
        <f t="shared" si="651"/>
        <v>1</v>
      </c>
      <c r="GI115" s="978">
        <f t="shared" si="652"/>
        <v>1</v>
      </c>
      <c r="GJ115" s="978">
        <f t="shared" si="653"/>
        <v>1</v>
      </c>
      <c r="GK115" s="978">
        <f t="shared" si="654"/>
        <v>1</v>
      </c>
      <c r="GL115" s="978">
        <f t="shared" si="655"/>
        <v>1</v>
      </c>
      <c r="GM115" s="978">
        <f t="shared" si="656"/>
        <v>1</v>
      </c>
      <c r="GN115" s="978">
        <f t="shared" si="657"/>
        <v>1</v>
      </c>
      <c r="GO115" s="978">
        <f t="shared" si="658"/>
        <v>1</v>
      </c>
      <c r="GP115" s="978">
        <f t="shared" si="659"/>
        <v>1</v>
      </c>
      <c r="GQ115" s="979">
        <f t="shared" si="660"/>
        <v>1</v>
      </c>
      <c r="GS115" s="977">
        <f t="shared" si="678"/>
        <v>1</v>
      </c>
      <c r="GT115" s="978">
        <f t="shared" si="661"/>
        <v>1</v>
      </c>
      <c r="GU115" s="978">
        <f t="shared" si="662"/>
        <v>1</v>
      </c>
      <c r="GV115" s="978">
        <f t="shared" si="663"/>
        <v>1</v>
      </c>
      <c r="GW115" s="978">
        <f t="shared" si="664"/>
        <v>1</v>
      </c>
      <c r="GX115" s="978">
        <f t="shared" si="665"/>
        <v>1</v>
      </c>
      <c r="GY115" s="978">
        <f t="shared" si="666"/>
        <v>1</v>
      </c>
      <c r="GZ115" s="978">
        <f t="shared" si="667"/>
        <v>1</v>
      </c>
      <c r="HA115" s="978">
        <f t="shared" si="668"/>
        <v>1</v>
      </c>
      <c r="HB115" s="978">
        <f t="shared" si="669"/>
        <v>1</v>
      </c>
      <c r="HC115" s="978">
        <f t="shared" si="670"/>
        <v>1</v>
      </c>
      <c r="HD115" s="979">
        <f t="shared" si="671"/>
        <v>1</v>
      </c>
    </row>
    <row r="116" spans="2:212">
      <c r="B116" s="960"/>
      <c r="C116" s="966" t="s">
        <v>1044</v>
      </c>
      <c r="D116" s="966"/>
      <c r="E116" s="966"/>
      <c r="F116" s="966"/>
      <c r="G116" s="966"/>
      <c r="H116" s="965"/>
      <c r="I116" s="965"/>
      <c r="N116" s="1899"/>
      <c r="O116" s="940" t="s">
        <v>166</v>
      </c>
      <c r="P116" s="595">
        <v>7</v>
      </c>
      <c r="Q116" s="595">
        <v>1</v>
      </c>
      <c r="R116" s="595">
        <v>6</v>
      </c>
      <c r="S116" s="595">
        <v>5</v>
      </c>
      <c r="T116" s="595">
        <v>3</v>
      </c>
      <c r="U116" s="595">
        <v>1</v>
      </c>
      <c r="V116" s="595">
        <v>4</v>
      </c>
      <c r="AA116" s="1899"/>
      <c r="AB116" s="940" t="s">
        <v>166</v>
      </c>
      <c r="DK116" s="1899"/>
      <c r="DL116" s="940" t="s">
        <v>166</v>
      </c>
      <c r="DN116" s="977">
        <v>0</v>
      </c>
      <c r="DO116" s="978">
        <v>2</v>
      </c>
      <c r="DP116" s="978">
        <v>1</v>
      </c>
      <c r="DQ116" s="978">
        <v>2</v>
      </c>
      <c r="DR116" s="979">
        <v>1</v>
      </c>
      <c r="DS116" s="961"/>
      <c r="DT116" s="977">
        <v>0</v>
      </c>
      <c r="DU116" s="978">
        <v>2</v>
      </c>
      <c r="DV116" s="978">
        <v>1</v>
      </c>
      <c r="DW116" s="978">
        <v>2</v>
      </c>
      <c r="DX116" s="979">
        <v>1</v>
      </c>
      <c r="DY116" s="961"/>
      <c r="DZ116" s="977">
        <v>0</v>
      </c>
      <c r="EA116" s="978">
        <f t="shared" si="672"/>
        <v>0</v>
      </c>
      <c r="EB116" s="978">
        <f t="shared" si="672"/>
        <v>0</v>
      </c>
      <c r="EC116" s="978">
        <f t="shared" si="672"/>
        <v>0</v>
      </c>
      <c r="ED116" s="979">
        <f t="shared" si="672"/>
        <v>1</v>
      </c>
      <c r="EF116" s="977">
        <f t="shared" si="673"/>
        <v>0</v>
      </c>
      <c r="EG116" s="978">
        <f t="shared" si="616"/>
        <v>0</v>
      </c>
      <c r="EH116" s="978">
        <f t="shared" si="616"/>
        <v>0</v>
      </c>
      <c r="EI116" s="978">
        <f t="shared" si="616"/>
        <v>1</v>
      </c>
      <c r="EJ116" s="978">
        <f t="shared" si="616"/>
        <v>1</v>
      </c>
      <c r="EK116" s="978">
        <f t="shared" si="616"/>
        <v>6</v>
      </c>
      <c r="EL116" s="978">
        <f t="shared" si="616"/>
        <v>3</v>
      </c>
      <c r="EM116" s="978">
        <f t="shared" si="616"/>
        <v>6.5</v>
      </c>
      <c r="EN116" s="978">
        <f t="shared" si="616"/>
        <v>11.5</v>
      </c>
      <c r="EO116" s="978">
        <f t="shared" si="616"/>
        <v>8</v>
      </c>
      <c r="EP116" s="978">
        <f t="shared" si="616"/>
        <v>3</v>
      </c>
      <c r="EQ116" s="979">
        <f t="shared" si="616"/>
        <v>3</v>
      </c>
      <c r="ES116" s="977">
        <f t="shared" si="674"/>
        <v>5.5</v>
      </c>
      <c r="ET116" s="978">
        <f t="shared" si="617"/>
        <v>4.5</v>
      </c>
      <c r="EU116" s="978">
        <f t="shared" si="618"/>
        <v>2.5</v>
      </c>
      <c r="EV116" s="978">
        <f t="shared" si="619"/>
        <v>4.5</v>
      </c>
      <c r="EW116" s="978">
        <f t="shared" si="620"/>
        <v>4</v>
      </c>
      <c r="EX116" s="978">
        <f t="shared" si="621"/>
        <v>2.5</v>
      </c>
      <c r="EY116" s="978">
        <f t="shared" si="622"/>
        <v>2</v>
      </c>
      <c r="EZ116" s="978">
        <f t="shared" si="623"/>
        <v>2</v>
      </c>
      <c r="FA116" s="978">
        <f t="shared" si="624"/>
        <v>2</v>
      </c>
      <c r="FB116" s="978">
        <f t="shared" si="625"/>
        <v>2</v>
      </c>
      <c r="FC116" s="978">
        <f t="shared" si="626"/>
        <v>2</v>
      </c>
      <c r="FD116" s="979">
        <f t="shared" si="627"/>
        <v>1.5</v>
      </c>
      <c r="FF116" s="977">
        <f t="shared" si="675"/>
        <v>1</v>
      </c>
      <c r="FG116" s="978">
        <f t="shared" si="628"/>
        <v>1.5</v>
      </c>
      <c r="FH116" s="978">
        <f t="shared" si="629"/>
        <v>2</v>
      </c>
      <c r="FI116" s="978">
        <f t="shared" si="630"/>
        <v>2</v>
      </c>
      <c r="FJ116" s="978">
        <f t="shared" si="631"/>
        <v>2</v>
      </c>
      <c r="FK116" s="978">
        <f t="shared" si="632"/>
        <v>2</v>
      </c>
      <c r="FL116" s="978">
        <f t="shared" si="633"/>
        <v>2</v>
      </c>
      <c r="FM116" s="978">
        <f t="shared" si="634"/>
        <v>2</v>
      </c>
      <c r="FN116" s="978">
        <f t="shared" si="635"/>
        <v>2</v>
      </c>
      <c r="FO116" s="978">
        <f t="shared" si="636"/>
        <v>2</v>
      </c>
      <c r="FP116" s="978">
        <f t="shared" si="637"/>
        <v>2</v>
      </c>
      <c r="FQ116" s="979">
        <f t="shared" si="638"/>
        <v>1.5</v>
      </c>
      <c r="FS116" s="977">
        <f t="shared" si="676"/>
        <v>1</v>
      </c>
      <c r="FT116" s="978">
        <f t="shared" si="639"/>
        <v>1.5</v>
      </c>
      <c r="FU116" s="978">
        <f t="shared" si="640"/>
        <v>2</v>
      </c>
      <c r="FV116" s="978">
        <f t="shared" si="641"/>
        <v>2</v>
      </c>
      <c r="FW116" s="978">
        <f t="shared" si="642"/>
        <v>2</v>
      </c>
      <c r="FX116" s="978">
        <f t="shared" si="643"/>
        <v>2</v>
      </c>
      <c r="FY116" s="978">
        <f t="shared" si="644"/>
        <v>2</v>
      </c>
      <c r="FZ116" s="978">
        <f t="shared" si="645"/>
        <v>2</v>
      </c>
      <c r="GA116" s="978">
        <f t="shared" si="646"/>
        <v>2</v>
      </c>
      <c r="GB116" s="978">
        <f t="shared" si="647"/>
        <v>2</v>
      </c>
      <c r="GC116" s="978">
        <f t="shared" si="648"/>
        <v>2</v>
      </c>
      <c r="GD116" s="979">
        <f t="shared" si="649"/>
        <v>1.5</v>
      </c>
      <c r="GF116" s="977">
        <f t="shared" si="677"/>
        <v>1</v>
      </c>
      <c r="GG116" s="978">
        <f t="shared" si="650"/>
        <v>1</v>
      </c>
      <c r="GH116" s="978">
        <f t="shared" si="651"/>
        <v>1</v>
      </c>
      <c r="GI116" s="978">
        <f t="shared" si="652"/>
        <v>1</v>
      </c>
      <c r="GJ116" s="978">
        <f t="shared" si="653"/>
        <v>1</v>
      </c>
      <c r="GK116" s="978">
        <f t="shared" si="654"/>
        <v>1</v>
      </c>
      <c r="GL116" s="978">
        <f t="shared" si="655"/>
        <v>1</v>
      </c>
      <c r="GM116" s="978">
        <f t="shared" si="656"/>
        <v>1</v>
      </c>
      <c r="GN116" s="978">
        <f t="shared" si="657"/>
        <v>1</v>
      </c>
      <c r="GO116" s="978">
        <f t="shared" si="658"/>
        <v>1</v>
      </c>
      <c r="GP116" s="978">
        <f t="shared" si="659"/>
        <v>1</v>
      </c>
      <c r="GQ116" s="979">
        <f t="shared" si="660"/>
        <v>1</v>
      </c>
      <c r="GS116" s="977">
        <f t="shared" si="678"/>
        <v>1</v>
      </c>
      <c r="GT116" s="978">
        <f t="shared" si="661"/>
        <v>1</v>
      </c>
      <c r="GU116" s="978">
        <f t="shared" si="662"/>
        <v>1</v>
      </c>
      <c r="GV116" s="978">
        <f t="shared" si="663"/>
        <v>1</v>
      </c>
      <c r="GW116" s="978">
        <f t="shared" si="664"/>
        <v>1</v>
      </c>
      <c r="GX116" s="978">
        <f t="shared" si="665"/>
        <v>1</v>
      </c>
      <c r="GY116" s="978">
        <f t="shared" si="666"/>
        <v>1</v>
      </c>
      <c r="GZ116" s="978">
        <f t="shared" si="667"/>
        <v>1</v>
      </c>
      <c r="HA116" s="978">
        <f t="shared" si="668"/>
        <v>1</v>
      </c>
      <c r="HB116" s="978">
        <f t="shared" si="669"/>
        <v>1</v>
      </c>
      <c r="HC116" s="978">
        <f t="shared" si="670"/>
        <v>1</v>
      </c>
      <c r="HD116" s="979">
        <f t="shared" si="671"/>
        <v>1</v>
      </c>
    </row>
    <row r="117" spans="2:212">
      <c r="B117" s="960"/>
      <c r="C117" s="990" t="s">
        <v>1045</v>
      </c>
      <c r="D117" s="960"/>
      <c r="E117" s="960"/>
      <c r="F117" s="960"/>
      <c r="G117" s="960"/>
      <c r="H117" s="964"/>
      <c r="I117" s="964"/>
      <c r="N117" s="1899"/>
      <c r="O117" s="940" t="s">
        <v>1061</v>
      </c>
      <c r="AA117" s="1899"/>
      <c r="AB117" s="940" t="s">
        <v>1061</v>
      </c>
      <c r="DK117" s="1899"/>
      <c r="DL117" s="940" t="s">
        <v>1061</v>
      </c>
      <c r="DN117" s="977"/>
      <c r="DO117" s="978"/>
      <c r="DP117" s="978"/>
      <c r="DQ117" s="978"/>
      <c r="DR117" s="979"/>
      <c r="DS117" s="961"/>
      <c r="DT117" s="977"/>
      <c r="DU117" s="978"/>
      <c r="DV117" s="978"/>
      <c r="DW117" s="978"/>
      <c r="DX117" s="979"/>
      <c r="DY117" s="961"/>
      <c r="DZ117" s="977"/>
      <c r="EA117" s="978"/>
      <c r="EB117" s="978"/>
      <c r="EC117" s="978"/>
      <c r="ED117" s="979"/>
      <c r="EF117" s="977"/>
      <c r="EG117" s="978"/>
      <c r="EH117" s="978"/>
      <c r="EI117" s="978"/>
      <c r="EJ117" s="978"/>
      <c r="EK117" s="978"/>
      <c r="EL117" s="978"/>
      <c r="EM117" s="978"/>
      <c r="EN117" s="978"/>
      <c r="EO117" s="978"/>
      <c r="EP117" s="978"/>
      <c r="EQ117" s="979"/>
      <c r="ES117" s="977"/>
      <c r="ET117" s="978"/>
      <c r="EU117" s="978"/>
      <c r="EV117" s="978"/>
      <c r="EW117" s="978"/>
      <c r="EX117" s="978"/>
      <c r="EY117" s="978"/>
      <c r="EZ117" s="978"/>
      <c r="FA117" s="978"/>
      <c r="FB117" s="978"/>
      <c r="FC117" s="978"/>
      <c r="FD117" s="979"/>
      <c r="FF117" s="977"/>
      <c r="FG117" s="978"/>
      <c r="FH117" s="978"/>
      <c r="FI117" s="978"/>
      <c r="FJ117" s="978"/>
      <c r="FK117" s="978"/>
      <c r="FL117" s="978"/>
      <c r="FM117" s="978"/>
      <c r="FN117" s="978"/>
      <c r="FO117" s="978"/>
      <c r="FP117" s="978"/>
      <c r="FQ117" s="979"/>
      <c r="FS117" s="977"/>
      <c r="FT117" s="978"/>
      <c r="FU117" s="978"/>
      <c r="FV117" s="978"/>
      <c r="FW117" s="978"/>
      <c r="FX117" s="978"/>
      <c r="FY117" s="978"/>
      <c r="FZ117" s="978"/>
      <c r="GA117" s="978"/>
      <c r="GB117" s="978"/>
      <c r="GC117" s="978"/>
      <c r="GD117" s="979"/>
      <c r="GF117" s="977"/>
      <c r="GG117" s="978"/>
      <c r="GH117" s="978"/>
      <c r="GI117" s="978"/>
      <c r="GJ117" s="978"/>
      <c r="GK117" s="978"/>
      <c r="GL117" s="978"/>
      <c r="GM117" s="978"/>
      <c r="GN117" s="978"/>
      <c r="GO117" s="978"/>
      <c r="GP117" s="978"/>
      <c r="GQ117" s="979"/>
      <c r="GS117" s="977"/>
      <c r="GT117" s="978"/>
      <c r="GU117" s="978"/>
      <c r="GV117" s="978"/>
      <c r="GW117" s="978"/>
      <c r="GX117" s="978"/>
      <c r="GY117" s="978"/>
      <c r="GZ117" s="978"/>
      <c r="HA117" s="978"/>
      <c r="HB117" s="978"/>
      <c r="HC117" s="978"/>
      <c r="HD117" s="979"/>
    </row>
    <row r="118" spans="2:212">
      <c r="B118" s="960"/>
      <c r="C118" s="960" t="s">
        <v>1046</v>
      </c>
      <c r="D118" s="960"/>
      <c r="E118" s="960"/>
      <c r="F118" s="960"/>
      <c r="G118" s="960"/>
      <c r="H118" s="964"/>
      <c r="I118" s="964"/>
      <c r="O118" s="940"/>
      <c r="AB118" s="940"/>
      <c r="AK118" s="939">
        <v>1</v>
      </c>
      <c r="AL118" s="939">
        <v>1.1000000000000001</v>
      </c>
      <c r="AM118" s="939">
        <v>1</v>
      </c>
      <c r="AN118" s="939">
        <v>1</v>
      </c>
      <c r="AO118" s="939">
        <v>1</v>
      </c>
      <c r="AP118" s="939">
        <v>1</v>
      </c>
      <c r="AQ118" s="939">
        <v>0.9</v>
      </c>
      <c r="AR118" s="939">
        <v>1</v>
      </c>
      <c r="AS118" s="939">
        <v>1</v>
      </c>
      <c r="AT118" s="939">
        <v>1.1000000000000001</v>
      </c>
      <c r="AU118" s="939">
        <v>1.1000000000000001</v>
      </c>
      <c r="AV118" s="939">
        <v>1</v>
      </c>
      <c r="AW118" s="939">
        <v>1</v>
      </c>
      <c r="AX118" s="939">
        <v>1</v>
      </c>
      <c r="AY118" s="939">
        <v>1</v>
      </c>
      <c r="AZ118" s="939">
        <v>1</v>
      </c>
      <c r="BA118" s="939">
        <v>1</v>
      </c>
      <c r="BB118" s="939">
        <v>1</v>
      </c>
      <c r="BC118" s="939">
        <v>0.9</v>
      </c>
      <c r="BD118" s="939">
        <v>1</v>
      </c>
      <c r="BE118" s="939">
        <v>1</v>
      </c>
      <c r="BF118" s="939">
        <v>1.1000000000000001</v>
      </c>
      <c r="BG118" s="939">
        <v>1.1000000000000001</v>
      </c>
      <c r="BH118" s="939">
        <v>1</v>
      </c>
      <c r="BI118" s="939">
        <v>1</v>
      </c>
      <c r="BJ118" s="939">
        <v>1</v>
      </c>
      <c r="BK118" s="939">
        <v>1</v>
      </c>
      <c r="BL118" s="939">
        <v>1</v>
      </c>
      <c r="BM118" s="939">
        <v>1</v>
      </c>
      <c r="BN118" s="939">
        <v>1</v>
      </c>
      <c r="BO118" s="939">
        <v>0.9</v>
      </c>
      <c r="BP118" s="939">
        <v>1</v>
      </c>
      <c r="BQ118" s="939">
        <v>1</v>
      </c>
      <c r="BR118" s="939">
        <v>1.1000000000000001</v>
      </c>
      <c r="BS118" s="939">
        <v>1.1000000000000001</v>
      </c>
      <c r="BT118" s="939">
        <v>1</v>
      </c>
      <c r="BU118" s="939">
        <v>1</v>
      </c>
      <c r="BV118" s="939">
        <v>1</v>
      </c>
      <c r="BW118" s="939">
        <v>1</v>
      </c>
      <c r="BX118" s="939">
        <v>1</v>
      </c>
      <c r="BY118" s="939">
        <v>1</v>
      </c>
      <c r="BZ118" s="939">
        <v>1</v>
      </c>
      <c r="CA118" s="939">
        <v>0.9</v>
      </c>
      <c r="CB118" s="939">
        <v>1</v>
      </c>
      <c r="CC118" s="939">
        <v>1</v>
      </c>
      <c r="CD118" s="939">
        <v>1.1000000000000001</v>
      </c>
      <c r="CE118" s="939">
        <v>1.1000000000000001</v>
      </c>
      <c r="CF118" s="939">
        <v>1</v>
      </c>
      <c r="CG118" s="939">
        <v>1</v>
      </c>
      <c r="CH118" s="939">
        <v>1</v>
      </c>
      <c r="CI118" s="939">
        <v>1</v>
      </c>
      <c r="CJ118" s="939">
        <v>1</v>
      </c>
      <c r="CK118" s="939">
        <v>1</v>
      </c>
      <c r="CL118" s="939">
        <v>1</v>
      </c>
      <c r="CM118" s="939">
        <v>0.9</v>
      </c>
      <c r="CN118" s="939">
        <v>1</v>
      </c>
      <c r="CO118" s="939">
        <v>1</v>
      </c>
      <c r="CP118" s="939">
        <v>1.1000000000000001</v>
      </c>
      <c r="CQ118" s="939">
        <v>1.1000000000000001</v>
      </c>
      <c r="CR118" s="939">
        <v>1</v>
      </c>
      <c r="CS118" s="939">
        <v>1</v>
      </c>
      <c r="CT118" s="939">
        <v>1</v>
      </c>
      <c r="CU118" s="939">
        <v>1</v>
      </c>
      <c r="CV118" s="939">
        <v>1</v>
      </c>
      <c r="CW118" s="939">
        <v>1</v>
      </c>
      <c r="CX118" s="939">
        <v>1</v>
      </c>
      <c r="CY118" s="939">
        <v>0.9</v>
      </c>
      <c r="CZ118" s="939">
        <v>1</v>
      </c>
      <c r="DA118" s="939">
        <v>1</v>
      </c>
      <c r="DB118" s="939">
        <v>1.1000000000000001</v>
      </c>
      <c r="DC118" s="939">
        <v>1.1000000000000001</v>
      </c>
      <c r="DD118" s="939">
        <v>1</v>
      </c>
      <c r="DE118" s="939">
        <v>1</v>
      </c>
      <c r="DF118" s="939">
        <v>1</v>
      </c>
      <c r="DG118" s="939">
        <v>1</v>
      </c>
      <c r="DH118" s="939">
        <v>1</v>
      </c>
      <c r="DI118" s="939">
        <v>1</v>
      </c>
      <c r="DL118" s="940"/>
      <c r="DN118" s="977"/>
      <c r="DO118" s="978"/>
      <c r="DP118" s="978"/>
      <c r="DQ118" s="978"/>
      <c r="DR118" s="979"/>
      <c r="DT118" s="977"/>
      <c r="DU118" s="978"/>
      <c r="DV118" s="978"/>
      <c r="DW118" s="978"/>
      <c r="DX118" s="979"/>
      <c r="DZ118" s="977"/>
      <c r="EA118" s="978"/>
      <c r="EB118" s="978"/>
      <c r="EC118" s="978"/>
      <c r="ED118" s="979"/>
      <c r="EF118" s="977"/>
      <c r="EG118" s="978"/>
      <c r="EH118" s="978"/>
      <c r="EI118" s="978"/>
      <c r="EJ118" s="978"/>
      <c r="EK118" s="978"/>
      <c r="EL118" s="978"/>
      <c r="EM118" s="978"/>
      <c r="EN118" s="978"/>
      <c r="EO118" s="978"/>
      <c r="EP118" s="978"/>
      <c r="EQ118" s="979"/>
      <c r="ES118" s="977"/>
      <c r="ET118" s="978"/>
      <c r="EU118" s="978"/>
      <c r="EV118" s="978"/>
      <c r="EW118" s="978"/>
      <c r="EX118" s="978"/>
      <c r="EY118" s="978"/>
      <c r="EZ118" s="978"/>
      <c r="FA118" s="978"/>
      <c r="FB118" s="978"/>
      <c r="FC118" s="978"/>
      <c r="FD118" s="979"/>
      <c r="FF118" s="977"/>
      <c r="FG118" s="978"/>
      <c r="FH118" s="978"/>
      <c r="FI118" s="978"/>
      <c r="FJ118" s="978"/>
      <c r="FK118" s="978"/>
      <c r="FL118" s="978"/>
      <c r="FM118" s="978"/>
      <c r="FN118" s="978"/>
      <c r="FO118" s="978"/>
      <c r="FP118" s="978"/>
      <c r="FQ118" s="979"/>
      <c r="FS118" s="977"/>
      <c r="FT118" s="978"/>
      <c r="FU118" s="978"/>
      <c r="FV118" s="978"/>
      <c r="FW118" s="978"/>
      <c r="FX118" s="978"/>
      <c r="FY118" s="978"/>
      <c r="FZ118" s="978"/>
      <c r="GA118" s="978"/>
      <c r="GB118" s="978"/>
      <c r="GC118" s="978"/>
      <c r="GD118" s="979"/>
      <c r="GF118" s="977"/>
      <c r="GG118" s="978"/>
      <c r="GH118" s="978"/>
      <c r="GI118" s="978"/>
      <c r="GJ118" s="978"/>
      <c r="GK118" s="978"/>
      <c r="GL118" s="978"/>
      <c r="GM118" s="978"/>
      <c r="GN118" s="978"/>
      <c r="GO118" s="978"/>
      <c r="GP118" s="978"/>
      <c r="GQ118" s="979"/>
      <c r="GS118" s="977"/>
      <c r="GT118" s="978"/>
      <c r="GU118" s="978"/>
      <c r="GV118" s="978"/>
      <c r="GW118" s="978"/>
      <c r="GX118" s="978"/>
      <c r="GY118" s="978"/>
      <c r="GZ118" s="978"/>
      <c r="HA118" s="978"/>
      <c r="HB118" s="978"/>
      <c r="HC118" s="978"/>
      <c r="HD118" s="979"/>
    </row>
    <row r="119" spans="2:212" ht="15" customHeight="1">
      <c r="B119" s="957"/>
      <c r="C119" s="957"/>
      <c r="D119" s="957"/>
      <c r="E119" s="957"/>
      <c r="F119" s="957"/>
      <c r="G119" s="957"/>
      <c r="H119" s="957"/>
      <c r="I119" s="957"/>
      <c r="N119" s="1899" t="s">
        <v>1043</v>
      </c>
      <c r="O119" s="940" t="s">
        <v>119</v>
      </c>
      <c r="P119" s="595">
        <v>1</v>
      </c>
      <c r="Q119" s="595">
        <v>0</v>
      </c>
      <c r="R119" s="595">
        <v>2</v>
      </c>
      <c r="S119" s="595">
        <v>2</v>
      </c>
      <c r="T119" s="595">
        <v>3</v>
      </c>
      <c r="U119" s="595">
        <v>6</v>
      </c>
      <c r="V119" s="595">
        <v>3</v>
      </c>
      <c r="AA119" s="1899" t="s">
        <v>1043</v>
      </c>
      <c r="AB119" s="940" t="s">
        <v>119</v>
      </c>
      <c r="AC119" s="599">
        <f t="shared" ref="AC119:AC130" si="679">P119/P105</f>
        <v>1</v>
      </c>
      <c r="AD119" s="599"/>
      <c r="AE119" s="599">
        <f>R119/R105</f>
        <v>1</v>
      </c>
      <c r="AF119" s="599">
        <f>S119/S105</f>
        <v>1</v>
      </c>
      <c r="AG119" s="599">
        <f>T119/T105</f>
        <v>1</v>
      </c>
      <c r="AH119" s="599">
        <f>U119/U105</f>
        <v>0.8571428571428571</v>
      </c>
      <c r="AI119" s="599">
        <f>V119/V105</f>
        <v>0.6</v>
      </c>
      <c r="AJ119" s="935">
        <f t="shared" ref="AJ119:AJ130" si="680">AVERAGE(AC119:AI119)</f>
        <v>0.9095238095238094</v>
      </c>
      <c r="AK119" s="935">
        <f t="shared" ref="AK119:AK130" si="681">AJ119*$AK$118</f>
        <v>0.9095238095238094</v>
      </c>
      <c r="AL119" s="935">
        <f t="shared" ref="AL119:AL130" si="682">AK119*$AL$118</f>
        <v>1.0004761904761905</v>
      </c>
      <c r="AM119" s="935">
        <f t="shared" ref="AM119:AM130" si="683">AL119*$AM$118</f>
        <v>1.0004761904761905</v>
      </c>
      <c r="AN119" s="935">
        <f t="shared" ref="AN119:AN130" si="684">AM119*$AN$118</f>
        <v>1.0004761904761905</v>
      </c>
      <c r="AO119" s="935">
        <f t="shared" ref="AO119:AO130" si="685">AN119*$AO$118</f>
        <v>1.0004761904761905</v>
      </c>
      <c r="AP119" s="1036">
        <v>0.9</v>
      </c>
      <c r="AQ119" s="1036">
        <f>AP119*AQ$118</f>
        <v>0.81</v>
      </c>
      <c r="AR119" s="1036">
        <f t="shared" ref="AR119:BA119" si="686">AQ119*AR$118</f>
        <v>0.81</v>
      </c>
      <c r="AS119" s="1036">
        <f t="shared" si="686"/>
        <v>0.81</v>
      </c>
      <c r="AT119" s="1036">
        <f t="shared" si="686"/>
        <v>0.89100000000000013</v>
      </c>
      <c r="AU119" s="1036">
        <f t="shared" si="686"/>
        <v>0.98010000000000019</v>
      </c>
      <c r="AV119" s="1036">
        <f t="shared" si="686"/>
        <v>0.98010000000000019</v>
      </c>
      <c r="AW119" s="1036">
        <f t="shared" si="686"/>
        <v>0.98010000000000019</v>
      </c>
      <c r="AX119" s="1036">
        <f t="shared" si="686"/>
        <v>0.98010000000000019</v>
      </c>
      <c r="AY119" s="1036">
        <f t="shared" si="686"/>
        <v>0.98010000000000019</v>
      </c>
      <c r="AZ119" s="1036">
        <f t="shared" si="686"/>
        <v>0.98010000000000019</v>
      </c>
      <c r="BA119" s="1036">
        <f t="shared" si="686"/>
        <v>0.98010000000000019</v>
      </c>
      <c r="BB119" s="1036">
        <v>0.9</v>
      </c>
      <c r="BC119" s="1036">
        <f>BB119*BC$118</f>
        <v>0.81</v>
      </c>
      <c r="BD119" s="1036">
        <f t="shared" ref="BD119:BD130" si="687">BC119*BD$118</f>
        <v>0.81</v>
      </c>
      <c r="BE119" s="1036">
        <f t="shared" ref="BE119:BE130" si="688">BD119*BE$118</f>
        <v>0.81</v>
      </c>
      <c r="BF119" s="1036">
        <f t="shared" ref="BF119:BF130" si="689">BE119*BF$118</f>
        <v>0.89100000000000013</v>
      </c>
      <c r="BG119" s="1036">
        <f t="shared" ref="BG119:BG130" si="690">BF119*BG$118</f>
        <v>0.98010000000000019</v>
      </c>
      <c r="BH119" s="1036">
        <f t="shared" ref="BH119:BH130" si="691">BG119*BH$118</f>
        <v>0.98010000000000019</v>
      </c>
      <c r="BI119" s="1036">
        <f t="shared" ref="BI119:BI130" si="692">BH119*BI$118</f>
        <v>0.98010000000000019</v>
      </c>
      <c r="BJ119" s="1036">
        <f t="shared" ref="BJ119:BJ130" si="693">BI119*BJ$118</f>
        <v>0.98010000000000019</v>
      </c>
      <c r="BK119" s="1036">
        <f t="shared" ref="BK119:BK130" si="694">BJ119*BK$118</f>
        <v>0.98010000000000019</v>
      </c>
      <c r="BL119" s="1036">
        <f t="shared" ref="BL119:BL130" si="695">BK119*BL$118</f>
        <v>0.98010000000000019</v>
      </c>
      <c r="BM119" s="1036">
        <f t="shared" ref="BM119:BM130" si="696">BL119*BM$118</f>
        <v>0.98010000000000019</v>
      </c>
      <c r="BN119" s="1036">
        <v>0.9</v>
      </c>
      <c r="BO119" s="1036">
        <f>BN119*BO$118</f>
        <v>0.81</v>
      </c>
      <c r="BP119" s="1036">
        <f t="shared" ref="BP119:BP130" si="697">BO119*BP$118</f>
        <v>0.81</v>
      </c>
      <c r="BQ119" s="1036">
        <f t="shared" ref="BQ119:BQ130" si="698">BP119*BQ$118</f>
        <v>0.81</v>
      </c>
      <c r="BR119" s="1036">
        <f t="shared" ref="BR119:BR130" si="699">BQ119*BR$118</f>
        <v>0.89100000000000013</v>
      </c>
      <c r="BS119" s="1036">
        <f t="shared" ref="BS119:BS130" si="700">BR119*BS$118</f>
        <v>0.98010000000000019</v>
      </c>
      <c r="BT119" s="1036">
        <f t="shared" ref="BT119:BT130" si="701">BS119*BT$118</f>
        <v>0.98010000000000019</v>
      </c>
      <c r="BU119" s="1036">
        <f t="shared" ref="BU119:BU130" si="702">BT119*BU$118</f>
        <v>0.98010000000000019</v>
      </c>
      <c r="BV119" s="1036">
        <f t="shared" ref="BV119:BV130" si="703">BU119*BV$118</f>
        <v>0.98010000000000019</v>
      </c>
      <c r="BW119" s="1036">
        <f t="shared" ref="BW119:BW130" si="704">BV119*BW$118</f>
        <v>0.98010000000000019</v>
      </c>
      <c r="BX119" s="1036">
        <f t="shared" ref="BX119:BX130" si="705">BW119*BX$118</f>
        <v>0.98010000000000019</v>
      </c>
      <c r="BY119" s="1036">
        <f t="shared" ref="BY119:BY130" si="706">BX119*BY$118</f>
        <v>0.98010000000000019</v>
      </c>
      <c r="BZ119" s="1036">
        <v>0.9</v>
      </c>
      <c r="CA119" s="1036">
        <f>BZ119*CA$118</f>
        <v>0.81</v>
      </c>
      <c r="CB119" s="1036">
        <f t="shared" ref="CB119:CB130" si="707">CA119*CB$118</f>
        <v>0.81</v>
      </c>
      <c r="CC119" s="1036">
        <f t="shared" ref="CC119:CC130" si="708">CB119*CC$118</f>
        <v>0.81</v>
      </c>
      <c r="CD119" s="1036">
        <f t="shared" ref="CD119:CD130" si="709">CC119*CD$118</f>
        <v>0.89100000000000013</v>
      </c>
      <c r="CE119" s="1036">
        <f t="shared" ref="CE119:CE130" si="710">CD119*CE$118</f>
        <v>0.98010000000000019</v>
      </c>
      <c r="CF119" s="1036">
        <f t="shared" ref="CF119:CF130" si="711">CE119*CF$118</f>
        <v>0.98010000000000019</v>
      </c>
      <c r="CG119" s="1036">
        <f t="shared" ref="CG119:CG130" si="712">CF119*CG$118</f>
        <v>0.98010000000000019</v>
      </c>
      <c r="CH119" s="1036">
        <f t="shared" ref="CH119:CH130" si="713">CG119*CH$118</f>
        <v>0.98010000000000019</v>
      </c>
      <c r="CI119" s="1036">
        <f t="shared" ref="CI119:CI130" si="714">CH119*CI$118</f>
        <v>0.98010000000000019</v>
      </c>
      <c r="CJ119" s="1036">
        <f t="shared" ref="CJ119:CJ130" si="715">CI119*CJ$118</f>
        <v>0.98010000000000019</v>
      </c>
      <c r="CK119" s="1036">
        <f t="shared" ref="CK119:CK130" si="716">CJ119*CK$118</f>
        <v>0.98010000000000019</v>
      </c>
      <c r="CL119" s="1036">
        <v>0.9</v>
      </c>
      <c r="CM119" s="1036">
        <f>CL119*CM$118</f>
        <v>0.81</v>
      </c>
      <c r="CN119" s="1036">
        <f t="shared" ref="CN119:CN130" si="717">CM119*CN$118</f>
        <v>0.81</v>
      </c>
      <c r="CO119" s="1036">
        <f t="shared" ref="CO119:CO130" si="718">CN119*CO$118</f>
        <v>0.81</v>
      </c>
      <c r="CP119" s="1036">
        <f t="shared" ref="CP119:CP130" si="719">CO119*CP$118</f>
        <v>0.89100000000000013</v>
      </c>
      <c r="CQ119" s="1036">
        <f t="shared" ref="CQ119:CQ130" si="720">CP119*CQ$118</f>
        <v>0.98010000000000019</v>
      </c>
      <c r="CR119" s="1036">
        <f t="shared" ref="CR119:CR130" si="721">CQ119*CR$118</f>
        <v>0.98010000000000019</v>
      </c>
      <c r="CS119" s="1036">
        <f t="shared" ref="CS119:CS130" si="722">CR119*CS$118</f>
        <v>0.98010000000000019</v>
      </c>
      <c r="CT119" s="1036">
        <f t="shared" ref="CT119:CT130" si="723">CS119*CT$118</f>
        <v>0.98010000000000019</v>
      </c>
      <c r="CU119" s="1036">
        <f t="shared" ref="CU119:CU130" si="724">CT119*CU$118</f>
        <v>0.98010000000000019</v>
      </c>
      <c r="CV119" s="1036">
        <f t="shared" ref="CV119:CV130" si="725">CU119*CV$118</f>
        <v>0.98010000000000019</v>
      </c>
      <c r="CW119" s="1036">
        <f t="shared" ref="CW119:CW130" si="726">CV119*CW$118</f>
        <v>0.98010000000000019</v>
      </c>
      <c r="CX119" s="1036">
        <v>0.9</v>
      </c>
      <c r="CY119" s="1036">
        <f>CX119*CY$118</f>
        <v>0.81</v>
      </c>
      <c r="CZ119" s="1036">
        <f t="shared" ref="CZ119:CZ130" si="727">CY119*CZ$118</f>
        <v>0.81</v>
      </c>
      <c r="DA119" s="1036">
        <f t="shared" ref="DA119:DA130" si="728">CZ119*DA$118</f>
        <v>0.81</v>
      </c>
      <c r="DB119" s="1036">
        <f t="shared" ref="DB119:DB130" si="729">DA119*DB$118</f>
        <v>0.89100000000000013</v>
      </c>
      <c r="DC119" s="1036">
        <f t="shared" ref="DC119:DC130" si="730">DB119*DC$118</f>
        <v>0.98010000000000019</v>
      </c>
      <c r="DD119" s="1036">
        <f t="shared" ref="DD119:DD130" si="731">DC119*DD$118</f>
        <v>0.98010000000000019</v>
      </c>
      <c r="DE119" s="1036">
        <f t="shared" ref="DE119:DE130" si="732">DD119*DE$118</f>
        <v>0.98010000000000019</v>
      </c>
      <c r="DF119" s="1036">
        <f t="shared" ref="DF119:DF130" si="733">DE119*DF$118</f>
        <v>0.98010000000000019</v>
      </c>
      <c r="DG119" s="1036">
        <f t="shared" ref="DG119:DG130" si="734">DF119*DG$118</f>
        <v>0.98010000000000019</v>
      </c>
      <c r="DH119" s="1036">
        <f t="shared" ref="DH119:DH130" si="735">DG119*DH$118</f>
        <v>0.98010000000000019</v>
      </c>
      <c r="DI119" s="1036">
        <f t="shared" ref="DI119:DI130" si="736">DH119*DI$118</f>
        <v>0.98010000000000019</v>
      </c>
      <c r="DK119" s="1899" t="s">
        <v>1043</v>
      </c>
      <c r="DL119" s="940" t="s">
        <v>119</v>
      </c>
      <c r="DN119" s="977">
        <v>1</v>
      </c>
      <c r="DO119" s="978">
        <f>DO105*$AJ$119</f>
        <v>8.4130952380952362</v>
      </c>
      <c r="DP119" s="978">
        <f>DP105*$AJ$119</f>
        <v>11.459999999999999</v>
      </c>
      <c r="DQ119" s="978">
        <f>DQ105*$AJ$119</f>
        <v>7.3671428571428574</v>
      </c>
      <c r="DR119" s="979">
        <f>DR105*$AJ$119</f>
        <v>4.0928571428571425</v>
      </c>
      <c r="DT119" s="977">
        <v>1</v>
      </c>
      <c r="DU119" s="978">
        <f>DU105*$AH$119</f>
        <v>7.9285714285714279</v>
      </c>
      <c r="DV119" s="978">
        <f>DV105*$AH$119</f>
        <v>10.8</v>
      </c>
      <c r="DW119" s="978">
        <f>DW105*$AH$119</f>
        <v>6.9428571428571439</v>
      </c>
      <c r="DX119" s="979">
        <f>DX105*$AH$119</f>
        <v>3.8571428571428568</v>
      </c>
      <c r="DZ119" s="977">
        <v>1</v>
      </c>
      <c r="EA119" s="978">
        <f>EA105*AL$119</f>
        <v>6.5030952380952387</v>
      </c>
      <c r="EB119" s="978">
        <f>EB105*AM$119</f>
        <v>11.505476190476191</v>
      </c>
      <c r="EC119" s="978">
        <f>EC105*AN$119</f>
        <v>8.0038095238095242</v>
      </c>
      <c r="ED119" s="979">
        <f>ED105*AO$119</f>
        <v>3.0014285714285718</v>
      </c>
      <c r="EF119" s="977">
        <f t="shared" ref="EF119:EF130" si="737">EF108*$AP119</f>
        <v>10.35</v>
      </c>
      <c r="EG119" s="978">
        <f t="shared" ref="EG119:EG130" si="738">EG108*AQ119</f>
        <v>6.48</v>
      </c>
      <c r="EH119" s="978">
        <f t="shared" ref="EH119:EH130" si="739">EH108*AR119</f>
        <v>2.4300000000000002</v>
      </c>
      <c r="EI119" s="978">
        <f t="shared" ref="EI119:EI130" si="740">EI108*AS119</f>
        <v>2.4300000000000002</v>
      </c>
      <c r="EJ119" s="978">
        <f t="shared" ref="EJ119:EJ130" si="741">EJ108*AT119</f>
        <v>4.900500000000001</v>
      </c>
      <c r="EK119" s="978">
        <f t="shared" ref="EK119:EK130" si="742">EK108*AU119</f>
        <v>4.4104500000000009</v>
      </c>
      <c r="EL119" s="978">
        <f t="shared" ref="EL119:EL130" si="743">EL108*AV119</f>
        <v>2.4502500000000005</v>
      </c>
      <c r="EM119" s="978">
        <f t="shared" ref="EM119:EM130" si="744">EM108*AW119</f>
        <v>4.4104500000000009</v>
      </c>
      <c r="EN119" s="978">
        <f t="shared" ref="EN119:EN130" si="745">EN108*AX119</f>
        <v>3.9204000000000008</v>
      </c>
      <c r="EO119" s="978">
        <f t="shared" ref="EO119:EO130" si="746">EO108*AY119</f>
        <v>2.4502500000000005</v>
      </c>
      <c r="EP119" s="978">
        <f t="shared" ref="EP119:EP130" si="747">EP108*AZ119</f>
        <v>1.9602000000000004</v>
      </c>
      <c r="EQ119" s="978">
        <f t="shared" ref="EQ119:EQ130" si="748">EQ108*BA119</f>
        <v>1.9602000000000004</v>
      </c>
      <c r="ES119" s="977">
        <f>ES108*BB119</f>
        <v>1.8</v>
      </c>
      <c r="ET119" s="978">
        <f t="shared" ref="ET119:FD130" si="749">ET108*BC119</f>
        <v>1.62</v>
      </c>
      <c r="EU119" s="978">
        <f t="shared" si="749"/>
        <v>1.62</v>
      </c>
      <c r="EV119" s="978">
        <f t="shared" si="749"/>
        <v>1.2150000000000001</v>
      </c>
      <c r="EW119" s="978">
        <f t="shared" si="749"/>
        <v>0.89100000000000013</v>
      </c>
      <c r="EX119" s="978">
        <f t="shared" si="749"/>
        <v>1.4701500000000003</v>
      </c>
      <c r="EY119" s="978">
        <f t="shared" si="749"/>
        <v>1.9602000000000004</v>
      </c>
      <c r="EZ119" s="978">
        <f t="shared" si="749"/>
        <v>1.9602000000000004</v>
      </c>
      <c r="FA119" s="978">
        <f t="shared" si="749"/>
        <v>1.9602000000000004</v>
      </c>
      <c r="FB119" s="978">
        <f t="shared" si="749"/>
        <v>1.9602000000000004</v>
      </c>
      <c r="FC119" s="978">
        <f t="shared" si="749"/>
        <v>1.9602000000000004</v>
      </c>
      <c r="FD119" s="979">
        <f t="shared" si="749"/>
        <v>1.9602000000000004</v>
      </c>
      <c r="FF119" s="977">
        <f>FF108*BN119</f>
        <v>1.8</v>
      </c>
      <c r="FG119" s="978">
        <f t="shared" ref="FG119:FQ130" si="750">FG108*BO119</f>
        <v>1.62</v>
      </c>
      <c r="FH119" s="978">
        <f t="shared" si="750"/>
        <v>1.62</v>
      </c>
      <c r="FI119" s="978">
        <f t="shared" si="750"/>
        <v>1.2150000000000001</v>
      </c>
      <c r="FJ119" s="978">
        <f t="shared" si="750"/>
        <v>0.89100000000000013</v>
      </c>
      <c r="FK119" s="978">
        <f t="shared" si="750"/>
        <v>1.4701500000000003</v>
      </c>
      <c r="FL119" s="978">
        <f t="shared" si="750"/>
        <v>1.9602000000000004</v>
      </c>
      <c r="FM119" s="978">
        <f t="shared" si="750"/>
        <v>1.9602000000000004</v>
      </c>
      <c r="FN119" s="978">
        <f t="shared" si="750"/>
        <v>1.9602000000000004</v>
      </c>
      <c r="FO119" s="978">
        <f t="shared" si="750"/>
        <v>1.9602000000000004</v>
      </c>
      <c r="FP119" s="978">
        <f t="shared" si="750"/>
        <v>1.9602000000000004</v>
      </c>
      <c r="FQ119" s="979">
        <f t="shared" si="750"/>
        <v>1.9602000000000004</v>
      </c>
      <c r="FS119" s="977">
        <f>FS108*BZ119</f>
        <v>1.8</v>
      </c>
      <c r="FT119" s="978">
        <f t="shared" ref="FT119:GD130" si="751">FT108*CA119</f>
        <v>1.62</v>
      </c>
      <c r="FU119" s="978">
        <f t="shared" si="751"/>
        <v>1.62</v>
      </c>
      <c r="FV119" s="978">
        <f t="shared" si="751"/>
        <v>1.2150000000000001</v>
      </c>
      <c r="FW119" s="978">
        <f t="shared" si="751"/>
        <v>0.89100000000000013</v>
      </c>
      <c r="FX119" s="978">
        <f t="shared" si="751"/>
        <v>0.98010000000000019</v>
      </c>
      <c r="FY119" s="978">
        <f t="shared" si="751"/>
        <v>0.98010000000000019</v>
      </c>
      <c r="FZ119" s="978">
        <f t="shared" si="751"/>
        <v>0.98010000000000019</v>
      </c>
      <c r="GA119" s="978">
        <f t="shared" si="751"/>
        <v>0.98010000000000019</v>
      </c>
      <c r="GB119" s="978">
        <f t="shared" si="751"/>
        <v>0.98010000000000019</v>
      </c>
      <c r="GC119" s="978">
        <f t="shared" si="751"/>
        <v>0.98010000000000019</v>
      </c>
      <c r="GD119" s="979">
        <f t="shared" si="751"/>
        <v>0.98010000000000019</v>
      </c>
      <c r="GF119" s="977">
        <f>GF108*CL119</f>
        <v>0.9</v>
      </c>
      <c r="GG119" s="978">
        <f t="shared" ref="GG119:GQ130" si="752">GG108*CM119</f>
        <v>0.81</v>
      </c>
      <c r="GH119" s="978">
        <f t="shared" si="752"/>
        <v>0.81</v>
      </c>
      <c r="GI119" s="978">
        <f t="shared" si="752"/>
        <v>0.81</v>
      </c>
      <c r="GJ119" s="978">
        <f t="shared" si="752"/>
        <v>0.89100000000000013</v>
      </c>
      <c r="GK119" s="978">
        <f t="shared" si="752"/>
        <v>0.98010000000000019</v>
      </c>
      <c r="GL119" s="978">
        <f t="shared" si="752"/>
        <v>0.98010000000000019</v>
      </c>
      <c r="GM119" s="978">
        <f t="shared" si="752"/>
        <v>0.98010000000000019</v>
      </c>
      <c r="GN119" s="978">
        <f t="shared" si="752"/>
        <v>0.98010000000000019</v>
      </c>
      <c r="GO119" s="978">
        <f t="shared" si="752"/>
        <v>0.98010000000000019</v>
      </c>
      <c r="GP119" s="978">
        <f t="shared" si="752"/>
        <v>0.98010000000000019</v>
      </c>
      <c r="GQ119" s="979">
        <f t="shared" si="752"/>
        <v>0.98010000000000019</v>
      </c>
      <c r="GS119" s="977">
        <f>GS108*CX119</f>
        <v>0.9</v>
      </c>
      <c r="GT119" s="978">
        <f t="shared" ref="GT119:HD130" si="753">GT108*CY119</f>
        <v>0.81</v>
      </c>
      <c r="GU119" s="978">
        <f t="shared" si="753"/>
        <v>0.81</v>
      </c>
      <c r="GV119" s="978">
        <f t="shared" si="753"/>
        <v>0.81</v>
      </c>
      <c r="GW119" s="978">
        <f t="shared" si="753"/>
        <v>0.89100000000000013</v>
      </c>
      <c r="GX119" s="978">
        <f t="shared" si="753"/>
        <v>0.98010000000000019</v>
      </c>
      <c r="GY119" s="978">
        <f t="shared" si="753"/>
        <v>0.98010000000000019</v>
      </c>
      <c r="GZ119" s="978">
        <f t="shared" si="753"/>
        <v>0.98010000000000019</v>
      </c>
      <c r="HA119" s="978">
        <f t="shared" si="753"/>
        <v>0.98010000000000019</v>
      </c>
      <c r="HB119" s="978">
        <f t="shared" si="753"/>
        <v>0.98010000000000019</v>
      </c>
      <c r="HC119" s="978">
        <f t="shared" si="753"/>
        <v>0.98010000000000019</v>
      </c>
      <c r="HD119" s="979">
        <f t="shared" si="753"/>
        <v>0.98010000000000019</v>
      </c>
    </row>
    <row r="120" spans="2:212">
      <c r="B120" s="1037" t="s">
        <v>1062</v>
      </c>
      <c r="C120" s="1038"/>
      <c r="D120" s="1038"/>
      <c r="E120" s="1039"/>
      <c r="F120" s="1039"/>
      <c r="G120" s="1040"/>
      <c r="H120" s="1039"/>
      <c r="I120" s="1039"/>
      <c r="N120" s="1899"/>
      <c r="O120" s="940" t="s">
        <v>120</v>
      </c>
      <c r="P120" s="595">
        <v>0</v>
      </c>
      <c r="Q120" s="595">
        <v>0</v>
      </c>
      <c r="R120" s="595">
        <v>0</v>
      </c>
      <c r="S120" s="595">
        <v>2</v>
      </c>
      <c r="T120" s="595">
        <v>2</v>
      </c>
      <c r="U120" s="595">
        <v>2</v>
      </c>
      <c r="V120" s="595">
        <v>6</v>
      </c>
      <c r="AA120" s="1899"/>
      <c r="AB120" s="940" t="s">
        <v>120</v>
      </c>
      <c r="AC120" s="599">
        <f t="shared" si="679"/>
        <v>0</v>
      </c>
      <c r="AD120" s="599">
        <f>Q120/Q106</f>
        <v>0</v>
      </c>
      <c r="AE120" s="599"/>
      <c r="AF120" s="599">
        <f>S120/S106</f>
        <v>1</v>
      </c>
      <c r="AG120" s="599">
        <f>T120/T106</f>
        <v>1</v>
      </c>
      <c r="AH120" s="599">
        <f>U120/U106</f>
        <v>0.66666666666666663</v>
      </c>
      <c r="AI120" s="599">
        <f>V120/V106</f>
        <v>1</v>
      </c>
      <c r="AJ120" s="935">
        <f t="shared" si="680"/>
        <v>0.61111111111111105</v>
      </c>
      <c r="AK120" s="935">
        <f t="shared" si="681"/>
        <v>0.61111111111111105</v>
      </c>
      <c r="AL120" s="935">
        <f t="shared" si="682"/>
        <v>0.67222222222222217</v>
      </c>
      <c r="AM120" s="935">
        <f t="shared" si="683"/>
        <v>0.67222222222222217</v>
      </c>
      <c r="AN120" s="935">
        <f t="shared" si="684"/>
        <v>0.67222222222222217</v>
      </c>
      <c r="AO120" s="935">
        <f t="shared" si="685"/>
        <v>0.67222222222222217</v>
      </c>
      <c r="AP120" s="1036">
        <v>0.6</v>
      </c>
      <c r="AQ120" s="1036">
        <f t="shared" ref="AQ120:BA130" si="754">AP120*AQ$118</f>
        <v>0.54</v>
      </c>
      <c r="AR120" s="1036">
        <f t="shared" si="754"/>
        <v>0.54</v>
      </c>
      <c r="AS120" s="1036">
        <f t="shared" si="754"/>
        <v>0.54</v>
      </c>
      <c r="AT120" s="1036">
        <f t="shared" si="754"/>
        <v>0.59400000000000008</v>
      </c>
      <c r="AU120" s="1036">
        <f t="shared" si="754"/>
        <v>0.65340000000000009</v>
      </c>
      <c r="AV120" s="1036">
        <f t="shared" si="754"/>
        <v>0.65340000000000009</v>
      </c>
      <c r="AW120" s="1036">
        <f t="shared" si="754"/>
        <v>0.65340000000000009</v>
      </c>
      <c r="AX120" s="1036">
        <f t="shared" si="754"/>
        <v>0.65340000000000009</v>
      </c>
      <c r="AY120" s="1036">
        <f t="shared" si="754"/>
        <v>0.65340000000000009</v>
      </c>
      <c r="AZ120" s="1036">
        <f t="shared" si="754"/>
        <v>0.65340000000000009</v>
      </c>
      <c r="BA120" s="1036">
        <f t="shared" si="754"/>
        <v>0.65340000000000009</v>
      </c>
      <c r="BB120" s="1036">
        <v>0.6</v>
      </c>
      <c r="BC120" s="1036">
        <f t="shared" ref="BC120:BC130" si="755">BB120*BC$118</f>
        <v>0.54</v>
      </c>
      <c r="BD120" s="1036">
        <f t="shared" si="687"/>
        <v>0.54</v>
      </c>
      <c r="BE120" s="1036">
        <f t="shared" si="688"/>
        <v>0.54</v>
      </c>
      <c r="BF120" s="1036">
        <f t="shared" si="689"/>
        <v>0.59400000000000008</v>
      </c>
      <c r="BG120" s="1036">
        <f t="shared" si="690"/>
        <v>0.65340000000000009</v>
      </c>
      <c r="BH120" s="1036">
        <f t="shared" si="691"/>
        <v>0.65340000000000009</v>
      </c>
      <c r="BI120" s="1036">
        <f t="shared" si="692"/>
        <v>0.65340000000000009</v>
      </c>
      <c r="BJ120" s="1036">
        <f t="shared" si="693"/>
        <v>0.65340000000000009</v>
      </c>
      <c r="BK120" s="1036">
        <f t="shared" si="694"/>
        <v>0.65340000000000009</v>
      </c>
      <c r="BL120" s="1036">
        <f t="shared" si="695"/>
        <v>0.65340000000000009</v>
      </c>
      <c r="BM120" s="1036">
        <f t="shared" si="696"/>
        <v>0.65340000000000009</v>
      </c>
      <c r="BN120" s="1036">
        <v>0.6</v>
      </c>
      <c r="BO120" s="1036">
        <f t="shared" ref="BO120:BO130" si="756">BN120*BO$118</f>
        <v>0.54</v>
      </c>
      <c r="BP120" s="1036">
        <f t="shared" si="697"/>
        <v>0.54</v>
      </c>
      <c r="BQ120" s="1036">
        <f t="shared" si="698"/>
        <v>0.54</v>
      </c>
      <c r="BR120" s="1036">
        <f t="shared" si="699"/>
        <v>0.59400000000000008</v>
      </c>
      <c r="BS120" s="1036">
        <f t="shared" si="700"/>
        <v>0.65340000000000009</v>
      </c>
      <c r="BT120" s="1036">
        <f t="shared" si="701"/>
        <v>0.65340000000000009</v>
      </c>
      <c r="BU120" s="1036">
        <f t="shared" si="702"/>
        <v>0.65340000000000009</v>
      </c>
      <c r="BV120" s="1036">
        <f t="shared" si="703"/>
        <v>0.65340000000000009</v>
      </c>
      <c r="BW120" s="1036">
        <f t="shared" si="704"/>
        <v>0.65340000000000009</v>
      </c>
      <c r="BX120" s="1036">
        <f t="shared" si="705"/>
        <v>0.65340000000000009</v>
      </c>
      <c r="BY120" s="1036">
        <f t="shared" si="706"/>
        <v>0.65340000000000009</v>
      </c>
      <c r="BZ120" s="1036">
        <v>0.6</v>
      </c>
      <c r="CA120" s="1036">
        <f t="shared" ref="CA120:CA130" si="757">BZ120*CA$118</f>
        <v>0.54</v>
      </c>
      <c r="CB120" s="1036">
        <f t="shared" si="707"/>
        <v>0.54</v>
      </c>
      <c r="CC120" s="1036">
        <f t="shared" si="708"/>
        <v>0.54</v>
      </c>
      <c r="CD120" s="1036">
        <f t="shared" si="709"/>
        <v>0.59400000000000008</v>
      </c>
      <c r="CE120" s="1036">
        <f t="shared" si="710"/>
        <v>0.65340000000000009</v>
      </c>
      <c r="CF120" s="1036">
        <f t="shared" si="711"/>
        <v>0.65340000000000009</v>
      </c>
      <c r="CG120" s="1036">
        <f t="shared" si="712"/>
        <v>0.65340000000000009</v>
      </c>
      <c r="CH120" s="1036">
        <f t="shared" si="713"/>
        <v>0.65340000000000009</v>
      </c>
      <c r="CI120" s="1036">
        <f t="shared" si="714"/>
        <v>0.65340000000000009</v>
      </c>
      <c r="CJ120" s="1036">
        <f t="shared" si="715"/>
        <v>0.65340000000000009</v>
      </c>
      <c r="CK120" s="1036">
        <f t="shared" si="716"/>
        <v>0.65340000000000009</v>
      </c>
      <c r="CL120" s="1036">
        <v>0.6</v>
      </c>
      <c r="CM120" s="1036">
        <f t="shared" ref="CM120:CM130" si="758">CL120*CM$118</f>
        <v>0.54</v>
      </c>
      <c r="CN120" s="1036">
        <f t="shared" si="717"/>
        <v>0.54</v>
      </c>
      <c r="CO120" s="1036">
        <f t="shared" si="718"/>
        <v>0.54</v>
      </c>
      <c r="CP120" s="1036">
        <f t="shared" si="719"/>
        <v>0.59400000000000008</v>
      </c>
      <c r="CQ120" s="1036">
        <f t="shared" si="720"/>
        <v>0.65340000000000009</v>
      </c>
      <c r="CR120" s="1036">
        <f t="shared" si="721"/>
        <v>0.65340000000000009</v>
      </c>
      <c r="CS120" s="1036">
        <f t="shared" si="722"/>
        <v>0.65340000000000009</v>
      </c>
      <c r="CT120" s="1036">
        <f t="shared" si="723"/>
        <v>0.65340000000000009</v>
      </c>
      <c r="CU120" s="1036">
        <f t="shared" si="724"/>
        <v>0.65340000000000009</v>
      </c>
      <c r="CV120" s="1036">
        <f t="shared" si="725"/>
        <v>0.65340000000000009</v>
      </c>
      <c r="CW120" s="1036">
        <f t="shared" si="726"/>
        <v>0.65340000000000009</v>
      </c>
      <c r="CX120" s="1036">
        <v>0.6</v>
      </c>
      <c r="CY120" s="1036">
        <f t="shared" ref="CY120:CY130" si="759">CX120*CY$118</f>
        <v>0.54</v>
      </c>
      <c r="CZ120" s="1036">
        <f t="shared" si="727"/>
        <v>0.54</v>
      </c>
      <c r="DA120" s="1036">
        <f t="shared" si="728"/>
        <v>0.54</v>
      </c>
      <c r="DB120" s="1036">
        <f t="shared" si="729"/>
        <v>0.59400000000000008</v>
      </c>
      <c r="DC120" s="1036">
        <f t="shared" si="730"/>
        <v>0.65340000000000009</v>
      </c>
      <c r="DD120" s="1036">
        <f t="shared" si="731"/>
        <v>0.65340000000000009</v>
      </c>
      <c r="DE120" s="1036">
        <f t="shared" si="732"/>
        <v>0.65340000000000009</v>
      </c>
      <c r="DF120" s="1036">
        <f t="shared" si="733"/>
        <v>0.65340000000000009</v>
      </c>
      <c r="DG120" s="1036">
        <f t="shared" si="734"/>
        <v>0.65340000000000009</v>
      </c>
      <c r="DH120" s="1036">
        <f t="shared" si="735"/>
        <v>0.65340000000000009</v>
      </c>
      <c r="DI120" s="1036">
        <f t="shared" si="736"/>
        <v>0.65340000000000009</v>
      </c>
      <c r="DK120" s="1899"/>
      <c r="DL120" s="940" t="s">
        <v>120</v>
      </c>
      <c r="DN120" s="977">
        <v>3</v>
      </c>
      <c r="DO120" s="978">
        <f>DO106*$AJ$120</f>
        <v>1.833333333333333</v>
      </c>
      <c r="DP120" s="978">
        <f>DP106*$AJ$120</f>
        <v>5.6527777777777768</v>
      </c>
      <c r="DQ120" s="978">
        <f>DQ106*$AJ$120</f>
        <v>7.7</v>
      </c>
      <c r="DR120" s="979">
        <f>DR106*$AJ$120</f>
        <v>4.95</v>
      </c>
      <c r="DT120" s="977">
        <v>3</v>
      </c>
      <c r="DU120" s="978">
        <f>DU106*$AH$120</f>
        <v>2</v>
      </c>
      <c r="DV120" s="978">
        <f>DV106*$AH$120</f>
        <v>6.1666666666666661</v>
      </c>
      <c r="DW120" s="978">
        <f>DW106*$AH$120</f>
        <v>8.4</v>
      </c>
      <c r="DX120" s="979">
        <f>DX106*$AH$120</f>
        <v>5.4</v>
      </c>
      <c r="DZ120" s="977">
        <v>3</v>
      </c>
      <c r="EA120" s="978">
        <f>EA106*AL$120</f>
        <v>2.0166666666666666</v>
      </c>
      <c r="EB120" s="978">
        <f>EB106*AM$120</f>
        <v>4.3694444444444445</v>
      </c>
      <c r="EC120" s="978">
        <f>EC106*AN$120</f>
        <v>7.7305555555555552</v>
      </c>
      <c r="ED120" s="979">
        <f>ED106*AO$120</f>
        <v>5.3777777777777773</v>
      </c>
      <c r="EF120" s="977">
        <f t="shared" si="737"/>
        <v>3.9</v>
      </c>
      <c r="EG120" s="978">
        <f t="shared" si="738"/>
        <v>6.2100000000000009</v>
      </c>
      <c r="EH120" s="978">
        <f t="shared" si="739"/>
        <v>4.32</v>
      </c>
      <c r="EI120" s="978">
        <f t="shared" si="740"/>
        <v>1.62</v>
      </c>
      <c r="EJ120" s="978">
        <f t="shared" si="741"/>
        <v>1.7820000000000003</v>
      </c>
      <c r="EK120" s="978">
        <f t="shared" si="742"/>
        <v>3.5937000000000006</v>
      </c>
      <c r="EL120" s="978">
        <f t="shared" si="743"/>
        <v>2.9403000000000006</v>
      </c>
      <c r="EM120" s="978">
        <f t="shared" si="744"/>
        <v>1.6335000000000002</v>
      </c>
      <c r="EN120" s="978">
        <f t="shared" si="745"/>
        <v>2.9403000000000006</v>
      </c>
      <c r="EO120" s="978">
        <f t="shared" si="746"/>
        <v>2.6136000000000004</v>
      </c>
      <c r="EP120" s="978">
        <f t="shared" si="747"/>
        <v>1.6335000000000002</v>
      </c>
      <c r="EQ120" s="978">
        <f t="shared" si="748"/>
        <v>1.3068000000000002</v>
      </c>
      <c r="ES120" s="977">
        <f t="shared" ref="ES120:ES130" si="760">ES109*BB120</f>
        <v>1.2</v>
      </c>
      <c r="ET120" s="978">
        <f t="shared" si="749"/>
        <v>1.08</v>
      </c>
      <c r="EU120" s="978">
        <f t="shared" si="749"/>
        <v>1.08</v>
      </c>
      <c r="EV120" s="978">
        <f t="shared" si="749"/>
        <v>1.08</v>
      </c>
      <c r="EW120" s="978">
        <f t="shared" si="749"/>
        <v>0.89100000000000013</v>
      </c>
      <c r="EX120" s="978">
        <f t="shared" si="749"/>
        <v>0.65340000000000009</v>
      </c>
      <c r="EY120" s="978">
        <f t="shared" si="749"/>
        <v>0.98010000000000019</v>
      </c>
      <c r="EZ120" s="978">
        <f t="shared" si="749"/>
        <v>1.3068000000000002</v>
      </c>
      <c r="FA120" s="978">
        <f t="shared" si="749"/>
        <v>1.3068000000000002</v>
      </c>
      <c r="FB120" s="978">
        <f t="shared" si="749"/>
        <v>1.3068000000000002</v>
      </c>
      <c r="FC120" s="978">
        <f t="shared" si="749"/>
        <v>1.3068000000000002</v>
      </c>
      <c r="FD120" s="979">
        <f t="shared" si="749"/>
        <v>1.3068000000000002</v>
      </c>
      <c r="FF120" s="977">
        <f t="shared" ref="FF120:FF130" si="761">FF109*BN120</f>
        <v>1.2</v>
      </c>
      <c r="FG120" s="978">
        <f t="shared" si="750"/>
        <v>1.08</v>
      </c>
      <c r="FH120" s="978">
        <f t="shared" si="750"/>
        <v>1.08</v>
      </c>
      <c r="FI120" s="978">
        <f t="shared" si="750"/>
        <v>1.08</v>
      </c>
      <c r="FJ120" s="978">
        <f t="shared" si="750"/>
        <v>0.89100000000000013</v>
      </c>
      <c r="FK120" s="978">
        <f t="shared" si="750"/>
        <v>0.65340000000000009</v>
      </c>
      <c r="FL120" s="978">
        <f t="shared" si="750"/>
        <v>0.98010000000000019</v>
      </c>
      <c r="FM120" s="978">
        <f t="shared" si="750"/>
        <v>1.3068000000000002</v>
      </c>
      <c r="FN120" s="978">
        <f t="shared" si="750"/>
        <v>1.3068000000000002</v>
      </c>
      <c r="FO120" s="978">
        <f t="shared" si="750"/>
        <v>1.3068000000000002</v>
      </c>
      <c r="FP120" s="978">
        <f t="shared" si="750"/>
        <v>1.3068000000000002</v>
      </c>
      <c r="FQ120" s="979">
        <f t="shared" si="750"/>
        <v>1.3068000000000002</v>
      </c>
      <c r="FS120" s="977">
        <f t="shared" ref="FS120:FS130" si="762">FS109*BZ120</f>
        <v>1.2</v>
      </c>
      <c r="FT120" s="978">
        <f t="shared" si="751"/>
        <v>1.08</v>
      </c>
      <c r="FU120" s="978">
        <f t="shared" si="751"/>
        <v>1.08</v>
      </c>
      <c r="FV120" s="978">
        <f t="shared" si="751"/>
        <v>1.08</v>
      </c>
      <c r="FW120" s="978">
        <f t="shared" si="751"/>
        <v>0.89100000000000013</v>
      </c>
      <c r="FX120" s="978">
        <f t="shared" si="751"/>
        <v>0.65340000000000009</v>
      </c>
      <c r="FY120" s="978">
        <f t="shared" si="751"/>
        <v>0.65340000000000009</v>
      </c>
      <c r="FZ120" s="978">
        <f t="shared" si="751"/>
        <v>0.65340000000000009</v>
      </c>
      <c r="GA120" s="978">
        <f t="shared" si="751"/>
        <v>0.65340000000000009</v>
      </c>
      <c r="GB120" s="978">
        <f t="shared" si="751"/>
        <v>0.65340000000000009</v>
      </c>
      <c r="GC120" s="978">
        <f t="shared" si="751"/>
        <v>0.65340000000000009</v>
      </c>
      <c r="GD120" s="979">
        <f t="shared" si="751"/>
        <v>0.65340000000000009</v>
      </c>
      <c r="GF120" s="977">
        <f t="shared" ref="GF120:GF130" si="763">GF109*CL120</f>
        <v>0.6</v>
      </c>
      <c r="GG120" s="978">
        <f t="shared" si="752"/>
        <v>0.54</v>
      </c>
      <c r="GH120" s="978">
        <f t="shared" si="752"/>
        <v>0.54</v>
      </c>
      <c r="GI120" s="978">
        <f t="shared" si="752"/>
        <v>0.54</v>
      </c>
      <c r="GJ120" s="978">
        <f t="shared" si="752"/>
        <v>0.59400000000000008</v>
      </c>
      <c r="GK120" s="978">
        <f t="shared" si="752"/>
        <v>0.65340000000000009</v>
      </c>
      <c r="GL120" s="978">
        <f t="shared" si="752"/>
        <v>0.65340000000000009</v>
      </c>
      <c r="GM120" s="978">
        <f t="shared" si="752"/>
        <v>0.65340000000000009</v>
      </c>
      <c r="GN120" s="978">
        <f t="shared" si="752"/>
        <v>0.65340000000000009</v>
      </c>
      <c r="GO120" s="978">
        <f t="shared" si="752"/>
        <v>0.65340000000000009</v>
      </c>
      <c r="GP120" s="978">
        <f t="shared" si="752"/>
        <v>0.65340000000000009</v>
      </c>
      <c r="GQ120" s="979">
        <f t="shared" si="752"/>
        <v>0.65340000000000009</v>
      </c>
      <c r="GS120" s="977">
        <f t="shared" ref="GS120:GS130" si="764">GS109*CX120</f>
        <v>0.6</v>
      </c>
      <c r="GT120" s="978">
        <f t="shared" si="753"/>
        <v>0.54</v>
      </c>
      <c r="GU120" s="978">
        <f t="shared" si="753"/>
        <v>0.54</v>
      </c>
      <c r="GV120" s="978">
        <f t="shared" si="753"/>
        <v>0.54</v>
      </c>
      <c r="GW120" s="978">
        <f t="shared" si="753"/>
        <v>0.59400000000000008</v>
      </c>
      <c r="GX120" s="978">
        <f t="shared" si="753"/>
        <v>0.65340000000000009</v>
      </c>
      <c r="GY120" s="978">
        <f t="shared" si="753"/>
        <v>0.65340000000000009</v>
      </c>
      <c r="GZ120" s="978">
        <f t="shared" si="753"/>
        <v>0.65340000000000009</v>
      </c>
      <c r="HA120" s="978">
        <f t="shared" si="753"/>
        <v>0.65340000000000009</v>
      </c>
      <c r="HB120" s="978">
        <f t="shared" si="753"/>
        <v>0.65340000000000009</v>
      </c>
      <c r="HC120" s="978">
        <f t="shared" si="753"/>
        <v>0.65340000000000009</v>
      </c>
      <c r="HD120" s="979">
        <f t="shared" si="753"/>
        <v>0.65340000000000009</v>
      </c>
    </row>
    <row r="121" spans="2:212" ht="15">
      <c r="B121" s="1041">
        <v>35</v>
      </c>
      <c r="C121" s="1042" t="s">
        <v>1098</v>
      </c>
      <c r="D121" s="1042"/>
      <c r="E121" s="1043"/>
      <c r="F121" s="1043"/>
      <c r="G121" s="1043"/>
      <c r="H121" s="1043"/>
      <c r="I121" s="1044"/>
      <c r="N121" s="1899"/>
      <c r="O121" s="940" t="s">
        <v>121</v>
      </c>
      <c r="P121" s="595">
        <v>1</v>
      </c>
      <c r="Q121" s="595">
        <v>1</v>
      </c>
      <c r="R121" s="595">
        <v>0</v>
      </c>
      <c r="S121" s="595">
        <v>0</v>
      </c>
      <c r="T121" s="595">
        <v>2</v>
      </c>
      <c r="U121" s="595">
        <v>1</v>
      </c>
      <c r="V121" s="595">
        <v>1</v>
      </c>
      <c r="AA121" s="1899"/>
      <c r="AB121" s="940" t="s">
        <v>121</v>
      </c>
      <c r="AC121" s="599">
        <f t="shared" si="679"/>
        <v>0.5</v>
      </c>
      <c r="AD121" s="599">
        <f>Q121/Q107</f>
        <v>0.5</v>
      </c>
      <c r="AE121" s="599">
        <f>R121/R107</f>
        <v>0</v>
      </c>
      <c r="AF121" s="599"/>
      <c r="AG121" s="599">
        <f>T121/T107</f>
        <v>1</v>
      </c>
      <c r="AH121" s="599">
        <f>U121/U107</f>
        <v>0.5</v>
      </c>
      <c r="AI121" s="599">
        <f>V121/V107</f>
        <v>0.33333333333333331</v>
      </c>
      <c r="AJ121" s="935">
        <f t="shared" si="680"/>
        <v>0.47222222222222227</v>
      </c>
      <c r="AK121" s="935">
        <f t="shared" si="681"/>
        <v>0.47222222222222227</v>
      </c>
      <c r="AL121" s="935">
        <f t="shared" si="682"/>
        <v>0.51944444444444449</v>
      </c>
      <c r="AM121" s="935">
        <f t="shared" si="683"/>
        <v>0.51944444444444449</v>
      </c>
      <c r="AN121" s="935">
        <f t="shared" si="684"/>
        <v>0.51944444444444449</v>
      </c>
      <c r="AO121" s="935">
        <f t="shared" si="685"/>
        <v>0.51944444444444449</v>
      </c>
      <c r="AP121" s="1036">
        <v>0.5</v>
      </c>
      <c r="AQ121" s="1036">
        <f t="shared" si="754"/>
        <v>0.45</v>
      </c>
      <c r="AR121" s="1036">
        <f t="shared" si="754"/>
        <v>0.45</v>
      </c>
      <c r="AS121" s="1036">
        <f t="shared" si="754"/>
        <v>0.45</v>
      </c>
      <c r="AT121" s="1036">
        <f t="shared" si="754"/>
        <v>0.49500000000000005</v>
      </c>
      <c r="AU121" s="1036">
        <f t="shared" si="754"/>
        <v>0.5445000000000001</v>
      </c>
      <c r="AV121" s="1036">
        <f t="shared" si="754"/>
        <v>0.5445000000000001</v>
      </c>
      <c r="AW121" s="1036">
        <f t="shared" si="754"/>
        <v>0.5445000000000001</v>
      </c>
      <c r="AX121" s="1036">
        <f t="shared" si="754"/>
        <v>0.5445000000000001</v>
      </c>
      <c r="AY121" s="1036">
        <f t="shared" si="754"/>
        <v>0.5445000000000001</v>
      </c>
      <c r="AZ121" s="1036">
        <f t="shared" si="754"/>
        <v>0.5445000000000001</v>
      </c>
      <c r="BA121" s="1036">
        <f t="shared" si="754"/>
        <v>0.5445000000000001</v>
      </c>
      <c r="BB121" s="1036">
        <v>0.5</v>
      </c>
      <c r="BC121" s="1036">
        <f t="shared" si="755"/>
        <v>0.45</v>
      </c>
      <c r="BD121" s="1036">
        <f t="shared" si="687"/>
        <v>0.45</v>
      </c>
      <c r="BE121" s="1036">
        <f t="shared" si="688"/>
        <v>0.45</v>
      </c>
      <c r="BF121" s="1036">
        <f t="shared" si="689"/>
        <v>0.49500000000000005</v>
      </c>
      <c r="BG121" s="1036">
        <f t="shared" si="690"/>
        <v>0.5445000000000001</v>
      </c>
      <c r="BH121" s="1036">
        <f t="shared" si="691"/>
        <v>0.5445000000000001</v>
      </c>
      <c r="BI121" s="1036">
        <f t="shared" si="692"/>
        <v>0.5445000000000001</v>
      </c>
      <c r="BJ121" s="1036">
        <f t="shared" si="693"/>
        <v>0.5445000000000001</v>
      </c>
      <c r="BK121" s="1036">
        <f t="shared" si="694"/>
        <v>0.5445000000000001</v>
      </c>
      <c r="BL121" s="1036">
        <f t="shared" si="695"/>
        <v>0.5445000000000001</v>
      </c>
      <c r="BM121" s="1036">
        <f t="shared" si="696"/>
        <v>0.5445000000000001</v>
      </c>
      <c r="BN121" s="1036">
        <v>0.5</v>
      </c>
      <c r="BO121" s="1036">
        <f t="shared" si="756"/>
        <v>0.45</v>
      </c>
      <c r="BP121" s="1036">
        <f t="shared" si="697"/>
        <v>0.45</v>
      </c>
      <c r="BQ121" s="1036">
        <f t="shared" si="698"/>
        <v>0.45</v>
      </c>
      <c r="BR121" s="1036">
        <f t="shared" si="699"/>
        <v>0.49500000000000005</v>
      </c>
      <c r="BS121" s="1036">
        <f t="shared" si="700"/>
        <v>0.5445000000000001</v>
      </c>
      <c r="BT121" s="1036">
        <f t="shared" si="701"/>
        <v>0.5445000000000001</v>
      </c>
      <c r="BU121" s="1036">
        <f t="shared" si="702"/>
        <v>0.5445000000000001</v>
      </c>
      <c r="BV121" s="1036">
        <f t="shared" si="703"/>
        <v>0.5445000000000001</v>
      </c>
      <c r="BW121" s="1036">
        <f t="shared" si="704"/>
        <v>0.5445000000000001</v>
      </c>
      <c r="BX121" s="1036">
        <f t="shared" si="705"/>
        <v>0.5445000000000001</v>
      </c>
      <c r="BY121" s="1036">
        <f t="shared" si="706"/>
        <v>0.5445000000000001</v>
      </c>
      <c r="BZ121" s="1036">
        <v>0.5</v>
      </c>
      <c r="CA121" s="1036">
        <f t="shared" si="757"/>
        <v>0.45</v>
      </c>
      <c r="CB121" s="1036">
        <f t="shared" si="707"/>
        <v>0.45</v>
      </c>
      <c r="CC121" s="1036">
        <f t="shared" si="708"/>
        <v>0.45</v>
      </c>
      <c r="CD121" s="1036">
        <f t="shared" si="709"/>
        <v>0.49500000000000005</v>
      </c>
      <c r="CE121" s="1036">
        <f t="shared" si="710"/>
        <v>0.5445000000000001</v>
      </c>
      <c r="CF121" s="1036">
        <f t="shared" si="711"/>
        <v>0.5445000000000001</v>
      </c>
      <c r="CG121" s="1036">
        <f t="shared" si="712"/>
        <v>0.5445000000000001</v>
      </c>
      <c r="CH121" s="1036">
        <f t="shared" si="713"/>
        <v>0.5445000000000001</v>
      </c>
      <c r="CI121" s="1036">
        <f t="shared" si="714"/>
        <v>0.5445000000000001</v>
      </c>
      <c r="CJ121" s="1036">
        <f t="shared" si="715"/>
        <v>0.5445000000000001</v>
      </c>
      <c r="CK121" s="1036">
        <f t="shared" si="716"/>
        <v>0.5445000000000001</v>
      </c>
      <c r="CL121" s="1036">
        <v>0.5</v>
      </c>
      <c r="CM121" s="1036">
        <f t="shared" si="758"/>
        <v>0.45</v>
      </c>
      <c r="CN121" s="1036">
        <f t="shared" si="717"/>
        <v>0.45</v>
      </c>
      <c r="CO121" s="1036">
        <f t="shared" si="718"/>
        <v>0.45</v>
      </c>
      <c r="CP121" s="1036">
        <f t="shared" si="719"/>
        <v>0.49500000000000005</v>
      </c>
      <c r="CQ121" s="1036">
        <f t="shared" si="720"/>
        <v>0.5445000000000001</v>
      </c>
      <c r="CR121" s="1036">
        <f t="shared" si="721"/>
        <v>0.5445000000000001</v>
      </c>
      <c r="CS121" s="1036">
        <f t="shared" si="722"/>
        <v>0.5445000000000001</v>
      </c>
      <c r="CT121" s="1036">
        <f t="shared" si="723"/>
        <v>0.5445000000000001</v>
      </c>
      <c r="CU121" s="1036">
        <f t="shared" si="724"/>
        <v>0.5445000000000001</v>
      </c>
      <c r="CV121" s="1036">
        <f t="shared" si="725"/>
        <v>0.5445000000000001</v>
      </c>
      <c r="CW121" s="1036">
        <f t="shared" si="726"/>
        <v>0.5445000000000001</v>
      </c>
      <c r="CX121" s="1036">
        <v>0.5</v>
      </c>
      <c r="CY121" s="1036">
        <f t="shared" si="759"/>
        <v>0.45</v>
      </c>
      <c r="CZ121" s="1036">
        <f t="shared" si="727"/>
        <v>0.45</v>
      </c>
      <c r="DA121" s="1036">
        <f t="shared" si="728"/>
        <v>0.45</v>
      </c>
      <c r="DB121" s="1036">
        <f t="shared" si="729"/>
        <v>0.49500000000000005</v>
      </c>
      <c r="DC121" s="1036">
        <f t="shared" si="730"/>
        <v>0.5445000000000001</v>
      </c>
      <c r="DD121" s="1036">
        <f t="shared" si="731"/>
        <v>0.5445000000000001</v>
      </c>
      <c r="DE121" s="1036">
        <f t="shared" si="732"/>
        <v>0.5445000000000001</v>
      </c>
      <c r="DF121" s="1036">
        <f t="shared" si="733"/>
        <v>0.5445000000000001</v>
      </c>
      <c r="DG121" s="1036">
        <f t="shared" si="734"/>
        <v>0.5445000000000001</v>
      </c>
      <c r="DH121" s="1036">
        <f t="shared" si="735"/>
        <v>0.5445000000000001</v>
      </c>
      <c r="DI121" s="1036">
        <f t="shared" si="736"/>
        <v>0.5445000000000001</v>
      </c>
      <c r="DK121" s="1899"/>
      <c r="DL121" s="940" t="s">
        <v>121</v>
      </c>
      <c r="DN121" s="977">
        <v>4</v>
      </c>
      <c r="DO121" s="978">
        <f>DO107*$AJ$121</f>
        <v>2.3611111111111112</v>
      </c>
      <c r="DP121" s="978">
        <f>DP107*$AJ$121</f>
        <v>1.4166666666666667</v>
      </c>
      <c r="DQ121" s="978">
        <f>DQ107*$AJ$121</f>
        <v>4.3680555555555562</v>
      </c>
      <c r="DR121" s="979">
        <f>DR107*$AJ$121</f>
        <v>5.9500000000000011</v>
      </c>
      <c r="DT121" s="977">
        <v>4</v>
      </c>
      <c r="DU121" s="978">
        <f>DU107*$AH$121</f>
        <v>2.5</v>
      </c>
      <c r="DV121" s="978">
        <f>DV107*$AH$121</f>
        <v>1.5</v>
      </c>
      <c r="DW121" s="978">
        <f>DW107*$AH$121</f>
        <v>4.625</v>
      </c>
      <c r="DX121" s="979">
        <f>DX107*$AH$121</f>
        <v>6.3000000000000007</v>
      </c>
      <c r="DZ121" s="977">
        <v>4</v>
      </c>
      <c r="EA121" s="978">
        <f>EA107*AL$121</f>
        <v>3.1166666666666671</v>
      </c>
      <c r="EB121" s="978">
        <f>EB107*AM$121</f>
        <v>1.5583333333333336</v>
      </c>
      <c r="EC121" s="978">
        <f>EC107*AN$121</f>
        <v>3.3763888888888891</v>
      </c>
      <c r="ED121" s="979">
        <f>ED107*AO$121</f>
        <v>5.9736111111111114</v>
      </c>
      <c r="EF121" s="977">
        <f t="shared" si="737"/>
        <v>1.5</v>
      </c>
      <c r="EG121" s="978">
        <f t="shared" si="738"/>
        <v>2.9250000000000003</v>
      </c>
      <c r="EH121" s="978">
        <f t="shared" si="739"/>
        <v>5.1749999999999998</v>
      </c>
      <c r="EI121" s="978">
        <f t="shared" si="740"/>
        <v>3.6</v>
      </c>
      <c r="EJ121" s="978">
        <f t="shared" si="741"/>
        <v>1.4850000000000001</v>
      </c>
      <c r="EK121" s="978">
        <f t="shared" si="742"/>
        <v>1.6335000000000002</v>
      </c>
      <c r="EL121" s="978">
        <f t="shared" si="743"/>
        <v>2.9947500000000007</v>
      </c>
      <c r="EM121" s="978">
        <f t="shared" si="744"/>
        <v>2.4502500000000005</v>
      </c>
      <c r="EN121" s="978">
        <f t="shared" si="745"/>
        <v>1.3612500000000003</v>
      </c>
      <c r="EO121" s="978">
        <f t="shared" si="746"/>
        <v>2.4502500000000005</v>
      </c>
      <c r="EP121" s="978">
        <f t="shared" si="747"/>
        <v>2.1780000000000004</v>
      </c>
      <c r="EQ121" s="978">
        <f t="shared" si="748"/>
        <v>1.3612500000000003</v>
      </c>
      <c r="ES121" s="977">
        <f t="shared" si="760"/>
        <v>1</v>
      </c>
      <c r="ET121" s="978">
        <f t="shared" si="749"/>
        <v>0.9</v>
      </c>
      <c r="EU121" s="978">
        <f t="shared" si="749"/>
        <v>0.9</v>
      </c>
      <c r="EV121" s="978">
        <f t="shared" si="749"/>
        <v>0.9</v>
      </c>
      <c r="EW121" s="978">
        <f t="shared" si="749"/>
        <v>0.9900000000000001</v>
      </c>
      <c r="EX121" s="978">
        <f t="shared" si="749"/>
        <v>0.81675000000000009</v>
      </c>
      <c r="EY121" s="978">
        <f t="shared" si="749"/>
        <v>0.5445000000000001</v>
      </c>
      <c r="EZ121" s="978">
        <f t="shared" si="749"/>
        <v>0.81675000000000009</v>
      </c>
      <c r="FA121" s="978">
        <f t="shared" si="749"/>
        <v>1.0890000000000002</v>
      </c>
      <c r="FB121" s="978">
        <f t="shared" si="749"/>
        <v>1.0890000000000002</v>
      </c>
      <c r="FC121" s="978">
        <f t="shared" si="749"/>
        <v>1.0890000000000002</v>
      </c>
      <c r="FD121" s="979">
        <f t="shared" si="749"/>
        <v>1.0890000000000002</v>
      </c>
      <c r="FF121" s="977">
        <f t="shared" si="761"/>
        <v>1</v>
      </c>
      <c r="FG121" s="978">
        <f t="shared" si="750"/>
        <v>0.9</v>
      </c>
      <c r="FH121" s="978">
        <f t="shared" si="750"/>
        <v>0.9</v>
      </c>
      <c r="FI121" s="978">
        <f t="shared" si="750"/>
        <v>0.9</v>
      </c>
      <c r="FJ121" s="978">
        <f t="shared" si="750"/>
        <v>0.9900000000000001</v>
      </c>
      <c r="FK121" s="978">
        <f t="shared" si="750"/>
        <v>0.81675000000000009</v>
      </c>
      <c r="FL121" s="978">
        <f t="shared" si="750"/>
        <v>0.5445000000000001</v>
      </c>
      <c r="FM121" s="978">
        <f t="shared" si="750"/>
        <v>0.81675000000000009</v>
      </c>
      <c r="FN121" s="978">
        <f t="shared" si="750"/>
        <v>1.0890000000000002</v>
      </c>
      <c r="FO121" s="978">
        <f t="shared" si="750"/>
        <v>1.0890000000000002</v>
      </c>
      <c r="FP121" s="978">
        <f t="shared" si="750"/>
        <v>1.0890000000000002</v>
      </c>
      <c r="FQ121" s="979">
        <f t="shared" si="750"/>
        <v>1.0890000000000002</v>
      </c>
      <c r="FS121" s="977">
        <f t="shared" si="762"/>
        <v>1</v>
      </c>
      <c r="FT121" s="978">
        <f t="shared" si="751"/>
        <v>0.9</v>
      </c>
      <c r="FU121" s="978">
        <f t="shared" si="751"/>
        <v>0.9</v>
      </c>
      <c r="FV121" s="978">
        <f t="shared" si="751"/>
        <v>0.9</v>
      </c>
      <c r="FW121" s="978">
        <f t="shared" si="751"/>
        <v>0.9900000000000001</v>
      </c>
      <c r="FX121" s="978">
        <f t="shared" si="751"/>
        <v>0.81675000000000009</v>
      </c>
      <c r="FY121" s="978">
        <f t="shared" si="751"/>
        <v>0.5445000000000001</v>
      </c>
      <c r="FZ121" s="978">
        <f t="shared" si="751"/>
        <v>0.5445000000000001</v>
      </c>
      <c r="GA121" s="978">
        <f t="shared" si="751"/>
        <v>0.5445000000000001</v>
      </c>
      <c r="GB121" s="978">
        <f t="shared" si="751"/>
        <v>0.5445000000000001</v>
      </c>
      <c r="GC121" s="978">
        <f t="shared" si="751"/>
        <v>0.5445000000000001</v>
      </c>
      <c r="GD121" s="979">
        <f t="shared" si="751"/>
        <v>0.5445000000000001</v>
      </c>
      <c r="GF121" s="977">
        <f t="shared" si="763"/>
        <v>0.5</v>
      </c>
      <c r="GG121" s="978">
        <f t="shared" si="752"/>
        <v>0.45</v>
      </c>
      <c r="GH121" s="978">
        <f t="shared" si="752"/>
        <v>0.45</v>
      </c>
      <c r="GI121" s="978">
        <f t="shared" si="752"/>
        <v>0.45</v>
      </c>
      <c r="GJ121" s="978">
        <f t="shared" si="752"/>
        <v>0.49500000000000005</v>
      </c>
      <c r="GK121" s="978">
        <f t="shared" si="752"/>
        <v>0.5445000000000001</v>
      </c>
      <c r="GL121" s="978">
        <f t="shared" si="752"/>
        <v>0.5445000000000001</v>
      </c>
      <c r="GM121" s="978">
        <f t="shared" si="752"/>
        <v>0.5445000000000001</v>
      </c>
      <c r="GN121" s="978">
        <f t="shared" si="752"/>
        <v>0.5445000000000001</v>
      </c>
      <c r="GO121" s="978">
        <f t="shared" si="752"/>
        <v>0.5445000000000001</v>
      </c>
      <c r="GP121" s="978">
        <f t="shared" si="752"/>
        <v>0.5445000000000001</v>
      </c>
      <c r="GQ121" s="979">
        <f t="shared" si="752"/>
        <v>0.5445000000000001</v>
      </c>
      <c r="GS121" s="977">
        <f t="shared" si="764"/>
        <v>0.5</v>
      </c>
      <c r="GT121" s="978">
        <f t="shared" si="753"/>
        <v>0.45</v>
      </c>
      <c r="GU121" s="978">
        <f t="shared" si="753"/>
        <v>0.45</v>
      </c>
      <c r="GV121" s="978">
        <f t="shared" si="753"/>
        <v>0.45</v>
      </c>
      <c r="GW121" s="978">
        <f t="shared" si="753"/>
        <v>0.49500000000000005</v>
      </c>
      <c r="GX121" s="978">
        <f t="shared" si="753"/>
        <v>0.5445000000000001</v>
      </c>
      <c r="GY121" s="978">
        <f t="shared" si="753"/>
        <v>0.5445000000000001</v>
      </c>
      <c r="GZ121" s="978">
        <f t="shared" si="753"/>
        <v>0.5445000000000001</v>
      </c>
      <c r="HA121" s="978">
        <f t="shared" si="753"/>
        <v>0.5445000000000001</v>
      </c>
      <c r="HB121" s="978">
        <f t="shared" si="753"/>
        <v>0.5445000000000001</v>
      </c>
      <c r="HC121" s="978">
        <f t="shared" si="753"/>
        <v>0.5445000000000001</v>
      </c>
      <c r="HD121" s="979">
        <f t="shared" si="753"/>
        <v>0.5445000000000001</v>
      </c>
    </row>
    <row r="122" spans="2:212">
      <c r="B122" s="963"/>
      <c r="C122" s="929" t="s">
        <v>1099</v>
      </c>
      <c r="D122" s="1081"/>
      <c r="E122" s="596"/>
      <c r="F122" s="987"/>
      <c r="G122" s="988"/>
      <c r="I122" s="974"/>
      <c r="N122" s="1899"/>
      <c r="O122" s="940" t="s">
        <v>122</v>
      </c>
      <c r="P122" s="595">
        <v>1</v>
      </c>
      <c r="Q122" s="595">
        <v>0</v>
      </c>
      <c r="R122" s="595">
        <v>1</v>
      </c>
      <c r="S122" s="595">
        <v>0</v>
      </c>
      <c r="T122" s="595">
        <v>0</v>
      </c>
      <c r="U122" s="595">
        <v>1</v>
      </c>
      <c r="V122" s="595">
        <v>1</v>
      </c>
      <c r="AA122" s="1899"/>
      <c r="AB122" s="940" t="s">
        <v>122</v>
      </c>
      <c r="AC122" s="599">
        <f t="shared" si="679"/>
        <v>0.2</v>
      </c>
      <c r="AD122" s="599">
        <f>Q122/Q108</f>
        <v>0</v>
      </c>
      <c r="AE122" s="599">
        <f>R122/R108</f>
        <v>0.5</v>
      </c>
      <c r="AF122" s="599">
        <f>S122/S108</f>
        <v>0</v>
      </c>
      <c r="AG122" s="599"/>
      <c r="AH122" s="599">
        <f>U122/U108</f>
        <v>0.5</v>
      </c>
      <c r="AI122" s="599">
        <f>V122/V108</f>
        <v>0.5</v>
      </c>
      <c r="AJ122" s="935">
        <f t="shared" si="680"/>
        <v>0.28333333333333333</v>
      </c>
      <c r="AK122" s="935">
        <f t="shared" si="681"/>
        <v>0.28333333333333333</v>
      </c>
      <c r="AL122" s="935">
        <f t="shared" si="682"/>
        <v>0.3116666666666667</v>
      </c>
      <c r="AM122" s="935">
        <f t="shared" si="683"/>
        <v>0.3116666666666667</v>
      </c>
      <c r="AN122" s="935">
        <f t="shared" si="684"/>
        <v>0.3116666666666667</v>
      </c>
      <c r="AO122" s="935">
        <f t="shared" si="685"/>
        <v>0.3116666666666667</v>
      </c>
      <c r="AP122" s="1036">
        <v>0.3</v>
      </c>
      <c r="AQ122" s="1036">
        <f t="shared" si="754"/>
        <v>0.27</v>
      </c>
      <c r="AR122" s="1036">
        <f t="shared" si="754"/>
        <v>0.27</v>
      </c>
      <c r="AS122" s="1036">
        <f t="shared" si="754"/>
        <v>0.27</v>
      </c>
      <c r="AT122" s="1036">
        <f t="shared" si="754"/>
        <v>0.29700000000000004</v>
      </c>
      <c r="AU122" s="1036">
        <f t="shared" si="754"/>
        <v>0.32670000000000005</v>
      </c>
      <c r="AV122" s="1036">
        <f t="shared" si="754"/>
        <v>0.32670000000000005</v>
      </c>
      <c r="AW122" s="1036">
        <f t="shared" si="754"/>
        <v>0.32670000000000005</v>
      </c>
      <c r="AX122" s="1036">
        <f t="shared" si="754"/>
        <v>0.32670000000000005</v>
      </c>
      <c r="AY122" s="1036">
        <f t="shared" si="754"/>
        <v>0.32670000000000005</v>
      </c>
      <c r="AZ122" s="1036">
        <f t="shared" si="754"/>
        <v>0.32670000000000005</v>
      </c>
      <c r="BA122" s="1036">
        <f t="shared" si="754"/>
        <v>0.32670000000000005</v>
      </c>
      <c r="BB122" s="1036">
        <v>0.3</v>
      </c>
      <c r="BC122" s="1036">
        <f t="shared" si="755"/>
        <v>0.27</v>
      </c>
      <c r="BD122" s="1036">
        <f t="shared" si="687"/>
        <v>0.27</v>
      </c>
      <c r="BE122" s="1036">
        <f t="shared" si="688"/>
        <v>0.27</v>
      </c>
      <c r="BF122" s="1036">
        <f t="shared" si="689"/>
        <v>0.29700000000000004</v>
      </c>
      <c r="BG122" s="1036">
        <f t="shared" si="690"/>
        <v>0.32670000000000005</v>
      </c>
      <c r="BH122" s="1036">
        <f t="shared" si="691"/>
        <v>0.32670000000000005</v>
      </c>
      <c r="BI122" s="1036">
        <f t="shared" si="692"/>
        <v>0.32670000000000005</v>
      </c>
      <c r="BJ122" s="1036">
        <f t="shared" si="693"/>
        <v>0.32670000000000005</v>
      </c>
      <c r="BK122" s="1036">
        <f t="shared" si="694"/>
        <v>0.32670000000000005</v>
      </c>
      <c r="BL122" s="1036">
        <f t="shared" si="695"/>
        <v>0.32670000000000005</v>
      </c>
      <c r="BM122" s="1036">
        <f t="shared" si="696"/>
        <v>0.32670000000000005</v>
      </c>
      <c r="BN122" s="1036">
        <v>0.3</v>
      </c>
      <c r="BO122" s="1036">
        <f t="shared" si="756"/>
        <v>0.27</v>
      </c>
      <c r="BP122" s="1036">
        <f t="shared" si="697"/>
        <v>0.27</v>
      </c>
      <c r="BQ122" s="1036">
        <f t="shared" si="698"/>
        <v>0.27</v>
      </c>
      <c r="BR122" s="1036">
        <f t="shared" si="699"/>
        <v>0.29700000000000004</v>
      </c>
      <c r="BS122" s="1036">
        <f t="shared" si="700"/>
        <v>0.32670000000000005</v>
      </c>
      <c r="BT122" s="1036">
        <f t="shared" si="701"/>
        <v>0.32670000000000005</v>
      </c>
      <c r="BU122" s="1036">
        <f t="shared" si="702"/>
        <v>0.32670000000000005</v>
      </c>
      <c r="BV122" s="1036">
        <f t="shared" si="703"/>
        <v>0.32670000000000005</v>
      </c>
      <c r="BW122" s="1036">
        <f t="shared" si="704"/>
        <v>0.32670000000000005</v>
      </c>
      <c r="BX122" s="1036">
        <f t="shared" si="705"/>
        <v>0.32670000000000005</v>
      </c>
      <c r="BY122" s="1036">
        <f t="shared" si="706"/>
        <v>0.32670000000000005</v>
      </c>
      <c r="BZ122" s="1036">
        <v>0.3</v>
      </c>
      <c r="CA122" s="1036">
        <f t="shared" si="757"/>
        <v>0.27</v>
      </c>
      <c r="CB122" s="1036">
        <f t="shared" si="707"/>
        <v>0.27</v>
      </c>
      <c r="CC122" s="1036">
        <f t="shared" si="708"/>
        <v>0.27</v>
      </c>
      <c r="CD122" s="1036">
        <f t="shared" si="709"/>
        <v>0.29700000000000004</v>
      </c>
      <c r="CE122" s="1036">
        <f t="shared" si="710"/>
        <v>0.32670000000000005</v>
      </c>
      <c r="CF122" s="1036">
        <f t="shared" si="711"/>
        <v>0.32670000000000005</v>
      </c>
      <c r="CG122" s="1036">
        <f t="shared" si="712"/>
        <v>0.32670000000000005</v>
      </c>
      <c r="CH122" s="1036">
        <f t="shared" si="713"/>
        <v>0.32670000000000005</v>
      </c>
      <c r="CI122" s="1036">
        <f t="shared" si="714"/>
        <v>0.32670000000000005</v>
      </c>
      <c r="CJ122" s="1036">
        <f t="shared" si="715"/>
        <v>0.32670000000000005</v>
      </c>
      <c r="CK122" s="1036">
        <f t="shared" si="716"/>
        <v>0.32670000000000005</v>
      </c>
      <c r="CL122" s="1036">
        <v>0.3</v>
      </c>
      <c r="CM122" s="1036">
        <f t="shared" si="758"/>
        <v>0.27</v>
      </c>
      <c r="CN122" s="1036">
        <f t="shared" si="717"/>
        <v>0.27</v>
      </c>
      <c r="CO122" s="1036">
        <f t="shared" si="718"/>
        <v>0.27</v>
      </c>
      <c r="CP122" s="1036">
        <f t="shared" si="719"/>
        <v>0.29700000000000004</v>
      </c>
      <c r="CQ122" s="1036">
        <f t="shared" si="720"/>
        <v>0.32670000000000005</v>
      </c>
      <c r="CR122" s="1036">
        <f t="shared" si="721"/>
        <v>0.32670000000000005</v>
      </c>
      <c r="CS122" s="1036">
        <f t="shared" si="722"/>
        <v>0.32670000000000005</v>
      </c>
      <c r="CT122" s="1036">
        <f t="shared" si="723"/>
        <v>0.32670000000000005</v>
      </c>
      <c r="CU122" s="1036">
        <f t="shared" si="724"/>
        <v>0.32670000000000005</v>
      </c>
      <c r="CV122" s="1036">
        <f t="shared" si="725"/>
        <v>0.32670000000000005</v>
      </c>
      <c r="CW122" s="1036">
        <f t="shared" si="726"/>
        <v>0.32670000000000005</v>
      </c>
      <c r="CX122" s="1036">
        <v>0.3</v>
      </c>
      <c r="CY122" s="1036">
        <f t="shared" si="759"/>
        <v>0.27</v>
      </c>
      <c r="CZ122" s="1036">
        <f t="shared" si="727"/>
        <v>0.27</v>
      </c>
      <c r="DA122" s="1036">
        <f t="shared" si="728"/>
        <v>0.27</v>
      </c>
      <c r="DB122" s="1036">
        <f t="shared" si="729"/>
        <v>0.29700000000000004</v>
      </c>
      <c r="DC122" s="1036">
        <f t="shared" si="730"/>
        <v>0.32670000000000005</v>
      </c>
      <c r="DD122" s="1036">
        <f t="shared" si="731"/>
        <v>0.32670000000000005</v>
      </c>
      <c r="DE122" s="1036">
        <f t="shared" si="732"/>
        <v>0.32670000000000005</v>
      </c>
      <c r="DF122" s="1036">
        <f t="shared" si="733"/>
        <v>0.32670000000000005</v>
      </c>
      <c r="DG122" s="1036">
        <f t="shared" si="734"/>
        <v>0.32670000000000005</v>
      </c>
      <c r="DH122" s="1036">
        <f t="shared" si="735"/>
        <v>0.32670000000000005</v>
      </c>
      <c r="DI122" s="1036">
        <f t="shared" si="736"/>
        <v>0.32670000000000005</v>
      </c>
      <c r="DK122" s="1899"/>
      <c r="DL122" s="940" t="s">
        <v>122</v>
      </c>
      <c r="DN122" s="977">
        <v>1</v>
      </c>
      <c r="DO122" s="978">
        <f>DO108*$AJ$122</f>
        <v>1.7</v>
      </c>
      <c r="DP122" s="978">
        <f>DP108*$AJ$122</f>
        <v>1.4166666666666665</v>
      </c>
      <c r="DQ122" s="978">
        <f>DQ108*$AJ$122</f>
        <v>0.85</v>
      </c>
      <c r="DR122" s="979">
        <f>DR108*$AJ$122</f>
        <v>2.6208333333333331</v>
      </c>
      <c r="DT122" s="977">
        <v>1</v>
      </c>
      <c r="DU122" s="978">
        <f>DU108*$AH$122</f>
        <v>3</v>
      </c>
      <c r="DV122" s="978">
        <f>DV108*$AH$122</f>
        <v>2.5</v>
      </c>
      <c r="DW122" s="978">
        <f>DW108*$AH$122</f>
        <v>1.5</v>
      </c>
      <c r="DX122" s="979">
        <f>DX108*$AH$122</f>
        <v>4.625</v>
      </c>
      <c r="DZ122" s="977">
        <v>1</v>
      </c>
      <c r="EA122" s="978">
        <f>EA108*AL$122</f>
        <v>0.3116666666666667</v>
      </c>
      <c r="EB122" s="978">
        <f>EB108*AM$122</f>
        <v>1.87</v>
      </c>
      <c r="EC122" s="978">
        <f>EC108*AN$122</f>
        <v>0.93500000000000005</v>
      </c>
      <c r="ED122" s="979">
        <f>ED108*AO$122</f>
        <v>2.0258333333333334</v>
      </c>
      <c r="EF122" s="977">
        <f t="shared" si="737"/>
        <v>1.7999999999999998</v>
      </c>
      <c r="EG122" s="978">
        <f t="shared" si="738"/>
        <v>0.81</v>
      </c>
      <c r="EH122" s="978">
        <f t="shared" si="739"/>
        <v>1.7550000000000001</v>
      </c>
      <c r="EI122" s="978">
        <f t="shared" si="740"/>
        <v>3.1050000000000004</v>
      </c>
      <c r="EJ122" s="978">
        <f t="shared" si="741"/>
        <v>2.3760000000000003</v>
      </c>
      <c r="EK122" s="978">
        <f t="shared" si="742"/>
        <v>0.98010000000000019</v>
      </c>
      <c r="EL122" s="978">
        <f t="shared" si="743"/>
        <v>0.98010000000000019</v>
      </c>
      <c r="EM122" s="978">
        <f t="shared" si="744"/>
        <v>1.7968500000000003</v>
      </c>
      <c r="EN122" s="978">
        <f t="shared" si="745"/>
        <v>1.4701500000000003</v>
      </c>
      <c r="EO122" s="978">
        <f t="shared" si="746"/>
        <v>0.81675000000000009</v>
      </c>
      <c r="EP122" s="978">
        <f t="shared" si="747"/>
        <v>1.4701500000000003</v>
      </c>
      <c r="EQ122" s="978">
        <f t="shared" si="748"/>
        <v>1.3068000000000002</v>
      </c>
      <c r="ES122" s="977">
        <f t="shared" si="760"/>
        <v>0.75</v>
      </c>
      <c r="ET122" s="978">
        <f t="shared" si="749"/>
        <v>0.54</v>
      </c>
      <c r="EU122" s="978">
        <f t="shared" si="749"/>
        <v>0.54</v>
      </c>
      <c r="EV122" s="978">
        <f t="shared" si="749"/>
        <v>0.54</v>
      </c>
      <c r="EW122" s="978">
        <f t="shared" si="749"/>
        <v>0.59400000000000008</v>
      </c>
      <c r="EX122" s="978">
        <f t="shared" si="749"/>
        <v>0.65340000000000009</v>
      </c>
      <c r="EY122" s="978">
        <f t="shared" si="749"/>
        <v>0.4900500000000001</v>
      </c>
      <c r="EZ122" s="978">
        <f t="shared" si="749"/>
        <v>0.32670000000000005</v>
      </c>
      <c r="FA122" s="978">
        <f t="shared" si="749"/>
        <v>0.4900500000000001</v>
      </c>
      <c r="FB122" s="978">
        <f t="shared" si="749"/>
        <v>0.65340000000000009</v>
      </c>
      <c r="FC122" s="978">
        <f t="shared" si="749"/>
        <v>0.65340000000000009</v>
      </c>
      <c r="FD122" s="979">
        <f t="shared" si="749"/>
        <v>0.65340000000000009</v>
      </c>
      <c r="FF122" s="977">
        <f t="shared" si="761"/>
        <v>0.6</v>
      </c>
      <c r="FG122" s="978">
        <f t="shared" si="750"/>
        <v>0.54</v>
      </c>
      <c r="FH122" s="978">
        <f t="shared" si="750"/>
        <v>0.54</v>
      </c>
      <c r="FI122" s="978">
        <f t="shared" si="750"/>
        <v>0.54</v>
      </c>
      <c r="FJ122" s="978">
        <f t="shared" si="750"/>
        <v>0.59400000000000008</v>
      </c>
      <c r="FK122" s="978">
        <f t="shared" si="750"/>
        <v>0.65340000000000009</v>
      </c>
      <c r="FL122" s="978">
        <f t="shared" si="750"/>
        <v>0.4900500000000001</v>
      </c>
      <c r="FM122" s="978">
        <f t="shared" si="750"/>
        <v>0.32670000000000005</v>
      </c>
      <c r="FN122" s="978">
        <f t="shared" si="750"/>
        <v>0.4900500000000001</v>
      </c>
      <c r="FO122" s="978">
        <f t="shared" si="750"/>
        <v>0.65340000000000009</v>
      </c>
      <c r="FP122" s="978">
        <f t="shared" si="750"/>
        <v>0.65340000000000009</v>
      </c>
      <c r="FQ122" s="979">
        <f t="shared" si="750"/>
        <v>0.65340000000000009</v>
      </c>
      <c r="FS122" s="977">
        <f t="shared" si="762"/>
        <v>0.6</v>
      </c>
      <c r="FT122" s="978">
        <f t="shared" si="751"/>
        <v>0.54</v>
      </c>
      <c r="FU122" s="978">
        <f t="shared" si="751"/>
        <v>0.54</v>
      </c>
      <c r="FV122" s="978">
        <f t="shared" si="751"/>
        <v>0.54</v>
      </c>
      <c r="FW122" s="978">
        <f t="shared" si="751"/>
        <v>0.59400000000000008</v>
      </c>
      <c r="FX122" s="978">
        <f t="shared" si="751"/>
        <v>0.65340000000000009</v>
      </c>
      <c r="FY122" s="978">
        <f t="shared" si="751"/>
        <v>0.4900500000000001</v>
      </c>
      <c r="FZ122" s="978">
        <f t="shared" si="751"/>
        <v>0.32670000000000005</v>
      </c>
      <c r="GA122" s="978">
        <f t="shared" si="751"/>
        <v>0.32670000000000005</v>
      </c>
      <c r="GB122" s="978">
        <f t="shared" si="751"/>
        <v>0.32670000000000005</v>
      </c>
      <c r="GC122" s="978">
        <f t="shared" si="751"/>
        <v>0.32670000000000005</v>
      </c>
      <c r="GD122" s="979">
        <f t="shared" si="751"/>
        <v>0.32670000000000005</v>
      </c>
      <c r="GF122" s="977">
        <f t="shared" si="763"/>
        <v>0.3</v>
      </c>
      <c r="GG122" s="978">
        <f t="shared" si="752"/>
        <v>0.27</v>
      </c>
      <c r="GH122" s="978">
        <f t="shared" si="752"/>
        <v>0.27</v>
      </c>
      <c r="GI122" s="978">
        <f t="shared" si="752"/>
        <v>0.27</v>
      </c>
      <c r="GJ122" s="978">
        <f t="shared" si="752"/>
        <v>0.29700000000000004</v>
      </c>
      <c r="GK122" s="978">
        <f t="shared" si="752"/>
        <v>0.32670000000000005</v>
      </c>
      <c r="GL122" s="978">
        <f t="shared" si="752"/>
        <v>0.32670000000000005</v>
      </c>
      <c r="GM122" s="978">
        <f t="shared" si="752"/>
        <v>0.32670000000000005</v>
      </c>
      <c r="GN122" s="978">
        <f t="shared" si="752"/>
        <v>0.32670000000000005</v>
      </c>
      <c r="GO122" s="978">
        <f t="shared" si="752"/>
        <v>0.32670000000000005</v>
      </c>
      <c r="GP122" s="978">
        <f t="shared" si="752"/>
        <v>0.32670000000000005</v>
      </c>
      <c r="GQ122" s="979">
        <f t="shared" si="752"/>
        <v>0.32670000000000005</v>
      </c>
      <c r="GS122" s="977">
        <f t="shared" si="764"/>
        <v>0.3</v>
      </c>
      <c r="GT122" s="978">
        <f t="shared" si="753"/>
        <v>0.27</v>
      </c>
      <c r="GU122" s="978">
        <f t="shared" si="753"/>
        <v>0.27</v>
      </c>
      <c r="GV122" s="978">
        <f t="shared" si="753"/>
        <v>0.27</v>
      </c>
      <c r="GW122" s="978">
        <f t="shared" si="753"/>
        <v>0.29700000000000004</v>
      </c>
      <c r="GX122" s="978">
        <f t="shared" si="753"/>
        <v>0.32670000000000005</v>
      </c>
      <c r="GY122" s="978">
        <f t="shared" si="753"/>
        <v>0.32670000000000005</v>
      </c>
      <c r="GZ122" s="978">
        <f t="shared" si="753"/>
        <v>0.32670000000000005</v>
      </c>
      <c r="HA122" s="978">
        <f t="shared" si="753"/>
        <v>0.32670000000000005</v>
      </c>
      <c r="HB122" s="978">
        <f t="shared" si="753"/>
        <v>0.32670000000000005</v>
      </c>
      <c r="HC122" s="978">
        <f t="shared" si="753"/>
        <v>0.32670000000000005</v>
      </c>
      <c r="HD122" s="979">
        <f t="shared" si="753"/>
        <v>0.32670000000000005</v>
      </c>
    </row>
    <row r="123" spans="2:212" ht="15">
      <c r="B123" s="957"/>
      <c r="C123" s="957"/>
      <c r="D123" s="957"/>
      <c r="E123" s="957"/>
      <c r="F123" s="957"/>
      <c r="G123" s="957"/>
      <c r="H123" s="957"/>
      <c r="I123" s="957"/>
      <c r="N123" s="1899"/>
      <c r="O123" s="940" t="s">
        <v>123</v>
      </c>
      <c r="P123" s="595">
        <v>0</v>
      </c>
      <c r="Q123" s="595">
        <v>0</v>
      </c>
      <c r="R123" s="595">
        <v>0</v>
      </c>
      <c r="S123" s="595">
        <v>0</v>
      </c>
      <c r="T123" s="595">
        <v>0</v>
      </c>
      <c r="U123" s="595">
        <v>0</v>
      </c>
      <c r="V123" s="595">
        <v>0</v>
      </c>
      <c r="AA123" s="1899"/>
      <c r="AB123" s="940" t="s">
        <v>123</v>
      </c>
      <c r="AC123" s="599">
        <f t="shared" si="679"/>
        <v>0</v>
      </c>
      <c r="AD123" s="599">
        <f>Q123/Q109</f>
        <v>0</v>
      </c>
      <c r="AE123" s="599">
        <f>R123/R109</f>
        <v>0</v>
      </c>
      <c r="AF123" s="599">
        <f>S123/S109</f>
        <v>0</v>
      </c>
      <c r="AG123" s="599">
        <f>T123/T109</f>
        <v>0</v>
      </c>
      <c r="AH123" s="599"/>
      <c r="AI123" s="599">
        <f>V123/V109</f>
        <v>0</v>
      </c>
      <c r="AJ123" s="935">
        <f t="shared" si="680"/>
        <v>0</v>
      </c>
      <c r="AK123" s="935">
        <f t="shared" si="681"/>
        <v>0</v>
      </c>
      <c r="AL123" s="935">
        <f t="shared" si="682"/>
        <v>0</v>
      </c>
      <c r="AM123" s="935">
        <f t="shared" si="683"/>
        <v>0</v>
      </c>
      <c r="AN123" s="935">
        <f t="shared" si="684"/>
        <v>0</v>
      </c>
      <c r="AO123" s="935">
        <f t="shared" si="685"/>
        <v>0</v>
      </c>
      <c r="AP123" s="1036">
        <v>0.3</v>
      </c>
      <c r="AQ123" s="1036">
        <f t="shared" si="754"/>
        <v>0.27</v>
      </c>
      <c r="AR123" s="1036">
        <f t="shared" si="754"/>
        <v>0.27</v>
      </c>
      <c r="AS123" s="1036">
        <f t="shared" si="754"/>
        <v>0.27</v>
      </c>
      <c r="AT123" s="1036">
        <f t="shared" si="754"/>
        <v>0.29700000000000004</v>
      </c>
      <c r="AU123" s="1036">
        <f t="shared" si="754"/>
        <v>0.32670000000000005</v>
      </c>
      <c r="AV123" s="1036">
        <f t="shared" si="754"/>
        <v>0.32670000000000005</v>
      </c>
      <c r="AW123" s="1036">
        <f t="shared" si="754"/>
        <v>0.32670000000000005</v>
      </c>
      <c r="AX123" s="1036">
        <f t="shared" si="754"/>
        <v>0.32670000000000005</v>
      </c>
      <c r="AY123" s="1036">
        <f t="shared" si="754"/>
        <v>0.32670000000000005</v>
      </c>
      <c r="AZ123" s="1036">
        <f t="shared" si="754"/>
        <v>0.32670000000000005</v>
      </c>
      <c r="BA123" s="1036">
        <f t="shared" si="754"/>
        <v>0.32670000000000005</v>
      </c>
      <c r="BB123" s="1036">
        <v>0.3</v>
      </c>
      <c r="BC123" s="1036">
        <f t="shared" si="755"/>
        <v>0.27</v>
      </c>
      <c r="BD123" s="1036">
        <f t="shared" si="687"/>
        <v>0.27</v>
      </c>
      <c r="BE123" s="1036">
        <f t="shared" si="688"/>
        <v>0.27</v>
      </c>
      <c r="BF123" s="1036">
        <f t="shared" si="689"/>
        <v>0.29700000000000004</v>
      </c>
      <c r="BG123" s="1036">
        <f t="shared" si="690"/>
        <v>0.32670000000000005</v>
      </c>
      <c r="BH123" s="1036">
        <f t="shared" si="691"/>
        <v>0.32670000000000005</v>
      </c>
      <c r="BI123" s="1036">
        <f t="shared" si="692"/>
        <v>0.32670000000000005</v>
      </c>
      <c r="BJ123" s="1036">
        <f t="shared" si="693"/>
        <v>0.32670000000000005</v>
      </c>
      <c r="BK123" s="1036">
        <f t="shared" si="694"/>
        <v>0.32670000000000005</v>
      </c>
      <c r="BL123" s="1036">
        <f t="shared" si="695"/>
        <v>0.32670000000000005</v>
      </c>
      <c r="BM123" s="1036">
        <f t="shared" si="696"/>
        <v>0.32670000000000005</v>
      </c>
      <c r="BN123" s="1036">
        <v>0.3</v>
      </c>
      <c r="BO123" s="1036">
        <f t="shared" si="756"/>
        <v>0.27</v>
      </c>
      <c r="BP123" s="1036">
        <f t="shared" si="697"/>
        <v>0.27</v>
      </c>
      <c r="BQ123" s="1036">
        <f t="shared" si="698"/>
        <v>0.27</v>
      </c>
      <c r="BR123" s="1036">
        <f t="shared" si="699"/>
        <v>0.29700000000000004</v>
      </c>
      <c r="BS123" s="1036">
        <f t="shared" si="700"/>
        <v>0.32670000000000005</v>
      </c>
      <c r="BT123" s="1036">
        <f t="shared" si="701"/>
        <v>0.32670000000000005</v>
      </c>
      <c r="BU123" s="1036">
        <f t="shared" si="702"/>
        <v>0.32670000000000005</v>
      </c>
      <c r="BV123" s="1036">
        <f t="shared" si="703"/>
        <v>0.32670000000000005</v>
      </c>
      <c r="BW123" s="1036">
        <f t="shared" si="704"/>
        <v>0.32670000000000005</v>
      </c>
      <c r="BX123" s="1036">
        <f t="shared" si="705"/>
        <v>0.32670000000000005</v>
      </c>
      <c r="BY123" s="1036">
        <f t="shared" si="706"/>
        <v>0.32670000000000005</v>
      </c>
      <c r="BZ123" s="1036">
        <v>0.3</v>
      </c>
      <c r="CA123" s="1036">
        <f t="shared" si="757"/>
        <v>0.27</v>
      </c>
      <c r="CB123" s="1036">
        <f t="shared" si="707"/>
        <v>0.27</v>
      </c>
      <c r="CC123" s="1036">
        <f t="shared" si="708"/>
        <v>0.27</v>
      </c>
      <c r="CD123" s="1036">
        <f t="shared" si="709"/>
        <v>0.29700000000000004</v>
      </c>
      <c r="CE123" s="1036">
        <f t="shared" si="710"/>
        <v>0.32670000000000005</v>
      </c>
      <c r="CF123" s="1036">
        <f t="shared" si="711"/>
        <v>0.32670000000000005</v>
      </c>
      <c r="CG123" s="1036">
        <f t="shared" si="712"/>
        <v>0.32670000000000005</v>
      </c>
      <c r="CH123" s="1036">
        <f t="shared" si="713"/>
        <v>0.32670000000000005</v>
      </c>
      <c r="CI123" s="1036">
        <f t="shared" si="714"/>
        <v>0.32670000000000005</v>
      </c>
      <c r="CJ123" s="1036">
        <f t="shared" si="715"/>
        <v>0.32670000000000005</v>
      </c>
      <c r="CK123" s="1036">
        <f t="shared" si="716"/>
        <v>0.32670000000000005</v>
      </c>
      <c r="CL123" s="1036">
        <v>0.3</v>
      </c>
      <c r="CM123" s="1036">
        <f t="shared" si="758"/>
        <v>0.27</v>
      </c>
      <c r="CN123" s="1036">
        <f t="shared" si="717"/>
        <v>0.27</v>
      </c>
      <c r="CO123" s="1036">
        <f t="shared" si="718"/>
        <v>0.27</v>
      </c>
      <c r="CP123" s="1036">
        <f t="shared" si="719"/>
        <v>0.29700000000000004</v>
      </c>
      <c r="CQ123" s="1036">
        <f t="shared" si="720"/>
        <v>0.32670000000000005</v>
      </c>
      <c r="CR123" s="1036">
        <f t="shared" si="721"/>
        <v>0.32670000000000005</v>
      </c>
      <c r="CS123" s="1036">
        <f t="shared" si="722"/>
        <v>0.32670000000000005</v>
      </c>
      <c r="CT123" s="1036">
        <f t="shared" si="723"/>
        <v>0.32670000000000005</v>
      </c>
      <c r="CU123" s="1036">
        <f t="shared" si="724"/>
        <v>0.32670000000000005</v>
      </c>
      <c r="CV123" s="1036">
        <f t="shared" si="725"/>
        <v>0.32670000000000005</v>
      </c>
      <c r="CW123" s="1036">
        <f t="shared" si="726"/>
        <v>0.32670000000000005</v>
      </c>
      <c r="CX123" s="1036">
        <v>0.3</v>
      </c>
      <c r="CY123" s="1036">
        <f t="shared" si="759"/>
        <v>0.27</v>
      </c>
      <c r="CZ123" s="1036">
        <f t="shared" si="727"/>
        <v>0.27</v>
      </c>
      <c r="DA123" s="1036">
        <f t="shared" si="728"/>
        <v>0.27</v>
      </c>
      <c r="DB123" s="1036">
        <f t="shared" si="729"/>
        <v>0.29700000000000004</v>
      </c>
      <c r="DC123" s="1036">
        <f t="shared" si="730"/>
        <v>0.32670000000000005</v>
      </c>
      <c r="DD123" s="1036">
        <f t="shared" si="731"/>
        <v>0.32670000000000005</v>
      </c>
      <c r="DE123" s="1036">
        <f t="shared" si="732"/>
        <v>0.32670000000000005</v>
      </c>
      <c r="DF123" s="1036">
        <f t="shared" si="733"/>
        <v>0.32670000000000005</v>
      </c>
      <c r="DG123" s="1036">
        <f t="shared" si="734"/>
        <v>0.32670000000000005</v>
      </c>
      <c r="DH123" s="1036">
        <f t="shared" si="735"/>
        <v>0.32670000000000005</v>
      </c>
      <c r="DI123" s="1036">
        <f t="shared" si="736"/>
        <v>0.32670000000000005</v>
      </c>
      <c r="DK123" s="1899"/>
      <c r="DL123" s="940" t="s">
        <v>123</v>
      </c>
      <c r="DN123" s="977">
        <v>1</v>
      </c>
      <c r="DO123" s="978">
        <f>DO109*$AJ$123</f>
        <v>0</v>
      </c>
      <c r="DP123" s="978">
        <f>DP109*$AJ$123</f>
        <v>0</v>
      </c>
      <c r="DQ123" s="978">
        <f>DQ109*$AJ$123</f>
        <v>0</v>
      </c>
      <c r="DR123" s="979">
        <f>DR109*$AJ$123</f>
        <v>0</v>
      </c>
      <c r="DT123" s="977">
        <v>1</v>
      </c>
      <c r="DU123" s="978">
        <f>DU109*$AH$123</f>
        <v>0</v>
      </c>
      <c r="DV123" s="978">
        <f>DV109*$AH$123</f>
        <v>0</v>
      </c>
      <c r="DW123" s="978">
        <f>DW109*$AH$123</f>
        <v>0</v>
      </c>
      <c r="DX123" s="979">
        <f>DX109*$AH$123</f>
        <v>0</v>
      </c>
      <c r="DZ123" s="977">
        <v>1</v>
      </c>
      <c r="EA123" s="978">
        <f>EA109*AL$123</f>
        <v>0</v>
      </c>
      <c r="EB123" s="978">
        <f>EB109*AM$123</f>
        <v>0</v>
      </c>
      <c r="EC123" s="978">
        <f>EC109*AN$123</f>
        <v>0</v>
      </c>
      <c r="ED123" s="979">
        <f>ED109*AO$123</f>
        <v>0</v>
      </c>
      <c r="EF123" s="977">
        <f t="shared" si="737"/>
        <v>0.3</v>
      </c>
      <c r="EG123" s="978">
        <f t="shared" si="738"/>
        <v>1.62</v>
      </c>
      <c r="EH123" s="978">
        <f t="shared" si="739"/>
        <v>0.81</v>
      </c>
      <c r="EI123" s="978">
        <f t="shared" si="740"/>
        <v>1.7550000000000001</v>
      </c>
      <c r="EJ123" s="978">
        <f t="shared" si="741"/>
        <v>3.4155000000000006</v>
      </c>
      <c r="EK123" s="978">
        <f t="shared" si="742"/>
        <v>2.6136000000000004</v>
      </c>
      <c r="EL123" s="978">
        <f t="shared" si="743"/>
        <v>0.98010000000000019</v>
      </c>
      <c r="EM123" s="978">
        <f t="shared" si="744"/>
        <v>0.98010000000000019</v>
      </c>
      <c r="EN123" s="978">
        <f t="shared" si="745"/>
        <v>1.7968500000000003</v>
      </c>
      <c r="EO123" s="978">
        <f t="shared" si="746"/>
        <v>1.4701500000000003</v>
      </c>
      <c r="EP123" s="978">
        <f t="shared" si="747"/>
        <v>0.81675000000000009</v>
      </c>
      <c r="EQ123" s="978">
        <f t="shared" si="748"/>
        <v>1.4701500000000003</v>
      </c>
      <c r="ES123" s="977">
        <f t="shared" si="760"/>
        <v>1.2</v>
      </c>
      <c r="ET123" s="978">
        <f t="shared" si="749"/>
        <v>0.67500000000000004</v>
      </c>
      <c r="EU123" s="978">
        <f t="shared" si="749"/>
        <v>0.54</v>
      </c>
      <c r="EV123" s="978">
        <f t="shared" si="749"/>
        <v>0.54</v>
      </c>
      <c r="EW123" s="978">
        <f t="shared" si="749"/>
        <v>0.59400000000000008</v>
      </c>
      <c r="EX123" s="978">
        <f t="shared" si="749"/>
        <v>0.65340000000000009</v>
      </c>
      <c r="EY123" s="978">
        <f t="shared" si="749"/>
        <v>0.65340000000000009</v>
      </c>
      <c r="EZ123" s="978">
        <f t="shared" si="749"/>
        <v>0.4900500000000001</v>
      </c>
      <c r="FA123" s="978">
        <f t="shared" si="749"/>
        <v>0.32670000000000005</v>
      </c>
      <c r="FB123" s="978">
        <f t="shared" si="749"/>
        <v>0.4900500000000001</v>
      </c>
      <c r="FC123" s="978">
        <f t="shared" si="749"/>
        <v>0.65340000000000009</v>
      </c>
      <c r="FD123" s="979">
        <f t="shared" si="749"/>
        <v>0.65340000000000009</v>
      </c>
      <c r="FF123" s="977">
        <f t="shared" si="761"/>
        <v>0.6</v>
      </c>
      <c r="FG123" s="978">
        <f t="shared" si="750"/>
        <v>0.54</v>
      </c>
      <c r="FH123" s="978">
        <f t="shared" si="750"/>
        <v>0.54</v>
      </c>
      <c r="FI123" s="978">
        <f t="shared" si="750"/>
        <v>0.54</v>
      </c>
      <c r="FJ123" s="978">
        <f t="shared" si="750"/>
        <v>0.59400000000000008</v>
      </c>
      <c r="FK123" s="978">
        <f t="shared" si="750"/>
        <v>0.65340000000000009</v>
      </c>
      <c r="FL123" s="978">
        <f t="shared" si="750"/>
        <v>0.65340000000000009</v>
      </c>
      <c r="FM123" s="978">
        <f t="shared" si="750"/>
        <v>0.4900500000000001</v>
      </c>
      <c r="FN123" s="978">
        <f t="shared" si="750"/>
        <v>0.32670000000000005</v>
      </c>
      <c r="FO123" s="978">
        <f t="shared" si="750"/>
        <v>0.4900500000000001</v>
      </c>
      <c r="FP123" s="978">
        <f t="shared" si="750"/>
        <v>0.65340000000000009</v>
      </c>
      <c r="FQ123" s="979">
        <f t="shared" si="750"/>
        <v>0.65340000000000009</v>
      </c>
      <c r="FS123" s="977">
        <f t="shared" si="762"/>
        <v>0.6</v>
      </c>
      <c r="FT123" s="978">
        <f t="shared" si="751"/>
        <v>0.54</v>
      </c>
      <c r="FU123" s="978">
        <f t="shared" si="751"/>
        <v>0.54</v>
      </c>
      <c r="FV123" s="978">
        <f t="shared" si="751"/>
        <v>0.54</v>
      </c>
      <c r="FW123" s="978">
        <f t="shared" si="751"/>
        <v>0.59400000000000008</v>
      </c>
      <c r="FX123" s="978">
        <f t="shared" si="751"/>
        <v>0.65340000000000009</v>
      </c>
      <c r="FY123" s="978">
        <f t="shared" si="751"/>
        <v>0.65340000000000009</v>
      </c>
      <c r="FZ123" s="978">
        <f t="shared" si="751"/>
        <v>0.4900500000000001</v>
      </c>
      <c r="GA123" s="978">
        <f t="shared" si="751"/>
        <v>0.32670000000000005</v>
      </c>
      <c r="GB123" s="978">
        <f t="shared" si="751"/>
        <v>0.32670000000000005</v>
      </c>
      <c r="GC123" s="978">
        <f t="shared" si="751"/>
        <v>0.32670000000000005</v>
      </c>
      <c r="GD123" s="979">
        <f t="shared" si="751"/>
        <v>0.32670000000000005</v>
      </c>
      <c r="GF123" s="977">
        <f t="shared" si="763"/>
        <v>0.3</v>
      </c>
      <c r="GG123" s="978">
        <f t="shared" si="752"/>
        <v>0.27</v>
      </c>
      <c r="GH123" s="978">
        <f t="shared" si="752"/>
        <v>0.27</v>
      </c>
      <c r="GI123" s="978">
        <f t="shared" si="752"/>
        <v>0.27</v>
      </c>
      <c r="GJ123" s="978">
        <f t="shared" si="752"/>
        <v>0.29700000000000004</v>
      </c>
      <c r="GK123" s="978">
        <f t="shared" si="752"/>
        <v>0.32670000000000005</v>
      </c>
      <c r="GL123" s="978">
        <f t="shared" si="752"/>
        <v>0.32670000000000005</v>
      </c>
      <c r="GM123" s="978">
        <f t="shared" si="752"/>
        <v>0.32670000000000005</v>
      </c>
      <c r="GN123" s="978">
        <f t="shared" si="752"/>
        <v>0.32670000000000005</v>
      </c>
      <c r="GO123" s="978">
        <f t="shared" si="752"/>
        <v>0.32670000000000005</v>
      </c>
      <c r="GP123" s="978">
        <f t="shared" si="752"/>
        <v>0.32670000000000005</v>
      </c>
      <c r="GQ123" s="979">
        <f t="shared" si="752"/>
        <v>0.32670000000000005</v>
      </c>
      <c r="GS123" s="977">
        <f t="shared" si="764"/>
        <v>0.3</v>
      </c>
      <c r="GT123" s="978">
        <f t="shared" si="753"/>
        <v>0.27</v>
      </c>
      <c r="GU123" s="978">
        <f t="shared" si="753"/>
        <v>0.27</v>
      </c>
      <c r="GV123" s="978">
        <f t="shared" si="753"/>
        <v>0.27</v>
      </c>
      <c r="GW123" s="978">
        <f t="shared" si="753"/>
        <v>0.29700000000000004</v>
      </c>
      <c r="GX123" s="978">
        <f t="shared" si="753"/>
        <v>0.32670000000000005</v>
      </c>
      <c r="GY123" s="978">
        <f t="shared" si="753"/>
        <v>0.32670000000000005</v>
      </c>
      <c r="GZ123" s="978">
        <f t="shared" si="753"/>
        <v>0.32670000000000005</v>
      </c>
      <c r="HA123" s="978">
        <f t="shared" si="753"/>
        <v>0.32670000000000005</v>
      </c>
      <c r="HB123" s="978">
        <f t="shared" si="753"/>
        <v>0.32670000000000005</v>
      </c>
      <c r="HC123" s="978">
        <f t="shared" si="753"/>
        <v>0.32670000000000005</v>
      </c>
      <c r="HD123" s="979">
        <f t="shared" si="753"/>
        <v>0.32670000000000005</v>
      </c>
    </row>
    <row r="124" spans="2:212">
      <c r="B124" s="960"/>
      <c r="C124" s="960"/>
      <c r="D124" s="960"/>
      <c r="E124" s="960"/>
      <c r="F124" s="960"/>
      <c r="G124" s="960"/>
      <c r="H124" s="964"/>
      <c r="I124" s="964"/>
      <c r="N124" s="1899"/>
      <c r="O124" s="940" t="s">
        <v>124</v>
      </c>
      <c r="P124" s="595">
        <v>0</v>
      </c>
      <c r="Q124" s="595">
        <v>0</v>
      </c>
      <c r="R124" s="595">
        <v>2</v>
      </c>
      <c r="S124" s="595">
        <v>0</v>
      </c>
      <c r="T124" s="595">
        <v>0</v>
      </c>
      <c r="U124" s="595">
        <v>0</v>
      </c>
      <c r="V124" s="595">
        <v>0</v>
      </c>
      <c r="AA124" s="1899"/>
      <c r="AB124" s="940" t="s">
        <v>124</v>
      </c>
      <c r="AC124" s="599">
        <f t="shared" si="679"/>
        <v>0</v>
      </c>
      <c r="AD124" s="599">
        <f>Q124/Q110</f>
        <v>0</v>
      </c>
      <c r="AE124" s="599">
        <f>R124/R110</f>
        <v>0.4</v>
      </c>
      <c r="AF124" s="599">
        <f>S124/S110</f>
        <v>0</v>
      </c>
      <c r="AG124" s="599">
        <f>T124/T110</f>
        <v>0</v>
      </c>
      <c r="AH124" s="599">
        <f>U124/U110</f>
        <v>0</v>
      </c>
      <c r="AI124" s="599"/>
      <c r="AJ124" s="935">
        <f t="shared" si="680"/>
        <v>6.6666666666666666E-2</v>
      </c>
      <c r="AK124" s="935">
        <f t="shared" si="681"/>
        <v>6.6666666666666666E-2</v>
      </c>
      <c r="AL124" s="935">
        <f t="shared" si="682"/>
        <v>7.3333333333333334E-2</v>
      </c>
      <c r="AM124" s="935">
        <f t="shared" si="683"/>
        <v>7.3333333333333334E-2</v>
      </c>
      <c r="AN124" s="935">
        <f t="shared" si="684"/>
        <v>7.3333333333333334E-2</v>
      </c>
      <c r="AO124" s="935">
        <f t="shared" si="685"/>
        <v>7.3333333333333334E-2</v>
      </c>
      <c r="AP124" s="1036">
        <v>0.2</v>
      </c>
      <c r="AQ124" s="1036">
        <f t="shared" si="754"/>
        <v>0.18000000000000002</v>
      </c>
      <c r="AR124" s="1036">
        <f t="shared" si="754"/>
        <v>0.18000000000000002</v>
      </c>
      <c r="AS124" s="1036">
        <f t="shared" si="754"/>
        <v>0.18000000000000002</v>
      </c>
      <c r="AT124" s="1036">
        <f t="shared" si="754"/>
        <v>0.19800000000000004</v>
      </c>
      <c r="AU124" s="1036">
        <f t="shared" si="754"/>
        <v>0.21780000000000005</v>
      </c>
      <c r="AV124" s="1036">
        <f t="shared" si="754"/>
        <v>0.21780000000000005</v>
      </c>
      <c r="AW124" s="1036">
        <f t="shared" si="754"/>
        <v>0.21780000000000005</v>
      </c>
      <c r="AX124" s="1036">
        <f t="shared" si="754"/>
        <v>0.21780000000000005</v>
      </c>
      <c r="AY124" s="1036">
        <f t="shared" si="754"/>
        <v>0.21780000000000005</v>
      </c>
      <c r="AZ124" s="1036">
        <f t="shared" si="754"/>
        <v>0.21780000000000005</v>
      </c>
      <c r="BA124" s="1036">
        <f t="shared" si="754"/>
        <v>0.21780000000000005</v>
      </c>
      <c r="BB124" s="1036">
        <v>0.2</v>
      </c>
      <c r="BC124" s="1036">
        <f t="shared" si="755"/>
        <v>0.18000000000000002</v>
      </c>
      <c r="BD124" s="1036">
        <f t="shared" si="687"/>
        <v>0.18000000000000002</v>
      </c>
      <c r="BE124" s="1036">
        <f t="shared" si="688"/>
        <v>0.18000000000000002</v>
      </c>
      <c r="BF124" s="1036">
        <f t="shared" si="689"/>
        <v>0.19800000000000004</v>
      </c>
      <c r="BG124" s="1036">
        <f t="shared" si="690"/>
        <v>0.21780000000000005</v>
      </c>
      <c r="BH124" s="1036">
        <f t="shared" si="691"/>
        <v>0.21780000000000005</v>
      </c>
      <c r="BI124" s="1036">
        <f t="shared" si="692"/>
        <v>0.21780000000000005</v>
      </c>
      <c r="BJ124" s="1036">
        <f t="shared" si="693"/>
        <v>0.21780000000000005</v>
      </c>
      <c r="BK124" s="1036">
        <f t="shared" si="694"/>
        <v>0.21780000000000005</v>
      </c>
      <c r="BL124" s="1036">
        <f t="shared" si="695"/>
        <v>0.21780000000000005</v>
      </c>
      <c r="BM124" s="1036">
        <f t="shared" si="696"/>
        <v>0.21780000000000005</v>
      </c>
      <c r="BN124" s="1036">
        <v>0.2</v>
      </c>
      <c r="BO124" s="1036">
        <f t="shared" si="756"/>
        <v>0.18000000000000002</v>
      </c>
      <c r="BP124" s="1036">
        <f t="shared" si="697"/>
        <v>0.18000000000000002</v>
      </c>
      <c r="BQ124" s="1036">
        <f t="shared" si="698"/>
        <v>0.18000000000000002</v>
      </c>
      <c r="BR124" s="1036">
        <f t="shared" si="699"/>
        <v>0.19800000000000004</v>
      </c>
      <c r="BS124" s="1036">
        <f t="shared" si="700"/>
        <v>0.21780000000000005</v>
      </c>
      <c r="BT124" s="1036">
        <f t="shared" si="701"/>
        <v>0.21780000000000005</v>
      </c>
      <c r="BU124" s="1036">
        <f t="shared" si="702"/>
        <v>0.21780000000000005</v>
      </c>
      <c r="BV124" s="1036">
        <f t="shared" si="703"/>
        <v>0.21780000000000005</v>
      </c>
      <c r="BW124" s="1036">
        <f t="shared" si="704"/>
        <v>0.21780000000000005</v>
      </c>
      <c r="BX124" s="1036">
        <f t="shared" si="705"/>
        <v>0.21780000000000005</v>
      </c>
      <c r="BY124" s="1036">
        <f t="shared" si="706"/>
        <v>0.21780000000000005</v>
      </c>
      <c r="BZ124" s="1036">
        <v>0.2</v>
      </c>
      <c r="CA124" s="1036">
        <f t="shared" si="757"/>
        <v>0.18000000000000002</v>
      </c>
      <c r="CB124" s="1036">
        <f t="shared" si="707"/>
        <v>0.18000000000000002</v>
      </c>
      <c r="CC124" s="1036">
        <f t="shared" si="708"/>
        <v>0.18000000000000002</v>
      </c>
      <c r="CD124" s="1036">
        <f t="shared" si="709"/>
        <v>0.19800000000000004</v>
      </c>
      <c r="CE124" s="1036">
        <f t="shared" si="710"/>
        <v>0.21780000000000005</v>
      </c>
      <c r="CF124" s="1036">
        <f t="shared" si="711"/>
        <v>0.21780000000000005</v>
      </c>
      <c r="CG124" s="1036">
        <f t="shared" si="712"/>
        <v>0.21780000000000005</v>
      </c>
      <c r="CH124" s="1036">
        <f t="shared" si="713"/>
        <v>0.21780000000000005</v>
      </c>
      <c r="CI124" s="1036">
        <f t="shared" si="714"/>
        <v>0.21780000000000005</v>
      </c>
      <c r="CJ124" s="1036">
        <f t="shared" si="715"/>
        <v>0.21780000000000005</v>
      </c>
      <c r="CK124" s="1036">
        <f t="shared" si="716"/>
        <v>0.21780000000000005</v>
      </c>
      <c r="CL124" s="1036">
        <v>0.2</v>
      </c>
      <c r="CM124" s="1036">
        <f t="shared" si="758"/>
        <v>0.18000000000000002</v>
      </c>
      <c r="CN124" s="1036">
        <f t="shared" si="717"/>
        <v>0.18000000000000002</v>
      </c>
      <c r="CO124" s="1036">
        <f t="shared" si="718"/>
        <v>0.18000000000000002</v>
      </c>
      <c r="CP124" s="1036">
        <f t="shared" si="719"/>
        <v>0.19800000000000004</v>
      </c>
      <c r="CQ124" s="1036">
        <f t="shared" si="720"/>
        <v>0.21780000000000005</v>
      </c>
      <c r="CR124" s="1036">
        <f t="shared" si="721"/>
        <v>0.21780000000000005</v>
      </c>
      <c r="CS124" s="1036">
        <f t="shared" si="722"/>
        <v>0.21780000000000005</v>
      </c>
      <c r="CT124" s="1036">
        <f t="shared" si="723"/>
        <v>0.21780000000000005</v>
      </c>
      <c r="CU124" s="1036">
        <f t="shared" si="724"/>
        <v>0.21780000000000005</v>
      </c>
      <c r="CV124" s="1036">
        <f t="shared" si="725"/>
        <v>0.21780000000000005</v>
      </c>
      <c r="CW124" s="1036">
        <f t="shared" si="726"/>
        <v>0.21780000000000005</v>
      </c>
      <c r="CX124" s="1036">
        <v>0.2</v>
      </c>
      <c r="CY124" s="1036">
        <f t="shared" si="759"/>
        <v>0.18000000000000002</v>
      </c>
      <c r="CZ124" s="1036">
        <f t="shared" si="727"/>
        <v>0.18000000000000002</v>
      </c>
      <c r="DA124" s="1036">
        <f t="shared" si="728"/>
        <v>0.18000000000000002</v>
      </c>
      <c r="DB124" s="1036">
        <f t="shared" si="729"/>
        <v>0.19800000000000004</v>
      </c>
      <c r="DC124" s="1036">
        <f t="shared" si="730"/>
        <v>0.21780000000000005</v>
      </c>
      <c r="DD124" s="1036">
        <f t="shared" si="731"/>
        <v>0.21780000000000005</v>
      </c>
      <c r="DE124" s="1036">
        <f t="shared" si="732"/>
        <v>0.21780000000000005</v>
      </c>
      <c r="DF124" s="1036">
        <f t="shared" si="733"/>
        <v>0.21780000000000005</v>
      </c>
      <c r="DG124" s="1036">
        <f t="shared" si="734"/>
        <v>0.21780000000000005</v>
      </c>
      <c r="DH124" s="1036">
        <f t="shared" si="735"/>
        <v>0.21780000000000005</v>
      </c>
      <c r="DI124" s="1036">
        <f t="shared" si="736"/>
        <v>0.21780000000000005</v>
      </c>
      <c r="DK124" s="1899"/>
      <c r="DL124" s="940" t="s">
        <v>124</v>
      </c>
      <c r="DN124" s="977">
        <f>DN110*$AJ$124</f>
        <v>0</v>
      </c>
      <c r="DO124" s="978">
        <f>DO110*$AJ$124</f>
        <v>0.13333333333333333</v>
      </c>
      <c r="DP124" s="978">
        <f>DP110*$AJ$124</f>
        <v>0.2</v>
      </c>
      <c r="DQ124" s="978">
        <f>DQ110*$AJ$124</f>
        <v>0.4</v>
      </c>
      <c r="DR124" s="979">
        <f>DR110*$AJ$124</f>
        <v>0.33333333333333331</v>
      </c>
      <c r="DT124" s="977">
        <f>DT110*$AH$124</f>
        <v>0</v>
      </c>
      <c r="DU124" s="978">
        <f>DU110*$AH$124</f>
        <v>0</v>
      </c>
      <c r="DV124" s="978">
        <f>DV110*$AH$124</f>
        <v>0</v>
      </c>
      <c r="DW124" s="978">
        <f>DW110*$AH$124</f>
        <v>0</v>
      </c>
      <c r="DX124" s="979">
        <f>DX110*$AH$124</f>
        <v>0</v>
      </c>
      <c r="DZ124" s="977">
        <f>DZ110*AK$124</f>
        <v>0</v>
      </c>
      <c r="EA124" s="978">
        <f>EA110*AL$124</f>
        <v>0</v>
      </c>
      <c r="EB124" s="978">
        <f>EB110*AM$124</f>
        <v>7.3333333333333334E-2</v>
      </c>
      <c r="EC124" s="978">
        <f>EC110*AN$124</f>
        <v>7.3333333333333334E-2</v>
      </c>
      <c r="ED124" s="979">
        <f>ED110*AO$124</f>
        <v>0.44</v>
      </c>
      <c r="EF124" s="977">
        <f t="shared" si="737"/>
        <v>0.2</v>
      </c>
      <c r="EG124" s="978">
        <f t="shared" si="738"/>
        <v>0.18000000000000002</v>
      </c>
      <c r="EH124" s="978">
        <f t="shared" si="739"/>
        <v>1.08</v>
      </c>
      <c r="EI124" s="978">
        <f t="shared" si="740"/>
        <v>0.54</v>
      </c>
      <c r="EJ124" s="978">
        <f t="shared" si="741"/>
        <v>1.2870000000000001</v>
      </c>
      <c r="EK124" s="978">
        <f t="shared" si="742"/>
        <v>2.5047000000000006</v>
      </c>
      <c r="EL124" s="978">
        <f t="shared" si="743"/>
        <v>1.7424000000000004</v>
      </c>
      <c r="EM124" s="978">
        <f t="shared" si="744"/>
        <v>0.6534000000000002</v>
      </c>
      <c r="EN124" s="978">
        <f t="shared" si="745"/>
        <v>0.6534000000000002</v>
      </c>
      <c r="EO124" s="978">
        <f t="shared" si="746"/>
        <v>1.1979000000000002</v>
      </c>
      <c r="EP124" s="978">
        <f t="shared" si="747"/>
        <v>0.98010000000000019</v>
      </c>
      <c r="EQ124" s="978">
        <f t="shared" si="748"/>
        <v>0.5445000000000001</v>
      </c>
      <c r="ES124" s="977">
        <f t="shared" si="760"/>
        <v>0.9</v>
      </c>
      <c r="ET124" s="978">
        <f t="shared" si="749"/>
        <v>0.72000000000000008</v>
      </c>
      <c r="EU124" s="978">
        <f t="shared" si="749"/>
        <v>0.45000000000000007</v>
      </c>
      <c r="EV124" s="978">
        <f t="shared" si="749"/>
        <v>0.36000000000000004</v>
      </c>
      <c r="EW124" s="978">
        <f t="shared" si="749"/>
        <v>0.39600000000000007</v>
      </c>
      <c r="EX124" s="978">
        <f t="shared" si="749"/>
        <v>0.4356000000000001</v>
      </c>
      <c r="EY124" s="978">
        <f t="shared" si="749"/>
        <v>0.4356000000000001</v>
      </c>
      <c r="EZ124" s="978">
        <f t="shared" si="749"/>
        <v>0.4356000000000001</v>
      </c>
      <c r="FA124" s="978">
        <f t="shared" si="749"/>
        <v>0.3267000000000001</v>
      </c>
      <c r="FB124" s="978">
        <f t="shared" si="749"/>
        <v>0.21780000000000005</v>
      </c>
      <c r="FC124" s="978">
        <f t="shared" si="749"/>
        <v>0.3267000000000001</v>
      </c>
      <c r="FD124" s="979">
        <f t="shared" si="749"/>
        <v>0.4356000000000001</v>
      </c>
      <c r="FF124" s="977">
        <f t="shared" si="761"/>
        <v>0.4</v>
      </c>
      <c r="FG124" s="978">
        <f t="shared" si="750"/>
        <v>0.36000000000000004</v>
      </c>
      <c r="FH124" s="978">
        <f t="shared" si="750"/>
        <v>0.36000000000000004</v>
      </c>
      <c r="FI124" s="978">
        <f t="shared" si="750"/>
        <v>0.36000000000000004</v>
      </c>
      <c r="FJ124" s="978">
        <f t="shared" si="750"/>
        <v>0.39600000000000007</v>
      </c>
      <c r="FK124" s="978">
        <f t="shared" si="750"/>
        <v>0.4356000000000001</v>
      </c>
      <c r="FL124" s="978">
        <f t="shared" si="750"/>
        <v>0.4356000000000001</v>
      </c>
      <c r="FM124" s="978">
        <f t="shared" si="750"/>
        <v>0.4356000000000001</v>
      </c>
      <c r="FN124" s="978">
        <f t="shared" si="750"/>
        <v>0.3267000000000001</v>
      </c>
      <c r="FO124" s="978">
        <f t="shared" si="750"/>
        <v>0.21780000000000005</v>
      </c>
      <c r="FP124" s="978">
        <f t="shared" si="750"/>
        <v>0.3267000000000001</v>
      </c>
      <c r="FQ124" s="979">
        <f t="shared" si="750"/>
        <v>0.4356000000000001</v>
      </c>
      <c r="FS124" s="977">
        <f t="shared" si="762"/>
        <v>0.4</v>
      </c>
      <c r="FT124" s="978">
        <f t="shared" si="751"/>
        <v>0.36000000000000004</v>
      </c>
      <c r="FU124" s="978">
        <f t="shared" si="751"/>
        <v>0.36000000000000004</v>
      </c>
      <c r="FV124" s="978">
        <f t="shared" si="751"/>
        <v>0.36000000000000004</v>
      </c>
      <c r="FW124" s="978">
        <f t="shared" si="751"/>
        <v>0.39600000000000007</v>
      </c>
      <c r="FX124" s="978">
        <f t="shared" si="751"/>
        <v>0.4356000000000001</v>
      </c>
      <c r="FY124" s="978">
        <f t="shared" si="751"/>
        <v>0.4356000000000001</v>
      </c>
      <c r="FZ124" s="978">
        <f t="shared" si="751"/>
        <v>0.4356000000000001</v>
      </c>
      <c r="GA124" s="978">
        <f t="shared" si="751"/>
        <v>0.3267000000000001</v>
      </c>
      <c r="GB124" s="978">
        <f t="shared" si="751"/>
        <v>0.21780000000000005</v>
      </c>
      <c r="GC124" s="978">
        <f t="shared" si="751"/>
        <v>0.21780000000000005</v>
      </c>
      <c r="GD124" s="979">
        <f t="shared" si="751"/>
        <v>0.21780000000000005</v>
      </c>
      <c r="GF124" s="977">
        <f t="shared" si="763"/>
        <v>0.2</v>
      </c>
      <c r="GG124" s="978">
        <f t="shared" si="752"/>
        <v>0.18000000000000002</v>
      </c>
      <c r="GH124" s="978">
        <f t="shared" si="752"/>
        <v>0.18000000000000002</v>
      </c>
      <c r="GI124" s="978">
        <f t="shared" si="752"/>
        <v>0.18000000000000002</v>
      </c>
      <c r="GJ124" s="978">
        <f t="shared" si="752"/>
        <v>0.19800000000000004</v>
      </c>
      <c r="GK124" s="978">
        <f t="shared" si="752"/>
        <v>0.21780000000000005</v>
      </c>
      <c r="GL124" s="978">
        <f t="shared" si="752"/>
        <v>0.21780000000000005</v>
      </c>
      <c r="GM124" s="978">
        <f t="shared" si="752"/>
        <v>0.21780000000000005</v>
      </c>
      <c r="GN124" s="978">
        <f t="shared" si="752"/>
        <v>0.21780000000000005</v>
      </c>
      <c r="GO124" s="978">
        <f t="shared" si="752"/>
        <v>0.21780000000000005</v>
      </c>
      <c r="GP124" s="978">
        <f t="shared" si="752"/>
        <v>0.21780000000000005</v>
      </c>
      <c r="GQ124" s="979">
        <f t="shared" si="752"/>
        <v>0.21780000000000005</v>
      </c>
      <c r="GS124" s="977">
        <f t="shared" si="764"/>
        <v>0.2</v>
      </c>
      <c r="GT124" s="978">
        <f t="shared" si="753"/>
        <v>0.18000000000000002</v>
      </c>
      <c r="GU124" s="978">
        <f t="shared" si="753"/>
        <v>0.18000000000000002</v>
      </c>
      <c r="GV124" s="978">
        <f t="shared" si="753"/>
        <v>0.18000000000000002</v>
      </c>
      <c r="GW124" s="978">
        <f t="shared" si="753"/>
        <v>0.19800000000000004</v>
      </c>
      <c r="GX124" s="978">
        <f t="shared" si="753"/>
        <v>0.21780000000000005</v>
      </c>
      <c r="GY124" s="978">
        <f t="shared" si="753"/>
        <v>0.21780000000000005</v>
      </c>
      <c r="GZ124" s="978">
        <f t="shared" si="753"/>
        <v>0.21780000000000005</v>
      </c>
      <c r="HA124" s="978">
        <f t="shared" si="753"/>
        <v>0.21780000000000005</v>
      </c>
      <c r="HB124" s="978">
        <f t="shared" si="753"/>
        <v>0.21780000000000005</v>
      </c>
      <c r="HC124" s="978">
        <f t="shared" si="753"/>
        <v>0.21780000000000005</v>
      </c>
      <c r="HD124" s="979">
        <f t="shared" si="753"/>
        <v>0.21780000000000005</v>
      </c>
    </row>
    <row r="125" spans="2:212">
      <c r="B125" s="1078"/>
      <c r="C125" s="971"/>
      <c r="D125" s="971"/>
      <c r="E125" s="1100"/>
      <c r="F125" s="1100"/>
      <c r="G125" s="1100"/>
      <c r="H125" s="1100"/>
      <c r="I125" s="1100"/>
      <c r="N125" s="1899"/>
      <c r="O125" s="940" t="s">
        <v>125</v>
      </c>
      <c r="P125" s="595">
        <v>0</v>
      </c>
      <c r="Q125" s="595">
        <v>0</v>
      </c>
      <c r="R125" s="595">
        <v>0</v>
      </c>
      <c r="S125" s="595">
        <v>1</v>
      </c>
      <c r="T125" s="595">
        <v>0</v>
      </c>
      <c r="U125" s="595">
        <v>1</v>
      </c>
      <c r="V125" s="595">
        <v>0</v>
      </c>
      <c r="AA125" s="1899"/>
      <c r="AB125" s="940" t="s">
        <v>125</v>
      </c>
      <c r="AC125" s="599">
        <f t="shared" si="679"/>
        <v>0</v>
      </c>
      <c r="AD125" s="599"/>
      <c r="AE125" s="599">
        <f>R125/R111</f>
        <v>0</v>
      </c>
      <c r="AF125" s="599">
        <f>S125/S111</f>
        <v>0.25</v>
      </c>
      <c r="AG125" s="599">
        <f>T125/T111</f>
        <v>0</v>
      </c>
      <c r="AH125" s="599">
        <f>U125/U111</f>
        <v>0.5</v>
      </c>
      <c r="AI125" s="599">
        <f>V125/V111</f>
        <v>0</v>
      </c>
      <c r="AJ125" s="935">
        <f t="shared" si="680"/>
        <v>0.125</v>
      </c>
      <c r="AK125" s="935">
        <f t="shared" si="681"/>
        <v>0.125</v>
      </c>
      <c r="AL125" s="935">
        <f t="shared" si="682"/>
        <v>0.13750000000000001</v>
      </c>
      <c r="AM125" s="935">
        <f t="shared" si="683"/>
        <v>0.13750000000000001</v>
      </c>
      <c r="AN125" s="935">
        <f t="shared" si="684"/>
        <v>0.13750000000000001</v>
      </c>
      <c r="AO125" s="935">
        <f t="shared" si="685"/>
        <v>0.13750000000000001</v>
      </c>
      <c r="AP125" s="1036">
        <v>0.15</v>
      </c>
      <c r="AQ125" s="1036">
        <f t="shared" si="754"/>
        <v>0.13500000000000001</v>
      </c>
      <c r="AR125" s="1036">
        <f t="shared" si="754"/>
        <v>0.13500000000000001</v>
      </c>
      <c r="AS125" s="1036">
        <f t="shared" si="754"/>
        <v>0.13500000000000001</v>
      </c>
      <c r="AT125" s="1036">
        <f t="shared" si="754"/>
        <v>0.14850000000000002</v>
      </c>
      <c r="AU125" s="1036">
        <f t="shared" si="754"/>
        <v>0.16335000000000002</v>
      </c>
      <c r="AV125" s="1036">
        <f t="shared" si="754"/>
        <v>0.16335000000000002</v>
      </c>
      <c r="AW125" s="1036">
        <f t="shared" si="754"/>
        <v>0.16335000000000002</v>
      </c>
      <c r="AX125" s="1036">
        <f t="shared" si="754"/>
        <v>0.16335000000000002</v>
      </c>
      <c r="AY125" s="1036">
        <f t="shared" si="754"/>
        <v>0.16335000000000002</v>
      </c>
      <c r="AZ125" s="1036">
        <f t="shared" si="754"/>
        <v>0.16335000000000002</v>
      </c>
      <c r="BA125" s="1036">
        <f t="shared" si="754"/>
        <v>0.16335000000000002</v>
      </c>
      <c r="BB125" s="1036">
        <v>0.15</v>
      </c>
      <c r="BC125" s="1036">
        <f t="shared" si="755"/>
        <v>0.13500000000000001</v>
      </c>
      <c r="BD125" s="1036">
        <f t="shared" si="687"/>
        <v>0.13500000000000001</v>
      </c>
      <c r="BE125" s="1036">
        <f t="shared" si="688"/>
        <v>0.13500000000000001</v>
      </c>
      <c r="BF125" s="1036">
        <f t="shared" si="689"/>
        <v>0.14850000000000002</v>
      </c>
      <c r="BG125" s="1036">
        <f t="shared" si="690"/>
        <v>0.16335000000000002</v>
      </c>
      <c r="BH125" s="1036">
        <f t="shared" si="691"/>
        <v>0.16335000000000002</v>
      </c>
      <c r="BI125" s="1036">
        <f t="shared" si="692"/>
        <v>0.16335000000000002</v>
      </c>
      <c r="BJ125" s="1036">
        <f t="shared" si="693"/>
        <v>0.16335000000000002</v>
      </c>
      <c r="BK125" s="1036">
        <f t="shared" si="694"/>
        <v>0.16335000000000002</v>
      </c>
      <c r="BL125" s="1036">
        <f t="shared" si="695"/>
        <v>0.16335000000000002</v>
      </c>
      <c r="BM125" s="1036">
        <f t="shared" si="696"/>
        <v>0.16335000000000002</v>
      </c>
      <c r="BN125" s="1036">
        <v>0.15</v>
      </c>
      <c r="BO125" s="1036">
        <f t="shared" si="756"/>
        <v>0.13500000000000001</v>
      </c>
      <c r="BP125" s="1036">
        <f t="shared" si="697"/>
        <v>0.13500000000000001</v>
      </c>
      <c r="BQ125" s="1036">
        <f t="shared" si="698"/>
        <v>0.13500000000000001</v>
      </c>
      <c r="BR125" s="1036">
        <f t="shared" si="699"/>
        <v>0.14850000000000002</v>
      </c>
      <c r="BS125" s="1036">
        <f t="shared" si="700"/>
        <v>0.16335000000000002</v>
      </c>
      <c r="BT125" s="1036">
        <f t="shared" si="701"/>
        <v>0.16335000000000002</v>
      </c>
      <c r="BU125" s="1036">
        <f t="shared" si="702"/>
        <v>0.16335000000000002</v>
      </c>
      <c r="BV125" s="1036">
        <f t="shared" si="703"/>
        <v>0.16335000000000002</v>
      </c>
      <c r="BW125" s="1036">
        <f t="shared" si="704"/>
        <v>0.16335000000000002</v>
      </c>
      <c r="BX125" s="1036">
        <f t="shared" si="705"/>
        <v>0.16335000000000002</v>
      </c>
      <c r="BY125" s="1036">
        <f t="shared" si="706"/>
        <v>0.16335000000000002</v>
      </c>
      <c r="BZ125" s="1036">
        <v>0.15</v>
      </c>
      <c r="CA125" s="1036">
        <f t="shared" si="757"/>
        <v>0.13500000000000001</v>
      </c>
      <c r="CB125" s="1036">
        <f t="shared" si="707"/>
        <v>0.13500000000000001</v>
      </c>
      <c r="CC125" s="1036">
        <f t="shared" si="708"/>
        <v>0.13500000000000001</v>
      </c>
      <c r="CD125" s="1036">
        <f t="shared" si="709"/>
        <v>0.14850000000000002</v>
      </c>
      <c r="CE125" s="1036">
        <f t="shared" si="710"/>
        <v>0.16335000000000002</v>
      </c>
      <c r="CF125" s="1036">
        <f t="shared" si="711"/>
        <v>0.16335000000000002</v>
      </c>
      <c r="CG125" s="1036">
        <f t="shared" si="712"/>
        <v>0.16335000000000002</v>
      </c>
      <c r="CH125" s="1036">
        <f t="shared" si="713"/>
        <v>0.16335000000000002</v>
      </c>
      <c r="CI125" s="1036">
        <f t="shared" si="714"/>
        <v>0.16335000000000002</v>
      </c>
      <c r="CJ125" s="1036">
        <f t="shared" si="715"/>
        <v>0.16335000000000002</v>
      </c>
      <c r="CK125" s="1036">
        <f t="shared" si="716"/>
        <v>0.16335000000000002</v>
      </c>
      <c r="CL125" s="1036">
        <v>0.15</v>
      </c>
      <c r="CM125" s="1036">
        <f t="shared" si="758"/>
        <v>0.13500000000000001</v>
      </c>
      <c r="CN125" s="1036">
        <f t="shared" si="717"/>
        <v>0.13500000000000001</v>
      </c>
      <c r="CO125" s="1036">
        <f t="shared" si="718"/>
        <v>0.13500000000000001</v>
      </c>
      <c r="CP125" s="1036">
        <f t="shared" si="719"/>
        <v>0.14850000000000002</v>
      </c>
      <c r="CQ125" s="1036">
        <f t="shared" si="720"/>
        <v>0.16335000000000002</v>
      </c>
      <c r="CR125" s="1036">
        <f t="shared" si="721"/>
        <v>0.16335000000000002</v>
      </c>
      <c r="CS125" s="1036">
        <f t="shared" si="722"/>
        <v>0.16335000000000002</v>
      </c>
      <c r="CT125" s="1036">
        <f t="shared" si="723"/>
        <v>0.16335000000000002</v>
      </c>
      <c r="CU125" s="1036">
        <f t="shared" si="724"/>
        <v>0.16335000000000002</v>
      </c>
      <c r="CV125" s="1036">
        <f t="shared" si="725"/>
        <v>0.16335000000000002</v>
      </c>
      <c r="CW125" s="1036">
        <f t="shared" si="726"/>
        <v>0.16335000000000002</v>
      </c>
      <c r="CX125" s="1036">
        <v>0.15</v>
      </c>
      <c r="CY125" s="1036">
        <f t="shared" si="759"/>
        <v>0.13500000000000001</v>
      </c>
      <c r="CZ125" s="1036">
        <f t="shared" si="727"/>
        <v>0.13500000000000001</v>
      </c>
      <c r="DA125" s="1036">
        <f t="shared" si="728"/>
        <v>0.13500000000000001</v>
      </c>
      <c r="DB125" s="1036">
        <f t="shared" si="729"/>
        <v>0.14850000000000002</v>
      </c>
      <c r="DC125" s="1036">
        <f t="shared" si="730"/>
        <v>0.16335000000000002</v>
      </c>
      <c r="DD125" s="1036">
        <f t="shared" si="731"/>
        <v>0.16335000000000002</v>
      </c>
      <c r="DE125" s="1036">
        <f t="shared" si="732"/>
        <v>0.16335000000000002</v>
      </c>
      <c r="DF125" s="1036">
        <f t="shared" si="733"/>
        <v>0.16335000000000002</v>
      </c>
      <c r="DG125" s="1036">
        <f t="shared" si="734"/>
        <v>0.16335000000000002</v>
      </c>
      <c r="DH125" s="1036">
        <f t="shared" si="735"/>
        <v>0.16335000000000002</v>
      </c>
      <c r="DI125" s="1036">
        <f t="shared" si="736"/>
        <v>0.16335000000000002</v>
      </c>
      <c r="DK125" s="1899"/>
      <c r="DL125" s="940" t="s">
        <v>125</v>
      </c>
      <c r="DN125" s="977">
        <f>DN111*$AJ$125</f>
        <v>0</v>
      </c>
      <c r="DO125" s="978">
        <f>DO111*$AJ$125</f>
        <v>0.25</v>
      </c>
      <c r="DP125" s="978">
        <f>DP111*$AJ$125</f>
        <v>0.25</v>
      </c>
      <c r="DQ125" s="978">
        <f>DQ111*$AJ$125</f>
        <v>0.375</v>
      </c>
      <c r="DR125" s="979">
        <f>DR111*$AJ$125</f>
        <v>0.75</v>
      </c>
      <c r="DT125" s="977">
        <f>DT111*$AH$125</f>
        <v>0</v>
      </c>
      <c r="DU125" s="978">
        <f>DU111*$AH$125</f>
        <v>1</v>
      </c>
      <c r="DV125" s="978">
        <f>DV111*$AH$125</f>
        <v>1</v>
      </c>
      <c r="DW125" s="978">
        <f>DW111*$AH$125</f>
        <v>1.5</v>
      </c>
      <c r="DX125" s="979">
        <f>DX111*$AH$125</f>
        <v>3</v>
      </c>
      <c r="DZ125" s="977">
        <f>DZ111*AK$125</f>
        <v>0</v>
      </c>
      <c r="EA125" s="978">
        <f>EA111*AL$125</f>
        <v>0</v>
      </c>
      <c r="EB125" s="978">
        <f>EB111*AM$125</f>
        <v>0</v>
      </c>
      <c r="EC125" s="978">
        <f>EC111*AN$125</f>
        <v>0.13750000000000001</v>
      </c>
      <c r="ED125" s="979">
        <f>ED111*AO$125</f>
        <v>0.13750000000000001</v>
      </c>
      <c r="EF125" s="977">
        <f t="shared" si="737"/>
        <v>0</v>
      </c>
      <c r="EG125" s="978">
        <f t="shared" si="738"/>
        <v>0.13500000000000001</v>
      </c>
      <c r="EH125" s="978">
        <f t="shared" si="739"/>
        <v>0.13500000000000001</v>
      </c>
      <c r="EI125" s="978">
        <f t="shared" si="740"/>
        <v>0.81</v>
      </c>
      <c r="EJ125" s="978">
        <f t="shared" si="741"/>
        <v>0.44550000000000006</v>
      </c>
      <c r="EK125" s="978">
        <f t="shared" si="742"/>
        <v>1.0617750000000001</v>
      </c>
      <c r="EL125" s="978">
        <f t="shared" si="743"/>
        <v>1.8785250000000002</v>
      </c>
      <c r="EM125" s="978">
        <f t="shared" si="744"/>
        <v>1.3068000000000002</v>
      </c>
      <c r="EN125" s="978">
        <f t="shared" si="745"/>
        <v>0.4900500000000001</v>
      </c>
      <c r="EO125" s="978">
        <f t="shared" si="746"/>
        <v>0.4900500000000001</v>
      </c>
      <c r="EP125" s="978">
        <f t="shared" si="747"/>
        <v>0.89842500000000014</v>
      </c>
      <c r="EQ125" s="978">
        <f t="shared" si="748"/>
        <v>0.73507500000000014</v>
      </c>
      <c r="ES125" s="977">
        <f t="shared" si="760"/>
        <v>0.375</v>
      </c>
      <c r="ET125" s="978">
        <f t="shared" si="749"/>
        <v>0.60750000000000004</v>
      </c>
      <c r="EU125" s="978">
        <f t="shared" si="749"/>
        <v>0.54</v>
      </c>
      <c r="EV125" s="978">
        <f t="shared" si="749"/>
        <v>0.33750000000000002</v>
      </c>
      <c r="EW125" s="978">
        <f t="shared" si="749"/>
        <v>0.29700000000000004</v>
      </c>
      <c r="EX125" s="978">
        <f t="shared" si="749"/>
        <v>0.32670000000000005</v>
      </c>
      <c r="EY125" s="978">
        <f t="shared" si="749"/>
        <v>0.32670000000000005</v>
      </c>
      <c r="EZ125" s="978">
        <f t="shared" si="749"/>
        <v>0.32670000000000005</v>
      </c>
      <c r="FA125" s="978">
        <f t="shared" si="749"/>
        <v>0.32670000000000005</v>
      </c>
      <c r="FB125" s="978">
        <f t="shared" si="749"/>
        <v>0.24502500000000005</v>
      </c>
      <c r="FC125" s="978">
        <f t="shared" si="749"/>
        <v>0.16335000000000002</v>
      </c>
      <c r="FD125" s="979">
        <f t="shared" si="749"/>
        <v>0.24502500000000005</v>
      </c>
      <c r="FF125" s="977">
        <f t="shared" si="761"/>
        <v>0.3</v>
      </c>
      <c r="FG125" s="978">
        <f t="shared" si="750"/>
        <v>0.27</v>
      </c>
      <c r="FH125" s="978">
        <f t="shared" si="750"/>
        <v>0.27</v>
      </c>
      <c r="FI125" s="978">
        <f t="shared" si="750"/>
        <v>0.27</v>
      </c>
      <c r="FJ125" s="978">
        <f t="shared" si="750"/>
        <v>0.29700000000000004</v>
      </c>
      <c r="FK125" s="978">
        <f t="shared" si="750"/>
        <v>0.32670000000000005</v>
      </c>
      <c r="FL125" s="978">
        <f t="shared" si="750"/>
        <v>0.32670000000000005</v>
      </c>
      <c r="FM125" s="978">
        <f t="shared" si="750"/>
        <v>0.32670000000000005</v>
      </c>
      <c r="FN125" s="978">
        <f t="shared" si="750"/>
        <v>0.32670000000000005</v>
      </c>
      <c r="FO125" s="978">
        <f t="shared" si="750"/>
        <v>0.24502500000000005</v>
      </c>
      <c r="FP125" s="978">
        <f t="shared" si="750"/>
        <v>0.16335000000000002</v>
      </c>
      <c r="FQ125" s="979">
        <f t="shared" si="750"/>
        <v>0.24502500000000005</v>
      </c>
      <c r="FS125" s="977">
        <f t="shared" si="762"/>
        <v>0.3</v>
      </c>
      <c r="FT125" s="978">
        <f t="shared" si="751"/>
        <v>0.27</v>
      </c>
      <c r="FU125" s="978">
        <f t="shared" si="751"/>
        <v>0.27</v>
      </c>
      <c r="FV125" s="978">
        <f t="shared" si="751"/>
        <v>0.27</v>
      </c>
      <c r="FW125" s="978">
        <f t="shared" si="751"/>
        <v>0.29700000000000004</v>
      </c>
      <c r="FX125" s="978">
        <f t="shared" si="751"/>
        <v>0.32670000000000005</v>
      </c>
      <c r="FY125" s="978">
        <f t="shared" si="751"/>
        <v>0.32670000000000005</v>
      </c>
      <c r="FZ125" s="978">
        <f t="shared" si="751"/>
        <v>0.32670000000000005</v>
      </c>
      <c r="GA125" s="978">
        <f t="shared" si="751"/>
        <v>0.32670000000000005</v>
      </c>
      <c r="GB125" s="978">
        <f t="shared" si="751"/>
        <v>0.24502500000000005</v>
      </c>
      <c r="GC125" s="978">
        <f t="shared" si="751"/>
        <v>0.16335000000000002</v>
      </c>
      <c r="GD125" s="979">
        <f t="shared" si="751"/>
        <v>0.16335000000000002</v>
      </c>
      <c r="GF125" s="977">
        <f t="shared" si="763"/>
        <v>0.15</v>
      </c>
      <c r="GG125" s="978">
        <f t="shared" si="752"/>
        <v>0.13500000000000001</v>
      </c>
      <c r="GH125" s="978">
        <f t="shared" si="752"/>
        <v>0.13500000000000001</v>
      </c>
      <c r="GI125" s="978">
        <f t="shared" si="752"/>
        <v>0.13500000000000001</v>
      </c>
      <c r="GJ125" s="978">
        <f t="shared" si="752"/>
        <v>0.14850000000000002</v>
      </c>
      <c r="GK125" s="978">
        <f t="shared" si="752"/>
        <v>0.16335000000000002</v>
      </c>
      <c r="GL125" s="978">
        <f t="shared" si="752"/>
        <v>0.16335000000000002</v>
      </c>
      <c r="GM125" s="978">
        <f t="shared" si="752"/>
        <v>0.16335000000000002</v>
      </c>
      <c r="GN125" s="978">
        <f t="shared" si="752"/>
        <v>0.16335000000000002</v>
      </c>
      <c r="GO125" s="978">
        <f t="shared" si="752"/>
        <v>0.16335000000000002</v>
      </c>
      <c r="GP125" s="978">
        <f t="shared" si="752"/>
        <v>0.16335000000000002</v>
      </c>
      <c r="GQ125" s="979">
        <f t="shared" si="752"/>
        <v>0.16335000000000002</v>
      </c>
      <c r="GS125" s="977">
        <f t="shared" si="764"/>
        <v>0.15</v>
      </c>
      <c r="GT125" s="978">
        <f t="shared" si="753"/>
        <v>0.13500000000000001</v>
      </c>
      <c r="GU125" s="978">
        <f t="shared" si="753"/>
        <v>0.13500000000000001</v>
      </c>
      <c r="GV125" s="978">
        <f t="shared" si="753"/>
        <v>0.13500000000000001</v>
      </c>
      <c r="GW125" s="978">
        <f t="shared" si="753"/>
        <v>0.14850000000000002</v>
      </c>
      <c r="GX125" s="978">
        <f t="shared" si="753"/>
        <v>0.16335000000000002</v>
      </c>
      <c r="GY125" s="978">
        <f t="shared" si="753"/>
        <v>0.16335000000000002</v>
      </c>
      <c r="GZ125" s="978">
        <f t="shared" si="753"/>
        <v>0.16335000000000002</v>
      </c>
      <c r="HA125" s="978">
        <f t="shared" si="753"/>
        <v>0.16335000000000002</v>
      </c>
      <c r="HB125" s="978">
        <f t="shared" si="753"/>
        <v>0.16335000000000002</v>
      </c>
      <c r="HC125" s="978">
        <f t="shared" si="753"/>
        <v>0.16335000000000002</v>
      </c>
      <c r="HD125" s="979">
        <f t="shared" si="753"/>
        <v>0.16335000000000002</v>
      </c>
    </row>
    <row r="126" spans="2:212" ht="14.25">
      <c r="B126" s="1048" t="s">
        <v>1036</v>
      </c>
      <c r="C126" s="992"/>
      <c r="D126" s="31"/>
      <c r="E126" s="31"/>
      <c r="F126" s="31"/>
      <c r="G126" s="31"/>
      <c r="H126" s="31"/>
      <c r="I126" s="31"/>
      <c r="N126" s="1899"/>
      <c r="O126" s="940" t="s">
        <v>126</v>
      </c>
      <c r="P126" s="595">
        <v>0</v>
      </c>
      <c r="Q126" s="595">
        <v>0</v>
      </c>
      <c r="R126" s="595">
        <v>0</v>
      </c>
      <c r="S126" s="595">
        <v>0</v>
      </c>
      <c r="T126" s="595">
        <v>1</v>
      </c>
      <c r="U126" s="595">
        <v>0</v>
      </c>
      <c r="V126" s="595">
        <v>1</v>
      </c>
      <c r="AA126" s="1899"/>
      <c r="AB126" s="940" t="s">
        <v>126</v>
      </c>
      <c r="AC126" s="599">
        <f t="shared" si="679"/>
        <v>0</v>
      </c>
      <c r="AD126" s="599">
        <f>Q126/Q112</f>
        <v>0</v>
      </c>
      <c r="AE126" s="599"/>
      <c r="AF126" s="599">
        <f>S126/S112</f>
        <v>0</v>
      </c>
      <c r="AG126" s="599">
        <f>T126/T112</f>
        <v>0.33333333333333331</v>
      </c>
      <c r="AH126" s="599">
        <f>U126/U112</f>
        <v>0</v>
      </c>
      <c r="AI126" s="599">
        <f>V126/V112</f>
        <v>0.5</v>
      </c>
      <c r="AJ126" s="935">
        <f t="shared" si="680"/>
        <v>0.13888888888888887</v>
      </c>
      <c r="AK126" s="935">
        <f t="shared" si="681"/>
        <v>0.13888888888888887</v>
      </c>
      <c r="AL126" s="935">
        <f t="shared" si="682"/>
        <v>0.15277777777777776</v>
      </c>
      <c r="AM126" s="935">
        <f t="shared" si="683"/>
        <v>0.15277777777777776</v>
      </c>
      <c r="AN126" s="935">
        <f t="shared" si="684"/>
        <v>0.15277777777777776</v>
      </c>
      <c r="AO126" s="935">
        <f t="shared" si="685"/>
        <v>0.15277777777777776</v>
      </c>
      <c r="AP126" s="1036">
        <v>0.15</v>
      </c>
      <c r="AQ126" s="1036">
        <f t="shared" si="754"/>
        <v>0.13500000000000001</v>
      </c>
      <c r="AR126" s="1036">
        <f t="shared" si="754"/>
        <v>0.13500000000000001</v>
      </c>
      <c r="AS126" s="1036">
        <f t="shared" si="754"/>
        <v>0.13500000000000001</v>
      </c>
      <c r="AT126" s="1036">
        <f t="shared" si="754"/>
        <v>0.14850000000000002</v>
      </c>
      <c r="AU126" s="1036">
        <f t="shared" si="754"/>
        <v>0.16335000000000002</v>
      </c>
      <c r="AV126" s="1036">
        <f t="shared" si="754"/>
        <v>0.16335000000000002</v>
      </c>
      <c r="AW126" s="1036">
        <f t="shared" si="754"/>
        <v>0.16335000000000002</v>
      </c>
      <c r="AX126" s="1036">
        <f t="shared" si="754"/>
        <v>0.16335000000000002</v>
      </c>
      <c r="AY126" s="1036">
        <f t="shared" si="754"/>
        <v>0.16335000000000002</v>
      </c>
      <c r="AZ126" s="1036">
        <f t="shared" si="754"/>
        <v>0.16335000000000002</v>
      </c>
      <c r="BA126" s="1036">
        <f t="shared" si="754"/>
        <v>0.16335000000000002</v>
      </c>
      <c r="BB126" s="1036">
        <v>0.15</v>
      </c>
      <c r="BC126" s="1036">
        <f t="shared" si="755"/>
        <v>0.13500000000000001</v>
      </c>
      <c r="BD126" s="1036">
        <f t="shared" si="687"/>
        <v>0.13500000000000001</v>
      </c>
      <c r="BE126" s="1036">
        <f t="shared" si="688"/>
        <v>0.13500000000000001</v>
      </c>
      <c r="BF126" s="1036">
        <f t="shared" si="689"/>
        <v>0.14850000000000002</v>
      </c>
      <c r="BG126" s="1036">
        <f t="shared" si="690"/>
        <v>0.16335000000000002</v>
      </c>
      <c r="BH126" s="1036">
        <f t="shared" si="691"/>
        <v>0.16335000000000002</v>
      </c>
      <c r="BI126" s="1036">
        <f t="shared" si="692"/>
        <v>0.16335000000000002</v>
      </c>
      <c r="BJ126" s="1036">
        <f t="shared" si="693"/>
        <v>0.16335000000000002</v>
      </c>
      <c r="BK126" s="1036">
        <f t="shared" si="694"/>
        <v>0.16335000000000002</v>
      </c>
      <c r="BL126" s="1036">
        <f t="shared" si="695"/>
        <v>0.16335000000000002</v>
      </c>
      <c r="BM126" s="1036">
        <f t="shared" si="696"/>
        <v>0.16335000000000002</v>
      </c>
      <c r="BN126" s="1036">
        <v>0.15</v>
      </c>
      <c r="BO126" s="1036">
        <f t="shared" si="756"/>
        <v>0.13500000000000001</v>
      </c>
      <c r="BP126" s="1036">
        <f t="shared" si="697"/>
        <v>0.13500000000000001</v>
      </c>
      <c r="BQ126" s="1036">
        <f t="shared" si="698"/>
        <v>0.13500000000000001</v>
      </c>
      <c r="BR126" s="1036">
        <f t="shared" si="699"/>
        <v>0.14850000000000002</v>
      </c>
      <c r="BS126" s="1036">
        <f t="shared" si="700"/>
        <v>0.16335000000000002</v>
      </c>
      <c r="BT126" s="1036">
        <f t="shared" si="701"/>
        <v>0.16335000000000002</v>
      </c>
      <c r="BU126" s="1036">
        <f t="shared" si="702"/>
        <v>0.16335000000000002</v>
      </c>
      <c r="BV126" s="1036">
        <f t="shared" si="703"/>
        <v>0.16335000000000002</v>
      </c>
      <c r="BW126" s="1036">
        <f t="shared" si="704"/>
        <v>0.16335000000000002</v>
      </c>
      <c r="BX126" s="1036">
        <f t="shared" si="705"/>
        <v>0.16335000000000002</v>
      </c>
      <c r="BY126" s="1036">
        <f t="shared" si="706"/>
        <v>0.16335000000000002</v>
      </c>
      <c r="BZ126" s="1036">
        <v>0.15</v>
      </c>
      <c r="CA126" s="1036">
        <f t="shared" si="757"/>
        <v>0.13500000000000001</v>
      </c>
      <c r="CB126" s="1036">
        <f t="shared" si="707"/>
        <v>0.13500000000000001</v>
      </c>
      <c r="CC126" s="1036">
        <f t="shared" si="708"/>
        <v>0.13500000000000001</v>
      </c>
      <c r="CD126" s="1036">
        <f t="shared" si="709"/>
        <v>0.14850000000000002</v>
      </c>
      <c r="CE126" s="1036">
        <f t="shared" si="710"/>
        <v>0.16335000000000002</v>
      </c>
      <c r="CF126" s="1036">
        <f t="shared" si="711"/>
        <v>0.16335000000000002</v>
      </c>
      <c r="CG126" s="1036">
        <f t="shared" si="712"/>
        <v>0.16335000000000002</v>
      </c>
      <c r="CH126" s="1036">
        <f t="shared" si="713"/>
        <v>0.16335000000000002</v>
      </c>
      <c r="CI126" s="1036">
        <f t="shared" si="714"/>
        <v>0.16335000000000002</v>
      </c>
      <c r="CJ126" s="1036">
        <f t="shared" si="715"/>
        <v>0.16335000000000002</v>
      </c>
      <c r="CK126" s="1036">
        <f t="shared" si="716"/>
        <v>0.16335000000000002</v>
      </c>
      <c r="CL126" s="1036">
        <v>0.15</v>
      </c>
      <c r="CM126" s="1036">
        <f t="shared" si="758"/>
        <v>0.13500000000000001</v>
      </c>
      <c r="CN126" s="1036">
        <f t="shared" si="717"/>
        <v>0.13500000000000001</v>
      </c>
      <c r="CO126" s="1036">
        <f t="shared" si="718"/>
        <v>0.13500000000000001</v>
      </c>
      <c r="CP126" s="1036">
        <f t="shared" si="719"/>
        <v>0.14850000000000002</v>
      </c>
      <c r="CQ126" s="1036">
        <f t="shared" si="720"/>
        <v>0.16335000000000002</v>
      </c>
      <c r="CR126" s="1036">
        <f t="shared" si="721"/>
        <v>0.16335000000000002</v>
      </c>
      <c r="CS126" s="1036">
        <f t="shared" si="722"/>
        <v>0.16335000000000002</v>
      </c>
      <c r="CT126" s="1036">
        <f t="shared" si="723"/>
        <v>0.16335000000000002</v>
      </c>
      <c r="CU126" s="1036">
        <f t="shared" si="724"/>
        <v>0.16335000000000002</v>
      </c>
      <c r="CV126" s="1036">
        <f t="shared" si="725"/>
        <v>0.16335000000000002</v>
      </c>
      <c r="CW126" s="1036">
        <f t="shared" si="726"/>
        <v>0.16335000000000002</v>
      </c>
      <c r="CX126" s="1036">
        <v>0.15</v>
      </c>
      <c r="CY126" s="1036">
        <f t="shared" si="759"/>
        <v>0.13500000000000001</v>
      </c>
      <c r="CZ126" s="1036">
        <f t="shared" si="727"/>
        <v>0.13500000000000001</v>
      </c>
      <c r="DA126" s="1036">
        <f t="shared" si="728"/>
        <v>0.13500000000000001</v>
      </c>
      <c r="DB126" s="1036">
        <f t="shared" si="729"/>
        <v>0.14850000000000002</v>
      </c>
      <c r="DC126" s="1036">
        <f t="shared" si="730"/>
        <v>0.16335000000000002</v>
      </c>
      <c r="DD126" s="1036">
        <f t="shared" si="731"/>
        <v>0.16335000000000002</v>
      </c>
      <c r="DE126" s="1036">
        <f t="shared" si="732"/>
        <v>0.16335000000000002</v>
      </c>
      <c r="DF126" s="1036">
        <f t="shared" si="733"/>
        <v>0.16335000000000002</v>
      </c>
      <c r="DG126" s="1036">
        <f t="shared" si="734"/>
        <v>0.16335000000000002</v>
      </c>
      <c r="DH126" s="1036">
        <f t="shared" si="735"/>
        <v>0.16335000000000002</v>
      </c>
      <c r="DI126" s="1036">
        <f t="shared" si="736"/>
        <v>0.16335000000000002</v>
      </c>
      <c r="DK126" s="1899"/>
      <c r="DL126" s="940" t="s">
        <v>126</v>
      </c>
      <c r="DN126" s="977">
        <f>DN112*$AJ$126</f>
        <v>0.13888888888888887</v>
      </c>
      <c r="DO126" s="978">
        <f>DO112*$AJ$126</f>
        <v>0</v>
      </c>
      <c r="DP126" s="978">
        <f>DP112*$AJ$126</f>
        <v>0.27777777777777773</v>
      </c>
      <c r="DQ126" s="978">
        <f>DQ112*$AJ$126</f>
        <v>0.27777777777777773</v>
      </c>
      <c r="DR126" s="979">
        <f>DR112*$AJ$126</f>
        <v>0.41666666666666663</v>
      </c>
      <c r="DT126" s="977">
        <f>DT112*$AH$126</f>
        <v>0</v>
      </c>
      <c r="DU126" s="978">
        <f>DU112*$AH$126</f>
        <v>0</v>
      </c>
      <c r="DV126" s="978">
        <f>DV112*$AH$126</f>
        <v>0</v>
      </c>
      <c r="DW126" s="978">
        <f>DW112*$AH$126</f>
        <v>0</v>
      </c>
      <c r="DX126" s="979">
        <f>DX112*$AH$126</f>
        <v>0</v>
      </c>
      <c r="DZ126" s="977">
        <f>DZ112*AK$126</f>
        <v>0.13888888888888887</v>
      </c>
      <c r="EA126" s="978">
        <f>EA112*AL$126</f>
        <v>0</v>
      </c>
      <c r="EB126" s="978">
        <f>EB112*AM$126</f>
        <v>0</v>
      </c>
      <c r="EC126" s="978">
        <f>EC112*AN$126</f>
        <v>0</v>
      </c>
      <c r="ED126" s="979">
        <f>ED112*AO$126</f>
        <v>0.15277777777777776</v>
      </c>
      <c r="EF126" s="977">
        <f t="shared" si="737"/>
        <v>0</v>
      </c>
      <c r="EG126" s="978">
        <f t="shared" si="738"/>
        <v>0</v>
      </c>
      <c r="EH126" s="978">
        <f t="shared" si="739"/>
        <v>0.13500000000000001</v>
      </c>
      <c r="EI126" s="978">
        <f t="shared" si="740"/>
        <v>0.13500000000000001</v>
      </c>
      <c r="EJ126" s="978">
        <f t="shared" si="741"/>
        <v>0.89100000000000013</v>
      </c>
      <c r="EK126" s="978">
        <f t="shared" si="742"/>
        <v>0.4900500000000001</v>
      </c>
      <c r="EL126" s="978">
        <f t="shared" si="743"/>
        <v>1.0617750000000001</v>
      </c>
      <c r="EM126" s="978">
        <f t="shared" si="744"/>
        <v>1.8785250000000002</v>
      </c>
      <c r="EN126" s="978">
        <f t="shared" si="745"/>
        <v>1.3068000000000002</v>
      </c>
      <c r="EO126" s="978">
        <f t="shared" si="746"/>
        <v>0.4900500000000001</v>
      </c>
      <c r="EP126" s="978">
        <f t="shared" si="747"/>
        <v>0.4900500000000001</v>
      </c>
      <c r="EQ126" s="978">
        <f t="shared" si="748"/>
        <v>0.89842500000000014</v>
      </c>
      <c r="ES126" s="977">
        <f t="shared" si="760"/>
        <v>0.67499999999999993</v>
      </c>
      <c r="ET126" s="978">
        <f t="shared" si="749"/>
        <v>0.33750000000000002</v>
      </c>
      <c r="EU126" s="978">
        <f t="shared" si="749"/>
        <v>0.60750000000000004</v>
      </c>
      <c r="EV126" s="978">
        <f t="shared" si="749"/>
        <v>0.54</v>
      </c>
      <c r="EW126" s="978">
        <f t="shared" si="749"/>
        <v>0.37125000000000008</v>
      </c>
      <c r="EX126" s="978">
        <f t="shared" si="749"/>
        <v>0.32670000000000005</v>
      </c>
      <c r="EY126" s="978">
        <f t="shared" si="749"/>
        <v>0.32670000000000005</v>
      </c>
      <c r="EZ126" s="978">
        <f t="shared" si="749"/>
        <v>0.32670000000000005</v>
      </c>
      <c r="FA126" s="978">
        <f t="shared" si="749"/>
        <v>0.32670000000000005</v>
      </c>
      <c r="FB126" s="978">
        <f t="shared" si="749"/>
        <v>0.32670000000000005</v>
      </c>
      <c r="FC126" s="978">
        <f t="shared" si="749"/>
        <v>0.24502500000000005</v>
      </c>
      <c r="FD126" s="979">
        <f t="shared" si="749"/>
        <v>0.16335000000000002</v>
      </c>
      <c r="FF126" s="977">
        <f t="shared" si="761"/>
        <v>0.22499999999999998</v>
      </c>
      <c r="FG126" s="978">
        <f t="shared" si="750"/>
        <v>0.27</v>
      </c>
      <c r="FH126" s="978">
        <f t="shared" si="750"/>
        <v>0.27</v>
      </c>
      <c r="FI126" s="978">
        <f t="shared" si="750"/>
        <v>0.27</v>
      </c>
      <c r="FJ126" s="978">
        <f t="shared" si="750"/>
        <v>0.29700000000000004</v>
      </c>
      <c r="FK126" s="978">
        <f t="shared" si="750"/>
        <v>0.32670000000000005</v>
      </c>
      <c r="FL126" s="978">
        <f t="shared" si="750"/>
        <v>0.32670000000000005</v>
      </c>
      <c r="FM126" s="978">
        <f t="shared" si="750"/>
        <v>0.32670000000000005</v>
      </c>
      <c r="FN126" s="978">
        <f t="shared" si="750"/>
        <v>0.32670000000000005</v>
      </c>
      <c r="FO126" s="978">
        <f t="shared" si="750"/>
        <v>0.32670000000000005</v>
      </c>
      <c r="FP126" s="978">
        <f t="shared" si="750"/>
        <v>0.24502500000000005</v>
      </c>
      <c r="FQ126" s="979">
        <f t="shared" si="750"/>
        <v>0.16335000000000002</v>
      </c>
      <c r="FS126" s="977">
        <f t="shared" si="762"/>
        <v>0.22499999999999998</v>
      </c>
      <c r="FT126" s="978">
        <f t="shared" si="751"/>
        <v>0.27</v>
      </c>
      <c r="FU126" s="978">
        <f t="shared" si="751"/>
        <v>0.27</v>
      </c>
      <c r="FV126" s="978">
        <f t="shared" si="751"/>
        <v>0.27</v>
      </c>
      <c r="FW126" s="978">
        <f t="shared" si="751"/>
        <v>0.29700000000000004</v>
      </c>
      <c r="FX126" s="978">
        <f t="shared" si="751"/>
        <v>0.32670000000000005</v>
      </c>
      <c r="FY126" s="978">
        <f t="shared" si="751"/>
        <v>0.32670000000000005</v>
      </c>
      <c r="FZ126" s="978">
        <f t="shared" si="751"/>
        <v>0.32670000000000005</v>
      </c>
      <c r="GA126" s="978">
        <f t="shared" si="751"/>
        <v>0.32670000000000005</v>
      </c>
      <c r="GB126" s="978">
        <f t="shared" si="751"/>
        <v>0.32670000000000005</v>
      </c>
      <c r="GC126" s="978">
        <f t="shared" si="751"/>
        <v>0.24502500000000005</v>
      </c>
      <c r="GD126" s="979">
        <f t="shared" si="751"/>
        <v>0.16335000000000002</v>
      </c>
      <c r="GF126" s="977">
        <f t="shared" si="763"/>
        <v>0.15</v>
      </c>
      <c r="GG126" s="978">
        <f t="shared" si="752"/>
        <v>0.13500000000000001</v>
      </c>
      <c r="GH126" s="978">
        <f t="shared" si="752"/>
        <v>0.13500000000000001</v>
      </c>
      <c r="GI126" s="978">
        <f t="shared" si="752"/>
        <v>0.13500000000000001</v>
      </c>
      <c r="GJ126" s="978">
        <f t="shared" si="752"/>
        <v>0.14850000000000002</v>
      </c>
      <c r="GK126" s="978">
        <f t="shared" si="752"/>
        <v>0.16335000000000002</v>
      </c>
      <c r="GL126" s="978">
        <f t="shared" si="752"/>
        <v>0.16335000000000002</v>
      </c>
      <c r="GM126" s="978">
        <f t="shared" si="752"/>
        <v>0.16335000000000002</v>
      </c>
      <c r="GN126" s="978">
        <f t="shared" si="752"/>
        <v>0.16335000000000002</v>
      </c>
      <c r="GO126" s="978">
        <f t="shared" si="752"/>
        <v>0.16335000000000002</v>
      </c>
      <c r="GP126" s="978">
        <f t="shared" si="752"/>
        <v>0.16335000000000002</v>
      </c>
      <c r="GQ126" s="979">
        <f t="shared" si="752"/>
        <v>0.16335000000000002</v>
      </c>
      <c r="GS126" s="977">
        <f t="shared" si="764"/>
        <v>0.15</v>
      </c>
      <c r="GT126" s="978">
        <f t="shared" si="753"/>
        <v>0.13500000000000001</v>
      </c>
      <c r="GU126" s="978">
        <f t="shared" si="753"/>
        <v>0.13500000000000001</v>
      </c>
      <c r="GV126" s="978">
        <f t="shared" si="753"/>
        <v>0.13500000000000001</v>
      </c>
      <c r="GW126" s="978">
        <f t="shared" si="753"/>
        <v>0.14850000000000002</v>
      </c>
      <c r="GX126" s="978">
        <f t="shared" si="753"/>
        <v>0.16335000000000002</v>
      </c>
      <c r="GY126" s="978">
        <f t="shared" si="753"/>
        <v>0.16335000000000002</v>
      </c>
      <c r="GZ126" s="978">
        <f t="shared" si="753"/>
        <v>0.16335000000000002</v>
      </c>
      <c r="HA126" s="978">
        <f t="shared" si="753"/>
        <v>0.16335000000000002</v>
      </c>
      <c r="HB126" s="978">
        <f t="shared" si="753"/>
        <v>0.16335000000000002</v>
      </c>
      <c r="HC126" s="978">
        <f t="shared" si="753"/>
        <v>0.16335000000000002</v>
      </c>
      <c r="HD126" s="979">
        <f t="shared" si="753"/>
        <v>0.16335000000000002</v>
      </c>
    </row>
    <row r="127" spans="2:212" ht="14.25">
      <c r="B127" s="1084" t="s">
        <v>1083</v>
      </c>
      <c r="C127" s="992"/>
      <c r="D127" s="31"/>
      <c r="E127" s="31"/>
      <c r="F127" s="31"/>
      <c r="G127" s="31"/>
      <c r="H127" s="31"/>
      <c r="I127" s="31"/>
      <c r="N127" s="1899"/>
      <c r="O127" s="940" t="s">
        <v>127</v>
      </c>
      <c r="P127" s="595">
        <v>0</v>
      </c>
      <c r="Q127" s="595">
        <v>1</v>
      </c>
      <c r="R127" s="595">
        <v>0</v>
      </c>
      <c r="S127" s="595">
        <v>0</v>
      </c>
      <c r="T127" s="595">
        <v>0</v>
      </c>
      <c r="U127" s="595">
        <v>1</v>
      </c>
      <c r="V127" s="595">
        <v>0</v>
      </c>
      <c r="AA127" s="1899"/>
      <c r="AB127" s="940" t="s">
        <v>127</v>
      </c>
      <c r="AC127" s="599">
        <f t="shared" si="679"/>
        <v>0</v>
      </c>
      <c r="AD127" s="599">
        <f>Q127/Q113</f>
        <v>0.25</v>
      </c>
      <c r="AE127" s="599">
        <f>R127/R113</f>
        <v>0</v>
      </c>
      <c r="AF127" s="599"/>
      <c r="AG127" s="599">
        <f>T127/T113</f>
        <v>0</v>
      </c>
      <c r="AH127" s="599">
        <f>U127/U113</f>
        <v>0.5</v>
      </c>
      <c r="AI127" s="599">
        <f>V127/V113</f>
        <v>0</v>
      </c>
      <c r="AJ127" s="935">
        <f t="shared" si="680"/>
        <v>0.125</v>
      </c>
      <c r="AK127" s="935">
        <f t="shared" si="681"/>
        <v>0.125</v>
      </c>
      <c r="AL127" s="935">
        <f t="shared" si="682"/>
        <v>0.13750000000000001</v>
      </c>
      <c r="AM127" s="935">
        <f t="shared" si="683"/>
        <v>0.13750000000000001</v>
      </c>
      <c r="AN127" s="935">
        <f t="shared" si="684"/>
        <v>0.13750000000000001</v>
      </c>
      <c r="AO127" s="935">
        <f t="shared" si="685"/>
        <v>0.13750000000000001</v>
      </c>
      <c r="AP127" s="1036">
        <v>0.15</v>
      </c>
      <c r="AQ127" s="1036">
        <f t="shared" si="754"/>
        <v>0.13500000000000001</v>
      </c>
      <c r="AR127" s="1036">
        <f t="shared" si="754"/>
        <v>0.13500000000000001</v>
      </c>
      <c r="AS127" s="1036">
        <f t="shared" si="754"/>
        <v>0.13500000000000001</v>
      </c>
      <c r="AT127" s="1036">
        <f t="shared" si="754"/>
        <v>0.14850000000000002</v>
      </c>
      <c r="AU127" s="1036">
        <f t="shared" si="754"/>
        <v>0.16335000000000002</v>
      </c>
      <c r="AV127" s="1036">
        <f t="shared" si="754"/>
        <v>0.16335000000000002</v>
      </c>
      <c r="AW127" s="1036">
        <f t="shared" si="754"/>
        <v>0.16335000000000002</v>
      </c>
      <c r="AX127" s="1036">
        <f t="shared" si="754"/>
        <v>0.16335000000000002</v>
      </c>
      <c r="AY127" s="1036">
        <f t="shared" si="754"/>
        <v>0.16335000000000002</v>
      </c>
      <c r="AZ127" s="1036">
        <f t="shared" si="754"/>
        <v>0.16335000000000002</v>
      </c>
      <c r="BA127" s="1036">
        <f t="shared" si="754"/>
        <v>0.16335000000000002</v>
      </c>
      <c r="BB127" s="1036">
        <v>0.15</v>
      </c>
      <c r="BC127" s="1036">
        <f t="shared" si="755"/>
        <v>0.13500000000000001</v>
      </c>
      <c r="BD127" s="1036">
        <f t="shared" si="687"/>
        <v>0.13500000000000001</v>
      </c>
      <c r="BE127" s="1036">
        <f t="shared" si="688"/>
        <v>0.13500000000000001</v>
      </c>
      <c r="BF127" s="1036">
        <f t="shared" si="689"/>
        <v>0.14850000000000002</v>
      </c>
      <c r="BG127" s="1036">
        <f t="shared" si="690"/>
        <v>0.16335000000000002</v>
      </c>
      <c r="BH127" s="1036">
        <f t="shared" si="691"/>
        <v>0.16335000000000002</v>
      </c>
      <c r="BI127" s="1036">
        <f t="shared" si="692"/>
        <v>0.16335000000000002</v>
      </c>
      <c r="BJ127" s="1036">
        <f t="shared" si="693"/>
        <v>0.16335000000000002</v>
      </c>
      <c r="BK127" s="1036">
        <f t="shared" si="694"/>
        <v>0.16335000000000002</v>
      </c>
      <c r="BL127" s="1036">
        <f t="shared" si="695"/>
        <v>0.16335000000000002</v>
      </c>
      <c r="BM127" s="1036">
        <f t="shared" si="696"/>
        <v>0.16335000000000002</v>
      </c>
      <c r="BN127" s="1036">
        <v>0.15</v>
      </c>
      <c r="BO127" s="1036">
        <f t="shared" si="756"/>
        <v>0.13500000000000001</v>
      </c>
      <c r="BP127" s="1036">
        <f t="shared" si="697"/>
        <v>0.13500000000000001</v>
      </c>
      <c r="BQ127" s="1036">
        <f t="shared" si="698"/>
        <v>0.13500000000000001</v>
      </c>
      <c r="BR127" s="1036">
        <f t="shared" si="699"/>
        <v>0.14850000000000002</v>
      </c>
      <c r="BS127" s="1036">
        <f t="shared" si="700"/>
        <v>0.16335000000000002</v>
      </c>
      <c r="BT127" s="1036">
        <f t="shared" si="701"/>
        <v>0.16335000000000002</v>
      </c>
      <c r="BU127" s="1036">
        <f t="shared" si="702"/>
        <v>0.16335000000000002</v>
      </c>
      <c r="BV127" s="1036">
        <f t="shared" si="703"/>
        <v>0.16335000000000002</v>
      </c>
      <c r="BW127" s="1036">
        <f t="shared" si="704"/>
        <v>0.16335000000000002</v>
      </c>
      <c r="BX127" s="1036">
        <f t="shared" si="705"/>
        <v>0.16335000000000002</v>
      </c>
      <c r="BY127" s="1036">
        <f t="shared" si="706"/>
        <v>0.16335000000000002</v>
      </c>
      <c r="BZ127" s="1036">
        <v>0.15</v>
      </c>
      <c r="CA127" s="1036">
        <f t="shared" si="757"/>
        <v>0.13500000000000001</v>
      </c>
      <c r="CB127" s="1036">
        <f t="shared" si="707"/>
        <v>0.13500000000000001</v>
      </c>
      <c r="CC127" s="1036">
        <f t="shared" si="708"/>
        <v>0.13500000000000001</v>
      </c>
      <c r="CD127" s="1036">
        <f t="shared" si="709"/>
        <v>0.14850000000000002</v>
      </c>
      <c r="CE127" s="1036">
        <f t="shared" si="710"/>
        <v>0.16335000000000002</v>
      </c>
      <c r="CF127" s="1036">
        <f t="shared" si="711"/>
        <v>0.16335000000000002</v>
      </c>
      <c r="CG127" s="1036">
        <f t="shared" si="712"/>
        <v>0.16335000000000002</v>
      </c>
      <c r="CH127" s="1036">
        <f t="shared" si="713"/>
        <v>0.16335000000000002</v>
      </c>
      <c r="CI127" s="1036">
        <f t="shared" si="714"/>
        <v>0.16335000000000002</v>
      </c>
      <c r="CJ127" s="1036">
        <f t="shared" si="715"/>
        <v>0.16335000000000002</v>
      </c>
      <c r="CK127" s="1036">
        <f t="shared" si="716"/>
        <v>0.16335000000000002</v>
      </c>
      <c r="CL127" s="1036">
        <v>0.15</v>
      </c>
      <c r="CM127" s="1036">
        <f t="shared" si="758"/>
        <v>0.13500000000000001</v>
      </c>
      <c r="CN127" s="1036">
        <f t="shared" si="717"/>
        <v>0.13500000000000001</v>
      </c>
      <c r="CO127" s="1036">
        <f t="shared" si="718"/>
        <v>0.13500000000000001</v>
      </c>
      <c r="CP127" s="1036">
        <f t="shared" si="719"/>
        <v>0.14850000000000002</v>
      </c>
      <c r="CQ127" s="1036">
        <f t="shared" si="720"/>
        <v>0.16335000000000002</v>
      </c>
      <c r="CR127" s="1036">
        <f t="shared" si="721"/>
        <v>0.16335000000000002</v>
      </c>
      <c r="CS127" s="1036">
        <f t="shared" si="722"/>
        <v>0.16335000000000002</v>
      </c>
      <c r="CT127" s="1036">
        <f t="shared" si="723"/>
        <v>0.16335000000000002</v>
      </c>
      <c r="CU127" s="1036">
        <f t="shared" si="724"/>
        <v>0.16335000000000002</v>
      </c>
      <c r="CV127" s="1036">
        <f t="shared" si="725"/>
        <v>0.16335000000000002</v>
      </c>
      <c r="CW127" s="1036">
        <f t="shared" si="726"/>
        <v>0.16335000000000002</v>
      </c>
      <c r="CX127" s="1036">
        <v>0.15</v>
      </c>
      <c r="CY127" s="1036">
        <f t="shared" si="759"/>
        <v>0.13500000000000001</v>
      </c>
      <c r="CZ127" s="1036">
        <f t="shared" si="727"/>
        <v>0.13500000000000001</v>
      </c>
      <c r="DA127" s="1036">
        <f t="shared" si="728"/>
        <v>0.13500000000000001</v>
      </c>
      <c r="DB127" s="1036">
        <f t="shared" si="729"/>
        <v>0.14850000000000002</v>
      </c>
      <c r="DC127" s="1036">
        <f t="shared" si="730"/>
        <v>0.16335000000000002</v>
      </c>
      <c r="DD127" s="1036">
        <f t="shared" si="731"/>
        <v>0.16335000000000002</v>
      </c>
      <c r="DE127" s="1036">
        <f t="shared" si="732"/>
        <v>0.16335000000000002</v>
      </c>
      <c r="DF127" s="1036">
        <f t="shared" si="733"/>
        <v>0.16335000000000002</v>
      </c>
      <c r="DG127" s="1036">
        <f t="shared" si="734"/>
        <v>0.16335000000000002</v>
      </c>
      <c r="DH127" s="1036">
        <f t="shared" si="735"/>
        <v>0.16335000000000002</v>
      </c>
      <c r="DI127" s="1036">
        <f t="shared" si="736"/>
        <v>0.16335000000000002</v>
      </c>
      <c r="DK127" s="1899"/>
      <c r="DL127" s="940" t="s">
        <v>127</v>
      </c>
      <c r="DN127" s="977">
        <f>DN113*$AJ$127</f>
        <v>0</v>
      </c>
      <c r="DO127" s="978">
        <f>DO113*$AJ$127</f>
        <v>0.125</v>
      </c>
      <c r="DP127" s="978">
        <f>DP113*$AJ$127</f>
        <v>0</v>
      </c>
      <c r="DQ127" s="978">
        <f>DQ113*$AJ$127</f>
        <v>0.25</v>
      </c>
      <c r="DR127" s="979">
        <f>DR113*$AJ$127</f>
        <v>0.25</v>
      </c>
      <c r="DT127" s="977">
        <f>DT113*$AH$127</f>
        <v>0</v>
      </c>
      <c r="DU127" s="978">
        <f>DU113*$AH$127</f>
        <v>0.5</v>
      </c>
      <c r="DV127" s="978">
        <f>DV113*$AH$127</f>
        <v>0</v>
      </c>
      <c r="DW127" s="978">
        <f>DW113*$AH$127</f>
        <v>1</v>
      </c>
      <c r="DX127" s="979">
        <f>DX113*$AH$127</f>
        <v>1</v>
      </c>
      <c r="DZ127" s="977">
        <f>DZ113*AK$127</f>
        <v>0</v>
      </c>
      <c r="EA127" s="978">
        <f>EA113*AL$127</f>
        <v>0.13750000000000001</v>
      </c>
      <c r="EB127" s="978">
        <f>EB113*AM$127</f>
        <v>0</v>
      </c>
      <c r="EC127" s="978">
        <f>EC113*AN$127</f>
        <v>0</v>
      </c>
      <c r="ED127" s="979">
        <f>ED113*AO$127</f>
        <v>0</v>
      </c>
      <c r="EF127" s="977">
        <f t="shared" si="737"/>
        <v>0</v>
      </c>
      <c r="EG127" s="978">
        <f t="shared" si="738"/>
        <v>0</v>
      </c>
      <c r="EH127" s="978">
        <f t="shared" si="739"/>
        <v>0</v>
      </c>
      <c r="EI127" s="978">
        <f t="shared" si="740"/>
        <v>0.13500000000000001</v>
      </c>
      <c r="EJ127" s="978">
        <f t="shared" si="741"/>
        <v>0.14850000000000002</v>
      </c>
      <c r="EK127" s="978">
        <f t="shared" si="742"/>
        <v>0.98010000000000019</v>
      </c>
      <c r="EL127" s="978">
        <f t="shared" si="743"/>
        <v>0.4900500000000001</v>
      </c>
      <c r="EM127" s="978">
        <f t="shared" si="744"/>
        <v>1.0617750000000001</v>
      </c>
      <c r="EN127" s="978">
        <f t="shared" si="745"/>
        <v>1.8785250000000002</v>
      </c>
      <c r="EO127" s="978">
        <f t="shared" si="746"/>
        <v>1.3068000000000002</v>
      </c>
      <c r="EP127" s="978">
        <f t="shared" si="747"/>
        <v>0.4900500000000001</v>
      </c>
      <c r="EQ127" s="978">
        <f t="shared" si="748"/>
        <v>0.4900500000000001</v>
      </c>
      <c r="ES127" s="977">
        <f t="shared" si="760"/>
        <v>0.82499999999999996</v>
      </c>
      <c r="ET127" s="978">
        <f t="shared" si="749"/>
        <v>0.60750000000000004</v>
      </c>
      <c r="EU127" s="978">
        <f t="shared" si="749"/>
        <v>0.33750000000000002</v>
      </c>
      <c r="EV127" s="978">
        <f t="shared" si="749"/>
        <v>0.60750000000000004</v>
      </c>
      <c r="EW127" s="978">
        <f t="shared" si="749"/>
        <v>0.59400000000000008</v>
      </c>
      <c r="EX127" s="978">
        <f t="shared" si="749"/>
        <v>0.40837500000000004</v>
      </c>
      <c r="EY127" s="978">
        <f t="shared" si="749"/>
        <v>0.32670000000000005</v>
      </c>
      <c r="EZ127" s="978">
        <f t="shared" si="749"/>
        <v>0.32670000000000005</v>
      </c>
      <c r="FA127" s="978">
        <f t="shared" si="749"/>
        <v>0.32670000000000005</v>
      </c>
      <c r="FB127" s="978">
        <f t="shared" si="749"/>
        <v>0.32670000000000005</v>
      </c>
      <c r="FC127" s="978">
        <f t="shared" si="749"/>
        <v>0.32670000000000005</v>
      </c>
      <c r="FD127" s="979">
        <f t="shared" si="749"/>
        <v>0.24502500000000005</v>
      </c>
      <c r="FF127" s="977">
        <f t="shared" si="761"/>
        <v>0.15</v>
      </c>
      <c r="FG127" s="978">
        <f t="shared" si="750"/>
        <v>0.20250000000000001</v>
      </c>
      <c r="FH127" s="978">
        <f t="shared" si="750"/>
        <v>0.27</v>
      </c>
      <c r="FI127" s="978">
        <f t="shared" si="750"/>
        <v>0.27</v>
      </c>
      <c r="FJ127" s="978">
        <f t="shared" si="750"/>
        <v>0.29700000000000004</v>
      </c>
      <c r="FK127" s="978">
        <f t="shared" si="750"/>
        <v>0.32670000000000005</v>
      </c>
      <c r="FL127" s="978">
        <f t="shared" si="750"/>
        <v>0.32670000000000005</v>
      </c>
      <c r="FM127" s="978">
        <f t="shared" si="750"/>
        <v>0.32670000000000005</v>
      </c>
      <c r="FN127" s="978">
        <f t="shared" si="750"/>
        <v>0.32670000000000005</v>
      </c>
      <c r="FO127" s="978">
        <f t="shared" si="750"/>
        <v>0.32670000000000005</v>
      </c>
      <c r="FP127" s="978">
        <f t="shared" si="750"/>
        <v>0.32670000000000005</v>
      </c>
      <c r="FQ127" s="979">
        <f t="shared" si="750"/>
        <v>0.24502500000000005</v>
      </c>
      <c r="FS127" s="977">
        <f t="shared" si="762"/>
        <v>0.15</v>
      </c>
      <c r="FT127" s="978">
        <f t="shared" si="751"/>
        <v>0.20250000000000001</v>
      </c>
      <c r="FU127" s="978">
        <f t="shared" si="751"/>
        <v>0.27</v>
      </c>
      <c r="FV127" s="978">
        <f t="shared" si="751"/>
        <v>0.27</v>
      </c>
      <c r="FW127" s="978">
        <f t="shared" si="751"/>
        <v>0.29700000000000004</v>
      </c>
      <c r="FX127" s="978">
        <f t="shared" si="751"/>
        <v>0.32670000000000005</v>
      </c>
      <c r="FY127" s="978">
        <f t="shared" si="751"/>
        <v>0.32670000000000005</v>
      </c>
      <c r="FZ127" s="978">
        <f t="shared" si="751"/>
        <v>0.32670000000000005</v>
      </c>
      <c r="GA127" s="978">
        <f t="shared" si="751"/>
        <v>0.32670000000000005</v>
      </c>
      <c r="GB127" s="978">
        <f t="shared" si="751"/>
        <v>0.32670000000000005</v>
      </c>
      <c r="GC127" s="978">
        <f t="shared" si="751"/>
        <v>0.32670000000000005</v>
      </c>
      <c r="GD127" s="979">
        <f t="shared" si="751"/>
        <v>0.24502500000000005</v>
      </c>
      <c r="GF127" s="977">
        <f t="shared" si="763"/>
        <v>0.15</v>
      </c>
      <c r="GG127" s="978">
        <f t="shared" si="752"/>
        <v>0.13500000000000001</v>
      </c>
      <c r="GH127" s="978">
        <f t="shared" si="752"/>
        <v>0.13500000000000001</v>
      </c>
      <c r="GI127" s="978">
        <f t="shared" si="752"/>
        <v>0.13500000000000001</v>
      </c>
      <c r="GJ127" s="978">
        <f t="shared" si="752"/>
        <v>0.14850000000000002</v>
      </c>
      <c r="GK127" s="978">
        <f t="shared" si="752"/>
        <v>0.16335000000000002</v>
      </c>
      <c r="GL127" s="978">
        <f t="shared" si="752"/>
        <v>0.16335000000000002</v>
      </c>
      <c r="GM127" s="978">
        <f t="shared" si="752"/>
        <v>0.16335000000000002</v>
      </c>
      <c r="GN127" s="978">
        <f t="shared" si="752"/>
        <v>0.16335000000000002</v>
      </c>
      <c r="GO127" s="978">
        <f t="shared" si="752"/>
        <v>0.16335000000000002</v>
      </c>
      <c r="GP127" s="978">
        <f t="shared" si="752"/>
        <v>0.16335000000000002</v>
      </c>
      <c r="GQ127" s="979">
        <f t="shared" si="752"/>
        <v>0.16335000000000002</v>
      </c>
      <c r="GS127" s="977">
        <f t="shared" si="764"/>
        <v>0.15</v>
      </c>
      <c r="GT127" s="978">
        <f t="shared" si="753"/>
        <v>0.13500000000000001</v>
      </c>
      <c r="GU127" s="978">
        <f t="shared" si="753"/>
        <v>0.13500000000000001</v>
      </c>
      <c r="GV127" s="978">
        <f t="shared" si="753"/>
        <v>0.13500000000000001</v>
      </c>
      <c r="GW127" s="978">
        <f t="shared" si="753"/>
        <v>0.14850000000000002</v>
      </c>
      <c r="GX127" s="978">
        <f t="shared" si="753"/>
        <v>0.16335000000000002</v>
      </c>
      <c r="GY127" s="978">
        <f t="shared" si="753"/>
        <v>0.16335000000000002</v>
      </c>
      <c r="GZ127" s="978">
        <f t="shared" si="753"/>
        <v>0.16335000000000002</v>
      </c>
      <c r="HA127" s="978">
        <f t="shared" si="753"/>
        <v>0.16335000000000002</v>
      </c>
      <c r="HB127" s="978">
        <f t="shared" si="753"/>
        <v>0.16335000000000002</v>
      </c>
      <c r="HC127" s="978">
        <f t="shared" si="753"/>
        <v>0.16335000000000002</v>
      </c>
      <c r="HD127" s="979">
        <f t="shared" si="753"/>
        <v>0.16335000000000002</v>
      </c>
    </row>
    <row r="128" spans="2:212" ht="14.25">
      <c r="B128" s="1050" t="s">
        <v>1066</v>
      </c>
      <c r="C128" s="992"/>
      <c r="D128" s="31"/>
      <c r="E128" s="31"/>
      <c r="F128" s="31"/>
      <c r="G128" s="31"/>
      <c r="H128" s="31"/>
      <c r="I128" s="31"/>
      <c r="J128" s="929"/>
      <c r="K128" s="929"/>
      <c r="N128" s="1899"/>
      <c r="O128" s="940" t="s">
        <v>163</v>
      </c>
      <c r="P128" s="595">
        <v>0</v>
      </c>
      <c r="Q128" s="595">
        <v>0</v>
      </c>
      <c r="R128" s="595">
        <v>0</v>
      </c>
      <c r="S128" s="595">
        <v>0</v>
      </c>
      <c r="T128" s="595">
        <v>0</v>
      </c>
      <c r="U128" s="595">
        <v>0</v>
      </c>
      <c r="V128" s="595">
        <v>0</v>
      </c>
      <c r="AA128" s="1899"/>
      <c r="AB128" s="940" t="s">
        <v>163</v>
      </c>
      <c r="AC128" s="599">
        <f t="shared" si="679"/>
        <v>0</v>
      </c>
      <c r="AD128" s="599">
        <f>Q128/Q114</f>
        <v>0</v>
      </c>
      <c r="AE128" s="599">
        <f>R128/R114</f>
        <v>0</v>
      </c>
      <c r="AF128" s="599">
        <f>S128/S114</f>
        <v>0</v>
      </c>
      <c r="AG128" s="599"/>
      <c r="AH128" s="599">
        <f>U128/U114</f>
        <v>0</v>
      </c>
      <c r="AI128" s="599">
        <f>V128/V114</f>
        <v>0</v>
      </c>
      <c r="AJ128" s="935">
        <f t="shared" si="680"/>
        <v>0</v>
      </c>
      <c r="AK128" s="935">
        <f t="shared" si="681"/>
        <v>0</v>
      </c>
      <c r="AL128" s="935">
        <f t="shared" si="682"/>
        <v>0</v>
      </c>
      <c r="AM128" s="935">
        <f t="shared" si="683"/>
        <v>0</v>
      </c>
      <c r="AN128" s="935">
        <f t="shared" si="684"/>
        <v>0</v>
      </c>
      <c r="AO128" s="935">
        <f t="shared" si="685"/>
        <v>0</v>
      </c>
      <c r="AP128" s="1036">
        <v>0.1</v>
      </c>
      <c r="AQ128" s="1036">
        <f t="shared" si="754"/>
        <v>9.0000000000000011E-2</v>
      </c>
      <c r="AR128" s="1036">
        <f t="shared" si="754"/>
        <v>9.0000000000000011E-2</v>
      </c>
      <c r="AS128" s="1036">
        <f t="shared" si="754"/>
        <v>9.0000000000000011E-2</v>
      </c>
      <c r="AT128" s="1036">
        <f t="shared" si="754"/>
        <v>9.9000000000000019E-2</v>
      </c>
      <c r="AU128" s="1036">
        <f t="shared" si="754"/>
        <v>0.10890000000000002</v>
      </c>
      <c r="AV128" s="1036">
        <f t="shared" si="754"/>
        <v>0.10890000000000002</v>
      </c>
      <c r="AW128" s="1036">
        <f t="shared" si="754"/>
        <v>0.10890000000000002</v>
      </c>
      <c r="AX128" s="1036">
        <f t="shared" si="754"/>
        <v>0.10890000000000002</v>
      </c>
      <c r="AY128" s="1036">
        <f t="shared" si="754"/>
        <v>0.10890000000000002</v>
      </c>
      <c r="AZ128" s="1036">
        <f t="shared" si="754"/>
        <v>0.10890000000000002</v>
      </c>
      <c r="BA128" s="1036">
        <f t="shared" si="754"/>
        <v>0.10890000000000002</v>
      </c>
      <c r="BB128" s="1036">
        <v>0.1</v>
      </c>
      <c r="BC128" s="1036">
        <f t="shared" si="755"/>
        <v>9.0000000000000011E-2</v>
      </c>
      <c r="BD128" s="1036">
        <f t="shared" si="687"/>
        <v>9.0000000000000011E-2</v>
      </c>
      <c r="BE128" s="1036">
        <f t="shared" si="688"/>
        <v>9.0000000000000011E-2</v>
      </c>
      <c r="BF128" s="1036">
        <f t="shared" si="689"/>
        <v>9.9000000000000019E-2</v>
      </c>
      <c r="BG128" s="1036">
        <f t="shared" si="690"/>
        <v>0.10890000000000002</v>
      </c>
      <c r="BH128" s="1036">
        <f t="shared" si="691"/>
        <v>0.10890000000000002</v>
      </c>
      <c r="BI128" s="1036">
        <f t="shared" si="692"/>
        <v>0.10890000000000002</v>
      </c>
      <c r="BJ128" s="1036">
        <f t="shared" si="693"/>
        <v>0.10890000000000002</v>
      </c>
      <c r="BK128" s="1036">
        <f t="shared" si="694"/>
        <v>0.10890000000000002</v>
      </c>
      <c r="BL128" s="1036">
        <f t="shared" si="695"/>
        <v>0.10890000000000002</v>
      </c>
      <c r="BM128" s="1036">
        <f t="shared" si="696"/>
        <v>0.10890000000000002</v>
      </c>
      <c r="BN128" s="1036">
        <v>0.1</v>
      </c>
      <c r="BO128" s="1036">
        <f t="shared" si="756"/>
        <v>9.0000000000000011E-2</v>
      </c>
      <c r="BP128" s="1036">
        <f t="shared" si="697"/>
        <v>9.0000000000000011E-2</v>
      </c>
      <c r="BQ128" s="1036">
        <f t="shared" si="698"/>
        <v>9.0000000000000011E-2</v>
      </c>
      <c r="BR128" s="1036">
        <f t="shared" si="699"/>
        <v>9.9000000000000019E-2</v>
      </c>
      <c r="BS128" s="1036">
        <f t="shared" si="700"/>
        <v>0.10890000000000002</v>
      </c>
      <c r="BT128" s="1036">
        <f t="shared" si="701"/>
        <v>0.10890000000000002</v>
      </c>
      <c r="BU128" s="1036">
        <f t="shared" si="702"/>
        <v>0.10890000000000002</v>
      </c>
      <c r="BV128" s="1036">
        <f t="shared" si="703"/>
        <v>0.10890000000000002</v>
      </c>
      <c r="BW128" s="1036">
        <f t="shared" si="704"/>
        <v>0.10890000000000002</v>
      </c>
      <c r="BX128" s="1036">
        <f t="shared" si="705"/>
        <v>0.10890000000000002</v>
      </c>
      <c r="BY128" s="1036">
        <f t="shared" si="706"/>
        <v>0.10890000000000002</v>
      </c>
      <c r="BZ128" s="1036">
        <v>0.1</v>
      </c>
      <c r="CA128" s="1036">
        <f t="shared" si="757"/>
        <v>9.0000000000000011E-2</v>
      </c>
      <c r="CB128" s="1036">
        <f t="shared" si="707"/>
        <v>9.0000000000000011E-2</v>
      </c>
      <c r="CC128" s="1036">
        <f t="shared" si="708"/>
        <v>9.0000000000000011E-2</v>
      </c>
      <c r="CD128" s="1036">
        <f t="shared" si="709"/>
        <v>9.9000000000000019E-2</v>
      </c>
      <c r="CE128" s="1036">
        <f t="shared" si="710"/>
        <v>0.10890000000000002</v>
      </c>
      <c r="CF128" s="1036">
        <f t="shared" si="711"/>
        <v>0.10890000000000002</v>
      </c>
      <c r="CG128" s="1036">
        <f t="shared" si="712"/>
        <v>0.10890000000000002</v>
      </c>
      <c r="CH128" s="1036">
        <f t="shared" si="713"/>
        <v>0.10890000000000002</v>
      </c>
      <c r="CI128" s="1036">
        <f t="shared" si="714"/>
        <v>0.10890000000000002</v>
      </c>
      <c r="CJ128" s="1036">
        <f t="shared" si="715"/>
        <v>0.10890000000000002</v>
      </c>
      <c r="CK128" s="1036">
        <f t="shared" si="716"/>
        <v>0.10890000000000002</v>
      </c>
      <c r="CL128" s="1036">
        <v>0.1</v>
      </c>
      <c r="CM128" s="1036">
        <f t="shared" si="758"/>
        <v>9.0000000000000011E-2</v>
      </c>
      <c r="CN128" s="1036">
        <f t="shared" si="717"/>
        <v>9.0000000000000011E-2</v>
      </c>
      <c r="CO128" s="1036">
        <f t="shared" si="718"/>
        <v>9.0000000000000011E-2</v>
      </c>
      <c r="CP128" s="1036">
        <f t="shared" si="719"/>
        <v>9.9000000000000019E-2</v>
      </c>
      <c r="CQ128" s="1036">
        <f t="shared" si="720"/>
        <v>0.10890000000000002</v>
      </c>
      <c r="CR128" s="1036">
        <f t="shared" si="721"/>
        <v>0.10890000000000002</v>
      </c>
      <c r="CS128" s="1036">
        <f t="shared" si="722"/>
        <v>0.10890000000000002</v>
      </c>
      <c r="CT128" s="1036">
        <f t="shared" si="723"/>
        <v>0.10890000000000002</v>
      </c>
      <c r="CU128" s="1036">
        <f t="shared" si="724"/>
        <v>0.10890000000000002</v>
      </c>
      <c r="CV128" s="1036">
        <f t="shared" si="725"/>
        <v>0.10890000000000002</v>
      </c>
      <c r="CW128" s="1036">
        <f t="shared" si="726"/>
        <v>0.10890000000000002</v>
      </c>
      <c r="CX128" s="1036">
        <v>0.1</v>
      </c>
      <c r="CY128" s="1036">
        <f t="shared" si="759"/>
        <v>9.0000000000000011E-2</v>
      </c>
      <c r="CZ128" s="1036">
        <f t="shared" si="727"/>
        <v>9.0000000000000011E-2</v>
      </c>
      <c r="DA128" s="1036">
        <f t="shared" si="728"/>
        <v>9.0000000000000011E-2</v>
      </c>
      <c r="DB128" s="1036">
        <f t="shared" si="729"/>
        <v>9.9000000000000019E-2</v>
      </c>
      <c r="DC128" s="1036">
        <f t="shared" si="730"/>
        <v>0.10890000000000002</v>
      </c>
      <c r="DD128" s="1036">
        <f t="shared" si="731"/>
        <v>0.10890000000000002</v>
      </c>
      <c r="DE128" s="1036">
        <f t="shared" si="732"/>
        <v>0.10890000000000002</v>
      </c>
      <c r="DF128" s="1036">
        <f t="shared" si="733"/>
        <v>0.10890000000000002</v>
      </c>
      <c r="DG128" s="1036">
        <f t="shared" si="734"/>
        <v>0.10890000000000002</v>
      </c>
      <c r="DH128" s="1036">
        <f t="shared" si="735"/>
        <v>0.10890000000000002</v>
      </c>
      <c r="DI128" s="1036">
        <f t="shared" si="736"/>
        <v>0.10890000000000002</v>
      </c>
      <c r="DK128" s="1899"/>
      <c r="DL128" s="940" t="s">
        <v>163</v>
      </c>
      <c r="DN128" s="977">
        <f>DN114*$AJ$128</f>
        <v>0</v>
      </c>
      <c r="DO128" s="978">
        <f>DO114*$AJ$128</f>
        <v>0</v>
      </c>
      <c r="DP128" s="978">
        <f>DP114*$AJ$128</f>
        <v>0</v>
      </c>
      <c r="DQ128" s="978">
        <f>DQ114*$AJ$128</f>
        <v>0</v>
      </c>
      <c r="DR128" s="979">
        <f>DR114*$AJ$128</f>
        <v>0</v>
      </c>
      <c r="DT128" s="977">
        <f>DT114*$AH$128</f>
        <v>0</v>
      </c>
      <c r="DU128" s="978">
        <f>DU114*$AH$128</f>
        <v>0</v>
      </c>
      <c r="DV128" s="978">
        <f>DV114*$AH$128</f>
        <v>0</v>
      </c>
      <c r="DW128" s="978">
        <f>DW114*$AH$128</f>
        <v>0</v>
      </c>
      <c r="DX128" s="979">
        <f>DX114*$AH$128</f>
        <v>0</v>
      </c>
      <c r="DZ128" s="977">
        <f>DZ114*AK$128</f>
        <v>0</v>
      </c>
      <c r="EA128" s="978">
        <f>EA114*AL$128</f>
        <v>0</v>
      </c>
      <c r="EB128" s="978">
        <f>EB114*AM$128</f>
        <v>0</v>
      </c>
      <c r="EC128" s="978">
        <f>EC114*AN$128</f>
        <v>0</v>
      </c>
      <c r="ED128" s="979">
        <f>ED114*AO$128</f>
        <v>0</v>
      </c>
      <c r="EF128" s="977">
        <f t="shared" si="737"/>
        <v>0</v>
      </c>
      <c r="EG128" s="978">
        <f t="shared" si="738"/>
        <v>0</v>
      </c>
      <c r="EH128" s="978">
        <f t="shared" si="739"/>
        <v>0</v>
      </c>
      <c r="EI128" s="978">
        <f t="shared" si="740"/>
        <v>0</v>
      </c>
      <c r="EJ128" s="978">
        <f t="shared" si="741"/>
        <v>0</v>
      </c>
      <c r="EK128" s="978">
        <f t="shared" si="742"/>
        <v>0</v>
      </c>
      <c r="EL128" s="978">
        <f t="shared" si="743"/>
        <v>0</v>
      </c>
      <c r="EM128" s="978">
        <f t="shared" si="744"/>
        <v>0</v>
      </c>
      <c r="EN128" s="978">
        <f t="shared" si="745"/>
        <v>0</v>
      </c>
      <c r="EO128" s="978">
        <f t="shared" si="746"/>
        <v>0</v>
      </c>
      <c r="EP128" s="978">
        <f t="shared" si="747"/>
        <v>0</v>
      </c>
      <c r="EQ128" s="978">
        <f t="shared" si="748"/>
        <v>0</v>
      </c>
      <c r="ES128" s="977">
        <f t="shared" si="760"/>
        <v>0</v>
      </c>
      <c r="ET128" s="978">
        <f t="shared" si="749"/>
        <v>0</v>
      </c>
      <c r="EU128" s="978">
        <f t="shared" si="749"/>
        <v>0</v>
      </c>
      <c r="EV128" s="978">
        <f t="shared" si="749"/>
        <v>0</v>
      </c>
      <c r="EW128" s="978">
        <f t="shared" si="749"/>
        <v>0</v>
      </c>
      <c r="EX128" s="978">
        <f t="shared" si="749"/>
        <v>0</v>
      </c>
      <c r="EY128" s="978">
        <f t="shared" si="749"/>
        <v>0</v>
      </c>
      <c r="EZ128" s="978">
        <f t="shared" si="749"/>
        <v>0</v>
      </c>
      <c r="FA128" s="978">
        <f t="shared" si="749"/>
        <v>0</v>
      </c>
      <c r="FB128" s="978">
        <f t="shared" si="749"/>
        <v>0</v>
      </c>
      <c r="FC128" s="978">
        <f t="shared" si="749"/>
        <v>0</v>
      </c>
      <c r="FD128" s="979">
        <f t="shared" si="749"/>
        <v>0</v>
      </c>
      <c r="FF128" s="977">
        <f t="shared" si="761"/>
        <v>0</v>
      </c>
      <c r="FG128" s="978">
        <f t="shared" si="750"/>
        <v>0</v>
      </c>
      <c r="FH128" s="978">
        <f t="shared" si="750"/>
        <v>0</v>
      </c>
      <c r="FI128" s="978">
        <f t="shared" si="750"/>
        <v>0</v>
      </c>
      <c r="FJ128" s="978">
        <f t="shared" si="750"/>
        <v>0</v>
      </c>
      <c r="FK128" s="978">
        <f t="shared" si="750"/>
        <v>0</v>
      </c>
      <c r="FL128" s="978">
        <f t="shared" si="750"/>
        <v>0</v>
      </c>
      <c r="FM128" s="978">
        <f t="shared" si="750"/>
        <v>0</v>
      </c>
      <c r="FN128" s="978">
        <f t="shared" si="750"/>
        <v>0</v>
      </c>
      <c r="FO128" s="978">
        <f t="shared" si="750"/>
        <v>0</v>
      </c>
      <c r="FP128" s="978">
        <f t="shared" si="750"/>
        <v>0</v>
      </c>
      <c r="FQ128" s="979">
        <f t="shared" si="750"/>
        <v>0</v>
      </c>
      <c r="FS128" s="977">
        <f t="shared" si="762"/>
        <v>0</v>
      </c>
      <c r="FT128" s="978">
        <f t="shared" si="751"/>
        <v>0</v>
      </c>
      <c r="FU128" s="978">
        <f t="shared" si="751"/>
        <v>0</v>
      </c>
      <c r="FV128" s="978">
        <f t="shared" si="751"/>
        <v>0</v>
      </c>
      <c r="FW128" s="978">
        <f t="shared" si="751"/>
        <v>0</v>
      </c>
      <c r="FX128" s="978">
        <f t="shared" si="751"/>
        <v>0</v>
      </c>
      <c r="FY128" s="978">
        <f t="shared" si="751"/>
        <v>0</v>
      </c>
      <c r="FZ128" s="978">
        <f t="shared" si="751"/>
        <v>0</v>
      </c>
      <c r="GA128" s="978">
        <f t="shared" si="751"/>
        <v>0</v>
      </c>
      <c r="GB128" s="978">
        <f t="shared" si="751"/>
        <v>0</v>
      </c>
      <c r="GC128" s="978">
        <f t="shared" si="751"/>
        <v>0</v>
      </c>
      <c r="GD128" s="979">
        <f t="shared" si="751"/>
        <v>0</v>
      </c>
      <c r="GF128" s="977">
        <f t="shared" si="763"/>
        <v>0</v>
      </c>
      <c r="GG128" s="978">
        <f t="shared" si="752"/>
        <v>0</v>
      </c>
      <c r="GH128" s="978">
        <f t="shared" si="752"/>
        <v>0</v>
      </c>
      <c r="GI128" s="978">
        <f t="shared" si="752"/>
        <v>0</v>
      </c>
      <c r="GJ128" s="978">
        <f t="shared" si="752"/>
        <v>0</v>
      </c>
      <c r="GK128" s="978">
        <f t="shared" si="752"/>
        <v>0</v>
      </c>
      <c r="GL128" s="978">
        <f t="shared" si="752"/>
        <v>0</v>
      </c>
      <c r="GM128" s="978">
        <f t="shared" si="752"/>
        <v>0</v>
      </c>
      <c r="GN128" s="978">
        <f t="shared" si="752"/>
        <v>0</v>
      </c>
      <c r="GO128" s="978">
        <f t="shared" si="752"/>
        <v>0</v>
      </c>
      <c r="GP128" s="978">
        <f t="shared" si="752"/>
        <v>0</v>
      </c>
      <c r="GQ128" s="979">
        <f t="shared" si="752"/>
        <v>0</v>
      </c>
      <c r="GS128" s="977">
        <f t="shared" si="764"/>
        <v>0</v>
      </c>
      <c r="GT128" s="978">
        <f t="shared" si="753"/>
        <v>0</v>
      </c>
      <c r="GU128" s="978">
        <f t="shared" si="753"/>
        <v>0</v>
      </c>
      <c r="GV128" s="978">
        <f t="shared" si="753"/>
        <v>0</v>
      </c>
      <c r="GW128" s="978">
        <f t="shared" si="753"/>
        <v>0</v>
      </c>
      <c r="GX128" s="978">
        <f t="shared" si="753"/>
        <v>0</v>
      </c>
      <c r="GY128" s="978">
        <f t="shared" si="753"/>
        <v>0</v>
      </c>
      <c r="GZ128" s="978">
        <f t="shared" si="753"/>
        <v>0</v>
      </c>
      <c r="HA128" s="978">
        <f t="shared" si="753"/>
        <v>0</v>
      </c>
      <c r="HB128" s="978">
        <f t="shared" si="753"/>
        <v>0</v>
      </c>
      <c r="HC128" s="978">
        <f t="shared" si="753"/>
        <v>0</v>
      </c>
      <c r="HD128" s="979">
        <f t="shared" si="753"/>
        <v>0</v>
      </c>
    </row>
    <row r="129" spans="1:212" ht="14.25">
      <c r="B129" s="1052" t="s">
        <v>1067</v>
      </c>
      <c r="C129" s="992"/>
      <c r="D129" s="31"/>
      <c r="E129" s="31"/>
      <c r="F129" s="31"/>
      <c r="G129" s="31"/>
      <c r="H129" s="31"/>
      <c r="I129" s="31"/>
      <c r="J129" s="929"/>
      <c r="K129" s="929"/>
      <c r="N129" s="1899"/>
      <c r="O129" s="940" t="s">
        <v>164</v>
      </c>
      <c r="P129" s="595">
        <v>0</v>
      </c>
      <c r="Q129" s="595">
        <v>0</v>
      </c>
      <c r="R129" s="595">
        <v>0</v>
      </c>
      <c r="S129" s="595">
        <v>0</v>
      </c>
      <c r="T129" s="595">
        <v>0</v>
      </c>
      <c r="U129" s="595">
        <v>0</v>
      </c>
      <c r="V129" s="595">
        <v>0</v>
      </c>
      <c r="AA129" s="1899"/>
      <c r="AB129" s="940" t="s">
        <v>164</v>
      </c>
      <c r="AC129" s="599">
        <f t="shared" si="679"/>
        <v>0</v>
      </c>
      <c r="AD129" s="599">
        <f>Q129/Q115</f>
        <v>0</v>
      </c>
      <c r="AE129" s="599">
        <f>R129/R115</f>
        <v>0</v>
      </c>
      <c r="AF129" s="599">
        <f>S129/S115</f>
        <v>0</v>
      </c>
      <c r="AG129" s="599">
        <f>T129/T115</f>
        <v>0</v>
      </c>
      <c r="AH129" s="599"/>
      <c r="AI129" s="599">
        <f>V129/V115</f>
        <v>0</v>
      </c>
      <c r="AJ129" s="935">
        <f t="shared" si="680"/>
        <v>0</v>
      </c>
      <c r="AK129" s="935">
        <f t="shared" si="681"/>
        <v>0</v>
      </c>
      <c r="AL129" s="935">
        <f t="shared" si="682"/>
        <v>0</v>
      </c>
      <c r="AM129" s="935">
        <f t="shared" si="683"/>
        <v>0</v>
      </c>
      <c r="AN129" s="935">
        <f t="shared" si="684"/>
        <v>0</v>
      </c>
      <c r="AO129" s="935">
        <f t="shared" si="685"/>
        <v>0</v>
      </c>
      <c r="AP129" s="1036">
        <v>0.1</v>
      </c>
      <c r="AQ129" s="1036">
        <f t="shared" si="754"/>
        <v>9.0000000000000011E-2</v>
      </c>
      <c r="AR129" s="1036">
        <f t="shared" si="754"/>
        <v>9.0000000000000011E-2</v>
      </c>
      <c r="AS129" s="1036">
        <f t="shared" si="754"/>
        <v>9.0000000000000011E-2</v>
      </c>
      <c r="AT129" s="1036">
        <f t="shared" si="754"/>
        <v>9.9000000000000019E-2</v>
      </c>
      <c r="AU129" s="1036">
        <f t="shared" si="754"/>
        <v>0.10890000000000002</v>
      </c>
      <c r="AV129" s="1036">
        <f t="shared" si="754"/>
        <v>0.10890000000000002</v>
      </c>
      <c r="AW129" s="1036">
        <f t="shared" si="754"/>
        <v>0.10890000000000002</v>
      </c>
      <c r="AX129" s="1036">
        <f t="shared" si="754"/>
        <v>0.10890000000000002</v>
      </c>
      <c r="AY129" s="1036">
        <f t="shared" si="754"/>
        <v>0.10890000000000002</v>
      </c>
      <c r="AZ129" s="1036">
        <f t="shared" si="754"/>
        <v>0.10890000000000002</v>
      </c>
      <c r="BA129" s="1036">
        <f t="shared" si="754"/>
        <v>0.10890000000000002</v>
      </c>
      <c r="BB129" s="1036">
        <v>0.1</v>
      </c>
      <c r="BC129" s="1036">
        <f t="shared" si="755"/>
        <v>9.0000000000000011E-2</v>
      </c>
      <c r="BD129" s="1036">
        <f t="shared" si="687"/>
        <v>9.0000000000000011E-2</v>
      </c>
      <c r="BE129" s="1036">
        <f t="shared" si="688"/>
        <v>9.0000000000000011E-2</v>
      </c>
      <c r="BF129" s="1036">
        <f t="shared" si="689"/>
        <v>9.9000000000000019E-2</v>
      </c>
      <c r="BG129" s="1036">
        <f t="shared" si="690"/>
        <v>0.10890000000000002</v>
      </c>
      <c r="BH129" s="1036">
        <f t="shared" si="691"/>
        <v>0.10890000000000002</v>
      </c>
      <c r="BI129" s="1036">
        <f t="shared" si="692"/>
        <v>0.10890000000000002</v>
      </c>
      <c r="BJ129" s="1036">
        <f t="shared" si="693"/>
        <v>0.10890000000000002</v>
      </c>
      <c r="BK129" s="1036">
        <f t="shared" si="694"/>
        <v>0.10890000000000002</v>
      </c>
      <c r="BL129" s="1036">
        <f t="shared" si="695"/>
        <v>0.10890000000000002</v>
      </c>
      <c r="BM129" s="1036">
        <f t="shared" si="696"/>
        <v>0.10890000000000002</v>
      </c>
      <c r="BN129" s="1036">
        <v>0.1</v>
      </c>
      <c r="BO129" s="1036">
        <f t="shared" si="756"/>
        <v>9.0000000000000011E-2</v>
      </c>
      <c r="BP129" s="1036">
        <f t="shared" si="697"/>
        <v>9.0000000000000011E-2</v>
      </c>
      <c r="BQ129" s="1036">
        <f t="shared" si="698"/>
        <v>9.0000000000000011E-2</v>
      </c>
      <c r="BR129" s="1036">
        <f t="shared" si="699"/>
        <v>9.9000000000000019E-2</v>
      </c>
      <c r="BS129" s="1036">
        <f t="shared" si="700"/>
        <v>0.10890000000000002</v>
      </c>
      <c r="BT129" s="1036">
        <f t="shared" si="701"/>
        <v>0.10890000000000002</v>
      </c>
      <c r="BU129" s="1036">
        <f t="shared" si="702"/>
        <v>0.10890000000000002</v>
      </c>
      <c r="BV129" s="1036">
        <f t="shared" si="703"/>
        <v>0.10890000000000002</v>
      </c>
      <c r="BW129" s="1036">
        <f t="shared" si="704"/>
        <v>0.10890000000000002</v>
      </c>
      <c r="BX129" s="1036">
        <f t="shared" si="705"/>
        <v>0.10890000000000002</v>
      </c>
      <c r="BY129" s="1036">
        <f t="shared" si="706"/>
        <v>0.10890000000000002</v>
      </c>
      <c r="BZ129" s="1036">
        <v>0.1</v>
      </c>
      <c r="CA129" s="1036">
        <f t="shared" si="757"/>
        <v>9.0000000000000011E-2</v>
      </c>
      <c r="CB129" s="1036">
        <f t="shared" si="707"/>
        <v>9.0000000000000011E-2</v>
      </c>
      <c r="CC129" s="1036">
        <f t="shared" si="708"/>
        <v>9.0000000000000011E-2</v>
      </c>
      <c r="CD129" s="1036">
        <f t="shared" si="709"/>
        <v>9.9000000000000019E-2</v>
      </c>
      <c r="CE129" s="1036">
        <f t="shared" si="710"/>
        <v>0.10890000000000002</v>
      </c>
      <c r="CF129" s="1036">
        <f t="shared" si="711"/>
        <v>0.10890000000000002</v>
      </c>
      <c r="CG129" s="1036">
        <f t="shared" si="712"/>
        <v>0.10890000000000002</v>
      </c>
      <c r="CH129" s="1036">
        <f t="shared" si="713"/>
        <v>0.10890000000000002</v>
      </c>
      <c r="CI129" s="1036">
        <f t="shared" si="714"/>
        <v>0.10890000000000002</v>
      </c>
      <c r="CJ129" s="1036">
        <f t="shared" si="715"/>
        <v>0.10890000000000002</v>
      </c>
      <c r="CK129" s="1036">
        <f t="shared" si="716"/>
        <v>0.10890000000000002</v>
      </c>
      <c r="CL129" s="1036">
        <v>0.1</v>
      </c>
      <c r="CM129" s="1036">
        <f t="shared" si="758"/>
        <v>9.0000000000000011E-2</v>
      </c>
      <c r="CN129" s="1036">
        <f t="shared" si="717"/>
        <v>9.0000000000000011E-2</v>
      </c>
      <c r="CO129" s="1036">
        <f t="shared" si="718"/>
        <v>9.0000000000000011E-2</v>
      </c>
      <c r="CP129" s="1036">
        <f t="shared" si="719"/>
        <v>9.9000000000000019E-2</v>
      </c>
      <c r="CQ129" s="1036">
        <f t="shared" si="720"/>
        <v>0.10890000000000002</v>
      </c>
      <c r="CR129" s="1036">
        <f t="shared" si="721"/>
        <v>0.10890000000000002</v>
      </c>
      <c r="CS129" s="1036">
        <f t="shared" si="722"/>
        <v>0.10890000000000002</v>
      </c>
      <c r="CT129" s="1036">
        <f t="shared" si="723"/>
        <v>0.10890000000000002</v>
      </c>
      <c r="CU129" s="1036">
        <f t="shared" si="724"/>
        <v>0.10890000000000002</v>
      </c>
      <c r="CV129" s="1036">
        <f t="shared" si="725"/>
        <v>0.10890000000000002</v>
      </c>
      <c r="CW129" s="1036">
        <f t="shared" si="726"/>
        <v>0.10890000000000002</v>
      </c>
      <c r="CX129" s="1036">
        <v>0.1</v>
      </c>
      <c r="CY129" s="1036">
        <f t="shared" si="759"/>
        <v>9.0000000000000011E-2</v>
      </c>
      <c r="CZ129" s="1036">
        <f t="shared" si="727"/>
        <v>9.0000000000000011E-2</v>
      </c>
      <c r="DA129" s="1036">
        <f t="shared" si="728"/>
        <v>9.0000000000000011E-2</v>
      </c>
      <c r="DB129" s="1036">
        <f t="shared" si="729"/>
        <v>9.9000000000000019E-2</v>
      </c>
      <c r="DC129" s="1036">
        <f t="shared" si="730"/>
        <v>0.10890000000000002</v>
      </c>
      <c r="DD129" s="1036">
        <f t="shared" si="731"/>
        <v>0.10890000000000002</v>
      </c>
      <c r="DE129" s="1036">
        <f t="shared" si="732"/>
        <v>0.10890000000000002</v>
      </c>
      <c r="DF129" s="1036">
        <f t="shared" si="733"/>
        <v>0.10890000000000002</v>
      </c>
      <c r="DG129" s="1036">
        <f t="shared" si="734"/>
        <v>0.10890000000000002</v>
      </c>
      <c r="DH129" s="1036">
        <f t="shared" si="735"/>
        <v>0.10890000000000002</v>
      </c>
      <c r="DI129" s="1036">
        <f t="shared" si="736"/>
        <v>0.10890000000000002</v>
      </c>
      <c r="DK129" s="1899"/>
      <c r="DL129" s="940" t="s">
        <v>164</v>
      </c>
      <c r="DN129" s="977">
        <f>DN115*$AJ$129</f>
        <v>0</v>
      </c>
      <c r="DO129" s="978">
        <f>DO115*$AJ$129</f>
        <v>0</v>
      </c>
      <c r="DP129" s="978">
        <f>DP115*$AJ$129</f>
        <v>0</v>
      </c>
      <c r="DQ129" s="978">
        <f>DQ115*$AJ$129</f>
        <v>0</v>
      </c>
      <c r="DR129" s="979">
        <f>DR115*$AJ$129</f>
        <v>0</v>
      </c>
      <c r="DT129" s="977">
        <f>DT115*$AH$129</f>
        <v>0</v>
      </c>
      <c r="DU129" s="978">
        <f>DU115*$AH$129</f>
        <v>0</v>
      </c>
      <c r="DV129" s="978">
        <f>DV115*$AH$129</f>
        <v>0</v>
      </c>
      <c r="DW129" s="978">
        <f>DW115*$AH$129</f>
        <v>0</v>
      </c>
      <c r="DX129" s="979">
        <f>DX115*$AH$129</f>
        <v>0</v>
      </c>
      <c r="DZ129" s="977">
        <f>DZ115*AK$129</f>
        <v>0</v>
      </c>
      <c r="EA129" s="978">
        <f>EA115*AL$129</f>
        <v>0</v>
      </c>
      <c r="EB129" s="978">
        <f>EB115*AM$129</f>
        <v>0</v>
      </c>
      <c r="EC129" s="978">
        <f>EC115*AN$129</f>
        <v>0</v>
      </c>
      <c r="ED129" s="979">
        <f>ED115*AO$129</f>
        <v>0</v>
      </c>
      <c r="EF129" s="977">
        <f t="shared" si="737"/>
        <v>0</v>
      </c>
      <c r="EG129" s="978">
        <f t="shared" si="738"/>
        <v>0</v>
      </c>
      <c r="EH129" s="978">
        <f t="shared" si="739"/>
        <v>0</v>
      </c>
      <c r="EI129" s="978">
        <f t="shared" si="740"/>
        <v>0</v>
      </c>
      <c r="EJ129" s="978">
        <f t="shared" si="741"/>
        <v>0</v>
      </c>
      <c r="EK129" s="978">
        <f t="shared" si="742"/>
        <v>0</v>
      </c>
      <c r="EL129" s="978">
        <f t="shared" si="743"/>
        <v>0</v>
      </c>
      <c r="EM129" s="978">
        <f t="shared" si="744"/>
        <v>0</v>
      </c>
      <c r="EN129" s="978">
        <f t="shared" si="745"/>
        <v>0</v>
      </c>
      <c r="EO129" s="978">
        <f t="shared" si="746"/>
        <v>0</v>
      </c>
      <c r="EP129" s="978">
        <f t="shared" si="747"/>
        <v>0</v>
      </c>
      <c r="EQ129" s="978">
        <f t="shared" si="748"/>
        <v>0</v>
      </c>
      <c r="ES129" s="977">
        <f t="shared" si="760"/>
        <v>0</v>
      </c>
      <c r="ET129" s="978">
        <f t="shared" si="749"/>
        <v>0</v>
      </c>
      <c r="EU129" s="978">
        <f t="shared" si="749"/>
        <v>0</v>
      </c>
      <c r="EV129" s="978">
        <f t="shared" si="749"/>
        <v>0</v>
      </c>
      <c r="EW129" s="978">
        <f t="shared" si="749"/>
        <v>0</v>
      </c>
      <c r="EX129" s="978">
        <f t="shared" si="749"/>
        <v>0</v>
      </c>
      <c r="EY129" s="978">
        <f t="shared" si="749"/>
        <v>0</v>
      </c>
      <c r="EZ129" s="978">
        <f t="shared" si="749"/>
        <v>0</v>
      </c>
      <c r="FA129" s="978">
        <f t="shared" si="749"/>
        <v>0</v>
      </c>
      <c r="FB129" s="978">
        <f t="shared" si="749"/>
        <v>0</v>
      </c>
      <c r="FC129" s="978">
        <f t="shared" si="749"/>
        <v>0</v>
      </c>
      <c r="FD129" s="979">
        <f t="shared" si="749"/>
        <v>0</v>
      </c>
      <c r="FF129" s="977">
        <f t="shared" si="761"/>
        <v>0</v>
      </c>
      <c r="FG129" s="978">
        <f t="shared" si="750"/>
        <v>0</v>
      </c>
      <c r="FH129" s="978">
        <f t="shared" si="750"/>
        <v>0</v>
      </c>
      <c r="FI129" s="978">
        <f t="shared" si="750"/>
        <v>0</v>
      </c>
      <c r="FJ129" s="978">
        <f t="shared" si="750"/>
        <v>0</v>
      </c>
      <c r="FK129" s="978">
        <f t="shared" si="750"/>
        <v>0</v>
      </c>
      <c r="FL129" s="978">
        <f t="shared" si="750"/>
        <v>0</v>
      </c>
      <c r="FM129" s="978">
        <f t="shared" si="750"/>
        <v>0</v>
      </c>
      <c r="FN129" s="978">
        <f t="shared" si="750"/>
        <v>0</v>
      </c>
      <c r="FO129" s="978">
        <f t="shared" si="750"/>
        <v>0</v>
      </c>
      <c r="FP129" s="978">
        <f t="shared" si="750"/>
        <v>0</v>
      </c>
      <c r="FQ129" s="979">
        <f t="shared" si="750"/>
        <v>0</v>
      </c>
      <c r="FS129" s="977">
        <f t="shared" si="762"/>
        <v>0</v>
      </c>
      <c r="FT129" s="978">
        <f t="shared" si="751"/>
        <v>0</v>
      </c>
      <c r="FU129" s="978">
        <f t="shared" si="751"/>
        <v>0</v>
      </c>
      <c r="FV129" s="978">
        <f t="shared" si="751"/>
        <v>0</v>
      </c>
      <c r="FW129" s="978">
        <f t="shared" si="751"/>
        <v>0</v>
      </c>
      <c r="FX129" s="978">
        <f t="shared" si="751"/>
        <v>0</v>
      </c>
      <c r="FY129" s="978">
        <f t="shared" si="751"/>
        <v>0</v>
      </c>
      <c r="FZ129" s="978">
        <f t="shared" si="751"/>
        <v>0</v>
      </c>
      <c r="GA129" s="978">
        <f t="shared" si="751"/>
        <v>0</v>
      </c>
      <c r="GB129" s="978">
        <f t="shared" si="751"/>
        <v>0</v>
      </c>
      <c r="GC129" s="978">
        <f t="shared" si="751"/>
        <v>0</v>
      </c>
      <c r="GD129" s="979">
        <f t="shared" si="751"/>
        <v>0</v>
      </c>
      <c r="GF129" s="977">
        <f t="shared" si="763"/>
        <v>0</v>
      </c>
      <c r="GG129" s="978">
        <f t="shared" si="752"/>
        <v>0</v>
      </c>
      <c r="GH129" s="978">
        <f t="shared" si="752"/>
        <v>0</v>
      </c>
      <c r="GI129" s="978">
        <f t="shared" si="752"/>
        <v>0</v>
      </c>
      <c r="GJ129" s="978">
        <f t="shared" si="752"/>
        <v>0</v>
      </c>
      <c r="GK129" s="978">
        <f t="shared" si="752"/>
        <v>0</v>
      </c>
      <c r="GL129" s="978">
        <f t="shared" si="752"/>
        <v>0</v>
      </c>
      <c r="GM129" s="978">
        <f t="shared" si="752"/>
        <v>0</v>
      </c>
      <c r="GN129" s="978">
        <f t="shared" si="752"/>
        <v>0</v>
      </c>
      <c r="GO129" s="978">
        <f t="shared" si="752"/>
        <v>0</v>
      </c>
      <c r="GP129" s="978">
        <f t="shared" si="752"/>
        <v>0</v>
      </c>
      <c r="GQ129" s="979">
        <f t="shared" si="752"/>
        <v>0</v>
      </c>
      <c r="GS129" s="977">
        <f t="shared" si="764"/>
        <v>0</v>
      </c>
      <c r="GT129" s="978">
        <f t="shared" si="753"/>
        <v>0</v>
      </c>
      <c r="GU129" s="978">
        <f t="shared" si="753"/>
        <v>0</v>
      </c>
      <c r="GV129" s="978">
        <f t="shared" si="753"/>
        <v>0</v>
      </c>
      <c r="GW129" s="978">
        <f t="shared" si="753"/>
        <v>0</v>
      </c>
      <c r="GX129" s="978">
        <f t="shared" si="753"/>
        <v>0</v>
      </c>
      <c r="GY129" s="978">
        <f t="shared" si="753"/>
        <v>0</v>
      </c>
      <c r="GZ129" s="978">
        <f t="shared" si="753"/>
        <v>0</v>
      </c>
      <c r="HA129" s="978">
        <f t="shared" si="753"/>
        <v>0</v>
      </c>
      <c r="HB129" s="978">
        <f t="shared" si="753"/>
        <v>0</v>
      </c>
      <c r="HC129" s="978">
        <f t="shared" si="753"/>
        <v>0</v>
      </c>
      <c r="HD129" s="979">
        <f t="shared" si="753"/>
        <v>0</v>
      </c>
    </row>
    <row r="130" spans="1:212" ht="14.25">
      <c r="B130" s="1103"/>
      <c r="C130" s="31"/>
      <c r="D130" s="31"/>
      <c r="E130" s="31"/>
      <c r="F130" s="31"/>
      <c r="G130" s="31"/>
      <c r="H130" s="31"/>
      <c r="I130" s="31"/>
      <c r="N130" s="1899"/>
      <c r="O130" s="940" t="s">
        <v>166</v>
      </c>
      <c r="P130" s="595">
        <v>1</v>
      </c>
      <c r="Q130" s="595">
        <v>0</v>
      </c>
      <c r="R130" s="595">
        <v>0</v>
      </c>
      <c r="S130" s="595">
        <v>1</v>
      </c>
      <c r="T130" s="595">
        <v>0</v>
      </c>
      <c r="U130" s="595">
        <v>1</v>
      </c>
      <c r="V130" s="595">
        <v>0</v>
      </c>
      <c r="AA130" s="1899"/>
      <c r="AB130" s="940" t="s">
        <v>166</v>
      </c>
      <c r="AC130" s="599">
        <f t="shared" si="679"/>
        <v>0.14285714285714285</v>
      </c>
      <c r="AD130" s="599">
        <f>Q130/Q116</f>
        <v>0</v>
      </c>
      <c r="AE130" s="599">
        <f>R130/R116</f>
        <v>0</v>
      </c>
      <c r="AF130" s="599">
        <f>S130/S116</f>
        <v>0.2</v>
      </c>
      <c r="AG130" s="599">
        <f>T130/T116</f>
        <v>0</v>
      </c>
      <c r="AH130" s="599">
        <f>U130/U116</f>
        <v>1</v>
      </c>
      <c r="AI130" s="599"/>
      <c r="AJ130" s="935">
        <f t="shared" si="680"/>
        <v>0.22380952380952382</v>
      </c>
      <c r="AK130" s="935">
        <f t="shared" si="681"/>
        <v>0.22380952380952382</v>
      </c>
      <c r="AL130" s="935">
        <f t="shared" si="682"/>
        <v>0.24619047619047621</v>
      </c>
      <c r="AM130" s="935">
        <f t="shared" si="683"/>
        <v>0.24619047619047621</v>
      </c>
      <c r="AN130" s="935">
        <f t="shared" si="684"/>
        <v>0.24619047619047621</v>
      </c>
      <c r="AO130" s="935">
        <f t="shared" si="685"/>
        <v>0.24619047619047621</v>
      </c>
      <c r="AP130" s="1036">
        <v>0.1</v>
      </c>
      <c r="AQ130" s="1036">
        <f t="shared" si="754"/>
        <v>9.0000000000000011E-2</v>
      </c>
      <c r="AR130" s="1036">
        <f t="shared" si="754"/>
        <v>9.0000000000000011E-2</v>
      </c>
      <c r="AS130" s="1036">
        <f t="shared" si="754"/>
        <v>9.0000000000000011E-2</v>
      </c>
      <c r="AT130" s="1036">
        <f t="shared" si="754"/>
        <v>9.9000000000000019E-2</v>
      </c>
      <c r="AU130" s="1036">
        <f t="shared" si="754"/>
        <v>0.10890000000000002</v>
      </c>
      <c r="AV130" s="1036">
        <f t="shared" si="754"/>
        <v>0.10890000000000002</v>
      </c>
      <c r="AW130" s="1036">
        <f t="shared" si="754"/>
        <v>0.10890000000000002</v>
      </c>
      <c r="AX130" s="1036">
        <f t="shared" si="754"/>
        <v>0.10890000000000002</v>
      </c>
      <c r="AY130" s="1036">
        <f t="shared" si="754"/>
        <v>0.10890000000000002</v>
      </c>
      <c r="AZ130" s="1036">
        <f t="shared" si="754"/>
        <v>0.10890000000000002</v>
      </c>
      <c r="BA130" s="1036">
        <f t="shared" si="754"/>
        <v>0.10890000000000002</v>
      </c>
      <c r="BB130" s="1036">
        <v>0.1</v>
      </c>
      <c r="BC130" s="1036">
        <f t="shared" si="755"/>
        <v>9.0000000000000011E-2</v>
      </c>
      <c r="BD130" s="1036">
        <f t="shared" si="687"/>
        <v>9.0000000000000011E-2</v>
      </c>
      <c r="BE130" s="1036">
        <f t="shared" si="688"/>
        <v>9.0000000000000011E-2</v>
      </c>
      <c r="BF130" s="1036">
        <f t="shared" si="689"/>
        <v>9.9000000000000019E-2</v>
      </c>
      <c r="BG130" s="1036">
        <f t="shared" si="690"/>
        <v>0.10890000000000002</v>
      </c>
      <c r="BH130" s="1036">
        <f t="shared" si="691"/>
        <v>0.10890000000000002</v>
      </c>
      <c r="BI130" s="1036">
        <f t="shared" si="692"/>
        <v>0.10890000000000002</v>
      </c>
      <c r="BJ130" s="1036">
        <f t="shared" si="693"/>
        <v>0.10890000000000002</v>
      </c>
      <c r="BK130" s="1036">
        <f t="shared" si="694"/>
        <v>0.10890000000000002</v>
      </c>
      <c r="BL130" s="1036">
        <f t="shared" si="695"/>
        <v>0.10890000000000002</v>
      </c>
      <c r="BM130" s="1036">
        <f t="shared" si="696"/>
        <v>0.10890000000000002</v>
      </c>
      <c r="BN130" s="1036">
        <v>0.1</v>
      </c>
      <c r="BO130" s="1036">
        <f t="shared" si="756"/>
        <v>9.0000000000000011E-2</v>
      </c>
      <c r="BP130" s="1036">
        <f t="shared" si="697"/>
        <v>9.0000000000000011E-2</v>
      </c>
      <c r="BQ130" s="1036">
        <f t="shared" si="698"/>
        <v>9.0000000000000011E-2</v>
      </c>
      <c r="BR130" s="1036">
        <f t="shared" si="699"/>
        <v>9.9000000000000019E-2</v>
      </c>
      <c r="BS130" s="1036">
        <f t="shared" si="700"/>
        <v>0.10890000000000002</v>
      </c>
      <c r="BT130" s="1036">
        <f t="shared" si="701"/>
        <v>0.10890000000000002</v>
      </c>
      <c r="BU130" s="1036">
        <f t="shared" si="702"/>
        <v>0.10890000000000002</v>
      </c>
      <c r="BV130" s="1036">
        <f t="shared" si="703"/>
        <v>0.10890000000000002</v>
      </c>
      <c r="BW130" s="1036">
        <f t="shared" si="704"/>
        <v>0.10890000000000002</v>
      </c>
      <c r="BX130" s="1036">
        <f t="shared" si="705"/>
        <v>0.10890000000000002</v>
      </c>
      <c r="BY130" s="1036">
        <f t="shared" si="706"/>
        <v>0.10890000000000002</v>
      </c>
      <c r="BZ130" s="1036">
        <v>0.1</v>
      </c>
      <c r="CA130" s="1036">
        <f t="shared" si="757"/>
        <v>9.0000000000000011E-2</v>
      </c>
      <c r="CB130" s="1036">
        <f t="shared" si="707"/>
        <v>9.0000000000000011E-2</v>
      </c>
      <c r="CC130" s="1036">
        <f t="shared" si="708"/>
        <v>9.0000000000000011E-2</v>
      </c>
      <c r="CD130" s="1036">
        <f t="shared" si="709"/>
        <v>9.9000000000000019E-2</v>
      </c>
      <c r="CE130" s="1036">
        <f t="shared" si="710"/>
        <v>0.10890000000000002</v>
      </c>
      <c r="CF130" s="1036">
        <f t="shared" si="711"/>
        <v>0.10890000000000002</v>
      </c>
      <c r="CG130" s="1036">
        <f t="shared" si="712"/>
        <v>0.10890000000000002</v>
      </c>
      <c r="CH130" s="1036">
        <f t="shared" si="713"/>
        <v>0.10890000000000002</v>
      </c>
      <c r="CI130" s="1036">
        <f t="shared" si="714"/>
        <v>0.10890000000000002</v>
      </c>
      <c r="CJ130" s="1036">
        <f t="shared" si="715"/>
        <v>0.10890000000000002</v>
      </c>
      <c r="CK130" s="1036">
        <f t="shared" si="716"/>
        <v>0.10890000000000002</v>
      </c>
      <c r="CL130" s="1036">
        <v>0.1</v>
      </c>
      <c r="CM130" s="1036">
        <f t="shared" si="758"/>
        <v>9.0000000000000011E-2</v>
      </c>
      <c r="CN130" s="1036">
        <f t="shared" si="717"/>
        <v>9.0000000000000011E-2</v>
      </c>
      <c r="CO130" s="1036">
        <f t="shared" si="718"/>
        <v>9.0000000000000011E-2</v>
      </c>
      <c r="CP130" s="1036">
        <f t="shared" si="719"/>
        <v>9.9000000000000019E-2</v>
      </c>
      <c r="CQ130" s="1036">
        <f t="shared" si="720"/>
        <v>0.10890000000000002</v>
      </c>
      <c r="CR130" s="1036">
        <f t="shared" si="721"/>
        <v>0.10890000000000002</v>
      </c>
      <c r="CS130" s="1036">
        <f t="shared" si="722"/>
        <v>0.10890000000000002</v>
      </c>
      <c r="CT130" s="1036">
        <f t="shared" si="723"/>
        <v>0.10890000000000002</v>
      </c>
      <c r="CU130" s="1036">
        <f t="shared" si="724"/>
        <v>0.10890000000000002</v>
      </c>
      <c r="CV130" s="1036">
        <f t="shared" si="725"/>
        <v>0.10890000000000002</v>
      </c>
      <c r="CW130" s="1036">
        <f t="shared" si="726"/>
        <v>0.10890000000000002</v>
      </c>
      <c r="CX130" s="1036">
        <v>0.1</v>
      </c>
      <c r="CY130" s="1036">
        <f t="shared" si="759"/>
        <v>9.0000000000000011E-2</v>
      </c>
      <c r="CZ130" s="1036">
        <f t="shared" si="727"/>
        <v>9.0000000000000011E-2</v>
      </c>
      <c r="DA130" s="1036">
        <f t="shared" si="728"/>
        <v>9.0000000000000011E-2</v>
      </c>
      <c r="DB130" s="1036">
        <f t="shared" si="729"/>
        <v>9.9000000000000019E-2</v>
      </c>
      <c r="DC130" s="1036">
        <f t="shared" si="730"/>
        <v>0.10890000000000002</v>
      </c>
      <c r="DD130" s="1036">
        <f t="shared" si="731"/>
        <v>0.10890000000000002</v>
      </c>
      <c r="DE130" s="1036">
        <f t="shared" si="732"/>
        <v>0.10890000000000002</v>
      </c>
      <c r="DF130" s="1036">
        <f t="shared" si="733"/>
        <v>0.10890000000000002</v>
      </c>
      <c r="DG130" s="1036">
        <f t="shared" si="734"/>
        <v>0.10890000000000002</v>
      </c>
      <c r="DH130" s="1036">
        <f t="shared" si="735"/>
        <v>0.10890000000000002</v>
      </c>
      <c r="DI130" s="1036">
        <f t="shared" si="736"/>
        <v>0.10890000000000002</v>
      </c>
      <c r="DK130" s="1899"/>
      <c r="DL130" s="940" t="s">
        <v>166</v>
      </c>
      <c r="DN130" s="977">
        <f>DN116*$AJ$130</f>
        <v>0</v>
      </c>
      <c r="DO130" s="978">
        <f>DO116*$AJ$130</f>
        <v>0.44761904761904764</v>
      </c>
      <c r="DP130" s="978">
        <f>DP116*$AJ$130</f>
        <v>0.22380952380952382</v>
      </c>
      <c r="DQ130" s="978">
        <f>DQ116*$AJ$130</f>
        <v>0.44761904761904764</v>
      </c>
      <c r="DR130" s="979">
        <f>DR116*$AJ$130</f>
        <v>0.22380952380952382</v>
      </c>
      <c r="DT130" s="977">
        <f>DT116*$AH$130</f>
        <v>0</v>
      </c>
      <c r="DU130" s="978">
        <f>DU116*$AH$130</f>
        <v>2</v>
      </c>
      <c r="DV130" s="978">
        <f>DV116*$AH$130</f>
        <v>1</v>
      </c>
      <c r="DW130" s="978">
        <f>DW116*$AH$130</f>
        <v>2</v>
      </c>
      <c r="DX130" s="979">
        <f>DX116*$AH$130</f>
        <v>1</v>
      </c>
      <c r="DZ130" s="977">
        <f>DZ116*AK$130</f>
        <v>0</v>
      </c>
      <c r="EA130" s="978">
        <f>EA116*AL$130</f>
        <v>0</v>
      </c>
      <c r="EB130" s="978">
        <f>EB116*AM$130</f>
        <v>0</v>
      </c>
      <c r="EC130" s="978">
        <f>EC116*AN$130</f>
        <v>0</v>
      </c>
      <c r="ED130" s="979">
        <f>ED116*AO$130</f>
        <v>0.24619047619047621</v>
      </c>
      <c r="EF130" s="977">
        <f t="shared" si="737"/>
        <v>1.0349999999999999</v>
      </c>
      <c r="EG130" s="978">
        <f t="shared" si="738"/>
        <v>0.58320000000000005</v>
      </c>
      <c r="EH130" s="978">
        <f t="shared" si="739"/>
        <v>0.21870000000000003</v>
      </c>
      <c r="EI130" s="978">
        <f t="shared" si="740"/>
        <v>0.21870000000000003</v>
      </c>
      <c r="EJ130" s="978">
        <f t="shared" si="741"/>
        <v>0.48514950000000018</v>
      </c>
      <c r="EK130" s="978">
        <f t="shared" si="742"/>
        <v>0.48029800500000019</v>
      </c>
      <c r="EL130" s="978">
        <f t="shared" si="743"/>
        <v>0.26683222500000009</v>
      </c>
      <c r="EM130" s="978">
        <f t="shared" si="744"/>
        <v>0.48029800500000019</v>
      </c>
      <c r="EN130" s="978">
        <f t="shared" si="745"/>
        <v>0.42693156000000015</v>
      </c>
      <c r="EO130" s="978">
        <f t="shared" si="746"/>
        <v>0.26683222500000009</v>
      </c>
      <c r="EP130" s="978">
        <f t="shared" si="747"/>
        <v>0.21346578000000008</v>
      </c>
      <c r="EQ130" s="978">
        <f t="shared" si="748"/>
        <v>0.21346578000000008</v>
      </c>
      <c r="ES130" s="977">
        <f t="shared" si="760"/>
        <v>0.18000000000000002</v>
      </c>
      <c r="ET130" s="978">
        <f t="shared" si="749"/>
        <v>0.14580000000000001</v>
      </c>
      <c r="EU130" s="978">
        <f t="shared" si="749"/>
        <v>0.14580000000000001</v>
      </c>
      <c r="EV130" s="978">
        <f t="shared" si="749"/>
        <v>0.10935000000000002</v>
      </c>
      <c r="EW130" s="978">
        <f t="shared" si="749"/>
        <v>8.8209000000000024E-2</v>
      </c>
      <c r="EX130" s="978">
        <f t="shared" si="749"/>
        <v>0.16009933500000006</v>
      </c>
      <c r="EY130" s="978">
        <f t="shared" si="749"/>
        <v>0.21346578000000008</v>
      </c>
      <c r="EZ130" s="978">
        <f t="shared" si="749"/>
        <v>0.21346578000000008</v>
      </c>
      <c r="FA130" s="978">
        <f t="shared" si="749"/>
        <v>0.21346578000000008</v>
      </c>
      <c r="FB130" s="978">
        <f t="shared" si="749"/>
        <v>0.21346578000000008</v>
      </c>
      <c r="FC130" s="978">
        <f t="shared" si="749"/>
        <v>0.21346578000000008</v>
      </c>
      <c r="FD130" s="979">
        <f t="shared" si="749"/>
        <v>0.21346578000000008</v>
      </c>
      <c r="FF130" s="977">
        <f t="shared" si="761"/>
        <v>0.18000000000000002</v>
      </c>
      <c r="FG130" s="978">
        <f t="shared" si="750"/>
        <v>0.14580000000000001</v>
      </c>
      <c r="FH130" s="978">
        <f t="shared" si="750"/>
        <v>0.14580000000000001</v>
      </c>
      <c r="FI130" s="978">
        <f t="shared" si="750"/>
        <v>0.10935000000000002</v>
      </c>
      <c r="FJ130" s="978">
        <f t="shared" si="750"/>
        <v>8.8209000000000024E-2</v>
      </c>
      <c r="FK130" s="978">
        <f t="shared" si="750"/>
        <v>0.16009933500000006</v>
      </c>
      <c r="FL130" s="978">
        <f t="shared" si="750"/>
        <v>0.21346578000000008</v>
      </c>
      <c r="FM130" s="978">
        <f t="shared" si="750"/>
        <v>0.21346578000000008</v>
      </c>
      <c r="FN130" s="978">
        <f t="shared" si="750"/>
        <v>0.21346578000000008</v>
      </c>
      <c r="FO130" s="978">
        <f t="shared" si="750"/>
        <v>0.21346578000000008</v>
      </c>
      <c r="FP130" s="978">
        <f t="shared" si="750"/>
        <v>0.21346578000000008</v>
      </c>
      <c r="FQ130" s="979">
        <f t="shared" si="750"/>
        <v>0.21346578000000008</v>
      </c>
      <c r="FS130" s="977">
        <f t="shared" si="762"/>
        <v>0.18000000000000002</v>
      </c>
      <c r="FT130" s="978">
        <f t="shared" si="751"/>
        <v>0.14580000000000001</v>
      </c>
      <c r="FU130" s="978">
        <f t="shared" si="751"/>
        <v>0.14580000000000001</v>
      </c>
      <c r="FV130" s="978">
        <f t="shared" si="751"/>
        <v>0.10935000000000002</v>
      </c>
      <c r="FW130" s="978">
        <f t="shared" si="751"/>
        <v>8.8209000000000024E-2</v>
      </c>
      <c r="FX130" s="978">
        <f t="shared" si="751"/>
        <v>0.10673289000000004</v>
      </c>
      <c r="FY130" s="978">
        <f t="shared" si="751"/>
        <v>0.10673289000000004</v>
      </c>
      <c r="FZ130" s="978">
        <f t="shared" si="751"/>
        <v>0.10673289000000004</v>
      </c>
      <c r="GA130" s="978">
        <f t="shared" si="751"/>
        <v>0.10673289000000004</v>
      </c>
      <c r="GB130" s="978">
        <f t="shared" si="751"/>
        <v>0.10673289000000004</v>
      </c>
      <c r="GC130" s="978">
        <f t="shared" si="751"/>
        <v>0.10673289000000004</v>
      </c>
      <c r="GD130" s="979">
        <f t="shared" si="751"/>
        <v>0.10673289000000004</v>
      </c>
      <c r="GF130" s="977">
        <f t="shared" si="763"/>
        <v>9.0000000000000011E-2</v>
      </c>
      <c r="GG130" s="978">
        <f t="shared" si="752"/>
        <v>7.2900000000000006E-2</v>
      </c>
      <c r="GH130" s="978">
        <f t="shared" si="752"/>
        <v>7.2900000000000006E-2</v>
      </c>
      <c r="GI130" s="978">
        <f t="shared" si="752"/>
        <v>7.2900000000000006E-2</v>
      </c>
      <c r="GJ130" s="978">
        <f t="shared" si="752"/>
        <v>8.8209000000000024E-2</v>
      </c>
      <c r="GK130" s="978">
        <f t="shared" si="752"/>
        <v>0.10673289000000004</v>
      </c>
      <c r="GL130" s="978">
        <f t="shared" si="752"/>
        <v>0.10673289000000004</v>
      </c>
      <c r="GM130" s="978">
        <f t="shared" si="752"/>
        <v>0.10673289000000004</v>
      </c>
      <c r="GN130" s="978">
        <f t="shared" si="752"/>
        <v>0.10673289000000004</v>
      </c>
      <c r="GO130" s="978">
        <f t="shared" si="752"/>
        <v>0.10673289000000004</v>
      </c>
      <c r="GP130" s="978">
        <f t="shared" si="752"/>
        <v>0.10673289000000004</v>
      </c>
      <c r="GQ130" s="979">
        <f t="shared" si="752"/>
        <v>0.10673289000000004</v>
      </c>
      <c r="GS130" s="977">
        <f t="shared" si="764"/>
        <v>9.0000000000000011E-2</v>
      </c>
      <c r="GT130" s="978">
        <f t="shared" si="753"/>
        <v>7.2900000000000006E-2</v>
      </c>
      <c r="GU130" s="978">
        <f t="shared" si="753"/>
        <v>7.2900000000000006E-2</v>
      </c>
      <c r="GV130" s="978">
        <f t="shared" si="753"/>
        <v>7.2900000000000006E-2</v>
      </c>
      <c r="GW130" s="978">
        <f t="shared" si="753"/>
        <v>8.8209000000000024E-2</v>
      </c>
      <c r="GX130" s="978">
        <f t="shared" si="753"/>
        <v>0.10673289000000004</v>
      </c>
      <c r="GY130" s="978">
        <f t="shared" si="753"/>
        <v>0.10673289000000004</v>
      </c>
      <c r="GZ130" s="978">
        <f t="shared" si="753"/>
        <v>0.10673289000000004</v>
      </c>
      <c r="HA130" s="978">
        <f t="shared" si="753"/>
        <v>0.10673289000000004</v>
      </c>
      <c r="HB130" s="978">
        <f t="shared" si="753"/>
        <v>0.10673289000000004</v>
      </c>
      <c r="HC130" s="978">
        <f t="shared" si="753"/>
        <v>0.10673289000000004</v>
      </c>
      <c r="HD130" s="979">
        <f t="shared" si="753"/>
        <v>0.10673289000000004</v>
      </c>
    </row>
    <row r="131" spans="1:212" ht="14.25">
      <c r="B131" s="1048"/>
      <c r="C131" s="31"/>
      <c r="D131" s="31"/>
      <c r="E131" s="31"/>
      <c r="F131" s="31"/>
      <c r="G131" s="31"/>
      <c r="H131" s="1072"/>
      <c r="I131" s="1072"/>
      <c r="N131" s="1899"/>
      <c r="O131" s="940" t="s">
        <v>1061</v>
      </c>
      <c r="P131" s="595">
        <v>1</v>
      </c>
      <c r="Q131" s="595">
        <v>0</v>
      </c>
      <c r="R131" s="595">
        <v>1</v>
      </c>
      <c r="S131" s="595">
        <v>1</v>
      </c>
      <c r="T131" s="595">
        <v>2</v>
      </c>
      <c r="U131" s="595">
        <v>1</v>
      </c>
      <c r="V131" s="595">
        <v>4</v>
      </c>
      <c r="AA131" s="1899"/>
      <c r="AB131" s="940" t="s">
        <v>1061</v>
      </c>
      <c r="DK131" s="1899"/>
      <c r="DL131" s="940" t="s">
        <v>1061</v>
      </c>
      <c r="DN131" s="1046">
        <v>0</v>
      </c>
      <c r="DO131" s="603">
        <v>0</v>
      </c>
      <c r="DP131" s="603">
        <v>1</v>
      </c>
      <c r="DQ131" s="603">
        <v>2</v>
      </c>
      <c r="DR131" s="930">
        <v>0</v>
      </c>
      <c r="DT131" s="1046">
        <v>0</v>
      </c>
      <c r="DU131" s="603">
        <v>0</v>
      </c>
      <c r="DV131" s="603">
        <v>1</v>
      </c>
      <c r="DW131" s="603">
        <v>2</v>
      </c>
      <c r="DX131" s="930">
        <v>0</v>
      </c>
      <c r="DZ131" s="1046">
        <v>0</v>
      </c>
      <c r="EA131" s="603">
        <v>0</v>
      </c>
      <c r="EB131" s="603">
        <v>1</v>
      </c>
      <c r="EC131" s="603">
        <v>2</v>
      </c>
      <c r="ED131" s="930">
        <v>0</v>
      </c>
      <c r="EF131" s="1046"/>
      <c r="EG131" s="603"/>
      <c r="EH131" s="603"/>
      <c r="EI131" s="603"/>
      <c r="EJ131" s="603"/>
      <c r="EK131" s="603"/>
      <c r="EL131" s="603"/>
      <c r="EM131" s="603"/>
      <c r="EN131" s="603"/>
      <c r="EO131" s="603"/>
      <c r="EP131" s="603"/>
      <c r="EQ131" s="930"/>
      <c r="ES131" s="1046"/>
      <c r="ET131" s="603"/>
      <c r="EU131" s="603"/>
      <c r="EV131" s="603"/>
      <c r="EW131" s="603"/>
      <c r="EX131" s="603"/>
      <c r="EY131" s="603"/>
      <c r="EZ131" s="603"/>
      <c r="FA131" s="603"/>
      <c r="FB131" s="603"/>
      <c r="FC131" s="603"/>
      <c r="FD131" s="930"/>
      <c r="FF131" s="1046"/>
      <c r="FG131" s="603"/>
      <c r="FH131" s="603"/>
      <c r="FI131" s="603"/>
      <c r="FJ131" s="603"/>
      <c r="FK131" s="603"/>
      <c r="FL131" s="603"/>
      <c r="FM131" s="603"/>
      <c r="FN131" s="603"/>
      <c r="FO131" s="603"/>
      <c r="FP131" s="603"/>
      <c r="FQ131" s="930"/>
      <c r="FS131" s="1046"/>
      <c r="FT131" s="603"/>
      <c r="FU131" s="603"/>
      <c r="FV131" s="603"/>
      <c r="FW131" s="603"/>
      <c r="FX131" s="603"/>
      <c r="FY131" s="603"/>
      <c r="FZ131" s="603"/>
      <c r="GA131" s="603"/>
      <c r="GB131" s="603"/>
      <c r="GC131" s="603"/>
      <c r="GD131" s="930"/>
      <c r="GF131" s="1046"/>
      <c r="GG131" s="603"/>
      <c r="GH131" s="603"/>
      <c r="GI131" s="603"/>
      <c r="GJ131" s="603"/>
      <c r="GK131" s="603"/>
      <c r="GL131" s="603"/>
      <c r="GM131" s="603"/>
      <c r="GN131" s="603"/>
      <c r="GO131" s="603"/>
      <c r="GP131" s="603"/>
      <c r="GQ131" s="930"/>
      <c r="GS131" s="1046"/>
      <c r="GT131" s="603"/>
      <c r="GU131" s="603"/>
      <c r="GV131" s="603"/>
      <c r="GW131" s="603"/>
      <c r="GX131" s="603"/>
      <c r="GY131" s="603"/>
      <c r="GZ131" s="603"/>
      <c r="HA131" s="603"/>
      <c r="HB131" s="603"/>
      <c r="HC131" s="603"/>
      <c r="HD131" s="930"/>
    </row>
    <row r="132" spans="1:212" ht="14.25">
      <c r="B132" s="1084"/>
      <c r="C132" s="31"/>
      <c r="D132" s="31"/>
      <c r="E132" s="31"/>
      <c r="F132" s="31"/>
      <c r="G132" s="31"/>
      <c r="H132" s="1072"/>
      <c r="I132" s="1072"/>
      <c r="P132" s="1107">
        <f>SUM(P119:P131)</f>
        <v>5</v>
      </c>
      <c r="Q132" s="1107">
        <f t="shared" ref="Q132:V132" si="765">SUM(Q119:Q131)</f>
        <v>2</v>
      </c>
      <c r="R132" s="1107">
        <f t="shared" si="765"/>
        <v>6</v>
      </c>
      <c r="S132" s="1107">
        <f t="shared" si="765"/>
        <v>7</v>
      </c>
      <c r="T132" s="1107">
        <f t="shared" si="765"/>
        <v>10</v>
      </c>
      <c r="U132" s="1107">
        <f t="shared" si="765"/>
        <v>14</v>
      </c>
      <c r="V132" s="1107">
        <f t="shared" si="765"/>
        <v>16</v>
      </c>
      <c r="DN132" s="928" t="s">
        <v>1035</v>
      </c>
      <c r="DT132" s="928" t="s">
        <v>1037</v>
      </c>
      <c r="DZ132" s="928" t="s">
        <v>1038</v>
      </c>
      <c r="EF132" s="1260">
        <f>SUM(EF119:EF131)</f>
        <v>19.085000000000001</v>
      </c>
      <c r="EG132" s="1260">
        <f t="shared" ref="EG132" si="766">SUM(EG119:EG131)</f>
        <v>18.943200000000004</v>
      </c>
      <c r="EH132" s="1260">
        <f t="shared" ref="EH132" si="767">SUM(EH119:EH131)</f>
        <v>16.058700000000002</v>
      </c>
      <c r="EI132" s="1260">
        <f t="shared" ref="EI132" si="768">SUM(EI119:EI131)</f>
        <v>14.348700000000001</v>
      </c>
      <c r="EJ132" s="1260">
        <f t="shared" ref="EJ132" si="769">SUM(EJ119:EJ131)</f>
        <v>17.216149500000004</v>
      </c>
      <c r="EK132" s="1260">
        <f t="shared" ref="EK132" si="770">SUM(EK119:EK131)</f>
        <v>18.748273005000005</v>
      </c>
      <c r="EL132" s="1260">
        <f t="shared" ref="EL132" si="771">SUM(EL119:EL131)</f>
        <v>15.785082225000002</v>
      </c>
      <c r="EM132" s="1260">
        <f>SUM(EM119:EM131)</f>
        <v>16.651948005000005</v>
      </c>
      <c r="EN132" s="1260">
        <f t="shared" ref="EN132" si="772">SUM(EN119:EN131)</f>
        <v>16.244656560000003</v>
      </c>
      <c r="EO132" s="1260">
        <f t="shared" ref="EO132" si="773">SUM(EO119:EO131)</f>
        <v>13.552632225000004</v>
      </c>
      <c r="EP132" s="1260">
        <f t="shared" ref="EP132" si="774">SUM(EP119:EP131)</f>
        <v>11.130690780000002</v>
      </c>
      <c r="EQ132" s="1260">
        <f t="shared" ref="EQ132" si="775">SUM(EQ119:EQ131)</f>
        <v>10.286715780000002</v>
      </c>
      <c r="ES132" s="1260">
        <f>SUM(ES119:ES131)</f>
        <v>8.9049999999999994</v>
      </c>
      <c r="ET132" s="1260">
        <f t="shared" ref="ET132:EY132" si="776">SUM(ET119:ET131)</f>
        <v>7.2333000000000007</v>
      </c>
      <c r="EU132" s="1260">
        <f t="shared" si="776"/>
        <v>6.7608000000000015</v>
      </c>
      <c r="EV132" s="1260">
        <f t="shared" si="776"/>
        <v>6.2293500000000011</v>
      </c>
      <c r="EW132" s="1260">
        <f t="shared" si="776"/>
        <v>5.7064590000000006</v>
      </c>
      <c r="EX132" s="1260">
        <f t="shared" si="776"/>
        <v>5.9045743350000004</v>
      </c>
      <c r="EY132" s="1260">
        <f t="shared" si="776"/>
        <v>6.2574157800000005</v>
      </c>
      <c r="EZ132" s="1260">
        <f>SUM(EZ119:EZ131)</f>
        <v>6.5296657799999993</v>
      </c>
      <c r="FA132" s="1260">
        <f t="shared" ref="FA132:FD132" si="777">SUM(FA119:FA131)</f>
        <v>6.6930157799999996</v>
      </c>
      <c r="FB132" s="1260">
        <f t="shared" si="777"/>
        <v>6.8291407800000012</v>
      </c>
      <c r="FC132" s="1260">
        <f t="shared" si="777"/>
        <v>6.9380407800000015</v>
      </c>
      <c r="FD132" s="1260">
        <f t="shared" si="777"/>
        <v>6.965265780000002</v>
      </c>
      <c r="FF132" s="1260">
        <f>SUM(FF119:FF131)</f>
        <v>6.4549999999999992</v>
      </c>
      <c r="FG132" s="1260">
        <f t="shared" ref="FG132:FL132" si="778">SUM(FG119:FG131)</f>
        <v>5.9283000000000001</v>
      </c>
      <c r="FH132" s="1260">
        <f t="shared" si="778"/>
        <v>5.9958</v>
      </c>
      <c r="FI132" s="1260">
        <f t="shared" si="778"/>
        <v>5.5543500000000003</v>
      </c>
      <c r="FJ132" s="1260">
        <f t="shared" si="778"/>
        <v>5.3352089999999999</v>
      </c>
      <c r="FK132" s="1260">
        <f t="shared" si="778"/>
        <v>5.8228993349999998</v>
      </c>
      <c r="FL132" s="1260">
        <f t="shared" si="778"/>
        <v>6.2574157800000005</v>
      </c>
      <c r="FM132" s="1260">
        <f>SUM(FM119:FM131)</f>
        <v>6.5296657799999993</v>
      </c>
      <c r="FN132" s="1260">
        <f t="shared" ref="FN132:FQ132" si="779">SUM(FN119:FN131)</f>
        <v>6.6930157799999996</v>
      </c>
      <c r="FO132" s="1260">
        <f t="shared" si="779"/>
        <v>6.8291407800000012</v>
      </c>
      <c r="FP132" s="1260">
        <f t="shared" si="779"/>
        <v>6.9380407800000015</v>
      </c>
      <c r="FQ132" s="1260">
        <f t="shared" si="779"/>
        <v>6.965265780000002</v>
      </c>
      <c r="FS132" s="1260">
        <f>SUM(FS119:FS131)</f>
        <v>6.4549999999999992</v>
      </c>
      <c r="FT132" s="1260">
        <f t="shared" ref="FT132:FY132" si="780">SUM(FT119:FT131)</f>
        <v>5.9283000000000001</v>
      </c>
      <c r="FU132" s="1260">
        <f t="shared" si="780"/>
        <v>5.9958</v>
      </c>
      <c r="FV132" s="1260">
        <f t="shared" si="780"/>
        <v>5.5543500000000003</v>
      </c>
      <c r="FW132" s="1260">
        <f t="shared" si="780"/>
        <v>5.3352089999999999</v>
      </c>
      <c r="FX132" s="1260">
        <f t="shared" si="780"/>
        <v>5.2794828899999997</v>
      </c>
      <c r="FY132" s="1260">
        <f t="shared" si="780"/>
        <v>4.8438828899999997</v>
      </c>
      <c r="FZ132" s="1260">
        <f>SUM(FZ119:FZ131)</f>
        <v>4.5171828900000008</v>
      </c>
      <c r="GA132" s="1260">
        <f t="shared" ref="GA132:GD132" si="781">SUM(GA119:GA131)</f>
        <v>4.2449328900000012</v>
      </c>
      <c r="GB132" s="1260">
        <f t="shared" si="781"/>
        <v>4.0543578900000012</v>
      </c>
      <c r="GC132" s="1260">
        <f t="shared" si="781"/>
        <v>3.8910078900000009</v>
      </c>
      <c r="GD132" s="1260">
        <f t="shared" si="781"/>
        <v>3.7276578900000006</v>
      </c>
      <c r="GF132" s="1260">
        <f>SUM(GF119:GF131)</f>
        <v>3.3399999999999994</v>
      </c>
      <c r="GG132" s="1260">
        <f t="shared" ref="GG132:GL132" si="782">SUM(GG119:GG131)</f>
        <v>2.9979</v>
      </c>
      <c r="GH132" s="1260">
        <f t="shared" si="782"/>
        <v>2.9979</v>
      </c>
      <c r="GI132" s="1260">
        <f t="shared" si="782"/>
        <v>2.9979</v>
      </c>
      <c r="GJ132" s="1260">
        <f t="shared" si="782"/>
        <v>3.3057090000000002</v>
      </c>
      <c r="GK132" s="1260">
        <f t="shared" si="782"/>
        <v>3.6459828900000004</v>
      </c>
      <c r="GL132" s="1260">
        <f t="shared" si="782"/>
        <v>3.6459828900000004</v>
      </c>
      <c r="GM132" s="1260">
        <f>SUM(GM119:GM131)</f>
        <v>3.6459828900000004</v>
      </c>
      <c r="GN132" s="1260">
        <f t="shared" ref="GN132:GQ132" si="783">SUM(GN119:GN131)</f>
        <v>3.6459828900000004</v>
      </c>
      <c r="GO132" s="1260">
        <f t="shared" si="783"/>
        <v>3.6459828900000004</v>
      </c>
      <c r="GP132" s="1260">
        <f t="shared" si="783"/>
        <v>3.6459828900000004</v>
      </c>
      <c r="GQ132" s="1260">
        <f t="shared" si="783"/>
        <v>3.6459828900000004</v>
      </c>
      <c r="GS132" s="1260">
        <f>SUM(GS119:GS131)</f>
        <v>3.3399999999999994</v>
      </c>
      <c r="GT132" s="1260">
        <f t="shared" ref="GT132:GY132" si="784">SUM(GT119:GT131)</f>
        <v>2.9979</v>
      </c>
      <c r="GU132" s="1260">
        <f t="shared" si="784"/>
        <v>2.9979</v>
      </c>
      <c r="GV132" s="1260">
        <f t="shared" si="784"/>
        <v>2.9979</v>
      </c>
      <c r="GW132" s="1260">
        <f t="shared" si="784"/>
        <v>3.3057090000000002</v>
      </c>
      <c r="GX132" s="1260">
        <f t="shared" si="784"/>
        <v>3.6459828900000004</v>
      </c>
      <c r="GY132" s="1260">
        <f t="shared" si="784"/>
        <v>3.6459828900000004</v>
      </c>
      <c r="GZ132" s="1260">
        <f>SUM(GZ119:GZ131)</f>
        <v>3.6459828900000004</v>
      </c>
      <c r="HA132" s="1260">
        <f t="shared" ref="HA132:HD132" si="785">SUM(HA119:HA131)</f>
        <v>3.6459828900000004</v>
      </c>
      <c r="HB132" s="1260">
        <f t="shared" si="785"/>
        <v>3.6459828900000004</v>
      </c>
      <c r="HC132" s="1260">
        <f t="shared" si="785"/>
        <v>3.6459828900000004</v>
      </c>
      <c r="HD132" s="1260">
        <f t="shared" si="785"/>
        <v>3.6459828900000004</v>
      </c>
    </row>
    <row r="133" spans="1:212" ht="14.25">
      <c r="B133" s="1050"/>
      <c r="C133" s="31"/>
      <c r="D133" s="31"/>
      <c r="E133" s="31"/>
      <c r="F133" s="31"/>
      <c r="G133" s="31"/>
      <c r="H133" s="1072"/>
      <c r="I133" s="1072"/>
      <c r="P133" s="956">
        <f>P132/P100</f>
        <v>0.13157894736842105</v>
      </c>
      <c r="Q133" s="956">
        <f t="shared" ref="Q133:V133" si="786">Q132/Q100</f>
        <v>6.8965517241379309E-2</v>
      </c>
      <c r="R133" s="956">
        <f t="shared" si="786"/>
        <v>0.2</v>
      </c>
      <c r="S133" s="956">
        <f t="shared" si="786"/>
        <v>0.28000000000000003</v>
      </c>
      <c r="T133" s="956">
        <f t="shared" si="786"/>
        <v>0.5</v>
      </c>
      <c r="U133" s="956">
        <f t="shared" si="786"/>
        <v>0.63636363636363635</v>
      </c>
      <c r="V133" s="956">
        <f t="shared" si="786"/>
        <v>0.55172413793103448</v>
      </c>
      <c r="DN133" s="928" t="s">
        <v>1065</v>
      </c>
      <c r="DT133" s="928" t="s">
        <v>1065</v>
      </c>
      <c r="DZ133" s="928" t="s">
        <v>1065</v>
      </c>
      <c r="EF133" s="956">
        <f>EF132/EF100</f>
        <v>0.44383720930232562</v>
      </c>
      <c r="EG133" s="956">
        <f t="shared" ref="EG133" si="787">EG132/EG100</f>
        <v>0.39058144329896916</v>
      </c>
      <c r="EH133" s="956">
        <f t="shared" ref="EH133" si="788">EH132/EH100</f>
        <v>0.30299433962264155</v>
      </c>
      <c r="EI133" s="956">
        <f t="shared" ref="EI133" si="789">EI132/EI100</f>
        <v>0.25853513513513515</v>
      </c>
      <c r="EJ133" s="956">
        <f t="shared" ref="EJ133" si="790">EJ132/EJ100</f>
        <v>0.29179914406779667</v>
      </c>
      <c r="EK133" s="956">
        <f t="shared" ref="EK133" si="791">EK132/EK100</f>
        <v>0.30239150008064525</v>
      </c>
      <c r="EL133" s="956">
        <f t="shared" ref="EL133" si="792">EL132/EL100</f>
        <v>0.26983046538461541</v>
      </c>
      <c r="EM133" s="956">
        <f>EM132/EM100</f>
        <v>0.28959909573913051</v>
      </c>
      <c r="EN133" s="956">
        <f t="shared" ref="EN133" si="793">EN132/EN100</f>
        <v>0.30650295396226418</v>
      </c>
      <c r="EO133" s="956">
        <f t="shared" ref="EO133" si="794">EO132/EO100</f>
        <v>0.31155476379310354</v>
      </c>
      <c r="EP133" s="956">
        <f t="shared" ref="EP133" si="795">EP132/EP100</f>
        <v>0.29681842080000004</v>
      </c>
      <c r="EQ133" s="956">
        <f t="shared" ref="EQ133" si="796">EQ132/EQ100</f>
        <v>0.28182782958904112</v>
      </c>
      <c r="ES133" s="956">
        <f>ES132/ES100</f>
        <v>0.25442857142857139</v>
      </c>
      <c r="ET133" s="956">
        <f t="shared" ref="ET133:EY133" si="797">ET132/ET100</f>
        <v>0.23715737704918036</v>
      </c>
      <c r="EU133" s="956">
        <f t="shared" si="797"/>
        <v>0.24584727272727278</v>
      </c>
      <c r="EV133" s="956">
        <f t="shared" si="797"/>
        <v>0.23071666666666671</v>
      </c>
      <c r="EW133" s="956">
        <f t="shared" si="797"/>
        <v>0.23291669387755104</v>
      </c>
      <c r="EX133" s="956">
        <f t="shared" si="797"/>
        <v>0.26242552600000002</v>
      </c>
      <c r="EY133" s="956">
        <f t="shared" si="797"/>
        <v>0.28442799000000002</v>
      </c>
      <c r="EZ133" s="956">
        <f>EZ132/EZ100</f>
        <v>0.29680298999999999</v>
      </c>
      <c r="FA133" s="956">
        <f t="shared" ref="FA133:FD133" si="798">FA132/FA100</f>
        <v>0.30422799</v>
      </c>
      <c r="FB133" s="956">
        <f t="shared" si="798"/>
        <v>0.31041549000000007</v>
      </c>
      <c r="FC133" s="956">
        <f t="shared" si="798"/>
        <v>0.31536549000000008</v>
      </c>
      <c r="FD133" s="956">
        <f t="shared" si="798"/>
        <v>0.31660299000000008</v>
      </c>
      <c r="FF133" s="956">
        <f>FF132/FF100</f>
        <v>0.2934090909090909</v>
      </c>
      <c r="FG133" s="956">
        <f t="shared" ref="FG133:FL133" si="799">FG132/FG100</f>
        <v>0.26946818181818183</v>
      </c>
      <c r="FH133" s="956">
        <f t="shared" si="799"/>
        <v>0.27253636363636363</v>
      </c>
      <c r="FI133" s="956">
        <f t="shared" si="799"/>
        <v>0.25247045454545458</v>
      </c>
      <c r="FJ133" s="956">
        <f t="shared" si="799"/>
        <v>0.24250949999999999</v>
      </c>
      <c r="FK133" s="956">
        <f t="shared" si="799"/>
        <v>0.26467724249999997</v>
      </c>
      <c r="FL133" s="956">
        <f t="shared" si="799"/>
        <v>0.28442799000000002</v>
      </c>
      <c r="FM133" s="956">
        <f>FM132/FM100</f>
        <v>0.29680298999999999</v>
      </c>
      <c r="FN133" s="956">
        <f t="shared" ref="FN133:FQ133" si="800">FN132/FN100</f>
        <v>0.30422799</v>
      </c>
      <c r="FO133" s="956">
        <f t="shared" si="800"/>
        <v>0.31041549000000007</v>
      </c>
      <c r="FP133" s="956">
        <f t="shared" si="800"/>
        <v>0.31536549000000008</v>
      </c>
      <c r="FQ133" s="956">
        <f t="shared" si="800"/>
        <v>0.31660299000000008</v>
      </c>
      <c r="FS133" s="956">
        <f>FS132/FS100</f>
        <v>0.2934090909090909</v>
      </c>
      <c r="FT133" s="956">
        <f t="shared" ref="FT133:FY133" si="801">FT132/FT100</f>
        <v>0.26946818181818183</v>
      </c>
      <c r="FU133" s="956">
        <f t="shared" si="801"/>
        <v>0.27887441860465118</v>
      </c>
      <c r="FV133" s="956">
        <f t="shared" si="801"/>
        <v>0.27094390243902439</v>
      </c>
      <c r="FW133" s="956">
        <f t="shared" si="801"/>
        <v>0.27360046153846151</v>
      </c>
      <c r="FX133" s="956">
        <f t="shared" si="801"/>
        <v>0.28537745351351351</v>
      </c>
      <c r="FY133" s="956">
        <f t="shared" si="801"/>
        <v>0.27679330799999996</v>
      </c>
      <c r="FZ133" s="956">
        <f>FZ132/FZ100</f>
        <v>0.27376866000000005</v>
      </c>
      <c r="GA133" s="956">
        <f t="shared" ref="GA133:GD133" si="802">GA132/GA100</f>
        <v>0.27386663806451622</v>
      </c>
      <c r="GB133" s="956">
        <f t="shared" si="802"/>
        <v>0.27961088896551733</v>
      </c>
      <c r="GC133" s="956">
        <f t="shared" si="802"/>
        <v>0.28822280666666672</v>
      </c>
      <c r="GD133" s="956">
        <f t="shared" si="802"/>
        <v>0.29821263120000002</v>
      </c>
      <c r="GF133" s="956">
        <f>GF132/GF100</f>
        <v>0.27833333333333327</v>
      </c>
      <c r="GG133" s="956">
        <f t="shared" ref="GG133:GL133" si="803">GG132/GG100</f>
        <v>0.24982499999999999</v>
      </c>
      <c r="GH133" s="956">
        <f t="shared" si="803"/>
        <v>0.24982499999999999</v>
      </c>
      <c r="GI133" s="956">
        <f t="shared" si="803"/>
        <v>0.24982499999999999</v>
      </c>
      <c r="GJ133" s="956">
        <f t="shared" si="803"/>
        <v>0.27547575000000002</v>
      </c>
      <c r="GK133" s="956">
        <f t="shared" si="803"/>
        <v>0.30383190750000005</v>
      </c>
      <c r="GL133" s="956">
        <f t="shared" si="803"/>
        <v>0.30383190750000005</v>
      </c>
      <c r="GM133" s="956">
        <f>GM132/GM100</f>
        <v>0.30383190750000005</v>
      </c>
      <c r="GN133" s="956">
        <f t="shared" ref="GN133:GQ133" si="804">GN132/GN100</f>
        <v>0.30383190750000005</v>
      </c>
      <c r="GO133" s="956">
        <f t="shared" si="804"/>
        <v>0.30383190750000005</v>
      </c>
      <c r="GP133" s="956">
        <f t="shared" si="804"/>
        <v>0.30383190750000005</v>
      </c>
      <c r="GQ133" s="956">
        <f t="shared" si="804"/>
        <v>0.30383190750000005</v>
      </c>
      <c r="GS133" s="956">
        <f>GS132/GS100</f>
        <v>0.27833333333333327</v>
      </c>
      <c r="GT133" s="956">
        <f t="shared" ref="GT133:GY133" si="805">GT132/GT100</f>
        <v>0.24982499999999999</v>
      </c>
      <c r="GU133" s="956">
        <f t="shared" si="805"/>
        <v>0.24982499999999999</v>
      </c>
      <c r="GV133" s="956">
        <f t="shared" si="805"/>
        <v>0.24982499999999999</v>
      </c>
      <c r="GW133" s="956">
        <f t="shared" si="805"/>
        <v>0.27547575000000002</v>
      </c>
      <c r="GX133" s="956">
        <f t="shared" si="805"/>
        <v>0.30383190750000005</v>
      </c>
      <c r="GY133" s="956">
        <f t="shared" si="805"/>
        <v>0.30383190750000005</v>
      </c>
      <c r="GZ133" s="956">
        <f>GZ132/GZ100</f>
        <v>0.30383190750000005</v>
      </c>
      <c r="HA133" s="956">
        <f t="shared" ref="HA133:HD133" si="806">HA132/HA100</f>
        <v>0.30383190750000005</v>
      </c>
      <c r="HB133" s="956">
        <f t="shared" si="806"/>
        <v>0.30383190750000005</v>
      </c>
      <c r="HC133" s="956">
        <f t="shared" si="806"/>
        <v>0.30383190750000005</v>
      </c>
      <c r="HD133" s="956">
        <f t="shared" si="806"/>
        <v>0.30383190750000005</v>
      </c>
    </row>
    <row r="134" spans="1:212" ht="14.25">
      <c r="B134" s="1052"/>
      <c r="C134" s="31"/>
      <c r="D134" s="31"/>
      <c r="E134" s="31"/>
      <c r="F134" s="31"/>
      <c r="G134" s="31"/>
      <c r="H134" s="1072"/>
      <c r="I134" s="1072"/>
      <c r="DN134" s="928" t="s">
        <v>1047</v>
      </c>
      <c r="DT134" s="928" t="s">
        <v>1047</v>
      </c>
      <c r="DZ134" s="928" t="s">
        <v>1047</v>
      </c>
      <c r="EF134" s="928" t="s">
        <v>1065</v>
      </c>
      <c r="ES134" s="928" t="s">
        <v>1065</v>
      </c>
      <c r="FF134" s="928" t="s">
        <v>1065</v>
      </c>
      <c r="FS134" s="928" t="s">
        <v>1065</v>
      </c>
      <c r="GF134" s="928" t="s">
        <v>1065</v>
      </c>
      <c r="GS134" s="928" t="s">
        <v>1065</v>
      </c>
    </row>
    <row r="135" spans="1:212" ht="14.25">
      <c r="B135" s="941"/>
      <c r="C135" s="31"/>
      <c r="D135" s="31"/>
      <c r="E135" s="31"/>
      <c r="F135" s="31"/>
      <c r="G135" s="31"/>
      <c r="H135" s="1072"/>
      <c r="I135" s="1072"/>
      <c r="EF135" s="928" t="s">
        <v>1231</v>
      </c>
      <c r="ES135" s="928" t="s">
        <v>1231</v>
      </c>
      <c r="FF135" s="928" t="s">
        <v>1231</v>
      </c>
      <c r="FS135" s="928" t="s">
        <v>1231</v>
      </c>
      <c r="GF135" s="928" t="s">
        <v>1231</v>
      </c>
      <c r="GS135" s="928" t="s">
        <v>1231</v>
      </c>
    </row>
    <row r="137" spans="1:212" s="918" customFormat="1">
      <c r="A137" s="915" t="s">
        <v>1100</v>
      </c>
      <c r="B137" s="916" t="s">
        <v>1101</v>
      </c>
      <c r="C137" s="917"/>
      <c r="D137" s="917"/>
      <c r="E137" s="917"/>
      <c r="F137" s="917"/>
      <c r="G137" s="917"/>
      <c r="H137" s="917"/>
      <c r="I137" s="917"/>
      <c r="J137" s="917"/>
      <c r="K137" s="917"/>
      <c r="L137" s="917"/>
      <c r="M137" s="917"/>
      <c r="N137" s="917"/>
      <c r="O137" s="917"/>
      <c r="P137" s="917"/>
      <c r="Q137" s="917"/>
      <c r="R137" s="917"/>
      <c r="S137" s="917"/>
      <c r="T137" s="917"/>
      <c r="U137" s="917"/>
      <c r="V137" s="917"/>
      <c r="W137" s="917"/>
      <c r="X137" s="917"/>
      <c r="Y137" s="917"/>
      <c r="Z137" s="917"/>
      <c r="AA137" s="917"/>
      <c r="AB137" s="917"/>
      <c r="AC137" s="917"/>
      <c r="AD137" s="917"/>
      <c r="AE137" s="917"/>
      <c r="AF137" s="917"/>
      <c r="AG137" s="917"/>
      <c r="AH137" s="917"/>
      <c r="AI137" s="917"/>
      <c r="AJ137" s="917"/>
      <c r="AK137" s="917"/>
      <c r="AL137" s="917"/>
      <c r="AM137" s="917"/>
      <c r="AN137" s="917"/>
      <c r="AO137" s="917"/>
      <c r="AP137" s="917"/>
      <c r="AQ137" s="917"/>
      <c r="AR137" s="917"/>
      <c r="AS137" s="917"/>
      <c r="AT137" s="917"/>
      <c r="AU137" s="917"/>
      <c r="AV137" s="917"/>
      <c r="AW137" s="917"/>
      <c r="AX137" s="917"/>
      <c r="AY137" s="917"/>
      <c r="AZ137" s="917"/>
      <c r="BA137" s="917"/>
      <c r="BB137" s="917"/>
      <c r="BC137" s="917"/>
      <c r="BD137" s="917"/>
      <c r="BE137" s="917"/>
      <c r="BF137" s="917"/>
      <c r="BG137" s="917"/>
      <c r="BH137" s="917"/>
      <c r="BI137" s="917"/>
      <c r="BJ137" s="917"/>
      <c r="BK137" s="917"/>
      <c r="BL137" s="917"/>
      <c r="BM137" s="917"/>
      <c r="BN137" s="917"/>
      <c r="BO137" s="917"/>
      <c r="BP137" s="917"/>
      <c r="BQ137" s="917"/>
      <c r="BR137" s="917"/>
      <c r="BS137" s="917"/>
      <c r="BT137" s="917"/>
      <c r="BU137" s="917"/>
      <c r="BV137" s="917"/>
      <c r="BW137" s="917"/>
      <c r="BX137" s="917"/>
      <c r="BY137" s="917"/>
      <c r="BZ137" s="917"/>
      <c r="CA137" s="917"/>
      <c r="CB137" s="917"/>
      <c r="CC137" s="917"/>
      <c r="CD137" s="917"/>
      <c r="CE137" s="917"/>
      <c r="CF137" s="917"/>
      <c r="CG137" s="917"/>
      <c r="CH137" s="917"/>
      <c r="CI137" s="917"/>
      <c r="CJ137" s="917"/>
      <c r="CK137" s="917"/>
      <c r="CL137" s="917"/>
      <c r="CM137" s="917"/>
      <c r="CN137" s="917"/>
      <c r="CO137" s="917"/>
      <c r="CP137" s="917"/>
      <c r="CQ137" s="917"/>
      <c r="CR137" s="917"/>
      <c r="CS137" s="917"/>
      <c r="CT137" s="917"/>
      <c r="CU137" s="917"/>
      <c r="CV137" s="917"/>
      <c r="CW137" s="917"/>
      <c r="CX137" s="917"/>
      <c r="CY137" s="917"/>
      <c r="CZ137" s="917"/>
      <c r="DA137" s="917"/>
      <c r="DB137" s="917"/>
      <c r="DC137" s="917"/>
      <c r="DD137" s="917"/>
      <c r="DE137" s="917"/>
      <c r="DF137" s="917"/>
      <c r="DG137" s="917"/>
      <c r="DH137" s="917"/>
      <c r="DI137" s="917"/>
      <c r="DJ137" s="917"/>
      <c r="DK137" s="917"/>
      <c r="DL137" s="917"/>
      <c r="DM137" s="917"/>
      <c r="DN137" s="917"/>
      <c r="DO137" s="917"/>
      <c r="DP137" s="917"/>
      <c r="DQ137" s="917"/>
      <c r="DR137" s="917"/>
      <c r="DS137" s="917"/>
      <c r="DT137" s="917"/>
      <c r="DU137" s="917"/>
      <c r="DV137" s="917"/>
      <c r="DW137" s="917"/>
      <c r="DX137" s="917"/>
      <c r="DY137" s="917"/>
      <c r="DZ137" s="917"/>
      <c r="EA137" s="917"/>
      <c r="EB137" s="917"/>
      <c r="EC137" s="917"/>
      <c r="ED137" s="917"/>
      <c r="EE137" s="917"/>
      <c r="EF137" s="917"/>
      <c r="EG137" s="917"/>
      <c r="EH137" s="917"/>
      <c r="EI137" s="917"/>
      <c r="EJ137" s="917"/>
      <c r="EK137" s="917"/>
      <c r="EL137" s="917"/>
      <c r="EM137" s="917"/>
      <c r="EN137" s="917"/>
      <c r="EO137" s="917"/>
      <c r="EP137" s="917"/>
      <c r="EQ137" s="917"/>
      <c r="ES137" s="917"/>
      <c r="ET137" s="917"/>
      <c r="EU137" s="917"/>
      <c r="EV137" s="917"/>
      <c r="EW137" s="917"/>
      <c r="EX137" s="917"/>
      <c r="EY137" s="917"/>
      <c r="EZ137" s="917"/>
      <c r="FA137" s="917"/>
      <c r="FB137" s="917"/>
      <c r="FC137" s="917"/>
      <c r="FD137" s="917"/>
      <c r="FF137" s="917"/>
      <c r="FG137" s="917"/>
      <c r="FH137" s="917"/>
      <c r="FI137" s="917"/>
      <c r="FJ137" s="917"/>
      <c r="FK137" s="917"/>
      <c r="FL137" s="917"/>
      <c r="FM137" s="917"/>
      <c r="FN137" s="917"/>
      <c r="FO137" s="917"/>
      <c r="FP137" s="917"/>
      <c r="FQ137" s="917"/>
      <c r="FS137" s="917"/>
      <c r="FT137" s="917"/>
      <c r="FU137" s="917"/>
      <c r="FV137" s="917"/>
      <c r="FW137" s="917"/>
      <c r="FX137" s="917"/>
      <c r="FY137" s="917"/>
      <c r="FZ137" s="917"/>
      <c r="GA137" s="917"/>
      <c r="GB137" s="917"/>
      <c r="GC137" s="917"/>
      <c r="GD137" s="917"/>
      <c r="GF137" s="917"/>
      <c r="GG137" s="917"/>
      <c r="GH137" s="917"/>
      <c r="GI137" s="917"/>
      <c r="GJ137" s="917"/>
      <c r="GK137" s="917"/>
      <c r="GL137" s="917"/>
      <c r="GM137" s="917"/>
      <c r="GN137" s="917"/>
      <c r="GO137" s="917"/>
      <c r="GP137" s="917"/>
      <c r="GQ137" s="917"/>
      <c r="GS137" s="917"/>
      <c r="GT137" s="917"/>
      <c r="GU137" s="917"/>
      <c r="GV137" s="917"/>
      <c r="GW137" s="917"/>
      <c r="GX137" s="917"/>
      <c r="GY137" s="917"/>
      <c r="GZ137" s="917"/>
      <c r="HA137" s="917"/>
      <c r="HB137" s="917"/>
      <c r="HC137" s="917"/>
      <c r="HD137" s="917"/>
    </row>
    <row r="139" spans="1:212">
      <c r="B139" s="919" t="s">
        <v>1029</v>
      </c>
      <c r="C139" s="920"/>
      <c r="D139" s="920"/>
      <c r="E139" s="920"/>
      <c r="F139" s="920"/>
      <c r="G139" s="920"/>
      <c r="H139" s="920"/>
      <c r="I139" s="920"/>
      <c r="J139" s="920"/>
      <c r="K139" s="920"/>
      <c r="L139" s="920"/>
      <c r="N139" s="921" t="s">
        <v>1030</v>
      </c>
      <c r="O139" s="922"/>
      <c r="P139" s="922"/>
      <c r="Q139" s="922"/>
      <c r="R139" s="922"/>
      <c r="S139" s="922"/>
      <c r="T139" s="922"/>
      <c r="U139" s="922"/>
      <c r="V139" s="922"/>
      <c r="W139" s="922"/>
      <c r="X139" s="922"/>
      <c r="Y139" s="922"/>
      <c r="AA139" s="923" t="s">
        <v>1031</v>
      </c>
      <c r="AB139" s="924"/>
      <c r="AC139" s="924"/>
      <c r="AD139" s="924"/>
      <c r="AE139" s="924"/>
      <c r="AF139" s="924"/>
      <c r="AG139" s="924"/>
      <c r="AH139" s="924"/>
      <c r="AI139" s="924"/>
      <c r="AJ139" s="924"/>
      <c r="AK139" s="924"/>
      <c r="AL139" s="924"/>
      <c r="AM139" s="924"/>
      <c r="AN139" s="924"/>
      <c r="AO139" s="924"/>
      <c r="AP139" s="924"/>
      <c r="AQ139" s="924"/>
      <c r="AR139" s="924"/>
      <c r="AS139" s="924"/>
      <c r="AT139" s="924"/>
      <c r="AU139" s="924"/>
      <c r="AV139" s="924"/>
      <c r="AW139" s="924"/>
      <c r="AX139" s="924"/>
      <c r="AY139" s="924"/>
      <c r="AZ139" s="924"/>
      <c r="BA139" s="924"/>
      <c r="BB139" s="924"/>
      <c r="BC139" s="924"/>
      <c r="BD139" s="924"/>
      <c r="BE139" s="924"/>
      <c r="BF139" s="924"/>
      <c r="BG139" s="924"/>
      <c r="BH139" s="924"/>
      <c r="BI139" s="924"/>
      <c r="BJ139" s="924"/>
      <c r="BK139" s="924"/>
      <c r="BL139" s="924"/>
      <c r="BM139" s="924"/>
      <c r="BN139" s="924"/>
      <c r="BO139" s="924"/>
      <c r="BP139" s="924"/>
      <c r="BQ139" s="924"/>
      <c r="BR139" s="924"/>
      <c r="BS139" s="924"/>
      <c r="BT139" s="924"/>
      <c r="BU139" s="924"/>
      <c r="BV139" s="924"/>
      <c r="BW139" s="924"/>
      <c r="BX139" s="924"/>
      <c r="BY139" s="924"/>
      <c r="BZ139" s="924"/>
      <c r="CA139" s="924"/>
      <c r="CB139" s="924"/>
      <c r="CC139" s="924"/>
      <c r="CD139" s="924"/>
      <c r="CE139" s="924"/>
      <c r="CF139" s="924"/>
      <c r="CG139" s="924"/>
      <c r="CH139" s="924"/>
      <c r="CI139" s="924"/>
      <c r="CJ139" s="924"/>
      <c r="CK139" s="924"/>
      <c r="CL139" s="924"/>
      <c r="CM139" s="924"/>
      <c r="CN139" s="924"/>
      <c r="CO139" s="924"/>
      <c r="CP139" s="924"/>
      <c r="CQ139" s="924"/>
      <c r="CR139" s="924"/>
      <c r="CS139" s="924"/>
      <c r="CT139" s="924"/>
      <c r="CU139" s="924"/>
      <c r="CV139" s="924"/>
      <c r="CW139" s="924"/>
      <c r="CX139" s="924"/>
      <c r="CY139" s="924"/>
      <c r="CZ139" s="924"/>
      <c r="DA139" s="924"/>
      <c r="DB139" s="924"/>
      <c r="DC139" s="924"/>
      <c r="DD139" s="924"/>
      <c r="DE139" s="924"/>
      <c r="DF139" s="924"/>
      <c r="DG139" s="924"/>
      <c r="DH139" s="924"/>
      <c r="DI139" s="924"/>
      <c r="DK139" s="925" t="s">
        <v>1032</v>
      </c>
      <c r="DL139" s="926"/>
      <c r="DM139" s="926"/>
      <c r="DN139" s="926"/>
      <c r="DO139" s="926"/>
      <c r="DP139" s="926"/>
      <c r="DQ139" s="926"/>
      <c r="DR139" s="926"/>
      <c r="DS139" s="926"/>
      <c r="DT139" s="926"/>
      <c r="DU139" s="926"/>
      <c r="DV139" s="926"/>
      <c r="DW139" s="926"/>
      <c r="DX139" s="926"/>
      <c r="DY139" s="926"/>
      <c r="DZ139" s="926"/>
      <c r="EA139" s="926"/>
      <c r="EB139" s="926"/>
      <c r="EC139" s="926"/>
      <c r="ED139" s="926"/>
      <c r="EE139" s="926"/>
      <c r="EF139" s="926"/>
      <c r="EG139" s="926"/>
      <c r="EH139" s="926"/>
      <c r="EI139" s="926"/>
      <c r="EJ139" s="926"/>
      <c r="EK139" s="926"/>
      <c r="EL139" s="926"/>
      <c r="EM139" s="926"/>
      <c r="EN139" s="926"/>
      <c r="EO139" s="926"/>
      <c r="EP139" s="926"/>
      <c r="EQ139" s="926"/>
      <c r="ES139" s="926"/>
      <c r="ET139" s="926"/>
      <c r="EU139" s="926"/>
      <c r="EV139" s="926"/>
      <c r="EW139" s="926"/>
      <c r="EX139" s="926"/>
      <c r="EY139" s="926"/>
      <c r="EZ139" s="926"/>
      <c r="FA139" s="926"/>
      <c r="FB139" s="926"/>
      <c r="FC139" s="926"/>
      <c r="FD139" s="926"/>
      <c r="FF139" s="926"/>
      <c r="FG139" s="926"/>
      <c r="FH139" s="926"/>
      <c r="FI139" s="926"/>
      <c r="FJ139" s="926"/>
      <c r="FK139" s="926"/>
      <c r="FL139" s="926"/>
      <c r="FM139" s="926"/>
      <c r="FN139" s="926"/>
      <c r="FO139" s="926"/>
      <c r="FP139" s="926"/>
      <c r="FQ139" s="926"/>
      <c r="FS139" s="926"/>
      <c r="FT139" s="926"/>
      <c r="FU139" s="926"/>
      <c r="FV139" s="926"/>
      <c r="FW139" s="926"/>
      <c r="FX139" s="926"/>
      <c r="FY139" s="926"/>
      <c r="FZ139" s="926"/>
      <c r="GA139" s="926"/>
      <c r="GB139" s="926"/>
      <c r="GC139" s="926"/>
      <c r="GD139" s="926"/>
      <c r="GF139" s="926"/>
      <c r="GG139" s="926"/>
      <c r="GH139" s="926"/>
      <c r="GI139" s="926"/>
      <c r="GJ139" s="926"/>
      <c r="GK139" s="926"/>
      <c r="GL139" s="926"/>
      <c r="GM139" s="926"/>
      <c r="GN139" s="926"/>
      <c r="GO139" s="926"/>
      <c r="GP139" s="926"/>
      <c r="GQ139" s="926"/>
      <c r="GS139" s="926"/>
      <c r="GT139" s="926"/>
      <c r="GU139" s="926"/>
      <c r="GV139" s="926"/>
      <c r="GW139" s="926"/>
      <c r="GX139" s="926"/>
      <c r="GY139" s="926"/>
      <c r="GZ139" s="926"/>
      <c r="HA139" s="926"/>
      <c r="HB139" s="926"/>
      <c r="HC139" s="926"/>
      <c r="HD139" s="926"/>
    </row>
    <row r="141" spans="1:212" ht="42.75">
      <c r="B141" s="980" t="s">
        <v>114</v>
      </c>
      <c r="C141" s="1054" t="s">
        <v>1102</v>
      </c>
      <c r="D141" s="1085" t="s">
        <v>1103</v>
      </c>
      <c r="E141" s="1086" t="s">
        <v>1087</v>
      </c>
      <c r="F141" s="1087" t="s">
        <v>1104</v>
      </c>
      <c r="G141" s="1057" t="s">
        <v>1105</v>
      </c>
      <c r="H141" s="1088" t="s">
        <v>118</v>
      </c>
      <c r="I141" s="938" t="s">
        <v>1039</v>
      </c>
    </row>
    <row r="142" spans="1:212" ht="14.25">
      <c r="B142" s="967" t="s">
        <v>119</v>
      </c>
      <c r="C142" s="1059">
        <v>20</v>
      </c>
      <c r="D142" s="1089">
        <v>10</v>
      </c>
      <c r="E142" s="1008">
        <v>2</v>
      </c>
      <c r="F142" s="1089">
        <v>1</v>
      </c>
      <c r="G142" s="1060">
        <v>5</v>
      </c>
      <c r="H142" s="1010">
        <v>10</v>
      </c>
      <c r="I142" s="1061">
        <f>H142/C142</f>
        <v>0.5</v>
      </c>
      <c r="N142" s="944"/>
      <c r="O142" s="930"/>
      <c r="P142" s="945">
        <v>42370</v>
      </c>
      <c r="Q142" s="945">
        <v>42401</v>
      </c>
      <c r="R142" s="945">
        <v>42430</v>
      </c>
      <c r="S142" s="945">
        <v>42461</v>
      </c>
      <c r="T142" s="945">
        <v>42491</v>
      </c>
      <c r="U142" s="945">
        <v>42522</v>
      </c>
      <c r="V142" s="945">
        <v>42552</v>
      </c>
      <c r="W142" s="995"/>
      <c r="X142" s="995"/>
      <c r="Y142" s="995"/>
      <c r="AA142" s="944"/>
      <c r="AB142" s="930"/>
      <c r="AC142" s="945">
        <v>42370</v>
      </c>
      <c r="AD142" s="945">
        <v>42401</v>
      </c>
      <c r="AE142" s="945">
        <v>42430</v>
      </c>
      <c r="AF142" s="945">
        <v>42461</v>
      </c>
      <c r="AG142" s="945">
        <v>42491</v>
      </c>
      <c r="AH142" s="945">
        <v>42522</v>
      </c>
      <c r="AI142" s="945">
        <v>42552</v>
      </c>
      <c r="AJ142" s="932" t="s">
        <v>1033</v>
      </c>
      <c r="AK142" s="946">
        <v>42583</v>
      </c>
      <c r="AL142" s="946">
        <v>42614</v>
      </c>
      <c r="AM142" s="946">
        <v>42644</v>
      </c>
      <c r="AN142" s="946">
        <v>42675</v>
      </c>
      <c r="AO142" s="946">
        <v>42705</v>
      </c>
      <c r="AP142" s="996">
        <v>42736</v>
      </c>
      <c r="AQ142" s="996">
        <v>42767</v>
      </c>
      <c r="AR142" s="996">
        <v>42795</v>
      </c>
      <c r="AS142" s="996">
        <v>42826</v>
      </c>
      <c r="AT142" s="996">
        <v>42856</v>
      </c>
      <c r="AU142" s="996">
        <v>42887</v>
      </c>
      <c r="AV142" s="996">
        <v>42917</v>
      </c>
      <c r="AW142" s="996">
        <v>42948</v>
      </c>
      <c r="AX142" s="996">
        <v>42979</v>
      </c>
      <c r="AY142" s="996">
        <v>43009</v>
      </c>
      <c r="AZ142" s="996">
        <v>43040</v>
      </c>
      <c r="BA142" s="996">
        <v>43070</v>
      </c>
      <c r="BB142" s="996">
        <v>43101</v>
      </c>
      <c r="BC142" s="996">
        <v>43132</v>
      </c>
      <c r="BD142" s="996">
        <v>43160</v>
      </c>
      <c r="BE142" s="996">
        <v>43191</v>
      </c>
      <c r="BF142" s="996">
        <v>43221</v>
      </c>
      <c r="BG142" s="996">
        <v>43252</v>
      </c>
      <c r="BH142" s="996">
        <v>43282</v>
      </c>
      <c r="BI142" s="996">
        <v>43313</v>
      </c>
      <c r="BJ142" s="996">
        <v>43344</v>
      </c>
      <c r="BK142" s="996">
        <v>43374</v>
      </c>
      <c r="BL142" s="996">
        <v>43405</v>
      </c>
      <c r="BM142" s="996">
        <v>43435</v>
      </c>
      <c r="BN142" s="996">
        <v>43466</v>
      </c>
      <c r="BO142" s="996">
        <v>43497</v>
      </c>
      <c r="BP142" s="996">
        <v>43525</v>
      </c>
      <c r="BQ142" s="996">
        <v>43556</v>
      </c>
      <c r="BR142" s="996">
        <v>43586</v>
      </c>
      <c r="BS142" s="996">
        <v>43617</v>
      </c>
      <c r="BT142" s="996">
        <v>43647</v>
      </c>
      <c r="BU142" s="996">
        <v>43678</v>
      </c>
      <c r="BV142" s="996">
        <v>43709</v>
      </c>
      <c r="BW142" s="996">
        <v>43739</v>
      </c>
      <c r="BX142" s="996">
        <v>43770</v>
      </c>
      <c r="BY142" s="996">
        <v>43800</v>
      </c>
      <c r="BZ142" s="996">
        <v>43831</v>
      </c>
      <c r="CA142" s="996">
        <v>43862</v>
      </c>
      <c r="CB142" s="996">
        <v>43891</v>
      </c>
      <c r="CC142" s="996">
        <v>43922</v>
      </c>
      <c r="CD142" s="996">
        <v>43952</v>
      </c>
      <c r="CE142" s="996">
        <v>43983</v>
      </c>
      <c r="CF142" s="996">
        <v>44013</v>
      </c>
      <c r="CG142" s="996">
        <v>44044</v>
      </c>
      <c r="CH142" s="996">
        <v>44075</v>
      </c>
      <c r="CI142" s="996">
        <v>44105</v>
      </c>
      <c r="CJ142" s="996">
        <v>44136</v>
      </c>
      <c r="CK142" s="996">
        <v>44166</v>
      </c>
      <c r="CL142" s="996">
        <v>44197</v>
      </c>
      <c r="CM142" s="996">
        <v>44228</v>
      </c>
      <c r="CN142" s="996">
        <v>44256</v>
      </c>
      <c r="CO142" s="996">
        <v>44287</v>
      </c>
      <c r="CP142" s="996">
        <v>44317</v>
      </c>
      <c r="CQ142" s="996">
        <v>44348</v>
      </c>
      <c r="CR142" s="996">
        <v>44378</v>
      </c>
      <c r="CS142" s="996">
        <v>44409</v>
      </c>
      <c r="CT142" s="996">
        <v>44440</v>
      </c>
      <c r="CU142" s="996">
        <v>44470</v>
      </c>
      <c r="CV142" s="996">
        <v>44501</v>
      </c>
      <c r="CW142" s="996">
        <v>44531</v>
      </c>
      <c r="CX142" s="996">
        <v>44562</v>
      </c>
      <c r="CY142" s="996">
        <v>44593</v>
      </c>
      <c r="CZ142" s="996">
        <v>44621</v>
      </c>
      <c r="DA142" s="996">
        <v>44652</v>
      </c>
      <c r="DB142" s="996">
        <v>44682</v>
      </c>
      <c r="DC142" s="996">
        <v>44713</v>
      </c>
      <c r="DD142" s="996">
        <v>44743</v>
      </c>
      <c r="DE142" s="996">
        <v>44774</v>
      </c>
      <c r="DF142" s="996">
        <v>44805</v>
      </c>
      <c r="DG142" s="996">
        <v>44835</v>
      </c>
      <c r="DH142" s="996">
        <v>44866</v>
      </c>
      <c r="DI142" s="996">
        <v>44896</v>
      </c>
      <c r="DK142" s="944"/>
      <c r="DL142" s="930"/>
      <c r="DN142" s="947">
        <v>42583</v>
      </c>
      <c r="DO142" s="948">
        <v>42614</v>
      </c>
      <c r="DP142" s="948">
        <v>42644</v>
      </c>
      <c r="DQ142" s="948">
        <v>42675</v>
      </c>
      <c r="DR142" s="949">
        <v>42705</v>
      </c>
      <c r="DT142" s="947">
        <v>42583</v>
      </c>
      <c r="DU142" s="948">
        <v>42614</v>
      </c>
      <c r="DV142" s="948">
        <v>42644</v>
      </c>
      <c r="DW142" s="948">
        <v>42675</v>
      </c>
      <c r="DX142" s="949">
        <v>42705</v>
      </c>
      <c r="DZ142" s="947">
        <v>42583</v>
      </c>
      <c r="EA142" s="948">
        <v>42614</v>
      </c>
      <c r="EB142" s="948">
        <v>42644</v>
      </c>
      <c r="EC142" s="948">
        <v>42675</v>
      </c>
      <c r="ED142" s="949">
        <v>42705</v>
      </c>
      <c r="EF142" s="947">
        <v>42736</v>
      </c>
      <c r="EG142" s="948">
        <v>42767</v>
      </c>
      <c r="EH142" s="948">
        <v>42795</v>
      </c>
      <c r="EI142" s="948">
        <v>42826</v>
      </c>
      <c r="EJ142" s="948">
        <v>42856</v>
      </c>
      <c r="EK142" s="948">
        <v>42887</v>
      </c>
      <c r="EL142" s="948">
        <v>42917</v>
      </c>
      <c r="EM142" s="948">
        <v>42948</v>
      </c>
      <c r="EN142" s="948">
        <v>42979</v>
      </c>
      <c r="EO142" s="948">
        <v>43009</v>
      </c>
      <c r="EP142" s="948">
        <v>43040</v>
      </c>
      <c r="EQ142" s="949">
        <v>42705</v>
      </c>
      <c r="ES142" s="947">
        <v>43101</v>
      </c>
      <c r="ET142" s="1105">
        <v>43132</v>
      </c>
      <c r="EU142" s="1105">
        <v>43160</v>
      </c>
      <c r="EV142" s="1105">
        <v>43191</v>
      </c>
      <c r="EW142" s="1105">
        <v>43221</v>
      </c>
      <c r="EX142" s="1105">
        <v>43252</v>
      </c>
      <c r="EY142" s="1105">
        <v>43282</v>
      </c>
      <c r="EZ142" s="1105">
        <v>43313</v>
      </c>
      <c r="FA142" s="1105">
        <v>43344</v>
      </c>
      <c r="FB142" s="1105">
        <v>43374</v>
      </c>
      <c r="FC142" s="1105">
        <v>43405</v>
      </c>
      <c r="FD142" s="949">
        <v>43435</v>
      </c>
      <c r="FF142" s="947">
        <v>43466</v>
      </c>
      <c r="FG142" s="1105">
        <v>43497</v>
      </c>
      <c r="FH142" s="1105">
        <v>43525</v>
      </c>
      <c r="FI142" s="1105">
        <v>43556</v>
      </c>
      <c r="FJ142" s="1105">
        <v>43586</v>
      </c>
      <c r="FK142" s="1105">
        <v>43617</v>
      </c>
      <c r="FL142" s="1105">
        <v>43647</v>
      </c>
      <c r="FM142" s="1105">
        <v>43678</v>
      </c>
      <c r="FN142" s="1105">
        <v>43709</v>
      </c>
      <c r="FO142" s="1105">
        <v>43739</v>
      </c>
      <c r="FP142" s="1105">
        <v>43770</v>
      </c>
      <c r="FQ142" s="949">
        <v>43800</v>
      </c>
      <c r="FS142" s="947">
        <v>43831</v>
      </c>
      <c r="FT142" s="1105">
        <v>43862</v>
      </c>
      <c r="FU142" s="1105">
        <v>43891</v>
      </c>
      <c r="FV142" s="1105">
        <v>43922</v>
      </c>
      <c r="FW142" s="1105">
        <v>43952</v>
      </c>
      <c r="FX142" s="1105">
        <v>43983</v>
      </c>
      <c r="FY142" s="1105">
        <v>44013</v>
      </c>
      <c r="FZ142" s="1105">
        <v>44044</v>
      </c>
      <c r="GA142" s="1105">
        <v>44075</v>
      </c>
      <c r="GB142" s="1105">
        <v>44105</v>
      </c>
      <c r="GC142" s="1105">
        <v>44136</v>
      </c>
      <c r="GD142" s="949">
        <v>44166</v>
      </c>
      <c r="GF142" s="947">
        <v>44197</v>
      </c>
      <c r="GG142" s="1105">
        <v>44228</v>
      </c>
      <c r="GH142" s="1105">
        <v>44256</v>
      </c>
      <c r="GI142" s="1105">
        <v>44287</v>
      </c>
      <c r="GJ142" s="1105">
        <v>44317</v>
      </c>
      <c r="GK142" s="1105">
        <v>44348</v>
      </c>
      <c r="GL142" s="1105">
        <v>44378</v>
      </c>
      <c r="GM142" s="1105">
        <v>44409</v>
      </c>
      <c r="GN142" s="1105">
        <v>44440</v>
      </c>
      <c r="GO142" s="1105">
        <v>44470</v>
      </c>
      <c r="GP142" s="1105">
        <v>44501</v>
      </c>
      <c r="GQ142" s="949">
        <v>44531</v>
      </c>
      <c r="GS142" s="947">
        <v>44562</v>
      </c>
      <c r="GT142" s="1105">
        <v>44593</v>
      </c>
      <c r="GU142" s="1105">
        <v>44621</v>
      </c>
      <c r="GV142" s="1105">
        <v>44652</v>
      </c>
      <c r="GW142" s="1105">
        <v>44682</v>
      </c>
      <c r="GX142" s="1105">
        <v>44713</v>
      </c>
      <c r="GY142" s="1105">
        <v>44743</v>
      </c>
      <c r="GZ142" s="1105">
        <v>44774</v>
      </c>
      <c r="HA142" s="1105">
        <v>44805</v>
      </c>
      <c r="HB142" s="1105">
        <v>44835</v>
      </c>
      <c r="HC142" s="1105">
        <v>44866</v>
      </c>
      <c r="HD142" s="949">
        <v>44896</v>
      </c>
    </row>
    <row r="143" spans="1:212" ht="14.25">
      <c r="B143" s="967" t="s">
        <v>120</v>
      </c>
      <c r="C143" s="1059">
        <v>40</v>
      </c>
      <c r="D143" s="1090">
        <v>10</v>
      </c>
      <c r="E143" s="1008">
        <v>3</v>
      </c>
      <c r="F143" s="1090">
        <v>2</v>
      </c>
      <c r="G143" s="1062">
        <v>9</v>
      </c>
      <c r="H143" s="1010">
        <v>10</v>
      </c>
      <c r="I143" s="1061">
        <f t="shared" ref="I143:I153" si="807">H143/C143</f>
        <v>0.25</v>
      </c>
      <c r="N143" s="914" t="s">
        <v>206</v>
      </c>
      <c r="O143" s="933"/>
      <c r="P143" s="934">
        <f>[5]Assumption!D4</f>
        <v>13641.9247</v>
      </c>
      <c r="Q143" s="934">
        <f>[5]Assumption!E4</f>
        <v>13892.638999999999</v>
      </c>
      <c r="R143" s="934">
        <f>[5]Assumption!F4</f>
        <v>33141.966699999997</v>
      </c>
      <c r="S143" s="934">
        <f>[5]Assumption!G4</f>
        <v>30639.373500000002</v>
      </c>
      <c r="T143" s="934">
        <f>[5]Assumption!H4</f>
        <v>27458.014999999999</v>
      </c>
      <c r="U143" s="934">
        <f>[5]Assumption!I4</f>
        <v>41468.133600000001</v>
      </c>
      <c r="V143" s="934">
        <f>[5]Assumption!J4</f>
        <v>29747.920999999998</v>
      </c>
      <c r="W143" s="934"/>
      <c r="X143" s="934"/>
      <c r="Y143" s="934"/>
      <c r="AA143" s="914" t="s">
        <v>206</v>
      </c>
      <c r="AB143" s="933"/>
      <c r="AC143" s="934"/>
      <c r="AD143" s="934"/>
      <c r="AE143" s="934"/>
      <c r="AF143" s="934"/>
      <c r="AG143" s="934"/>
      <c r="AH143" s="934"/>
      <c r="AI143" s="934"/>
      <c r="DK143" s="914" t="s">
        <v>206</v>
      </c>
      <c r="DL143" s="933"/>
      <c r="DN143" s="968">
        <f>[5]Assumption!K4</f>
        <v>31024.388999999999</v>
      </c>
      <c r="DO143" s="975">
        <f>[5]Assumption!L4</f>
        <v>57115.435752778605</v>
      </c>
      <c r="DP143" s="975">
        <f>[5]Assumption!M4</f>
        <v>47631.558536618817</v>
      </c>
      <c r="DQ143" s="975">
        <f>[5]Assumption!N4</f>
        <v>53942.523858297791</v>
      </c>
      <c r="DR143" s="969">
        <f>[5]Assumption!O4</f>
        <v>70376.045614909744</v>
      </c>
      <c r="DT143" s="968">
        <f>[5]Assumption!K4</f>
        <v>31024.388999999999</v>
      </c>
      <c r="DU143" s="975">
        <f>[5]Assumption!L4</f>
        <v>57115.435752778605</v>
      </c>
      <c r="DV143" s="975">
        <f>[5]Assumption!M4</f>
        <v>47631.558536618817</v>
      </c>
      <c r="DW143" s="975">
        <f>[5]Assumption!N4</f>
        <v>53942.523858297791</v>
      </c>
      <c r="DX143" s="969">
        <f>[5]Assumption!O4</f>
        <v>70376.045614909744</v>
      </c>
      <c r="DZ143" s="1600">
        <f>DZ97</f>
        <v>31024.388999999999</v>
      </c>
      <c r="EA143" s="1605">
        <f t="shared" ref="EA143:ED143" si="808">EA97</f>
        <v>48843.572999999997</v>
      </c>
      <c r="EB143" s="1605">
        <f t="shared" si="808"/>
        <v>39101.214999999997</v>
      </c>
      <c r="EC143" s="1605">
        <f t="shared" si="808"/>
        <v>50426.896000000001</v>
      </c>
      <c r="ED143" s="1607">
        <f t="shared" si="808"/>
        <v>94434.854000000007</v>
      </c>
      <c r="EF143" s="1600">
        <f>EF97</f>
        <v>27131.55</v>
      </c>
      <c r="EG143" s="1605">
        <f t="shared" ref="EG143:EQ143" si="809">EG97</f>
        <v>40723.482300000003</v>
      </c>
      <c r="EH143" s="1605">
        <f t="shared" si="809"/>
        <v>56762.074000000001</v>
      </c>
      <c r="EI143" s="1605">
        <f t="shared" si="809"/>
        <v>49965.190999999999</v>
      </c>
      <c r="EJ143" s="1605">
        <f t="shared" si="809"/>
        <v>53646.534</v>
      </c>
      <c r="EK143" s="1605">
        <f t="shared" si="809"/>
        <v>58133.574000000001</v>
      </c>
      <c r="EL143" s="975">
        <f t="shared" si="809"/>
        <v>58800</v>
      </c>
      <c r="EM143" s="975">
        <f t="shared" si="809"/>
        <v>65660</v>
      </c>
      <c r="EN143" s="975">
        <f t="shared" si="809"/>
        <v>73500</v>
      </c>
      <c r="EO143" s="975">
        <f t="shared" si="809"/>
        <v>69580</v>
      </c>
      <c r="EP143" s="975">
        <f t="shared" si="809"/>
        <v>78400</v>
      </c>
      <c r="EQ143" s="969">
        <f t="shared" si="809"/>
        <v>88779.18</v>
      </c>
      <c r="ES143" s="968">
        <f>ES97</f>
        <v>33634.87184066388</v>
      </c>
      <c r="ET143" s="975">
        <f t="shared" ref="ET143:FD143" si="810">ET97</f>
        <v>31605.909403366346</v>
      </c>
      <c r="EU143" s="975">
        <f t="shared" si="810"/>
        <v>69270.736047451515</v>
      </c>
      <c r="EV143" s="975">
        <f t="shared" si="810"/>
        <v>68993.157764707124</v>
      </c>
      <c r="EW143" s="975">
        <f t="shared" si="810"/>
        <v>79757.509393595945</v>
      </c>
      <c r="EX143" s="975">
        <f t="shared" si="810"/>
        <v>86426.017720658405</v>
      </c>
      <c r="EY143" s="975">
        <f t="shared" si="810"/>
        <v>81303.597495043112</v>
      </c>
      <c r="EZ143" s="975">
        <f t="shared" si="810"/>
        <v>90323.510560228984</v>
      </c>
      <c r="FA143" s="975">
        <f t="shared" si="810"/>
        <v>99856.734877479015</v>
      </c>
      <c r="FB143" s="975">
        <f t="shared" si="810"/>
        <v>94095.128673818224</v>
      </c>
      <c r="FC143" s="975">
        <f t="shared" si="810"/>
        <v>102732.11183509197</v>
      </c>
      <c r="FD143" s="969">
        <f t="shared" si="810"/>
        <v>110588.30482163659</v>
      </c>
      <c r="FF143" s="968">
        <f>FF97</f>
        <v>46318.349922487585</v>
      </c>
      <c r="FG143" s="975">
        <f t="shared" ref="FG143:FQ143" si="811">FG97</f>
        <v>43005.179342212272</v>
      </c>
      <c r="FH143" s="975">
        <f t="shared" si="811"/>
        <v>98133.872946411808</v>
      </c>
      <c r="FI143" s="975">
        <f t="shared" si="811"/>
        <v>96299.872808433443</v>
      </c>
      <c r="FJ143" s="975">
        <f t="shared" si="811"/>
        <v>111182.80365888127</v>
      </c>
      <c r="FK143" s="975">
        <f t="shared" si="811"/>
        <v>119200.54428490785</v>
      </c>
      <c r="FL143" s="975">
        <f t="shared" si="811"/>
        <v>113362.15964138735</v>
      </c>
      <c r="FM143" s="975">
        <f t="shared" si="811"/>
        <v>125688.20032751787</v>
      </c>
      <c r="FN143" s="975">
        <f t="shared" si="811"/>
        <v>138762.26956290167</v>
      </c>
      <c r="FO143" s="975">
        <f t="shared" si="811"/>
        <v>132466.46696807331</v>
      </c>
      <c r="FP143" s="975">
        <f t="shared" si="811"/>
        <v>143880.03889398318</v>
      </c>
      <c r="FQ143" s="969">
        <f t="shared" si="811"/>
        <v>155348.77457851273</v>
      </c>
      <c r="FS143" s="968">
        <f>FS97</f>
        <v>61647.896999521479</v>
      </c>
      <c r="FT143" s="975">
        <f t="shared" ref="FT143:GD143" si="812">FT97</f>
        <v>57434.081744434043</v>
      </c>
      <c r="FU143" s="975">
        <f t="shared" si="812"/>
        <v>129200.72136715053</v>
      </c>
      <c r="FV143" s="975">
        <f t="shared" si="812"/>
        <v>128308.48034392958</v>
      </c>
      <c r="FW143" s="975">
        <f t="shared" si="812"/>
        <v>146860.52938208671</v>
      </c>
      <c r="FX143" s="975">
        <f t="shared" si="812"/>
        <v>155524.25254895756</v>
      </c>
      <c r="FY143" s="975">
        <f t="shared" si="812"/>
        <v>148398.75353611138</v>
      </c>
      <c r="FZ143" s="975">
        <f t="shared" si="812"/>
        <v>163072.75855433659</v>
      </c>
      <c r="GA143" s="975">
        <f t="shared" si="812"/>
        <v>179474.28221131454</v>
      </c>
      <c r="GB143" s="975">
        <f t="shared" si="812"/>
        <v>169825.29204644155</v>
      </c>
      <c r="GC143" s="975">
        <f t="shared" si="812"/>
        <v>182638.97724914533</v>
      </c>
      <c r="GD143" s="969">
        <f t="shared" si="812"/>
        <v>195891.76575396219</v>
      </c>
      <c r="GF143" s="968">
        <f>GF97</f>
        <v>79773.566176795241</v>
      </c>
      <c r="GG143" s="975">
        <f t="shared" ref="GG143:GQ143" si="813">GG97</f>
        <v>73960.874577816241</v>
      </c>
      <c r="GH143" s="975">
        <f t="shared" si="813"/>
        <v>166045.69701742672</v>
      </c>
      <c r="GI143" s="975">
        <f t="shared" si="813"/>
        <v>165098.28269728503</v>
      </c>
      <c r="GJ143" s="975">
        <f t="shared" si="813"/>
        <v>188943.1789052675</v>
      </c>
      <c r="GK143" s="975">
        <f t="shared" si="813"/>
        <v>200169.61300769183</v>
      </c>
      <c r="GL143" s="975">
        <f t="shared" si="813"/>
        <v>191093.14991266411</v>
      </c>
      <c r="GM143" s="975">
        <f t="shared" si="813"/>
        <v>212241.04562907212</v>
      </c>
      <c r="GN143" s="975">
        <f t="shared" si="813"/>
        <v>233831.69508343982</v>
      </c>
      <c r="GO143" s="975">
        <f t="shared" si="813"/>
        <v>221837.58026768558</v>
      </c>
      <c r="GP143" s="975">
        <f t="shared" si="813"/>
        <v>240114.07890424004</v>
      </c>
      <c r="GQ143" s="969">
        <f t="shared" si="813"/>
        <v>258165.48648485605</v>
      </c>
      <c r="GS143" s="968">
        <f>GS97</f>
        <v>102243.17354613698</v>
      </c>
      <c r="GT143" s="975">
        <f t="shared" ref="GT143:HD143" si="814">GT97</f>
        <v>94914.436736920587</v>
      </c>
      <c r="GU143" s="975">
        <f t="shared" si="814"/>
        <v>213376.11169026361</v>
      </c>
      <c r="GV143" s="975">
        <f t="shared" si="814"/>
        <v>212686.06389340316</v>
      </c>
      <c r="GW143" s="975">
        <f t="shared" si="814"/>
        <v>243766.73602706607</v>
      </c>
      <c r="GX143" s="975">
        <f t="shared" si="814"/>
        <v>258677.59641993258</v>
      </c>
      <c r="GY143" s="975">
        <f t="shared" si="814"/>
        <v>247325.83416245971</v>
      </c>
      <c r="GZ143" s="975">
        <f t="shared" si="814"/>
        <v>274551.78277930809</v>
      </c>
      <c r="HA143" s="975">
        <f t="shared" si="814"/>
        <v>302543.5324840942</v>
      </c>
      <c r="HB143" s="975">
        <f t="shared" si="814"/>
        <v>290274.66133140703</v>
      </c>
      <c r="HC143" s="975">
        <f t="shared" si="814"/>
        <v>317209.68443916366</v>
      </c>
      <c r="HD143" s="969">
        <f t="shared" si="814"/>
        <v>341316.06647489819</v>
      </c>
    </row>
    <row r="144" spans="1:212" ht="14.25">
      <c r="B144" s="967" t="s">
        <v>121</v>
      </c>
      <c r="C144" s="1059">
        <v>60</v>
      </c>
      <c r="D144" s="1090">
        <v>10</v>
      </c>
      <c r="E144" s="1008">
        <v>4</v>
      </c>
      <c r="F144" s="1090">
        <v>2</v>
      </c>
      <c r="G144" s="1062">
        <v>10</v>
      </c>
      <c r="H144" s="1010">
        <v>10</v>
      </c>
      <c r="I144" s="1061">
        <f t="shared" si="807"/>
        <v>0.16666666666666666</v>
      </c>
      <c r="N144" s="914" t="s">
        <v>1034</v>
      </c>
      <c r="O144" s="933"/>
      <c r="P144" s="934">
        <f>[5]Assumption!D5</f>
        <v>4254.7024700000002</v>
      </c>
      <c r="Q144" s="934">
        <f>[5]Assumption!E5</f>
        <v>4245.9432999999999</v>
      </c>
      <c r="R144" s="934">
        <f>[5]Assumption!F5</f>
        <v>10233.976975</v>
      </c>
      <c r="S144" s="934">
        <f>[5]Assumption!G5</f>
        <v>9777.6431200000006</v>
      </c>
      <c r="T144" s="934">
        <f>[5]Assumption!H5</f>
        <v>8583.7165700000005</v>
      </c>
      <c r="U144" s="934">
        <f>[5]Assumption!I5</f>
        <v>12969.911534999999</v>
      </c>
      <c r="V144" s="934">
        <f>[5]Assumption!J5</f>
        <v>9370.4067799999993</v>
      </c>
      <c r="W144" s="934"/>
      <c r="X144" s="934"/>
      <c r="Y144" s="934"/>
      <c r="AA144" s="914" t="s">
        <v>1034</v>
      </c>
      <c r="AB144" s="933"/>
      <c r="AC144" s="934"/>
      <c r="AD144" s="934"/>
      <c r="AE144" s="934"/>
      <c r="AF144" s="934"/>
      <c r="AG144" s="934"/>
      <c r="AH144" s="934"/>
      <c r="AI144" s="934"/>
      <c r="DK144" s="914" t="s">
        <v>1034</v>
      </c>
      <c r="DL144" s="933"/>
      <c r="DN144" s="936">
        <f>[5]Assumption!K5</f>
        <v>9881.3886650000004</v>
      </c>
      <c r="DO144" s="950">
        <f>[5]Assumption!L5</f>
        <v>18276.939440889153</v>
      </c>
      <c r="DP144" s="950">
        <f>[5]Assumption!M5</f>
        <v>15242.098731718022</v>
      </c>
      <c r="DQ144" s="950">
        <f>[5]Assumption!N5</f>
        <v>17261.607634655295</v>
      </c>
      <c r="DR144" s="937">
        <f>[5]Assumption!O5</f>
        <v>22520.334596771118</v>
      </c>
      <c r="DT144" s="936">
        <f>[5]Assumption!K5</f>
        <v>9881.3886650000004</v>
      </c>
      <c r="DU144" s="950">
        <f>[5]Assumption!L5</f>
        <v>18276.939440889153</v>
      </c>
      <c r="DV144" s="950">
        <f>[5]Assumption!M5</f>
        <v>15242.098731718022</v>
      </c>
      <c r="DW144" s="950">
        <f>[5]Assumption!N5</f>
        <v>17261.607634655295</v>
      </c>
      <c r="DX144" s="937">
        <f>[5]Assumption!O5</f>
        <v>22520.334596771118</v>
      </c>
      <c r="DZ144" s="1602">
        <f>DZ98</f>
        <v>9881.3886649999986</v>
      </c>
      <c r="EA144" s="1601">
        <f t="shared" ref="EA144:ED144" si="815">EA98</f>
        <v>15624.916090000001</v>
      </c>
      <c r="EB144" s="1601">
        <f t="shared" si="815"/>
        <v>12404.99087</v>
      </c>
      <c r="EC144" s="1601">
        <f t="shared" si="815"/>
        <v>16642.730624999997</v>
      </c>
      <c r="ED144" s="1608">
        <f t="shared" si="815"/>
        <v>30928.548119999999</v>
      </c>
      <c r="EF144" s="1602">
        <f>EF98</f>
        <v>8913.6049149999999</v>
      </c>
      <c r="EG144" s="1601">
        <f t="shared" ref="EG144:EQ144" si="816">EG98</f>
        <v>13438.240889999999</v>
      </c>
      <c r="EH144" s="1601">
        <f t="shared" si="816"/>
        <v>18358.636490000001</v>
      </c>
      <c r="EI144" s="1601">
        <f t="shared" si="816"/>
        <v>15994.539525</v>
      </c>
      <c r="EJ144" s="1601">
        <f t="shared" si="816"/>
        <v>16959.788120000001</v>
      </c>
      <c r="EK144" s="1601">
        <f t="shared" si="816"/>
        <v>18586.203744999999</v>
      </c>
      <c r="EL144" s="950">
        <f t="shared" si="816"/>
        <v>19110</v>
      </c>
      <c r="EM144" s="950">
        <f t="shared" si="816"/>
        <v>21339.5</v>
      </c>
      <c r="EN144" s="950">
        <f t="shared" si="816"/>
        <v>23887.5</v>
      </c>
      <c r="EO144" s="950">
        <f t="shared" si="816"/>
        <v>22613.5</v>
      </c>
      <c r="EP144" s="950">
        <f t="shared" si="816"/>
        <v>25480</v>
      </c>
      <c r="EQ144" s="937">
        <f t="shared" si="816"/>
        <v>28853.233499999998</v>
      </c>
      <c r="ES144" s="936">
        <f>ES98</f>
        <v>10931.333348215761</v>
      </c>
      <c r="ET144" s="950">
        <f t="shared" ref="ET144:FD144" si="817">ET98</f>
        <v>10271.920556094063</v>
      </c>
      <c r="EU144" s="950">
        <f t="shared" si="817"/>
        <v>22512.989215421745</v>
      </c>
      <c r="EV144" s="950">
        <f t="shared" si="817"/>
        <v>22422.776273529817</v>
      </c>
      <c r="EW144" s="950">
        <f t="shared" si="817"/>
        <v>25921.190552918684</v>
      </c>
      <c r="EX144" s="950">
        <f t="shared" si="817"/>
        <v>28088.455759213983</v>
      </c>
      <c r="EY144" s="950">
        <f t="shared" si="817"/>
        <v>26423.669185889012</v>
      </c>
      <c r="EZ144" s="950">
        <f t="shared" si="817"/>
        <v>29355.140932074421</v>
      </c>
      <c r="FA144" s="950">
        <f t="shared" si="817"/>
        <v>32453.438835180681</v>
      </c>
      <c r="FB144" s="950">
        <f t="shared" si="817"/>
        <v>30580.916818990925</v>
      </c>
      <c r="FC144" s="950">
        <f t="shared" si="817"/>
        <v>33387.936346404895</v>
      </c>
      <c r="FD144" s="937">
        <f t="shared" si="817"/>
        <v>35941.199067031892</v>
      </c>
      <c r="FF144" s="936">
        <f>FF98</f>
        <v>15053.463724808465</v>
      </c>
      <c r="FG144" s="950">
        <f t="shared" ref="FG144:FQ144" si="818">FG98</f>
        <v>13976.683286218989</v>
      </c>
      <c r="FH144" s="950">
        <f t="shared" si="818"/>
        <v>31893.508707583838</v>
      </c>
      <c r="FI144" s="950">
        <f t="shared" si="818"/>
        <v>31297.458662740872</v>
      </c>
      <c r="FJ144" s="950">
        <f t="shared" si="818"/>
        <v>36134.411189136415</v>
      </c>
      <c r="FK144" s="950">
        <f t="shared" si="818"/>
        <v>38740.176892595053</v>
      </c>
      <c r="FL144" s="950">
        <f t="shared" si="818"/>
        <v>36842.701883450893</v>
      </c>
      <c r="FM144" s="950">
        <f t="shared" si="818"/>
        <v>40848.66510644331</v>
      </c>
      <c r="FN144" s="950">
        <f t="shared" si="818"/>
        <v>45097.737607943047</v>
      </c>
      <c r="FO144" s="950">
        <f t="shared" si="818"/>
        <v>43051.601764623825</v>
      </c>
      <c r="FP144" s="950">
        <f t="shared" si="818"/>
        <v>46761.012640544533</v>
      </c>
      <c r="FQ144" s="937">
        <f t="shared" si="818"/>
        <v>50488.351738016638</v>
      </c>
      <c r="FS144" s="936">
        <f>FS98</f>
        <v>20035.566524844482</v>
      </c>
      <c r="FT144" s="950">
        <f t="shared" ref="FT144:GD144" si="819">FT98</f>
        <v>18666.076566941065</v>
      </c>
      <c r="FU144" s="950">
        <f t="shared" si="819"/>
        <v>41990.234444323927</v>
      </c>
      <c r="FV144" s="950">
        <f t="shared" si="819"/>
        <v>41700.256111777111</v>
      </c>
      <c r="FW144" s="950">
        <f t="shared" si="819"/>
        <v>47729.672049178182</v>
      </c>
      <c r="FX144" s="950">
        <f t="shared" si="819"/>
        <v>50545.38207841121</v>
      </c>
      <c r="FY144" s="950">
        <f t="shared" si="819"/>
        <v>48229.594899236203</v>
      </c>
      <c r="FZ144" s="950">
        <f t="shared" si="819"/>
        <v>52998.646530159393</v>
      </c>
      <c r="GA144" s="950">
        <f t="shared" si="819"/>
        <v>58329.141718677223</v>
      </c>
      <c r="GB144" s="950">
        <f t="shared" si="819"/>
        <v>55193.219915093505</v>
      </c>
      <c r="GC144" s="950">
        <f t="shared" si="819"/>
        <v>59357.667605972238</v>
      </c>
      <c r="GD144" s="937">
        <f t="shared" si="819"/>
        <v>63664.823870037711</v>
      </c>
      <c r="GF144" s="936">
        <f>GF98</f>
        <v>25926.409007458453</v>
      </c>
      <c r="GG144" s="950">
        <f t="shared" ref="GG144:GQ144" si="820">GG98</f>
        <v>24037.284237790278</v>
      </c>
      <c r="GH144" s="950">
        <f t="shared" si="820"/>
        <v>53964.851530663684</v>
      </c>
      <c r="GI144" s="950">
        <f t="shared" si="820"/>
        <v>53656.941876617639</v>
      </c>
      <c r="GJ144" s="950">
        <f t="shared" si="820"/>
        <v>61406.533144211942</v>
      </c>
      <c r="GK144" s="950">
        <f t="shared" si="820"/>
        <v>65055.124227499851</v>
      </c>
      <c r="GL144" s="950">
        <f t="shared" si="820"/>
        <v>62105.273721615842</v>
      </c>
      <c r="GM144" s="950">
        <f t="shared" si="820"/>
        <v>68978.339829448436</v>
      </c>
      <c r="GN144" s="950">
        <f t="shared" si="820"/>
        <v>75995.300902117946</v>
      </c>
      <c r="GO144" s="950">
        <f t="shared" si="820"/>
        <v>72097.213586997823</v>
      </c>
      <c r="GP144" s="950">
        <f t="shared" si="820"/>
        <v>78037.075643878023</v>
      </c>
      <c r="GQ144" s="937">
        <f t="shared" si="820"/>
        <v>83903.783107578216</v>
      </c>
      <c r="GS144" s="936">
        <f>GS98</f>
        <v>33229.031402494518</v>
      </c>
      <c r="GT144" s="950">
        <f t="shared" ref="GT144:HD144" si="821">GT98</f>
        <v>30847.191939499193</v>
      </c>
      <c r="GU144" s="950">
        <f t="shared" si="821"/>
        <v>69347.23629933568</v>
      </c>
      <c r="GV144" s="950">
        <f t="shared" si="821"/>
        <v>69122.970765356033</v>
      </c>
      <c r="GW144" s="950">
        <f t="shared" si="821"/>
        <v>79224.189208796481</v>
      </c>
      <c r="GX144" s="950">
        <f t="shared" si="821"/>
        <v>84070.218836478089</v>
      </c>
      <c r="GY144" s="950">
        <f t="shared" si="821"/>
        <v>80380.896102799408</v>
      </c>
      <c r="GZ144" s="950">
        <f t="shared" si="821"/>
        <v>89229.329403275129</v>
      </c>
      <c r="HA144" s="950">
        <f t="shared" si="821"/>
        <v>98326.648057330618</v>
      </c>
      <c r="HB144" s="950">
        <f t="shared" si="821"/>
        <v>94339.264932707287</v>
      </c>
      <c r="HC144" s="950">
        <f t="shared" si="821"/>
        <v>103093.14744272819</v>
      </c>
      <c r="HD144" s="937">
        <f t="shared" si="821"/>
        <v>110927.72160434192</v>
      </c>
    </row>
    <row r="145" spans="2:212" ht="14.25">
      <c r="B145" s="967" t="s">
        <v>122</v>
      </c>
      <c r="C145" s="1059">
        <v>90</v>
      </c>
      <c r="D145" s="1090">
        <v>20</v>
      </c>
      <c r="E145" s="976">
        <v>6</v>
      </c>
      <c r="F145" s="1090">
        <v>2</v>
      </c>
      <c r="G145" s="1062"/>
      <c r="H145" s="1015">
        <v>14</v>
      </c>
      <c r="I145" s="1061">
        <f t="shared" si="807"/>
        <v>0.15555555555555556</v>
      </c>
      <c r="N145" s="914" t="s">
        <v>1106</v>
      </c>
      <c r="O145" s="933"/>
      <c r="P145" s="934">
        <f>[5]Assumption!D17</f>
        <v>32</v>
      </c>
      <c r="Q145" s="934">
        <f>[5]Assumption!E17</f>
        <v>33</v>
      </c>
      <c r="R145" s="934">
        <f>[5]Assumption!F17</f>
        <v>36</v>
      </c>
      <c r="S145" s="934">
        <f>[5]Assumption!G17</f>
        <v>38</v>
      </c>
      <c r="T145" s="934">
        <f>[5]Assumption!H17</f>
        <v>38</v>
      </c>
      <c r="U145" s="934">
        <f>[5]Assumption!I17</f>
        <v>45</v>
      </c>
      <c r="V145" s="934">
        <f>[5]Assumption!J17</f>
        <v>47</v>
      </c>
      <c r="W145" s="934"/>
      <c r="X145" s="934"/>
      <c r="Y145" s="934"/>
      <c r="AA145" s="914" t="s">
        <v>1106</v>
      </c>
      <c r="AB145" s="933"/>
      <c r="AC145" s="934"/>
      <c r="AD145" s="934"/>
      <c r="AE145" s="934"/>
      <c r="AF145" s="934"/>
      <c r="AG145" s="934"/>
      <c r="AH145" s="934"/>
      <c r="AI145" s="934"/>
      <c r="DK145" s="914" t="s">
        <v>1106</v>
      </c>
      <c r="DL145" s="933"/>
      <c r="DN145" s="952">
        <f>[5]Assumption!K17</f>
        <v>50</v>
      </c>
      <c r="DO145" s="953">
        <f>[5]Assumption!L17</f>
        <v>56</v>
      </c>
      <c r="DP145" s="953">
        <f>[5]Assumption!M17</f>
        <v>60</v>
      </c>
      <c r="DQ145" s="953">
        <f>[5]Assumption!N17</f>
        <v>62</v>
      </c>
      <c r="DR145" s="933">
        <f>[5]Assumption!O17</f>
        <v>64</v>
      </c>
      <c r="DT145" s="952">
        <f>[5]Assumption!K17</f>
        <v>50</v>
      </c>
      <c r="DU145" s="953">
        <f>[5]Assumption!L17</f>
        <v>56</v>
      </c>
      <c r="DV145" s="953">
        <f>[5]Assumption!M17</f>
        <v>60</v>
      </c>
      <c r="DW145" s="953">
        <f>[5]Assumption!N17</f>
        <v>62</v>
      </c>
      <c r="DX145" s="933">
        <f>[5]Assumption!O17</f>
        <v>64</v>
      </c>
      <c r="DZ145" s="952">
        <f>[5]Assumption!K17</f>
        <v>50</v>
      </c>
      <c r="EA145" s="953">
        <f>[5]Assumption!L17</f>
        <v>56</v>
      </c>
      <c r="EB145" s="953">
        <f>[5]Assumption!M17</f>
        <v>60</v>
      </c>
      <c r="EC145" s="953">
        <f>[5]Assumption!N17</f>
        <v>62</v>
      </c>
      <c r="ED145" s="933">
        <f>[5]Assumption!O17</f>
        <v>64</v>
      </c>
      <c r="EF145" s="952"/>
      <c r="EG145" s="953"/>
      <c r="EH145" s="953"/>
      <c r="EI145" s="953"/>
      <c r="EJ145" s="953"/>
      <c r="EK145" s="953"/>
      <c r="EL145" s="953"/>
      <c r="EM145" s="953"/>
      <c r="EN145" s="953"/>
      <c r="EO145" s="953"/>
      <c r="EP145" s="953"/>
      <c r="EQ145" s="933"/>
      <c r="ES145" s="952"/>
      <c r="ET145" s="953"/>
      <c r="EU145" s="953"/>
      <c r="EV145" s="953"/>
      <c r="EW145" s="953"/>
      <c r="EX145" s="953"/>
      <c r="EY145" s="953"/>
      <c r="EZ145" s="953"/>
      <c r="FA145" s="953"/>
      <c r="FB145" s="953"/>
      <c r="FC145" s="953"/>
      <c r="FD145" s="933"/>
      <c r="FF145" s="952"/>
      <c r="FG145" s="953"/>
      <c r="FH145" s="953"/>
      <c r="FI145" s="953"/>
      <c r="FJ145" s="953"/>
      <c r="FK145" s="953"/>
      <c r="FL145" s="953"/>
      <c r="FM145" s="953"/>
      <c r="FN145" s="953"/>
      <c r="FO145" s="953"/>
      <c r="FP145" s="953"/>
      <c r="FQ145" s="933"/>
      <c r="FS145" s="952"/>
      <c r="FT145" s="953"/>
      <c r="FU145" s="953"/>
      <c r="FV145" s="953"/>
      <c r="FW145" s="953"/>
      <c r="FX145" s="953"/>
      <c r="FY145" s="953"/>
      <c r="FZ145" s="953"/>
      <c r="GA145" s="953"/>
      <c r="GB145" s="953"/>
      <c r="GC145" s="953"/>
      <c r="GD145" s="933"/>
      <c r="GF145" s="952"/>
      <c r="GG145" s="953"/>
      <c r="GH145" s="953"/>
      <c r="GI145" s="953"/>
      <c r="GJ145" s="953"/>
      <c r="GK145" s="953"/>
      <c r="GL145" s="953"/>
      <c r="GM145" s="953"/>
      <c r="GN145" s="953"/>
      <c r="GO145" s="953"/>
      <c r="GP145" s="953"/>
      <c r="GQ145" s="933"/>
      <c r="GS145" s="952"/>
      <c r="GT145" s="953"/>
      <c r="GU145" s="953"/>
      <c r="GV145" s="953"/>
      <c r="GW145" s="953"/>
      <c r="GX145" s="953"/>
      <c r="GY145" s="953"/>
      <c r="GZ145" s="953"/>
      <c r="HA145" s="953"/>
      <c r="HB145" s="953"/>
      <c r="HC145" s="953"/>
      <c r="HD145" s="933"/>
    </row>
    <row r="146" spans="2:212" ht="14.25">
      <c r="B146" s="967" t="s">
        <v>123</v>
      </c>
      <c r="C146" s="1059">
        <v>100</v>
      </c>
      <c r="D146" s="1090">
        <v>20</v>
      </c>
      <c r="E146" s="976">
        <v>8</v>
      </c>
      <c r="F146" s="1090">
        <v>3</v>
      </c>
      <c r="G146" s="1062"/>
      <c r="H146" s="1015">
        <v>14</v>
      </c>
      <c r="I146" s="1061">
        <f t="shared" si="807"/>
        <v>0.14000000000000001</v>
      </c>
      <c r="N146" s="914" t="s">
        <v>1107</v>
      </c>
      <c r="O146" s="933"/>
      <c r="P146" s="934">
        <f>SUM(P151:P162)</f>
        <v>17</v>
      </c>
      <c r="Q146" s="934">
        <f t="shared" ref="Q146:V146" si="822">SUM(Q151:Q162)</f>
        <v>16</v>
      </c>
      <c r="R146" s="934">
        <f t="shared" si="822"/>
        <v>14</v>
      </c>
      <c r="S146" s="934">
        <f t="shared" si="822"/>
        <v>16</v>
      </c>
      <c r="T146" s="934">
        <f t="shared" si="822"/>
        <v>16</v>
      </c>
      <c r="U146" s="934">
        <f t="shared" si="822"/>
        <v>17</v>
      </c>
      <c r="V146" s="934">
        <f t="shared" si="822"/>
        <v>18</v>
      </c>
      <c r="W146" s="934"/>
      <c r="X146" s="934"/>
      <c r="Y146" s="934"/>
      <c r="AA146" s="914" t="s">
        <v>1108</v>
      </c>
      <c r="AB146" s="933"/>
      <c r="AC146" s="599">
        <f t="shared" ref="AC146:AI146" si="823">P146/P145</f>
        <v>0.53125</v>
      </c>
      <c r="AD146" s="599">
        <f t="shared" si="823"/>
        <v>0.48484848484848486</v>
      </c>
      <c r="AE146" s="599">
        <f t="shared" si="823"/>
        <v>0.3888888888888889</v>
      </c>
      <c r="AF146" s="599">
        <f t="shared" si="823"/>
        <v>0.42105263157894735</v>
      </c>
      <c r="AG146" s="599">
        <f t="shared" si="823"/>
        <v>0.42105263157894735</v>
      </c>
      <c r="AH146" s="599">
        <f t="shared" si="823"/>
        <v>0.37777777777777777</v>
      </c>
      <c r="AI146" s="599">
        <f t="shared" si="823"/>
        <v>0.38297872340425532</v>
      </c>
      <c r="AJ146" s="935">
        <f>AVERAGE(AC146:AI146)</f>
        <v>0.42969273401104308</v>
      </c>
      <c r="AK146" s="935"/>
      <c r="AL146" s="935"/>
      <c r="AM146" s="935"/>
      <c r="AN146" s="935"/>
      <c r="AO146" s="935"/>
      <c r="AP146" s="935"/>
      <c r="AQ146" s="935"/>
      <c r="AR146" s="935"/>
      <c r="AS146" s="935"/>
      <c r="AT146" s="935"/>
      <c r="AU146" s="935"/>
      <c r="AV146" s="935"/>
      <c r="AW146" s="935"/>
      <c r="AX146" s="935"/>
      <c r="AY146" s="935"/>
      <c r="AZ146" s="935"/>
      <c r="BA146" s="935"/>
      <c r="BB146" s="935"/>
      <c r="BC146" s="935"/>
      <c r="BD146" s="935"/>
      <c r="BE146" s="935"/>
      <c r="BF146" s="935"/>
      <c r="BG146" s="935"/>
      <c r="BH146" s="935"/>
      <c r="BI146" s="935"/>
      <c r="BJ146" s="935"/>
      <c r="BK146" s="935"/>
      <c r="BL146" s="935"/>
      <c r="BM146" s="935"/>
      <c r="BN146" s="935"/>
      <c r="BO146" s="935"/>
      <c r="BP146" s="935"/>
      <c r="BQ146" s="935"/>
      <c r="BR146" s="935"/>
      <c r="BS146" s="935"/>
      <c r="BT146" s="935"/>
      <c r="BU146" s="935"/>
      <c r="BV146" s="935"/>
      <c r="BW146" s="935"/>
      <c r="BX146" s="935"/>
      <c r="BY146" s="935"/>
      <c r="BZ146" s="935"/>
      <c r="CA146" s="935"/>
      <c r="CB146" s="935"/>
      <c r="CC146" s="935"/>
      <c r="CD146" s="935"/>
      <c r="CE146" s="935"/>
      <c r="CF146" s="935"/>
      <c r="CG146" s="935"/>
      <c r="CH146" s="935"/>
      <c r="CI146" s="935"/>
      <c r="CJ146" s="935"/>
      <c r="CK146" s="935"/>
      <c r="CL146" s="935"/>
      <c r="CM146" s="935"/>
      <c r="CN146" s="935"/>
      <c r="CO146" s="935"/>
      <c r="CP146" s="935"/>
      <c r="CQ146" s="935"/>
      <c r="CR146" s="935"/>
      <c r="CS146" s="935"/>
      <c r="CT146" s="935"/>
      <c r="CU146" s="935"/>
      <c r="CV146" s="935"/>
      <c r="CW146" s="935"/>
      <c r="CX146" s="935"/>
      <c r="CY146" s="935"/>
      <c r="CZ146" s="935"/>
      <c r="DA146" s="935"/>
      <c r="DB146" s="935"/>
      <c r="DC146" s="935"/>
      <c r="DD146" s="935"/>
      <c r="DE146" s="935"/>
      <c r="DF146" s="935"/>
      <c r="DG146" s="935"/>
      <c r="DH146" s="935"/>
      <c r="DI146" s="935"/>
      <c r="DK146" s="914" t="s">
        <v>1107</v>
      </c>
      <c r="DL146" s="933"/>
      <c r="DN146" s="936">
        <f>SUM(DN151:DN162)</f>
        <v>19</v>
      </c>
      <c r="DO146" s="950">
        <f>SUM(DO151:DO162)</f>
        <v>22.5</v>
      </c>
      <c r="DP146" s="950">
        <f>SUM(DP151:DP162)</f>
        <v>26</v>
      </c>
      <c r="DQ146" s="950">
        <f>SUM(DQ151:DQ162)</f>
        <v>27</v>
      </c>
      <c r="DR146" s="937">
        <f>SUM(DR151:DR162)</f>
        <v>29</v>
      </c>
      <c r="DT146" s="936">
        <f>SUM(DT151:DT162)</f>
        <v>19</v>
      </c>
      <c r="DU146" s="950">
        <f>SUM(DU151:DU162)</f>
        <v>22.5</v>
      </c>
      <c r="DV146" s="950">
        <f>SUM(DV151:DV162)</f>
        <v>26</v>
      </c>
      <c r="DW146" s="950">
        <f>SUM(DW151:DW162)</f>
        <v>27</v>
      </c>
      <c r="DX146" s="937">
        <f>SUM(DX151:DX162)</f>
        <v>29</v>
      </c>
      <c r="DZ146" s="936">
        <f>SUM(DZ151:DZ162)</f>
        <v>19</v>
      </c>
      <c r="EA146" s="950">
        <f>SUM(EA151:EA162)</f>
        <v>23</v>
      </c>
      <c r="EB146" s="950">
        <f>SUM(EB151:EB162)</f>
        <v>26.5</v>
      </c>
      <c r="EC146" s="950">
        <f>SUM(EC151:EC162)</f>
        <v>27</v>
      </c>
      <c r="ED146" s="937">
        <f>SUM(ED151:ED162)</f>
        <v>29</v>
      </c>
      <c r="EF146" s="936">
        <f>SUM(EF151:EF162)</f>
        <v>30.5</v>
      </c>
      <c r="EG146" s="950">
        <f t="shared" ref="EG146:EQ146" si="824">SUM(EG151:EG162)</f>
        <v>34</v>
      </c>
      <c r="EH146" s="950">
        <f t="shared" si="824"/>
        <v>38</v>
      </c>
      <c r="EI146" s="950">
        <f t="shared" si="824"/>
        <v>38.5</v>
      </c>
      <c r="EJ146" s="950">
        <f t="shared" si="824"/>
        <v>37.5</v>
      </c>
      <c r="EK146" s="950">
        <f t="shared" si="824"/>
        <v>36.5</v>
      </c>
      <c r="EL146" s="950">
        <f t="shared" si="824"/>
        <v>36</v>
      </c>
      <c r="EM146" s="950">
        <f t="shared" si="824"/>
        <v>34</v>
      </c>
      <c r="EN146" s="950">
        <f t="shared" si="824"/>
        <v>30</v>
      </c>
      <c r="EO146" s="950">
        <f t="shared" si="824"/>
        <v>25.5</v>
      </c>
      <c r="EP146" s="950">
        <f t="shared" si="824"/>
        <v>24</v>
      </c>
      <c r="EQ146" s="937">
        <f t="shared" si="824"/>
        <v>23</v>
      </c>
      <c r="ES146" s="936">
        <f>SUM(ES151:ES162)</f>
        <v>21</v>
      </c>
      <c r="ET146" s="950">
        <f t="shared" ref="ET146:FD146" si="825">SUM(ET151:ET162)</f>
        <v>17.5</v>
      </c>
      <c r="EU146" s="950">
        <f t="shared" si="825"/>
        <v>14</v>
      </c>
      <c r="EV146" s="950">
        <f t="shared" si="825"/>
        <v>12.5</v>
      </c>
      <c r="EW146" s="950">
        <f t="shared" si="825"/>
        <v>11.5</v>
      </c>
      <c r="EX146" s="950">
        <f t="shared" si="825"/>
        <v>10.5</v>
      </c>
      <c r="EY146" s="950">
        <f t="shared" si="825"/>
        <v>10</v>
      </c>
      <c r="EZ146" s="950">
        <f t="shared" si="825"/>
        <v>10</v>
      </c>
      <c r="FA146" s="950">
        <f t="shared" si="825"/>
        <v>10</v>
      </c>
      <c r="FB146" s="950">
        <f t="shared" si="825"/>
        <v>10</v>
      </c>
      <c r="FC146" s="950">
        <f t="shared" si="825"/>
        <v>10</v>
      </c>
      <c r="FD146" s="937">
        <f t="shared" si="825"/>
        <v>10</v>
      </c>
      <c r="FF146" s="936">
        <f>SUM(FF151:FF162)</f>
        <v>10</v>
      </c>
      <c r="FG146" s="950">
        <f t="shared" ref="FG146:FQ146" si="826">SUM(FG151:FG162)</f>
        <v>10</v>
      </c>
      <c r="FH146" s="950">
        <f t="shared" si="826"/>
        <v>10</v>
      </c>
      <c r="FI146" s="950">
        <f t="shared" si="826"/>
        <v>10</v>
      </c>
      <c r="FJ146" s="950">
        <f t="shared" si="826"/>
        <v>10</v>
      </c>
      <c r="FK146" s="950">
        <f t="shared" si="826"/>
        <v>10</v>
      </c>
      <c r="FL146" s="950">
        <f t="shared" si="826"/>
        <v>10</v>
      </c>
      <c r="FM146" s="950">
        <f t="shared" si="826"/>
        <v>10</v>
      </c>
      <c r="FN146" s="950">
        <f t="shared" si="826"/>
        <v>10</v>
      </c>
      <c r="FO146" s="950">
        <f t="shared" si="826"/>
        <v>10</v>
      </c>
      <c r="FP146" s="950">
        <f t="shared" si="826"/>
        <v>10</v>
      </c>
      <c r="FQ146" s="937">
        <f t="shared" si="826"/>
        <v>10</v>
      </c>
      <c r="FS146" s="936">
        <f>SUM(FS151:FS162)</f>
        <v>10</v>
      </c>
      <c r="FT146" s="950">
        <f t="shared" ref="FT146:GD146" si="827">SUM(FT151:FT162)</f>
        <v>10</v>
      </c>
      <c r="FU146" s="950">
        <f t="shared" si="827"/>
        <v>9.5</v>
      </c>
      <c r="FV146" s="950">
        <f t="shared" si="827"/>
        <v>8.5</v>
      </c>
      <c r="FW146" s="950">
        <f t="shared" si="827"/>
        <v>7.5</v>
      </c>
      <c r="FX146" s="950">
        <f t="shared" si="827"/>
        <v>6.5</v>
      </c>
      <c r="FY146" s="950">
        <f t="shared" si="827"/>
        <v>5.5</v>
      </c>
      <c r="FZ146" s="950">
        <f t="shared" si="827"/>
        <v>4.5</v>
      </c>
      <c r="GA146" s="950">
        <f t="shared" si="827"/>
        <v>3.5</v>
      </c>
      <c r="GB146" s="950">
        <f t="shared" si="827"/>
        <v>2.5</v>
      </c>
      <c r="GC146" s="950">
        <f t="shared" si="827"/>
        <v>1.5</v>
      </c>
      <c r="GD146" s="937">
        <f t="shared" si="827"/>
        <v>0.5</v>
      </c>
      <c r="GF146" s="936">
        <f>SUM(GF151:GF162)</f>
        <v>0</v>
      </c>
      <c r="GG146" s="950">
        <f t="shared" ref="GG146:GQ146" si="828">SUM(GG151:GG162)</f>
        <v>0</v>
      </c>
      <c r="GH146" s="950">
        <f t="shared" si="828"/>
        <v>0</v>
      </c>
      <c r="GI146" s="950">
        <f t="shared" si="828"/>
        <v>0</v>
      </c>
      <c r="GJ146" s="950">
        <f t="shared" si="828"/>
        <v>0</v>
      </c>
      <c r="GK146" s="950">
        <f t="shared" si="828"/>
        <v>0</v>
      </c>
      <c r="GL146" s="950">
        <f t="shared" si="828"/>
        <v>0</v>
      </c>
      <c r="GM146" s="950">
        <f t="shared" si="828"/>
        <v>0</v>
      </c>
      <c r="GN146" s="950">
        <f t="shared" si="828"/>
        <v>0</v>
      </c>
      <c r="GO146" s="950">
        <f t="shared" si="828"/>
        <v>0</v>
      </c>
      <c r="GP146" s="950">
        <f t="shared" si="828"/>
        <v>0</v>
      </c>
      <c r="GQ146" s="937">
        <f t="shared" si="828"/>
        <v>0</v>
      </c>
      <c r="GS146" s="936">
        <f>SUM(GS151:GS162)</f>
        <v>0</v>
      </c>
      <c r="GT146" s="950">
        <f t="shared" ref="GT146:HD146" si="829">SUM(GT151:GT162)</f>
        <v>0</v>
      </c>
      <c r="GU146" s="950">
        <f t="shared" si="829"/>
        <v>0</v>
      </c>
      <c r="GV146" s="950">
        <f t="shared" si="829"/>
        <v>0</v>
      </c>
      <c r="GW146" s="950">
        <f t="shared" si="829"/>
        <v>0</v>
      </c>
      <c r="GX146" s="950">
        <f t="shared" si="829"/>
        <v>0</v>
      </c>
      <c r="GY146" s="950">
        <f t="shared" si="829"/>
        <v>0</v>
      </c>
      <c r="GZ146" s="950">
        <f t="shared" si="829"/>
        <v>0</v>
      </c>
      <c r="HA146" s="950">
        <f t="shared" si="829"/>
        <v>0</v>
      </c>
      <c r="HB146" s="950">
        <f t="shared" si="829"/>
        <v>0</v>
      </c>
      <c r="HC146" s="950">
        <f t="shared" si="829"/>
        <v>0</v>
      </c>
      <c r="HD146" s="937">
        <f t="shared" si="829"/>
        <v>0</v>
      </c>
    </row>
    <row r="147" spans="2:212" ht="14.25">
      <c r="B147" s="967" t="s">
        <v>124</v>
      </c>
      <c r="C147" s="1059">
        <v>100</v>
      </c>
      <c r="D147" s="1090">
        <v>20</v>
      </c>
      <c r="E147" s="976">
        <v>8</v>
      </c>
      <c r="F147" s="1090">
        <v>3</v>
      </c>
      <c r="G147" s="1062"/>
      <c r="H147" s="1015">
        <v>14</v>
      </c>
      <c r="I147" s="1061">
        <f t="shared" si="807"/>
        <v>0.14000000000000001</v>
      </c>
      <c r="N147" s="914" t="s">
        <v>1109</v>
      </c>
      <c r="O147" s="933"/>
      <c r="P147" s="595">
        <f>[5]Assumption!D37</f>
        <v>0</v>
      </c>
      <c r="Q147" s="595">
        <f>[5]Assumption!E37</f>
        <v>0</v>
      </c>
      <c r="R147" s="595">
        <f>[5]Assumption!F37</f>
        <v>2</v>
      </c>
      <c r="S147" s="595">
        <f>[5]Assumption!G37</f>
        <v>2</v>
      </c>
      <c r="T147" s="595">
        <f>[5]Assumption!H37</f>
        <v>2</v>
      </c>
      <c r="U147" s="595">
        <f>[5]Assumption!I37</f>
        <v>3</v>
      </c>
      <c r="V147" s="595">
        <f>[5]Assumption!J37</f>
        <v>2</v>
      </c>
      <c r="AA147" s="914" t="s">
        <v>1109</v>
      </c>
      <c r="AB147" s="933"/>
      <c r="DK147" s="914" t="s">
        <v>1109</v>
      </c>
      <c r="DL147" s="933"/>
      <c r="DN147" s="952">
        <f>[5]Assumption!K37</f>
        <v>2</v>
      </c>
      <c r="DO147" s="953">
        <f>[5]Assumption!L37</f>
        <v>7</v>
      </c>
      <c r="DP147" s="953">
        <f>[5]Assumption!M37</f>
        <v>4</v>
      </c>
      <c r="DQ147" s="953">
        <f>[5]Assumption!N37</f>
        <v>2</v>
      </c>
      <c r="DR147" s="933">
        <f>[5]Assumption!O37</f>
        <v>2</v>
      </c>
      <c r="DT147" s="952">
        <f>[5]Assumption!K37</f>
        <v>2</v>
      </c>
      <c r="DU147" s="953">
        <f>[5]Assumption!L37</f>
        <v>7</v>
      </c>
      <c r="DV147" s="953">
        <f>[5]Assumption!M37</f>
        <v>4</v>
      </c>
      <c r="DW147" s="953">
        <f>[5]Assumption!N37</f>
        <v>2</v>
      </c>
      <c r="DX147" s="933">
        <f>[5]Assumption!O37</f>
        <v>2</v>
      </c>
      <c r="DZ147" s="1609">
        <v>3</v>
      </c>
      <c r="EA147" s="1606">
        <v>7</v>
      </c>
      <c r="EB147" s="1606">
        <v>4</v>
      </c>
      <c r="EC147" s="1606">
        <v>1</v>
      </c>
      <c r="ED147" s="1610">
        <v>3</v>
      </c>
      <c r="EF147" s="1603">
        <v>2</v>
      </c>
      <c r="EG147" s="1606">
        <v>5</v>
      </c>
      <c r="EH147" s="1606">
        <v>3</v>
      </c>
      <c r="EI147" s="1606">
        <v>2</v>
      </c>
      <c r="EJ147" s="1606">
        <v>2</v>
      </c>
      <c r="EK147" s="1606">
        <v>2</v>
      </c>
      <c r="EL147" s="953">
        <f>'[1]AL Promotion &amp; Recruited'!AF13</f>
        <v>1</v>
      </c>
      <c r="EM147" s="953">
        <f>'[1]AL Promotion &amp; Recruited'!AG13</f>
        <v>1</v>
      </c>
      <c r="EN147" s="953">
        <f>'[1]AL Promotion &amp; Recruited'!AH13</f>
        <v>1</v>
      </c>
      <c r="EO147" s="953">
        <f>'[1]AL Promotion &amp; Recruited'!AI13</f>
        <v>1</v>
      </c>
      <c r="EP147" s="953">
        <f>'[1]AL Promotion &amp; Recruited'!AJ13</f>
        <v>1</v>
      </c>
      <c r="EQ147" s="933">
        <f>'[1]AL Promotion &amp; Recruited'!AK13</f>
        <v>1</v>
      </c>
      <c r="ES147" s="977">
        <f>'[6]AL Promotion &amp; Recruited'!AL$13</f>
        <v>0</v>
      </c>
      <c r="ET147" s="953">
        <f>'[6]AL Promotion &amp; Recruited'!AM$13</f>
        <v>0</v>
      </c>
      <c r="EU147" s="953">
        <f>'[6]AL Promotion &amp; Recruited'!AN$13</f>
        <v>1</v>
      </c>
      <c r="EV147" s="953">
        <f>'[6]AL Promotion &amp; Recruited'!AO$13</f>
        <v>1</v>
      </c>
      <c r="EW147" s="953">
        <f>'[6]AL Promotion &amp; Recruited'!AP$13</f>
        <v>1</v>
      </c>
      <c r="EX147" s="953">
        <f>'[6]AL Promotion &amp; Recruited'!AQ$13</f>
        <v>1</v>
      </c>
      <c r="EY147" s="953">
        <f>'[6]AL Promotion &amp; Recruited'!AR$13</f>
        <v>1</v>
      </c>
      <c r="EZ147" s="953">
        <f>'[6]AL Promotion &amp; Recruited'!AS$13</f>
        <v>1</v>
      </c>
      <c r="FA147" s="953">
        <f>'[6]AL Promotion &amp; Recruited'!AT$13</f>
        <v>1</v>
      </c>
      <c r="FB147" s="953">
        <f>'[6]AL Promotion &amp; Recruited'!AU$13</f>
        <v>1</v>
      </c>
      <c r="FC147" s="953">
        <f>'[6]AL Promotion &amp; Recruited'!AV$13</f>
        <v>1</v>
      </c>
      <c r="FD147" s="933">
        <f>'[6]AL Promotion &amp; Recruited'!AW$13</f>
        <v>1</v>
      </c>
      <c r="FF147" s="977">
        <f>'[6]AL Promotion &amp; Recruited'!AX$13</f>
        <v>0</v>
      </c>
      <c r="FG147" s="953">
        <f>'[6]AL Promotion &amp; Recruited'!AY$13</f>
        <v>0</v>
      </c>
      <c r="FH147" s="953">
        <f>'[6]AL Promotion &amp; Recruited'!AZ$13</f>
        <v>1</v>
      </c>
      <c r="FI147" s="953">
        <f>'[6]AL Promotion &amp; Recruited'!BA$13</f>
        <v>1</v>
      </c>
      <c r="FJ147" s="953">
        <f>'[6]AL Promotion &amp; Recruited'!BB$13</f>
        <v>1</v>
      </c>
      <c r="FK147" s="953">
        <f>'[6]AL Promotion &amp; Recruited'!BC$13</f>
        <v>1</v>
      </c>
      <c r="FL147" s="953">
        <f>'[6]AL Promotion &amp; Recruited'!BD$13</f>
        <v>1</v>
      </c>
      <c r="FM147" s="953">
        <f>'[6]AL Promotion &amp; Recruited'!BE$13</f>
        <v>1</v>
      </c>
      <c r="FN147" s="953">
        <f>'[6]AL Promotion &amp; Recruited'!BF$13</f>
        <v>1</v>
      </c>
      <c r="FO147" s="953">
        <f>'[6]AL Promotion &amp; Recruited'!BG$13</f>
        <v>1</v>
      </c>
      <c r="FP147" s="953">
        <f>'[6]AL Promotion &amp; Recruited'!BH$13</f>
        <v>1</v>
      </c>
      <c r="FQ147" s="933">
        <f>'[6]AL Promotion &amp; Recruited'!BI$13</f>
        <v>1</v>
      </c>
      <c r="FS147" s="977">
        <f>'[6]AL Promotion &amp; Recruited'!BJ$13</f>
        <v>0</v>
      </c>
      <c r="FT147" s="953">
        <f>'[6]AL Promotion &amp; Recruited'!BK$13</f>
        <v>0</v>
      </c>
      <c r="FU147" s="953">
        <f>'[6]AL Promotion &amp; Recruited'!BL$13</f>
        <v>0</v>
      </c>
      <c r="FV147" s="953">
        <f>'[6]AL Promotion &amp; Recruited'!BM$13</f>
        <v>0</v>
      </c>
      <c r="FW147" s="953">
        <f>'[6]AL Promotion &amp; Recruited'!BN$13</f>
        <v>0</v>
      </c>
      <c r="FX147" s="953">
        <f>'[6]AL Promotion &amp; Recruited'!BO$13</f>
        <v>0</v>
      </c>
      <c r="FY147" s="953">
        <f>'[6]AL Promotion &amp; Recruited'!BP$13</f>
        <v>0</v>
      </c>
      <c r="FZ147" s="953">
        <f>'[6]AL Promotion &amp; Recruited'!BQ$13</f>
        <v>0</v>
      </c>
      <c r="GA147" s="953">
        <f>'[6]AL Promotion &amp; Recruited'!BR$13</f>
        <v>0</v>
      </c>
      <c r="GB147" s="953">
        <f>'[6]AL Promotion &amp; Recruited'!BS$13</f>
        <v>0</v>
      </c>
      <c r="GC147" s="953">
        <f>'[6]AL Promotion &amp; Recruited'!BT$13</f>
        <v>0</v>
      </c>
      <c r="GD147" s="933">
        <f>'[6]AL Promotion &amp; Recruited'!BU$13</f>
        <v>0</v>
      </c>
      <c r="GF147" s="977">
        <f>'[6]AL Promotion &amp; Recruited'!BV$13</f>
        <v>0</v>
      </c>
      <c r="GG147" s="953">
        <f>'[6]AL Promotion &amp; Recruited'!BW$13</f>
        <v>0</v>
      </c>
      <c r="GH147" s="953">
        <f>'[6]AL Promotion &amp; Recruited'!BX$13</f>
        <v>0</v>
      </c>
      <c r="GI147" s="953">
        <f>'[6]AL Promotion &amp; Recruited'!BY$13</f>
        <v>0</v>
      </c>
      <c r="GJ147" s="953">
        <f>'[6]AL Promotion &amp; Recruited'!BZ$13</f>
        <v>0</v>
      </c>
      <c r="GK147" s="953">
        <f>'[6]AL Promotion &amp; Recruited'!CA$13</f>
        <v>0</v>
      </c>
      <c r="GL147" s="953">
        <f>'[6]AL Promotion &amp; Recruited'!CB$13</f>
        <v>0</v>
      </c>
      <c r="GM147" s="953">
        <f>'[6]AL Promotion &amp; Recruited'!CC$13</f>
        <v>0</v>
      </c>
      <c r="GN147" s="953">
        <f>'[6]AL Promotion &amp; Recruited'!CD$13</f>
        <v>0</v>
      </c>
      <c r="GO147" s="953">
        <f>'[6]AL Promotion &amp; Recruited'!CE$13</f>
        <v>0</v>
      </c>
      <c r="GP147" s="953">
        <f>'[6]AL Promotion &amp; Recruited'!CF$13</f>
        <v>0</v>
      </c>
      <c r="GQ147" s="933">
        <f>'[6]AL Promotion &amp; Recruited'!CG$13</f>
        <v>0</v>
      </c>
      <c r="GS147" s="977">
        <f>'[6]AL Promotion &amp; Recruited'!CH$13</f>
        <v>0</v>
      </c>
      <c r="GT147" s="953">
        <f>'[6]AL Promotion &amp; Recruited'!CI$13</f>
        <v>0</v>
      </c>
      <c r="GU147" s="953">
        <f>'[6]AL Promotion &amp; Recruited'!CJ$13</f>
        <v>0</v>
      </c>
      <c r="GV147" s="953">
        <f>'[6]AL Promotion &amp; Recruited'!CK$13</f>
        <v>0</v>
      </c>
      <c r="GW147" s="953">
        <f>'[6]AL Promotion &amp; Recruited'!CL$13</f>
        <v>0</v>
      </c>
      <c r="GX147" s="953">
        <f>'[6]AL Promotion &amp; Recruited'!CM$13</f>
        <v>0</v>
      </c>
      <c r="GY147" s="953">
        <f>'[6]AL Promotion &amp; Recruited'!CN$13</f>
        <v>0</v>
      </c>
      <c r="GZ147" s="953">
        <f>'[6]AL Promotion &amp; Recruited'!CO$13</f>
        <v>0</v>
      </c>
      <c r="HA147" s="953">
        <f>'[6]AL Promotion &amp; Recruited'!CP$13</f>
        <v>0</v>
      </c>
      <c r="HB147" s="953">
        <f>'[6]AL Promotion &amp; Recruited'!CQ$13</f>
        <v>0</v>
      </c>
      <c r="HC147" s="953">
        <f>'[6]AL Promotion &amp; Recruited'!CR$13</f>
        <v>0</v>
      </c>
      <c r="HD147" s="933">
        <f>'[6]AL Promotion &amp; Recruited'!CS$13</f>
        <v>0</v>
      </c>
    </row>
    <row r="148" spans="2:212" ht="14.25">
      <c r="B148" s="967" t="s">
        <v>125</v>
      </c>
      <c r="C148" s="1059">
        <v>125</v>
      </c>
      <c r="D148" s="1090">
        <v>20</v>
      </c>
      <c r="E148" s="976">
        <v>10</v>
      </c>
      <c r="F148" s="1090">
        <v>4</v>
      </c>
      <c r="G148" s="1062"/>
      <c r="H148" s="1015">
        <v>14</v>
      </c>
      <c r="I148" s="1061">
        <f t="shared" si="807"/>
        <v>0.112</v>
      </c>
      <c r="N148" s="914" t="s">
        <v>1040</v>
      </c>
      <c r="O148" s="933"/>
      <c r="P148" s="595">
        <v>189</v>
      </c>
      <c r="Q148" s="595">
        <v>57</v>
      </c>
      <c r="R148" s="595">
        <v>136</v>
      </c>
      <c r="S148" s="595">
        <v>202</v>
      </c>
      <c r="T148" s="595">
        <v>213</v>
      </c>
      <c r="U148" s="595">
        <v>198</v>
      </c>
      <c r="V148" s="595">
        <v>117</v>
      </c>
      <c r="AA148" s="914" t="s">
        <v>1041</v>
      </c>
      <c r="AB148" s="933"/>
      <c r="AC148" s="599">
        <f t="shared" ref="AC148:AI148" si="830">P148/P143</f>
        <v>1.3854350039038114E-2</v>
      </c>
      <c r="AD148" s="599">
        <f t="shared" si="830"/>
        <v>4.1028921862865655E-3</v>
      </c>
      <c r="AE148" s="599">
        <f t="shared" si="830"/>
        <v>4.1035585253907103E-3</v>
      </c>
      <c r="AF148" s="599">
        <f t="shared" si="830"/>
        <v>6.592824099356992E-3</v>
      </c>
      <c r="AG148" s="599">
        <f t="shared" si="830"/>
        <v>7.7572978236045108E-3</v>
      </c>
      <c r="AH148" s="599">
        <f t="shared" si="830"/>
        <v>4.7747507015845052E-3</v>
      </c>
      <c r="AI148" s="599">
        <f t="shared" si="830"/>
        <v>3.9330479598893653E-3</v>
      </c>
      <c r="AJ148" s="935">
        <f>AVERAGE(AC148:AI148)</f>
        <v>6.4455316193072513E-3</v>
      </c>
      <c r="AK148" s="935"/>
      <c r="AL148" s="935"/>
      <c r="AM148" s="935"/>
      <c r="AN148" s="935"/>
      <c r="AO148" s="935"/>
      <c r="AP148" s="935"/>
      <c r="AQ148" s="935"/>
      <c r="AR148" s="935"/>
      <c r="AS148" s="935"/>
      <c r="AT148" s="935"/>
      <c r="AU148" s="935"/>
      <c r="AV148" s="935"/>
      <c r="AW148" s="935"/>
      <c r="AX148" s="935"/>
      <c r="AY148" s="935"/>
      <c r="AZ148" s="935"/>
      <c r="BA148" s="935"/>
      <c r="BB148" s="935"/>
      <c r="BC148" s="935"/>
      <c r="BD148" s="935"/>
      <c r="BE148" s="935"/>
      <c r="BF148" s="935"/>
      <c r="BG148" s="935"/>
      <c r="BH148" s="935"/>
      <c r="BI148" s="935"/>
      <c r="BJ148" s="935"/>
      <c r="BK148" s="935"/>
      <c r="BL148" s="935"/>
      <c r="BM148" s="935"/>
      <c r="BN148" s="935"/>
      <c r="BO148" s="935"/>
      <c r="BP148" s="935"/>
      <c r="BQ148" s="935"/>
      <c r="BR148" s="935"/>
      <c r="BS148" s="935"/>
      <c r="BT148" s="935"/>
      <c r="BU148" s="935"/>
      <c r="BV148" s="935"/>
      <c r="BW148" s="935"/>
      <c r="BX148" s="935"/>
      <c r="BY148" s="935"/>
      <c r="BZ148" s="935"/>
      <c r="CA148" s="935"/>
      <c r="CB148" s="935"/>
      <c r="CC148" s="935"/>
      <c r="CD148" s="935"/>
      <c r="CE148" s="935"/>
      <c r="CF148" s="935"/>
      <c r="CG148" s="935"/>
      <c r="CH148" s="935"/>
      <c r="CI148" s="935"/>
      <c r="CJ148" s="935"/>
      <c r="CK148" s="935"/>
      <c r="CL148" s="935"/>
      <c r="CM148" s="935"/>
      <c r="CN148" s="935"/>
      <c r="CO148" s="935"/>
      <c r="CP148" s="935"/>
      <c r="CQ148" s="935"/>
      <c r="CR148" s="935"/>
      <c r="CS148" s="935"/>
      <c r="CT148" s="935"/>
      <c r="CU148" s="935"/>
      <c r="CV148" s="935"/>
      <c r="CW148" s="935"/>
      <c r="CX148" s="935"/>
      <c r="CY148" s="935"/>
      <c r="CZ148" s="935"/>
      <c r="DA148" s="935"/>
      <c r="DB148" s="935"/>
      <c r="DC148" s="935"/>
      <c r="DD148" s="935"/>
      <c r="DE148" s="935"/>
      <c r="DF148" s="935"/>
      <c r="DG148" s="935"/>
      <c r="DH148" s="935"/>
      <c r="DI148" s="935"/>
      <c r="DK148" s="914" t="s">
        <v>1040</v>
      </c>
      <c r="DL148" s="933"/>
      <c r="DN148" s="977">
        <f>SUM(DN165:DN167)*18+SUM(DN168:DN170)*15+SUM(DN171:DN176)*12+DN177*40</f>
        <v>108</v>
      </c>
      <c r="DO148" s="978">
        <f>SUM(DO165:DO167)*18+SUM(DO168:DO170)*15+SUM(DO171:DO176)*12+DO177*40</f>
        <v>190.64999999999998</v>
      </c>
      <c r="DP148" s="978">
        <f>SUM(DP165:DP167)*18+SUM(DP168:DP170)*15+SUM(DP171:DP176)*12+DP177*40</f>
        <v>272.85000000000002</v>
      </c>
      <c r="DQ148" s="978">
        <f>SUM(DQ165:DQ167)*18+SUM(DQ168:DQ170)*15+SUM(DQ171:DQ176)*12+DQ177*40</f>
        <v>261.32499999999999</v>
      </c>
      <c r="DR148" s="979">
        <f>SUM(DR165:DR167)*18+SUM(DR168:DR170)*15+SUM(DR171:DR176)*12+DR177*40</f>
        <v>270.92499999999995</v>
      </c>
      <c r="DT148" s="977">
        <f>SUM(DT165:DT167)*18+SUM(DT168:DT170)*15+SUM(DT171:DT176)*12+DT177*40</f>
        <v>108</v>
      </c>
      <c r="DU148" s="978">
        <f>SUM(DU165:DU167)*18+SUM(DU168:DU170)*15+SUM(DU171:DU176)*12+DU177*40</f>
        <v>126</v>
      </c>
      <c r="DV148" s="978">
        <f>SUM(DV165:DV167)*18+SUM(DV168:DV170)*15+SUM(DV171:DV176)*12+DV177*40</f>
        <v>184</v>
      </c>
      <c r="DW148" s="978">
        <f>SUM(DW165:DW167)*18+SUM(DW168:DW170)*15+SUM(DW171:DW176)*12+DW177*40</f>
        <v>161.5</v>
      </c>
      <c r="DX148" s="979">
        <f>SUM(DX165:DX167)*18+SUM(DX168:DX170)*15+SUM(DX171:DX176)*12+DX177*40</f>
        <v>185.5</v>
      </c>
      <c r="DZ148" s="977">
        <f>SUM(DZ165:DZ167)*18+SUM(DZ168:DZ170)*15+SUM(DZ171:DZ176)*12+DZ177*40</f>
        <v>108</v>
      </c>
      <c r="EA148" s="978">
        <f>SUM(EA165:EA167)*18+SUM(EA168:EA170)*15+SUM(EA171:EA176)*12+EA177*40</f>
        <v>216.97500000000002</v>
      </c>
      <c r="EB148" s="978">
        <f>SUM(EB165:EB167)*18+SUM(EB168:EB170)*15+SUM(EB171:EB176)*12+EB177*40</f>
        <v>300.26000000000005</v>
      </c>
      <c r="EC148" s="978">
        <f>SUM(EC165:EC167)*18+SUM(EC168:EC170)*15+SUM(EC171:EC176)*12+EC177*40</f>
        <v>281.56</v>
      </c>
      <c r="ED148" s="979">
        <f>SUM(ED165:ED167)*18+SUM(ED168:ED170)*15+SUM(ED171:ED176)*12+ED177*40</f>
        <v>319.41925000000003</v>
      </c>
      <c r="EF148" s="977">
        <f>SUM(EF165:EF167)*18+SUM(EF168:EF170)*15+SUM(EF171:EF176)*12+EF177*40</f>
        <v>233.76000000000002</v>
      </c>
      <c r="EG148" s="978">
        <f t="shared" ref="EG148:EQ148" si="831">SUM(EG165:EG167)*18+SUM(EG168:EG170)*15+SUM(EG171:EG176)*12+EG177*40</f>
        <v>200.178</v>
      </c>
      <c r="EH148" s="978">
        <f t="shared" si="831"/>
        <v>196.97040000000004</v>
      </c>
      <c r="EI148" s="978">
        <f t="shared" si="831"/>
        <v>197.34299999999999</v>
      </c>
      <c r="EJ148" s="978">
        <f t="shared" si="831"/>
        <v>231.11827200000002</v>
      </c>
      <c r="EK148" s="978">
        <f t="shared" si="831"/>
        <v>268.50767328000006</v>
      </c>
      <c r="EL148" s="978">
        <f t="shared" si="831"/>
        <v>249.41062080000003</v>
      </c>
      <c r="EM148" s="978">
        <f t="shared" si="831"/>
        <v>229.65023664000006</v>
      </c>
      <c r="EN148" s="978">
        <f t="shared" si="831"/>
        <v>209.39483664000005</v>
      </c>
      <c r="EO148" s="978">
        <f t="shared" si="831"/>
        <v>184.40725248000004</v>
      </c>
      <c r="EP148" s="978">
        <f t="shared" si="831"/>
        <v>165.46361832000002</v>
      </c>
      <c r="EQ148" s="979">
        <f t="shared" si="831"/>
        <v>149.78201832000002</v>
      </c>
      <c r="ES148" s="977">
        <f t="shared" ref="ES148:FD148" si="832">SUM(ES165:ES167)*10+SUM(ES168:ES171)*14+SUM(ES172:ES176)*17+ES177*35</f>
        <v>121.77000000000001</v>
      </c>
      <c r="ET148" s="978">
        <f t="shared" si="832"/>
        <v>93.013200000000012</v>
      </c>
      <c r="EU148" s="978">
        <f t="shared" si="832"/>
        <v>76.768200000000007</v>
      </c>
      <c r="EV148" s="978">
        <f t="shared" si="832"/>
        <v>63.471600000000009</v>
      </c>
      <c r="EW148" s="978">
        <f t="shared" si="832"/>
        <v>55.341000000000008</v>
      </c>
      <c r="EX148" s="978">
        <f t="shared" si="832"/>
        <v>54.919402560000009</v>
      </c>
      <c r="EY148" s="978">
        <f t="shared" si="832"/>
        <v>54.299805120000016</v>
      </c>
      <c r="EZ148" s="978">
        <f t="shared" si="832"/>
        <v>52.121805120000012</v>
      </c>
      <c r="FA148" s="978">
        <f t="shared" si="832"/>
        <v>51.032805120000013</v>
      </c>
      <c r="FB148" s="978">
        <f t="shared" si="832"/>
        <v>51.032805120000013</v>
      </c>
      <c r="FC148" s="978">
        <f t="shared" si="832"/>
        <v>51.141705120000012</v>
      </c>
      <c r="FD148" s="979">
        <f t="shared" si="832"/>
        <v>52.285155120000006</v>
      </c>
      <c r="FF148" s="977">
        <f t="shared" ref="FF148:FQ148" si="833">SUM(FF165:FF167)*10+SUM(FF168:FF171)*14+SUM(FF172:FF176)*17+FF177*35</f>
        <v>52.120000000000005</v>
      </c>
      <c r="FG148" s="978">
        <f t="shared" si="833"/>
        <v>52.018200000000007</v>
      </c>
      <c r="FH148" s="978">
        <f t="shared" si="833"/>
        <v>54.313200000000009</v>
      </c>
      <c r="FI148" s="978">
        <f t="shared" si="833"/>
        <v>49.611599999999996</v>
      </c>
      <c r="FJ148" s="978">
        <f t="shared" si="833"/>
        <v>46.926000000000002</v>
      </c>
      <c r="FK148" s="978">
        <f t="shared" si="833"/>
        <v>52.142452560000009</v>
      </c>
      <c r="FL148" s="978">
        <f t="shared" si="833"/>
        <v>54.299805120000016</v>
      </c>
      <c r="FM148" s="978">
        <f t="shared" si="833"/>
        <v>52.121805120000012</v>
      </c>
      <c r="FN148" s="978">
        <f t="shared" si="833"/>
        <v>51.032805120000013</v>
      </c>
      <c r="FO148" s="978">
        <f t="shared" si="833"/>
        <v>51.032805120000013</v>
      </c>
      <c r="FP148" s="978">
        <f t="shared" si="833"/>
        <v>51.141705120000012</v>
      </c>
      <c r="FQ148" s="979">
        <f t="shared" si="833"/>
        <v>52.285155120000006</v>
      </c>
      <c r="FS148" s="977">
        <f t="shared" ref="FS148:GD148" si="834">SUM(FS165:FS167)*10+SUM(FS168:FS171)*14+SUM(FS172:FS176)*17+FS177*35</f>
        <v>52.120000000000005</v>
      </c>
      <c r="FT148" s="978">
        <f t="shared" si="834"/>
        <v>52.018200000000007</v>
      </c>
      <c r="FU148" s="978">
        <f t="shared" si="834"/>
        <v>54.313200000000009</v>
      </c>
      <c r="FV148" s="978">
        <f t="shared" si="834"/>
        <v>49.611599999999996</v>
      </c>
      <c r="FW148" s="978">
        <f t="shared" si="834"/>
        <v>46.926000000000002</v>
      </c>
      <c r="FX148" s="978">
        <f t="shared" si="834"/>
        <v>46.173600000000008</v>
      </c>
      <c r="FY148" s="978">
        <f t="shared" si="834"/>
        <v>39.639600000000002</v>
      </c>
      <c r="FZ148" s="978">
        <f t="shared" si="834"/>
        <v>32.016600000000004</v>
      </c>
      <c r="GA148" s="978">
        <f t="shared" si="834"/>
        <v>24.393600000000006</v>
      </c>
      <c r="GB148" s="978">
        <f t="shared" si="834"/>
        <v>16.770600000000002</v>
      </c>
      <c r="GC148" s="978">
        <f t="shared" si="834"/>
        <v>9.2565000000000008</v>
      </c>
      <c r="GD148" s="979">
        <f t="shared" si="834"/>
        <v>2.7769500000000003</v>
      </c>
      <c r="GF148" s="977">
        <f t="shared" ref="GF148:GQ148" si="835">SUM(GF165:GF167)*10+SUM(GF168:GF171)*14+SUM(GF172:GF176)*17+GF177*35</f>
        <v>0</v>
      </c>
      <c r="GG148" s="978">
        <f t="shared" si="835"/>
        <v>0</v>
      </c>
      <c r="GH148" s="978">
        <f t="shared" si="835"/>
        <v>0</v>
      </c>
      <c r="GI148" s="978">
        <f t="shared" si="835"/>
        <v>0</v>
      </c>
      <c r="GJ148" s="978">
        <f t="shared" si="835"/>
        <v>0</v>
      </c>
      <c r="GK148" s="978">
        <f t="shared" si="835"/>
        <v>0</v>
      </c>
      <c r="GL148" s="978">
        <f t="shared" si="835"/>
        <v>0</v>
      </c>
      <c r="GM148" s="978">
        <f t="shared" si="835"/>
        <v>0</v>
      </c>
      <c r="GN148" s="978">
        <f t="shared" si="835"/>
        <v>0</v>
      </c>
      <c r="GO148" s="978">
        <f t="shared" si="835"/>
        <v>0</v>
      </c>
      <c r="GP148" s="978">
        <f t="shared" si="835"/>
        <v>0</v>
      </c>
      <c r="GQ148" s="979">
        <f t="shared" si="835"/>
        <v>0</v>
      </c>
      <c r="GS148" s="977">
        <f>SUM(GS165:GS167)*10+SUM(GS168:GS171)*14+SUM(GS172:GS176)*17+GS177*35</f>
        <v>0</v>
      </c>
      <c r="GT148" s="978">
        <f t="shared" ref="GT148:HD148" si="836">SUM(GT165:GT167)*10+SUM(GT168:GT171)*14+SUM(GT172:GT176)*17+GT177*35</f>
        <v>0</v>
      </c>
      <c r="GU148" s="978">
        <f t="shared" si="836"/>
        <v>0</v>
      </c>
      <c r="GV148" s="978">
        <f t="shared" si="836"/>
        <v>0</v>
      </c>
      <c r="GW148" s="978">
        <f t="shared" si="836"/>
        <v>0</v>
      </c>
      <c r="GX148" s="978">
        <f t="shared" si="836"/>
        <v>0</v>
      </c>
      <c r="GY148" s="978">
        <f t="shared" si="836"/>
        <v>0</v>
      </c>
      <c r="GZ148" s="978">
        <f t="shared" si="836"/>
        <v>0</v>
      </c>
      <c r="HA148" s="978">
        <f t="shared" si="836"/>
        <v>0</v>
      </c>
      <c r="HB148" s="978">
        <f t="shared" si="836"/>
        <v>0</v>
      </c>
      <c r="HC148" s="978">
        <f t="shared" si="836"/>
        <v>0</v>
      </c>
      <c r="HD148" s="979">
        <f t="shared" si="836"/>
        <v>0</v>
      </c>
    </row>
    <row r="149" spans="2:212" ht="14.25">
      <c r="B149" s="967" t="s">
        <v>126</v>
      </c>
      <c r="C149" s="1059">
        <v>125</v>
      </c>
      <c r="D149" s="1090">
        <v>20</v>
      </c>
      <c r="E149" s="976">
        <v>10</v>
      </c>
      <c r="F149" s="1090">
        <v>4</v>
      </c>
      <c r="G149" s="1062"/>
      <c r="H149" s="1015">
        <v>17</v>
      </c>
      <c r="I149" s="1061">
        <f t="shared" si="807"/>
        <v>0.13600000000000001</v>
      </c>
      <c r="N149" s="914"/>
      <c r="O149" s="933"/>
      <c r="P149" s="961"/>
      <c r="Q149" s="961"/>
      <c r="R149" s="961"/>
      <c r="S149" s="961"/>
      <c r="T149" s="961"/>
      <c r="U149" s="961"/>
      <c r="AA149" s="914"/>
      <c r="AB149" s="933"/>
      <c r="AC149" s="961"/>
      <c r="AD149" s="961"/>
      <c r="AE149" s="961"/>
      <c r="AF149" s="961"/>
      <c r="AG149" s="961"/>
      <c r="AH149" s="961"/>
      <c r="DK149" s="914"/>
      <c r="DL149" s="933"/>
      <c r="DM149" s="982">
        <v>1.1499999999999999</v>
      </c>
      <c r="DN149" s="983">
        <f>DN148*$DM$149</f>
        <v>124.19999999999999</v>
      </c>
      <c r="DO149" s="984">
        <f>DO148*$DM$149</f>
        <v>219.24749999999995</v>
      </c>
      <c r="DP149" s="984">
        <f>DP148*$DM$149</f>
        <v>313.77749999999997</v>
      </c>
      <c r="DQ149" s="984">
        <f>DQ148*$DM$149</f>
        <v>300.52374999999995</v>
      </c>
      <c r="DR149" s="985">
        <f>DR148*$DM$149</f>
        <v>311.56374999999991</v>
      </c>
      <c r="DT149" s="983">
        <f>DT148*$DM$149</f>
        <v>124.19999999999999</v>
      </c>
      <c r="DU149" s="984">
        <f>DU148*$DM$149</f>
        <v>144.89999999999998</v>
      </c>
      <c r="DV149" s="984">
        <f>DV148*$DM$149</f>
        <v>211.6</v>
      </c>
      <c r="DW149" s="984">
        <f>DW148*$DM$149</f>
        <v>185.72499999999999</v>
      </c>
      <c r="DX149" s="985">
        <f>DX148*$DM$149</f>
        <v>213.32499999999999</v>
      </c>
      <c r="DZ149" s="1598">
        <v>159</v>
      </c>
      <c r="EA149" s="1599">
        <v>244</v>
      </c>
      <c r="EB149" s="1599">
        <v>232</v>
      </c>
      <c r="EC149" s="1599">
        <v>184</v>
      </c>
      <c r="ED149" s="1611">
        <v>217</v>
      </c>
      <c r="EF149" s="1598">
        <v>102</v>
      </c>
      <c r="EG149" s="1599">
        <v>191</v>
      </c>
      <c r="EH149" s="1599">
        <v>311</v>
      </c>
      <c r="EI149" s="1599">
        <v>182</v>
      </c>
      <c r="EJ149" s="1599">
        <v>155</v>
      </c>
      <c r="EK149" s="1599">
        <v>113</v>
      </c>
      <c r="EL149" s="984">
        <f t="shared" ref="EL149:EQ149" si="837">EL148*$DM$149</f>
        <v>286.82221392000002</v>
      </c>
      <c r="EM149" s="984">
        <f t="shared" si="837"/>
        <v>264.09777213600006</v>
      </c>
      <c r="EN149" s="984">
        <f t="shared" si="837"/>
        <v>240.80406213600003</v>
      </c>
      <c r="EO149" s="984">
        <f t="shared" si="837"/>
        <v>212.06834035200004</v>
      </c>
      <c r="EP149" s="984">
        <f t="shared" si="837"/>
        <v>190.283161068</v>
      </c>
      <c r="EQ149" s="985">
        <f t="shared" si="837"/>
        <v>172.249321068</v>
      </c>
      <c r="ES149" s="983">
        <f>ES148*$DM$149</f>
        <v>140.03550000000001</v>
      </c>
      <c r="ET149" s="984">
        <f t="shared" ref="ET149:FD149" si="838">ET148*$DM$149</f>
        <v>106.96518</v>
      </c>
      <c r="EU149" s="984">
        <f t="shared" si="838"/>
        <v>88.283429999999996</v>
      </c>
      <c r="EV149" s="984">
        <f t="shared" si="838"/>
        <v>72.992339999999999</v>
      </c>
      <c r="EW149" s="984">
        <f t="shared" si="838"/>
        <v>63.642150000000008</v>
      </c>
      <c r="EX149" s="984">
        <f t="shared" si="838"/>
        <v>63.157312944000005</v>
      </c>
      <c r="EY149" s="984">
        <f t="shared" si="838"/>
        <v>62.444775888000017</v>
      </c>
      <c r="EZ149" s="984">
        <f t="shared" si="838"/>
        <v>59.94007588800001</v>
      </c>
      <c r="FA149" s="984">
        <f t="shared" si="838"/>
        <v>58.68772588800001</v>
      </c>
      <c r="FB149" s="984">
        <f t="shared" si="838"/>
        <v>58.68772588800001</v>
      </c>
      <c r="FC149" s="984">
        <f t="shared" si="838"/>
        <v>58.812960888000006</v>
      </c>
      <c r="FD149" s="985">
        <f t="shared" si="838"/>
        <v>60.127928388000001</v>
      </c>
      <c r="FF149" s="983">
        <f>FF148*$DM$149</f>
        <v>59.938000000000002</v>
      </c>
      <c r="FG149" s="984">
        <f t="shared" ref="FG149:FQ149" si="839">FG148*$DM$149</f>
        <v>59.820930000000004</v>
      </c>
      <c r="FH149" s="984">
        <f t="shared" si="839"/>
        <v>62.460180000000008</v>
      </c>
      <c r="FI149" s="984">
        <f t="shared" si="839"/>
        <v>57.053339999999992</v>
      </c>
      <c r="FJ149" s="984">
        <f t="shared" si="839"/>
        <v>53.9649</v>
      </c>
      <c r="FK149" s="984">
        <f t="shared" si="839"/>
        <v>59.963820444000007</v>
      </c>
      <c r="FL149" s="984">
        <f t="shared" si="839"/>
        <v>62.444775888000017</v>
      </c>
      <c r="FM149" s="984">
        <f t="shared" si="839"/>
        <v>59.94007588800001</v>
      </c>
      <c r="FN149" s="984">
        <f t="shared" si="839"/>
        <v>58.68772588800001</v>
      </c>
      <c r="FO149" s="984">
        <f t="shared" si="839"/>
        <v>58.68772588800001</v>
      </c>
      <c r="FP149" s="984">
        <f t="shared" si="839"/>
        <v>58.812960888000006</v>
      </c>
      <c r="FQ149" s="985">
        <f t="shared" si="839"/>
        <v>60.127928388000001</v>
      </c>
      <c r="FS149" s="983">
        <f>FS148*$DM$149</f>
        <v>59.938000000000002</v>
      </c>
      <c r="FT149" s="984">
        <f t="shared" ref="FT149:GD149" si="840">FT148*$DM$149</f>
        <v>59.820930000000004</v>
      </c>
      <c r="FU149" s="984">
        <f t="shared" si="840"/>
        <v>62.460180000000008</v>
      </c>
      <c r="FV149" s="984">
        <f t="shared" si="840"/>
        <v>57.053339999999992</v>
      </c>
      <c r="FW149" s="984">
        <f t="shared" si="840"/>
        <v>53.9649</v>
      </c>
      <c r="FX149" s="984">
        <f t="shared" si="840"/>
        <v>53.099640000000008</v>
      </c>
      <c r="FY149" s="984">
        <f t="shared" si="840"/>
        <v>45.585540000000002</v>
      </c>
      <c r="FZ149" s="984">
        <f t="shared" si="840"/>
        <v>36.819090000000003</v>
      </c>
      <c r="GA149" s="984">
        <f t="shared" si="840"/>
        <v>28.052640000000004</v>
      </c>
      <c r="GB149" s="984">
        <f t="shared" si="840"/>
        <v>19.286190000000001</v>
      </c>
      <c r="GC149" s="984">
        <f t="shared" si="840"/>
        <v>10.644975000000001</v>
      </c>
      <c r="GD149" s="985">
        <f t="shared" si="840"/>
        <v>3.1934925000000001</v>
      </c>
      <c r="GF149" s="983">
        <f>GF148*$DM$149</f>
        <v>0</v>
      </c>
      <c r="GG149" s="984">
        <f t="shared" ref="GG149:GQ149" si="841">GG148*$DM$149</f>
        <v>0</v>
      </c>
      <c r="GH149" s="984">
        <f t="shared" si="841"/>
        <v>0</v>
      </c>
      <c r="GI149" s="984">
        <f t="shared" si="841"/>
        <v>0</v>
      </c>
      <c r="GJ149" s="984">
        <f t="shared" si="841"/>
        <v>0</v>
      </c>
      <c r="GK149" s="984">
        <f t="shared" si="841"/>
        <v>0</v>
      </c>
      <c r="GL149" s="984">
        <f t="shared" si="841"/>
        <v>0</v>
      </c>
      <c r="GM149" s="984">
        <f t="shared" si="841"/>
        <v>0</v>
      </c>
      <c r="GN149" s="984">
        <f t="shared" si="841"/>
        <v>0</v>
      </c>
      <c r="GO149" s="984">
        <f t="shared" si="841"/>
        <v>0</v>
      </c>
      <c r="GP149" s="984">
        <f t="shared" si="841"/>
        <v>0</v>
      </c>
      <c r="GQ149" s="985">
        <f t="shared" si="841"/>
        <v>0</v>
      </c>
      <c r="GS149" s="983">
        <f>GS148*$DM$149</f>
        <v>0</v>
      </c>
      <c r="GT149" s="984">
        <f t="shared" ref="GT149:HD149" si="842">GT148*$DM$149</f>
        <v>0</v>
      </c>
      <c r="GU149" s="984">
        <f t="shared" si="842"/>
        <v>0</v>
      </c>
      <c r="GV149" s="984">
        <f t="shared" si="842"/>
        <v>0</v>
      </c>
      <c r="GW149" s="984">
        <f t="shared" si="842"/>
        <v>0</v>
      </c>
      <c r="GX149" s="984">
        <f t="shared" si="842"/>
        <v>0</v>
      </c>
      <c r="GY149" s="984">
        <f t="shared" si="842"/>
        <v>0</v>
      </c>
      <c r="GZ149" s="984">
        <f t="shared" si="842"/>
        <v>0</v>
      </c>
      <c r="HA149" s="984">
        <f t="shared" si="842"/>
        <v>0</v>
      </c>
      <c r="HB149" s="984">
        <f t="shared" si="842"/>
        <v>0</v>
      </c>
      <c r="HC149" s="984">
        <f t="shared" si="842"/>
        <v>0</v>
      </c>
      <c r="HD149" s="985">
        <f t="shared" si="842"/>
        <v>0</v>
      </c>
    </row>
    <row r="150" spans="2:212" ht="14.25">
      <c r="B150" s="967" t="s">
        <v>127</v>
      </c>
      <c r="C150" s="1059">
        <v>150</v>
      </c>
      <c r="D150" s="1090">
        <v>20</v>
      </c>
      <c r="E150" s="976">
        <v>12</v>
      </c>
      <c r="F150" s="1090">
        <v>5</v>
      </c>
      <c r="G150" s="1062"/>
      <c r="H150" s="1015">
        <v>17</v>
      </c>
      <c r="I150" s="1061">
        <f t="shared" si="807"/>
        <v>0.11333333333333333</v>
      </c>
      <c r="N150" s="914"/>
      <c r="O150" s="933"/>
      <c r="AA150" s="914"/>
      <c r="AB150" s="933"/>
      <c r="DK150" s="914"/>
      <c r="DL150" s="933"/>
      <c r="DN150" s="954">
        <f>DN149/DN143</f>
        <v>4.0033020473022041E-3</v>
      </c>
      <c r="DO150" s="986">
        <f>DO149/DO143</f>
        <v>3.838673330778778E-3</v>
      </c>
      <c r="DP150" s="986">
        <f>DP149/DP143</f>
        <v>6.5875967455226135E-3</v>
      </c>
      <c r="DQ150" s="986">
        <f>DQ149/DQ143</f>
        <v>5.5711844479032734E-3</v>
      </c>
      <c r="DR150" s="955">
        <f>DR149/DR143</f>
        <v>4.4271278284779411E-3</v>
      </c>
      <c r="DT150" s="954">
        <f>DT149/DT143</f>
        <v>4.0033020473022041E-3</v>
      </c>
      <c r="DU150" s="986">
        <f>DU149/DU143</f>
        <v>2.5369674255343619E-3</v>
      </c>
      <c r="DV150" s="986">
        <f>DV149/DV143</f>
        <v>4.4424328428666338E-3</v>
      </c>
      <c r="DW150" s="986">
        <f>DW149/DW143</f>
        <v>3.4430165056400222E-3</v>
      </c>
      <c r="DX150" s="955">
        <f>DX149/DX143</f>
        <v>3.0312160641604072E-3</v>
      </c>
      <c r="DZ150" s="954">
        <f>DZ149/DZ143</f>
        <v>5.1250002054834994E-3</v>
      </c>
      <c r="EA150" s="986">
        <f>EA149/EA143</f>
        <v>4.9955395359794832E-3</v>
      </c>
      <c r="EB150" s="986">
        <f>EB149/EB143</f>
        <v>5.9333194633466001E-3</v>
      </c>
      <c r="EC150" s="986">
        <f>EC149/EC143</f>
        <v>3.6488464409945042E-3</v>
      </c>
      <c r="ED150" s="955">
        <f>ED149/ED143</f>
        <v>2.2978803991161988E-3</v>
      </c>
      <c r="EF150" s="954">
        <f>EF149/EF143</f>
        <v>3.75946084908529E-3</v>
      </c>
      <c r="EG150" s="986">
        <f t="shared" ref="EG150:EQ150" si="843">EG149/EG143</f>
        <v>4.6901686499437696E-3</v>
      </c>
      <c r="EH150" s="986">
        <f t="shared" si="843"/>
        <v>5.4790105097287317E-3</v>
      </c>
      <c r="EI150" s="986">
        <f t="shared" si="843"/>
        <v>3.6425358606154432E-3</v>
      </c>
      <c r="EJ150" s="986">
        <f t="shared" si="843"/>
        <v>2.8892826515129568E-3</v>
      </c>
      <c r="EK150" s="986">
        <f t="shared" si="843"/>
        <v>1.9437992922988014E-3</v>
      </c>
      <c r="EL150" s="986">
        <f t="shared" si="843"/>
        <v>4.8779288081632656E-3</v>
      </c>
      <c r="EM150" s="986">
        <f t="shared" si="843"/>
        <v>4.0222018296679875E-3</v>
      </c>
      <c r="EN150" s="986">
        <f t="shared" si="843"/>
        <v>3.2762457433469392E-3</v>
      </c>
      <c r="EO150" s="986">
        <f t="shared" si="843"/>
        <v>3.0478347276803684E-3</v>
      </c>
      <c r="EP150" s="986">
        <f t="shared" si="843"/>
        <v>2.4270811360714286E-3</v>
      </c>
      <c r="EQ150" s="955">
        <f t="shared" si="843"/>
        <v>1.9401995047487487E-3</v>
      </c>
      <c r="ES150" s="954">
        <f>ES149/ES143</f>
        <v>4.1634022172993661E-3</v>
      </c>
      <c r="ET150" s="986">
        <f t="shared" ref="ET150:FD150" si="844">ET149/ET143</f>
        <v>3.3843411570561276E-3</v>
      </c>
      <c r="EU150" s="986">
        <f t="shared" si="844"/>
        <v>1.2744693508024009E-3</v>
      </c>
      <c r="EV150" s="986">
        <f t="shared" si="844"/>
        <v>1.0579649107949458E-3</v>
      </c>
      <c r="EW150" s="986">
        <f t="shared" si="844"/>
        <v>7.9794555376512413E-4</v>
      </c>
      <c r="EX150" s="986">
        <f t="shared" si="844"/>
        <v>7.3076736160786356E-4</v>
      </c>
      <c r="EY150" s="986">
        <f t="shared" si="844"/>
        <v>7.6804443852324154E-4</v>
      </c>
      <c r="EZ150" s="986">
        <f t="shared" si="844"/>
        <v>6.6361543651507126E-4</v>
      </c>
      <c r="FA150" s="986">
        <f t="shared" si="844"/>
        <v>5.8771925559160279E-4</v>
      </c>
      <c r="FB150" s="986">
        <f t="shared" si="844"/>
        <v>6.2370631418595158E-4</v>
      </c>
      <c r="FC150" s="986">
        <f t="shared" si="844"/>
        <v>5.7248858061448174E-4</v>
      </c>
      <c r="FD150" s="955">
        <f t="shared" si="844"/>
        <v>5.4370964890887788E-4</v>
      </c>
      <c r="FF150" s="954">
        <f>FF149/FF143</f>
        <v>1.2940443711899174E-3</v>
      </c>
      <c r="FG150" s="986">
        <f t="shared" ref="FG150:FQ150" si="845">FG149/FG143</f>
        <v>1.3910168708744814E-3</v>
      </c>
      <c r="FH150" s="986">
        <f t="shared" si="845"/>
        <v>6.3647931264373698E-4</v>
      </c>
      <c r="FI150" s="986">
        <f t="shared" si="845"/>
        <v>5.9245498811295991E-4</v>
      </c>
      <c r="FJ150" s="986">
        <f t="shared" si="845"/>
        <v>4.8537092269744443E-4</v>
      </c>
      <c r="FK150" s="986">
        <f t="shared" si="845"/>
        <v>5.0304988793236673E-4</v>
      </c>
      <c r="FL150" s="986">
        <f t="shared" si="845"/>
        <v>5.5084320981127531E-4</v>
      </c>
      <c r="FM150" s="986">
        <f t="shared" si="845"/>
        <v>4.7689501267269614E-4</v>
      </c>
      <c r="FN150" s="986">
        <f t="shared" si="845"/>
        <v>4.229372009615089E-4</v>
      </c>
      <c r="FO150" s="986">
        <f t="shared" si="845"/>
        <v>4.4303835703676434E-4</v>
      </c>
      <c r="FP150" s="986">
        <f t="shared" si="845"/>
        <v>4.0876386564877047E-4</v>
      </c>
      <c r="FQ150" s="955">
        <f t="shared" si="845"/>
        <v>3.8705119207497546E-4</v>
      </c>
      <c r="FS150" s="954">
        <f>FS149/FS143</f>
        <v>9.7226349830660487E-4</v>
      </c>
      <c r="FT150" s="986">
        <f t="shared" ref="FT150:GD150" si="846">FT149/FT143</f>
        <v>1.0415580467741572E-3</v>
      </c>
      <c r="FU150" s="986">
        <f t="shared" si="846"/>
        <v>4.8343522651476928E-4</v>
      </c>
      <c r="FV150" s="986">
        <f t="shared" si="846"/>
        <v>4.4465759275668368E-4</v>
      </c>
      <c r="FW150" s="986">
        <f t="shared" si="846"/>
        <v>3.6745679882168778E-4</v>
      </c>
      <c r="FX150" s="986">
        <f t="shared" si="846"/>
        <v>3.4142353446312012E-4</v>
      </c>
      <c r="FY150" s="986">
        <f t="shared" si="846"/>
        <v>3.0718276881555617E-4</v>
      </c>
      <c r="FZ150" s="986">
        <f t="shared" si="846"/>
        <v>2.2578320454260124E-4</v>
      </c>
      <c r="GA150" s="986">
        <f t="shared" si="846"/>
        <v>1.5630451145624635E-4</v>
      </c>
      <c r="GB150" s="986">
        <f t="shared" si="846"/>
        <v>1.1356488640529393E-4</v>
      </c>
      <c r="GC150" s="986">
        <f t="shared" si="846"/>
        <v>5.8284245566480331E-5</v>
      </c>
      <c r="GD150" s="955">
        <f t="shared" si="846"/>
        <v>1.6302331482431938E-5</v>
      </c>
      <c r="GF150" s="954">
        <f>GF149/GF143</f>
        <v>0</v>
      </c>
      <c r="GG150" s="986">
        <f t="shared" ref="GG150:GQ150" si="847">GG149/GG143</f>
        <v>0</v>
      </c>
      <c r="GH150" s="986">
        <f t="shared" si="847"/>
        <v>0</v>
      </c>
      <c r="GI150" s="986">
        <f t="shared" si="847"/>
        <v>0</v>
      </c>
      <c r="GJ150" s="986">
        <f t="shared" si="847"/>
        <v>0</v>
      </c>
      <c r="GK150" s="986">
        <f t="shared" si="847"/>
        <v>0</v>
      </c>
      <c r="GL150" s="986">
        <f t="shared" si="847"/>
        <v>0</v>
      </c>
      <c r="GM150" s="986">
        <f t="shared" si="847"/>
        <v>0</v>
      </c>
      <c r="GN150" s="986">
        <f t="shared" si="847"/>
        <v>0</v>
      </c>
      <c r="GO150" s="986">
        <f t="shared" si="847"/>
        <v>0</v>
      </c>
      <c r="GP150" s="986">
        <f t="shared" si="847"/>
        <v>0</v>
      </c>
      <c r="GQ150" s="955">
        <f t="shared" si="847"/>
        <v>0</v>
      </c>
      <c r="GS150" s="954">
        <f>GS149/GS143</f>
        <v>0</v>
      </c>
      <c r="GT150" s="986">
        <f t="shared" ref="GT150:HD150" si="848">GT149/GT143</f>
        <v>0</v>
      </c>
      <c r="GU150" s="986">
        <f t="shared" si="848"/>
        <v>0</v>
      </c>
      <c r="GV150" s="986">
        <f t="shared" si="848"/>
        <v>0</v>
      </c>
      <c r="GW150" s="986">
        <f t="shared" si="848"/>
        <v>0</v>
      </c>
      <c r="GX150" s="986">
        <f t="shared" si="848"/>
        <v>0</v>
      </c>
      <c r="GY150" s="986">
        <f t="shared" si="848"/>
        <v>0</v>
      </c>
      <c r="GZ150" s="986">
        <f t="shared" si="848"/>
        <v>0</v>
      </c>
      <c r="HA150" s="986">
        <f t="shared" si="848"/>
        <v>0</v>
      </c>
      <c r="HB150" s="986">
        <f t="shared" si="848"/>
        <v>0</v>
      </c>
      <c r="HC150" s="986">
        <f t="shared" si="848"/>
        <v>0</v>
      </c>
      <c r="HD150" s="955">
        <f t="shared" si="848"/>
        <v>0</v>
      </c>
    </row>
    <row r="151" spans="2:212" ht="14.25" customHeight="1">
      <c r="B151" s="967" t="s">
        <v>163</v>
      </c>
      <c r="C151" s="1059">
        <v>150</v>
      </c>
      <c r="D151" s="1090">
        <v>20</v>
      </c>
      <c r="E151" s="976">
        <v>12</v>
      </c>
      <c r="F151" s="1090">
        <v>5</v>
      </c>
      <c r="G151" s="1062"/>
      <c r="H151" s="1015">
        <v>17</v>
      </c>
      <c r="I151" s="1061">
        <f t="shared" si="807"/>
        <v>0.11333333333333333</v>
      </c>
      <c r="N151" s="1899" t="s">
        <v>1110</v>
      </c>
      <c r="O151" s="940" t="s">
        <v>119</v>
      </c>
      <c r="P151" s="595">
        <v>1</v>
      </c>
      <c r="Q151" s="595">
        <v>1</v>
      </c>
      <c r="S151" s="595">
        <v>2</v>
      </c>
      <c r="T151" s="595">
        <v>3</v>
      </c>
      <c r="U151" s="595">
        <v>3</v>
      </c>
      <c r="V151" s="595">
        <v>2</v>
      </c>
      <c r="AA151" s="1899" t="s">
        <v>1110</v>
      </c>
      <c r="AB151" s="940" t="s">
        <v>119</v>
      </c>
      <c r="DK151" s="1899" t="s">
        <v>1110</v>
      </c>
      <c r="DL151" s="940" t="s">
        <v>119</v>
      </c>
      <c r="DN151" s="952">
        <v>3</v>
      </c>
      <c r="DO151" s="953">
        <f>DN147*0.5+DO147*0.5</f>
        <v>4.5</v>
      </c>
      <c r="DP151" s="978">
        <f>DO147*0.5+DP147*0.5</f>
        <v>5.5</v>
      </c>
      <c r="DQ151" s="953">
        <f>DP147*0.5+DQ147*0.5</f>
        <v>3</v>
      </c>
      <c r="DR151" s="933">
        <f>DQ147*0.5+DR147*0.5</f>
        <v>2</v>
      </c>
      <c r="DT151" s="952">
        <v>3</v>
      </c>
      <c r="DU151" s="953">
        <f>DT147*0.5+DU147*0.5</f>
        <v>4.5</v>
      </c>
      <c r="DV151" s="978">
        <f>DU147*0.5+DV147*0.5</f>
        <v>5.5</v>
      </c>
      <c r="DW151" s="953">
        <f>DV147*0.5+DW147*0.5</f>
        <v>3</v>
      </c>
      <c r="DX151" s="933">
        <f>DW147*0.5+DX147*0.5</f>
        <v>2</v>
      </c>
      <c r="DZ151" s="977">
        <v>3</v>
      </c>
      <c r="EA151" s="978">
        <f>DZ147*0.5+EA147*0.5</f>
        <v>5</v>
      </c>
      <c r="EB151" s="978">
        <f>EA147*0.5+EB147*0.5</f>
        <v>5.5</v>
      </c>
      <c r="EC151" s="978">
        <f>EB147*0.5+EC147*0.5</f>
        <v>2.5</v>
      </c>
      <c r="ED151" s="979">
        <f>EC147*0.5+ED147*0.5</f>
        <v>2</v>
      </c>
      <c r="EE151" s="961"/>
      <c r="EF151" s="977">
        <f>ED147*0.5+EF147*0.5</f>
        <v>2.5</v>
      </c>
      <c r="EG151" s="978">
        <f>EF147*0.5+EG147*0.5</f>
        <v>3.5</v>
      </c>
      <c r="EH151" s="978">
        <f t="shared" ref="EH151:EQ151" si="849">EG147*0.5+EH147*0.5</f>
        <v>4</v>
      </c>
      <c r="EI151" s="978">
        <f t="shared" si="849"/>
        <v>2.5</v>
      </c>
      <c r="EJ151" s="978">
        <f t="shared" si="849"/>
        <v>2</v>
      </c>
      <c r="EK151" s="978">
        <f t="shared" si="849"/>
        <v>2</v>
      </c>
      <c r="EL151" s="978">
        <f t="shared" si="849"/>
        <v>1.5</v>
      </c>
      <c r="EM151" s="978">
        <f t="shared" si="849"/>
        <v>1</v>
      </c>
      <c r="EN151" s="978">
        <f t="shared" si="849"/>
        <v>1</v>
      </c>
      <c r="EO151" s="978">
        <f t="shared" si="849"/>
        <v>1</v>
      </c>
      <c r="EP151" s="978">
        <f t="shared" si="849"/>
        <v>1</v>
      </c>
      <c r="EQ151" s="979">
        <f t="shared" si="849"/>
        <v>1</v>
      </c>
      <c r="ES151" s="977">
        <f>EQ147*0.5+ES147*0.5</f>
        <v>0.5</v>
      </c>
      <c r="ET151" s="978">
        <f>ES147*0.5+ET147*0.5</f>
        <v>0</v>
      </c>
      <c r="EU151" s="978">
        <f t="shared" ref="EU151" si="850">ET147*0.5+EU147*0.5</f>
        <v>0.5</v>
      </c>
      <c r="EV151" s="978">
        <f t="shared" ref="EV151" si="851">EU147*0.5+EV147*0.5</f>
        <v>1</v>
      </c>
      <c r="EW151" s="978">
        <f t="shared" ref="EW151" si="852">EV147*0.5+EW147*0.5</f>
        <v>1</v>
      </c>
      <c r="EX151" s="978">
        <f t="shared" ref="EX151" si="853">EW147*0.5+EX147*0.5</f>
        <v>1</v>
      </c>
      <c r="EY151" s="978">
        <f t="shared" ref="EY151" si="854">EX147*0.5+EY147*0.5</f>
        <v>1</v>
      </c>
      <c r="EZ151" s="978">
        <f t="shared" ref="EZ151" si="855">EY147*0.5+EZ147*0.5</f>
        <v>1</v>
      </c>
      <c r="FA151" s="978">
        <f t="shared" ref="FA151" si="856">EZ147*0.5+FA147*0.5</f>
        <v>1</v>
      </c>
      <c r="FB151" s="978">
        <f t="shared" ref="FB151" si="857">FA147*0.5+FB147*0.5</f>
        <v>1</v>
      </c>
      <c r="FC151" s="978">
        <f t="shared" ref="FC151" si="858">FB147*0.5+FC147*0.5</f>
        <v>1</v>
      </c>
      <c r="FD151" s="979">
        <f t="shared" ref="FD151" si="859">FC147*0.5+FD147*0.5</f>
        <v>1</v>
      </c>
      <c r="FF151" s="977">
        <f>FD147*0.5+FF147*0.5</f>
        <v>0.5</v>
      </c>
      <c r="FG151" s="978">
        <f>FF147*0.5+FG147*0.5</f>
        <v>0</v>
      </c>
      <c r="FH151" s="978">
        <f t="shared" ref="FH151" si="860">FG147*0.5+FH147*0.5</f>
        <v>0.5</v>
      </c>
      <c r="FI151" s="978">
        <f t="shared" ref="FI151" si="861">FH147*0.5+FI147*0.5</f>
        <v>1</v>
      </c>
      <c r="FJ151" s="978">
        <f t="shared" ref="FJ151" si="862">FI147*0.5+FJ147*0.5</f>
        <v>1</v>
      </c>
      <c r="FK151" s="978">
        <f t="shared" ref="FK151" si="863">FJ147*0.5+FK147*0.5</f>
        <v>1</v>
      </c>
      <c r="FL151" s="978">
        <f t="shared" ref="FL151" si="864">FK147*0.5+FL147*0.5</f>
        <v>1</v>
      </c>
      <c r="FM151" s="978">
        <f t="shared" ref="FM151" si="865">FL147*0.5+FM147*0.5</f>
        <v>1</v>
      </c>
      <c r="FN151" s="978">
        <f t="shared" ref="FN151" si="866">FM147*0.5+FN147*0.5</f>
        <v>1</v>
      </c>
      <c r="FO151" s="978">
        <f t="shared" ref="FO151" si="867">FN147*0.5+FO147*0.5</f>
        <v>1</v>
      </c>
      <c r="FP151" s="978">
        <f t="shared" ref="FP151" si="868">FO147*0.5+FP147*0.5</f>
        <v>1</v>
      </c>
      <c r="FQ151" s="979">
        <f t="shared" ref="FQ151" si="869">FP147*0.5+FQ147*0.5</f>
        <v>1</v>
      </c>
      <c r="FS151" s="977">
        <f>FQ147*0.5+FS147*0.5</f>
        <v>0.5</v>
      </c>
      <c r="FT151" s="978">
        <f>FS147*0.5+FT147*0.5</f>
        <v>0</v>
      </c>
      <c r="FU151" s="978">
        <f t="shared" ref="FU151" si="870">FT147*0.5+FU147*0.5</f>
        <v>0</v>
      </c>
      <c r="FV151" s="978">
        <f t="shared" ref="FV151" si="871">FU147*0.5+FV147*0.5</f>
        <v>0</v>
      </c>
      <c r="FW151" s="978">
        <f t="shared" ref="FW151" si="872">FV147*0.5+FW147*0.5</f>
        <v>0</v>
      </c>
      <c r="FX151" s="978">
        <f t="shared" ref="FX151" si="873">FW147*0.5+FX147*0.5</f>
        <v>0</v>
      </c>
      <c r="FY151" s="978">
        <f t="shared" ref="FY151" si="874">FX147*0.5+FY147*0.5</f>
        <v>0</v>
      </c>
      <c r="FZ151" s="978">
        <f t="shared" ref="FZ151" si="875">FY147*0.5+FZ147*0.5</f>
        <v>0</v>
      </c>
      <c r="GA151" s="978">
        <f t="shared" ref="GA151" si="876">FZ147*0.5+GA147*0.5</f>
        <v>0</v>
      </c>
      <c r="GB151" s="978">
        <f t="shared" ref="GB151" si="877">GA147*0.5+GB147*0.5</f>
        <v>0</v>
      </c>
      <c r="GC151" s="978">
        <f t="shared" ref="GC151" si="878">GB147*0.5+GC147*0.5</f>
        <v>0</v>
      </c>
      <c r="GD151" s="979">
        <f t="shared" ref="GD151" si="879">GC147*0.5+GD147*0.5</f>
        <v>0</v>
      </c>
      <c r="GF151" s="977">
        <f>GD147*0.5+GF147*0.5</f>
        <v>0</v>
      </c>
      <c r="GG151" s="978">
        <f>GF147*0.5+GG147*0.5</f>
        <v>0</v>
      </c>
      <c r="GH151" s="978">
        <f t="shared" ref="GH151" si="880">GG147*0.5+GH147*0.5</f>
        <v>0</v>
      </c>
      <c r="GI151" s="978">
        <f t="shared" ref="GI151" si="881">GH147*0.5+GI147*0.5</f>
        <v>0</v>
      </c>
      <c r="GJ151" s="978">
        <f t="shared" ref="GJ151" si="882">GI147*0.5+GJ147*0.5</f>
        <v>0</v>
      </c>
      <c r="GK151" s="978">
        <f t="shared" ref="GK151" si="883">GJ147*0.5+GK147*0.5</f>
        <v>0</v>
      </c>
      <c r="GL151" s="978">
        <f t="shared" ref="GL151" si="884">GK147*0.5+GL147*0.5</f>
        <v>0</v>
      </c>
      <c r="GM151" s="978">
        <f t="shared" ref="GM151" si="885">GL147*0.5+GM147*0.5</f>
        <v>0</v>
      </c>
      <c r="GN151" s="978">
        <f t="shared" ref="GN151" si="886">GM147*0.5+GN147*0.5</f>
        <v>0</v>
      </c>
      <c r="GO151" s="978">
        <f t="shared" ref="GO151" si="887">GN147*0.5+GO147*0.5</f>
        <v>0</v>
      </c>
      <c r="GP151" s="978">
        <f t="shared" ref="GP151" si="888">GO147*0.5+GP147*0.5</f>
        <v>0</v>
      </c>
      <c r="GQ151" s="979">
        <f t="shared" ref="GQ151" si="889">GP147*0.5+GQ147*0.5</f>
        <v>0</v>
      </c>
      <c r="GS151" s="977">
        <f>GQ147*0.5+GS147*0.5</f>
        <v>0</v>
      </c>
      <c r="GT151" s="978">
        <f>GS147*0.5+GT147*0.5</f>
        <v>0</v>
      </c>
      <c r="GU151" s="978">
        <f t="shared" ref="GU151" si="890">GT147*0.5+GU147*0.5</f>
        <v>0</v>
      </c>
      <c r="GV151" s="978">
        <f t="shared" ref="GV151" si="891">GU147*0.5+GV147*0.5</f>
        <v>0</v>
      </c>
      <c r="GW151" s="978">
        <f t="shared" ref="GW151" si="892">GV147*0.5+GW147*0.5</f>
        <v>0</v>
      </c>
      <c r="GX151" s="978">
        <f t="shared" ref="GX151" si="893">GW147*0.5+GX147*0.5</f>
        <v>0</v>
      </c>
      <c r="GY151" s="978">
        <f t="shared" ref="GY151" si="894">GX147*0.5+GY147*0.5</f>
        <v>0</v>
      </c>
      <c r="GZ151" s="978">
        <f t="shared" ref="GZ151" si="895">GY147*0.5+GZ147*0.5</f>
        <v>0</v>
      </c>
      <c r="HA151" s="978">
        <f t="shared" ref="HA151" si="896">GZ147*0.5+HA147*0.5</f>
        <v>0</v>
      </c>
      <c r="HB151" s="978">
        <f t="shared" ref="HB151" si="897">HA147*0.5+HB147*0.5</f>
        <v>0</v>
      </c>
      <c r="HC151" s="978">
        <f t="shared" ref="HC151" si="898">HB147*0.5+HC147*0.5</f>
        <v>0</v>
      </c>
      <c r="HD151" s="979">
        <f t="shared" ref="HD151" si="899">HC147*0.5+HD147*0.5</f>
        <v>0</v>
      </c>
    </row>
    <row r="152" spans="2:212" ht="14.25">
      <c r="B152" s="967" t="s">
        <v>164</v>
      </c>
      <c r="C152" s="1059">
        <v>170</v>
      </c>
      <c r="D152" s="1090">
        <v>20</v>
      </c>
      <c r="E152" s="976">
        <v>12</v>
      </c>
      <c r="F152" s="1091" t="s">
        <v>165</v>
      </c>
      <c r="G152" s="1062"/>
      <c r="H152" s="1015">
        <v>17</v>
      </c>
      <c r="I152" s="1061">
        <f t="shared" si="807"/>
        <v>0.1</v>
      </c>
      <c r="N152" s="1899"/>
      <c r="O152" s="940" t="s">
        <v>120</v>
      </c>
      <c r="Q152" s="595">
        <v>1</v>
      </c>
      <c r="T152" s="595">
        <v>2</v>
      </c>
      <c r="U152" s="595">
        <v>3</v>
      </c>
      <c r="V152" s="595">
        <v>3</v>
      </c>
      <c r="AA152" s="1899"/>
      <c r="AB152" s="940" t="s">
        <v>120</v>
      </c>
      <c r="DK152" s="1899"/>
      <c r="DL152" s="940" t="s">
        <v>120</v>
      </c>
      <c r="DN152" s="952">
        <v>2</v>
      </c>
      <c r="DO152" s="953">
        <f>DN151</f>
        <v>3</v>
      </c>
      <c r="DP152" s="953">
        <f>DO151</f>
        <v>4.5</v>
      </c>
      <c r="DQ152" s="978">
        <f>DP151</f>
        <v>5.5</v>
      </c>
      <c r="DR152" s="933">
        <f>DQ151</f>
        <v>3</v>
      </c>
      <c r="DT152" s="952">
        <v>2</v>
      </c>
      <c r="DU152" s="953">
        <f>DT151</f>
        <v>3</v>
      </c>
      <c r="DV152" s="953">
        <f>DU151</f>
        <v>4.5</v>
      </c>
      <c r="DW152" s="978">
        <f>DV151</f>
        <v>5.5</v>
      </c>
      <c r="DX152" s="933">
        <f>DW151</f>
        <v>3</v>
      </c>
      <c r="DZ152" s="977">
        <v>2</v>
      </c>
      <c r="EA152" s="978">
        <f>DZ151</f>
        <v>3</v>
      </c>
      <c r="EB152" s="978">
        <f>EA151</f>
        <v>5</v>
      </c>
      <c r="EC152" s="978">
        <f>EB151</f>
        <v>5.5</v>
      </c>
      <c r="ED152" s="979">
        <f>EC151</f>
        <v>2.5</v>
      </c>
      <c r="EE152" s="961"/>
      <c r="EF152" s="977">
        <f>ED151</f>
        <v>2</v>
      </c>
      <c r="EG152" s="978">
        <f t="shared" ref="EG152:EQ162" si="900">EF151</f>
        <v>2.5</v>
      </c>
      <c r="EH152" s="978">
        <f t="shared" si="900"/>
        <v>3.5</v>
      </c>
      <c r="EI152" s="978">
        <f t="shared" si="900"/>
        <v>4</v>
      </c>
      <c r="EJ152" s="978">
        <f t="shared" si="900"/>
        <v>2.5</v>
      </c>
      <c r="EK152" s="978">
        <f t="shared" si="900"/>
        <v>2</v>
      </c>
      <c r="EL152" s="978">
        <f t="shared" si="900"/>
        <v>2</v>
      </c>
      <c r="EM152" s="978">
        <f t="shared" si="900"/>
        <v>1.5</v>
      </c>
      <c r="EN152" s="978">
        <f t="shared" si="900"/>
        <v>1</v>
      </c>
      <c r="EO152" s="978">
        <f t="shared" si="900"/>
        <v>1</v>
      </c>
      <c r="EP152" s="978">
        <f t="shared" si="900"/>
        <v>1</v>
      </c>
      <c r="EQ152" s="979">
        <f t="shared" si="900"/>
        <v>1</v>
      </c>
      <c r="ES152" s="977">
        <f>EQ151</f>
        <v>1</v>
      </c>
      <c r="ET152" s="978">
        <f t="shared" ref="ET152:ET162" si="901">ES151</f>
        <v>0.5</v>
      </c>
      <c r="EU152" s="978">
        <f t="shared" ref="EU152:EU162" si="902">ET151</f>
        <v>0</v>
      </c>
      <c r="EV152" s="978">
        <f t="shared" ref="EV152:EV162" si="903">EU151</f>
        <v>0.5</v>
      </c>
      <c r="EW152" s="978">
        <f t="shared" ref="EW152:EW162" si="904">EV151</f>
        <v>1</v>
      </c>
      <c r="EX152" s="978">
        <f t="shared" ref="EX152:EX162" si="905">EW151</f>
        <v>1</v>
      </c>
      <c r="EY152" s="978">
        <f t="shared" ref="EY152:EY162" si="906">EX151</f>
        <v>1</v>
      </c>
      <c r="EZ152" s="978">
        <f t="shared" ref="EZ152:EZ162" si="907">EY151</f>
        <v>1</v>
      </c>
      <c r="FA152" s="978">
        <f t="shared" ref="FA152:FA162" si="908">EZ151</f>
        <v>1</v>
      </c>
      <c r="FB152" s="978">
        <f t="shared" ref="FB152:FB162" si="909">FA151</f>
        <v>1</v>
      </c>
      <c r="FC152" s="978">
        <f t="shared" ref="FC152:FC162" si="910">FB151</f>
        <v>1</v>
      </c>
      <c r="FD152" s="979">
        <f t="shared" ref="FD152:FD162" si="911">FC151</f>
        <v>1</v>
      </c>
      <c r="FF152" s="977">
        <f>FD151</f>
        <v>1</v>
      </c>
      <c r="FG152" s="978">
        <f t="shared" ref="FG152:FG162" si="912">FF151</f>
        <v>0.5</v>
      </c>
      <c r="FH152" s="978">
        <f t="shared" ref="FH152:FH162" si="913">FG151</f>
        <v>0</v>
      </c>
      <c r="FI152" s="978">
        <f t="shared" ref="FI152:FI162" si="914">FH151</f>
        <v>0.5</v>
      </c>
      <c r="FJ152" s="978">
        <f t="shared" ref="FJ152:FJ162" si="915">FI151</f>
        <v>1</v>
      </c>
      <c r="FK152" s="978">
        <f t="shared" ref="FK152:FK162" si="916">FJ151</f>
        <v>1</v>
      </c>
      <c r="FL152" s="978">
        <f t="shared" ref="FL152:FL162" si="917">FK151</f>
        <v>1</v>
      </c>
      <c r="FM152" s="978">
        <f t="shared" ref="FM152:FM162" si="918">FL151</f>
        <v>1</v>
      </c>
      <c r="FN152" s="978">
        <f t="shared" ref="FN152:FN162" si="919">FM151</f>
        <v>1</v>
      </c>
      <c r="FO152" s="978">
        <f t="shared" ref="FO152:FO162" si="920">FN151</f>
        <v>1</v>
      </c>
      <c r="FP152" s="978">
        <f t="shared" ref="FP152:FP162" si="921">FO151</f>
        <v>1</v>
      </c>
      <c r="FQ152" s="979">
        <f t="shared" ref="FQ152:FQ162" si="922">FP151</f>
        <v>1</v>
      </c>
      <c r="FS152" s="977">
        <f>FQ151</f>
        <v>1</v>
      </c>
      <c r="FT152" s="978">
        <f t="shared" ref="FT152:FT162" si="923">FS151</f>
        <v>0.5</v>
      </c>
      <c r="FU152" s="978">
        <f t="shared" ref="FU152:FU162" si="924">FT151</f>
        <v>0</v>
      </c>
      <c r="FV152" s="978">
        <f t="shared" ref="FV152:FV162" si="925">FU151</f>
        <v>0</v>
      </c>
      <c r="FW152" s="978">
        <f t="shared" ref="FW152:FW162" si="926">FV151</f>
        <v>0</v>
      </c>
      <c r="FX152" s="978">
        <f t="shared" ref="FX152:FX162" si="927">FW151</f>
        <v>0</v>
      </c>
      <c r="FY152" s="978">
        <f t="shared" ref="FY152:FY162" si="928">FX151</f>
        <v>0</v>
      </c>
      <c r="FZ152" s="978">
        <f t="shared" ref="FZ152:FZ162" si="929">FY151</f>
        <v>0</v>
      </c>
      <c r="GA152" s="978">
        <f t="shared" ref="GA152:GA162" si="930">FZ151</f>
        <v>0</v>
      </c>
      <c r="GB152" s="978">
        <f t="shared" ref="GB152:GB162" si="931">GA151</f>
        <v>0</v>
      </c>
      <c r="GC152" s="978">
        <f t="shared" ref="GC152:GC162" si="932">GB151</f>
        <v>0</v>
      </c>
      <c r="GD152" s="979">
        <f t="shared" ref="GD152:GD162" si="933">GC151</f>
        <v>0</v>
      </c>
      <c r="GF152" s="977">
        <f>GD151</f>
        <v>0</v>
      </c>
      <c r="GG152" s="978">
        <f t="shared" ref="GG152:GG162" si="934">GF151</f>
        <v>0</v>
      </c>
      <c r="GH152" s="978">
        <f t="shared" ref="GH152:GH162" si="935">GG151</f>
        <v>0</v>
      </c>
      <c r="GI152" s="978">
        <f t="shared" ref="GI152:GI162" si="936">GH151</f>
        <v>0</v>
      </c>
      <c r="GJ152" s="978">
        <f t="shared" ref="GJ152:GJ162" si="937">GI151</f>
        <v>0</v>
      </c>
      <c r="GK152" s="978">
        <f t="shared" ref="GK152:GK162" si="938">GJ151</f>
        <v>0</v>
      </c>
      <c r="GL152" s="978">
        <f t="shared" ref="GL152:GL162" si="939">GK151</f>
        <v>0</v>
      </c>
      <c r="GM152" s="978">
        <f t="shared" ref="GM152:GM162" si="940">GL151</f>
        <v>0</v>
      </c>
      <c r="GN152" s="978">
        <f t="shared" ref="GN152:GN162" si="941">GM151</f>
        <v>0</v>
      </c>
      <c r="GO152" s="978">
        <f t="shared" ref="GO152:GO162" si="942">GN151</f>
        <v>0</v>
      </c>
      <c r="GP152" s="978">
        <f t="shared" ref="GP152:GP162" si="943">GO151</f>
        <v>0</v>
      </c>
      <c r="GQ152" s="979">
        <f t="shared" ref="GQ152:GQ162" si="944">GP151</f>
        <v>0</v>
      </c>
      <c r="GS152" s="977">
        <f>GQ151</f>
        <v>0</v>
      </c>
      <c r="GT152" s="978">
        <f t="shared" ref="GT152:GT162" si="945">GS151</f>
        <v>0</v>
      </c>
      <c r="GU152" s="978">
        <f t="shared" ref="GU152:GU162" si="946">GT151</f>
        <v>0</v>
      </c>
      <c r="GV152" s="978">
        <f t="shared" ref="GV152:GV162" si="947">GU151</f>
        <v>0</v>
      </c>
      <c r="GW152" s="978">
        <f t="shared" ref="GW152:GW162" si="948">GV151</f>
        <v>0</v>
      </c>
      <c r="GX152" s="978">
        <f t="shared" ref="GX152:GX162" si="949">GW151</f>
        <v>0</v>
      </c>
      <c r="GY152" s="978">
        <f t="shared" ref="GY152:GY162" si="950">GX151</f>
        <v>0</v>
      </c>
      <c r="GZ152" s="978">
        <f t="shared" ref="GZ152:GZ162" si="951">GY151</f>
        <v>0</v>
      </c>
      <c r="HA152" s="978">
        <f t="shared" ref="HA152:HA162" si="952">GZ151</f>
        <v>0</v>
      </c>
      <c r="HB152" s="978">
        <f t="shared" ref="HB152:HB162" si="953">HA151</f>
        <v>0</v>
      </c>
      <c r="HC152" s="978">
        <f t="shared" ref="HC152:HC162" si="954">HB151</f>
        <v>0</v>
      </c>
      <c r="HD152" s="979">
        <f t="shared" ref="HD152:HD162" si="955">HC151</f>
        <v>0</v>
      </c>
    </row>
    <row r="153" spans="2:212" ht="14.25">
      <c r="B153" s="980" t="s">
        <v>166</v>
      </c>
      <c r="C153" s="1064">
        <v>170</v>
      </c>
      <c r="D153" s="1092">
        <v>20</v>
      </c>
      <c r="E153" s="981">
        <v>12</v>
      </c>
      <c r="F153" s="1093" t="s">
        <v>165</v>
      </c>
      <c r="G153" s="1065"/>
      <c r="H153" s="1019">
        <v>17</v>
      </c>
      <c r="I153" s="1061">
        <f t="shared" si="807"/>
        <v>0.1</v>
      </c>
      <c r="N153" s="1899"/>
      <c r="O153" s="940" t="s">
        <v>121</v>
      </c>
      <c r="P153" s="595">
        <v>2</v>
      </c>
      <c r="R153" s="595">
        <v>1</v>
      </c>
      <c r="U153" s="595">
        <v>2</v>
      </c>
      <c r="V153" s="595">
        <v>3</v>
      </c>
      <c r="AA153" s="1899"/>
      <c r="AB153" s="940" t="s">
        <v>121</v>
      </c>
      <c r="DK153" s="1899"/>
      <c r="DL153" s="940" t="s">
        <v>121</v>
      </c>
      <c r="DN153" s="952">
        <v>3</v>
      </c>
      <c r="DO153" s="953">
        <v>2</v>
      </c>
      <c r="DP153" s="953">
        <f>DO152</f>
        <v>3</v>
      </c>
      <c r="DQ153" s="953">
        <f>DP152</f>
        <v>4.5</v>
      </c>
      <c r="DR153" s="979">
        <f>DQ152</f>
        <v>5.5</v>
      </c>
      <c r="DT153" s="952">
        <v>3</v>
      </c>
      <c r="DU153" s="953">
        <v>2</v>
      </c>
      <c r="DV153" s="953">
        <f>DU152</f>
        <v>3</v>
      </c>
      <c r="DW153" s="953">
        <f>DV152</f>
        <v>4.5</v>
      </c>
      <c r="DX153" s="979">
        <f>DW152</f>
        <v>5.5</v>
      </c>
      <c r="DZ153" s="977">
        <v>3</v>
      </c>
      <c r="EA153" s="978">
        <f t="shared" ref="EA153:ED162" si="956">DZ152</f>
        <v>2</v>
      </c>
      <c r="EB153" s="978">
        <f>EA152</f>
        <v>3</v>
      </c>
      <c r="EC153" s="978">
        <f>EB152</f>
        <v>5</v>
      </c>
      <c r="ED153" s="979">
        <f>EC152</f>
        <v>5.5</v>
      </c>
      <c r="EE153" s="961"/>
      <c r="EF153" s="977">
        <f t="shared" ref="EF153:EF162" si="957">ED152</f>
        <v>2.5</v>
      </c>
      <c r="EG153" s="978">
        <f t="shared" si="900"/>
        <v>2</v>
      </c>
      <c r="EH153" s="978">
        <f t="shared" si="900"/>
        <v>2.5</v>
      </c>
      <c r="EI153" s="978">
        <f t="shared" si="900"/>
        <v>3.5</v>
      </c>
      <c r="EJ153" s="978">
        <f t="shared" si="900"/>
        <v>4</v>
      </c>
      <c r="EK153" s="978">
        <f t="shared" si="900"/>
        <v>2.5</v>
      </c>
      <c r="EL153" s="978">
        <f t="shared" si="900"/>
        <v>2</v>
      </c>
      <c r="EM153" s="978">
        <f t="shared" si="900"/>
        <v>2</v>
      </c>
      <c r="EN153" s="978">
        <f t="shared" si="900"/>
        <v>1.5</v>
      </c>
      <c r="EO153" s="978">
        <f t="shared" si="900"/>
        <v>1</v>
      </c>
      <c r="EP153" s="978">
        <f t="shared" si="900"/>
        <v>1</v>
      </c>
      <c r="EQ153" s="979">
        <f t="shared" si="900"/>
        <v>1</v>
      </c>
      <c r="ES153" s="977">
        <f t="shared" ref="ES153:ES162" si="958">EQ152</f>
        <v>1</v>
      </c>
      <c r="ET153" s="978">
        <f t="shared" si="901"/>
        <v>1</v>
      </c>
      <c r="EU153" s="978">
        <f t="shared" si="902"/>
        <v>0.5</v>
      </c>
      <c r="EV153" s="978">
        <f t="shared" si="903"/>
        <v>0</v>
      </c>
      <c r="EW153" s="978">
        <f t="shared" si="904"/>
        <v>0.5</v>
      </c>
      <c r="EX153" s="978">
        <f t="shared" si="905"/>
        <v>1</v>
      </c>
      <c r="EY153" s="978">
        <f t="shared" si="906"/>
        <v>1</v>
      </c>
      <c r="EZ153" s="978">
        <f t="shared" si="907"/>
        <v>1</v>
      </c>
      <c r="FA153" s="978">
        <f t="shared" si="908"/>
        <v>1</v>
      </c>
      <c r="FB153" s="978">
        <f t="shared" si="909"/>
        <v>1</v>
      </c>
      <c r="FC153" s="978">
        <f t="shared" si="910"/>
        <v>1</v>
      </c>
      <c r="FD153" s="979">
        <f t="shared" si="911"/>
        <v>1</v>
      </c>
      <c r="FF153" s="977">
        <f t="shared" ref="FF153:FF162" si="959">FD152</f>
        <v>1</v>
      </c>
      <c r="FG153" s="978">
        <f t="shared" si="912"/>
        <v>1</v>
      </c>
      <c r="FH153" s="978">
        <f t="shared" si="913"/>
        <v>0.5</v>
      </c>
      <c r="FI153" s="978">
        <f t="shared" si="914"/>
        <v>0</v>
      </c>
      <c r="FJ153" s="978">
        <f t="shared" si="915"/>
        <v>0.5</v>
      </c>
      <c r="FK153" s="978">
        <f t="shared" si="916"/>
        <v>1</v>
      </c>
      <c r="FL153" s="978">
        <f t="shared" si="917"/>
        <v>1</v>
      </c>
      <c r="FM153" s="978">
        <f t="shared" si="918"/>
        <v>1</v>
      </c>
      <c r="FN153" s="978">
        <f t="shared" si="919"/>
        <v>1</v>
      </c>
      <c r="FO153" s="978">
        <f t="shared" si="920"/>
        <v>1</v>
      </c>
      <c r="FP153" s="978">
        <f t="shared" si="921"/>
        <v>1</v>
      </c>
      <c r="FQ153" s="979">
        <f t="shared" si="922"/>
        <v>1</v>
      </c>
      <c r="FS153" s="977">
        <f t="shared" ref="FS153:FS162" si="960">FQ152</f>
        <v>1</v>
      </c>
      <c r="FT153" s="978">
        <f t="shared" si="923"/>
        <v>1</v>
      </c>
      <c r="FU153" s="978">
        <f t="shared" si="924"/>
        <v>0.5</v>
      </c>
      <c r="FV153" s="978">
        <f t="shared" si="925"/>
        <v>0</v>
      </c>
      <c r="FW153" s="978">
        <f t="shared" si="926"/>
        <v>0</v>
      </c>
      <c r="FX153" s="978">
        <f t="shared" si="927"/>
        <v>0</v>
      </c>
      <c r="FY153" s="978">
        <f t="shared" si="928"/>
        <v>0</v>
      </c>
      <c r="FZ153" s="978">
        <f t="shared" si="929"/>
        <v>0</v>
      </c>
      <c r="GA153" s="978">
        <f t="shared" si="930"/>
        <v>0</v>
      </c>
      <c r="GB153" s="978">
        <f t="shared" si="931"/>
        <v>0</v>
      </c>
      <c r="GC153" s="978">
        <f t="shared" si="932"/>
        <v>0</v>
      </c>
      <c r="GD153" s="979">
        <f t="shared" si="933"/>
        <v>0</v>
      </c>
      <c r="GF153" s="977">
        <f t="shared" ref="GF153:GF162" si="961">GD152</f>
        <v>0</v>
      </c>
      <c r="GG153" s="978">
        <f t="shared" si="934"/>
        <v>0</v>
      </c>
      <c r="GH153" s="978">
        <f t="shared" si="935"/>
        <v>0</v>
      </c>
      <c r="GI153" s="978">
        <f t="shared" si="936"/>
        <v>0</v>
      </c>
      <c r="GJ153" s="978">
        <f t="shared" si="937"/>
        <v>0</v>
      </c>
      <c r="GK153" s="978">
        <f t="shared" si="938"/>
        <v>0</v>
      </c>
      <c r="GL153" s="978">
        <f t="shared" si="939"/>
        <v>0</v>
      </c>
      <c r="GM153" s="978">
        <f t="shared" si="940"/>
        <v>0</v>
      </c>
      <c r="GN153" s="978">
        <f t="shared" si="941"/>
        <v>0</v>
      </c>
      <c r="GO153" s="978">
        <f t="shared" si="942"/>
        <v>0</v>
      </c>
      <c r="GP153" s="978">
        <f t="shared" si="943"/>
        <v>0</v>
      </c>
      <c r="GQ153" s="979">
        <f t="shared" si="944"/>
        <v>0</v>
      </c>
      <c r="GS153" s="977">
        <f t="shared" ref="GS153:GS162" si="962">GQ152</f>
        <v>0</v>
      </c>
      <c r="GT153" s="978">
        <f t="shared" si="945"/>
        <v>0</v>
      </c>
      <c r="GU153" s="978">
        <f t="shared" si="946"/>
        <v>0</v>
      </c>
      <c r="GV153" s="978">
        <f t="shared" si="947"/>
        <v>0</v>
      </c>
      <c r="GW153" s="978">
        <f t="shared" si="948"/>
        <v>0</v>
      </c>
      <c r="GX153" s="978">
        <f t="shared" si="949"/>
        <v>0</v>
      </c>
      <c r="GY153" s="978">
        <f t="shared" si="950"/>
        <v>0</v>
      </c>
      <c r="GZ153" s="978">
        <f t="shared" si="951"/>
        <v>0</v>
      </c>
      <c r="HA153" s="978">
        <f t="shared" si="952"/>
        <v>0</v>
      </c>
      <c r="HB153" s="978">
        <f t="shared" si="953"/>
        <v>0</v>
      </c>
      <c r="HC153" s="978">
        <f t="shared" si="954"/>
        <v>0</v>
      </c>
      <c r="HD153" s="979">
        <f t="shared" si="955"/>
        <v>0</v>
      </c>
    </row>
    <row r="154" spans="2:212">
      <c r="B154" s="596" t="s">
        <v>167</v>
      </c>
      <c r="C154" s="1066">
        <v>1300</v>
      </c>
      <c r="D154" s="1094">
        <v>210</v>
      </c>
      <c r="E154" s="1021">
        <v>99</v>
      </c>
      <c r="F154" s="1095" t="s">
        <v>165</v>
      </c>
      <c r="G154" s="1096"/>
      <c r="H154" s="1022">
        <f>SUM(H142:H153)</f>
        <v>171</v>
      </c>
      <c r="I154" s="1061">
        <f>H154/C154</f>
        <v>0.13153846153846155</v>
      </c>
      <c r="N154" s="1899"/>
      <c r="O154" s="940" t="s">
        <v>122</v>
      </c>
      <c r="P154" s="595">
        <v>2</v>
      </c>
      <c r="Q154" s="595">
        <v>2</v>
      </c>
      <c r="S154" s="595">
        <v>1</v>
      </c>
      <c r="V154" s="595">
        <v>2</v>
      </c>
      <c r="AA154" s="1899"/>
      <c r="AB154" s="940" t="s">
        <v>122</v>
      </c>
      <c r="DK154" s="1899"/>
      <c r="DL154" s="940" t="s">
        <v>122</v>
      </c>
      <c r="DN154" s="952">
        <v>3</v>
      </c>
      <c r="DO154" s="953">
        <v>3</v>
      </c>
      <c r="DP154" s="953">
        <v>2</v>
      </c>
      <c r="DQ154" s="953">
        <f>DP153</f>
        <v>3</v>
      </c>
      <c r="DR154" s="933">
        <f>DQ153</f>
        <v>4.5</v>
      </c>
      <c r="DT154" s="952">
        <v>3</v>
      </c>
      <c r="DU154" s="953">
        <v>3</v>
      </c>
      <c r="DV154" s="953">
        <v>2</v>
      </c>
      <c r="DW154" s="953">
        <f>DV153</f>
        <v>3</v>
      </c>
      <c r="DX154" s="933">
        <f>DW153</f>
        <v>4.5</v>
      </c>
      <c r="DZ154" s="977">
        <v>3</v>
      </c>
      <c r="EA154" s="978">
        <f t="shared" si="956"/>
        <v>3</v>
      </c>
      <c r="EB154" s="978">
        <f t="shared" si="956"/>
        <v>2</v>
      </c>
      <c r="EC154" s="978">
        <f>EB153</f>
        <v>3</v>
      </c>
      <c r="ED154" s="979">
        <f>EC153</f>
        <v>5</v>
      </c>
      <c r="EE154" s="961"/>
      <c r="EF154" s="977">
        <f t="shared" si="957"/>
        <v>5.5</v>
      </c>
      <c r="EG154" s="978">
        <f t="shared" si="900"/>
        <v>2.5</v>
      </c>
      <c r="EH154" s="978">
        <f t="shared" si="900"/>
        <v>2</v>
      </c>
      <c r="EI154" s="978">
        <f t="shared" si="900"/>
        <v>2.5</v>
      </c>
      <c r="EJ154" s="978">
        <f t="shared" si="900"/>
        <v>3.5</v>
      </c>
      <c r="EK154" s="978">
        <f t="shared" si="900"/>
        <v>4</v>
      </c>
      <c r="EL154" s="978">
        <f t="shared" si="900"/>
        <v>2.5</v>
      </c>
      <c r="EM154" s="978">
        <f t="shared" si="900"/>
        <v>2</v>
      </c>
      <c r="EN154" s="978">
        <f t="shared" si="900"/>
        <v>2</v>
      </c>
      <c r="EO154" s="978">
        <f t="shared" si="900"/>
        <v>1.5</v>
      </c>
      <c r="EP154" s="978">
        <f t="shared" si="900"/>
        <v>1</v>
      </c>
      <c r="EQ154" s="979">
        <f t="shared" si="900"/>
        <v>1</v>
      </c>
      <c r="ES154" s="977">
        <f t="shared" si="958"/>
        <v>1</v>
      </c>
      <c r="ET154" s="978">
        <f t="shared" si="901"/>
        <v>1</v>
      </c>
      <c r="EU154" s="978">
        <f t="shared" si="902"/>
        <v>1</v>
      </c>
      <c r="EV154" s="978">
        <f t="shared" si="903"/>
        <v>0.5</v>
      </c>
      <c r="EW154" s="978">
        <f t="shared" si="904"/>
        <v>0</v>
      </c>
      <c r="EX154" s="978">
        <f t="shared" si="905"/>
        <v>0.5</v>
      </c>
      <c r="EY154" s="978">
        <f t="shared" si="906"/>
        <v>1</v>
      </c>
      <c r="EZ154" s="978">
        <f t="shared" si="907"/>
        <v>1</v>
      </c>
      <c r="FA154" s="978">
        <f t="shared" si="908"/>
        <v>1</v>
      </c>
      <c r="FB154" s="978">
        <f t="shared" si="909"/>
        <v>1</v>
      </c>
      <c r="FC154" s="978">
        <f t="shared" si="910"/>
        <v>1</v>
      </c>
      <c r="FD154" s="979">
        <f t="shared" si="911"/>
        <v>1</v>
      </c>
      <c r="FF154" s="977">
        <f t="shared" si="959"/>
        <v>1</v>
      </c>
      <c r="FG154" s="978">
        <f t="shared" si="912"/>
        <v>1</v>
      </c>
      <c r="FH154" s="978">
        <f t="shared" si="913"/>
        <v>1</v>
      </c>
      <c r="FI154" s="978">
        <f t="shared" si="914"/>
        <v>0.5</v>
      </c>
      <c r="FJ154" s="978">
        <f t="shared" si="915"/>
        <v>0</v>
      </c>
      <c r="FK154" s="978">
        <f t="shared" si="916"/>
        <v>0.5</v>
      </c>
      <c r="FL154" s="978">
        <f t="shared" si="917"/>
        <v>1</v>
      </c>
      <c r="FM154" s="978">
        <f t="shared" si="918"/>
        <v>1</v>
      </c>
      <c r="FN154" s="978">
        <f t="shared" si="919"/>
        <v>1</v>
      </c>
      <c r="FO154" s="978">
        <f t="shared" si="920"/>
        <v>1</v>
      </c>
      <c r="FP154" s="978">
        <f t="shared" si="921"/>
        <v>1</v>
      </c>
      <c r="FQ154" s="979">
        <f t="shared" si="922"/>
        <v>1</v>
      </c>
      <c r="FS154" s="977">
        <f t="shared" si="960"/>
        <v>1</v>
      </c>
      <c r="FT154" s="978">
        <f t="shared" si="923"/>
        <v>1</v>
      </c>
      <c r="FU154" s="978">
        <f t="shared" si="924"/>
        <v>1</v>
      </c>
      <c r="FV154" s="978">
        <f t="shared" si="925"/>
        <v>0.5</v>
      </c>
      <c r="FW154" s="978">
        <f t="shared" si="926"/>
        <v>0</v>
      </c>
      <c r="FX154" s="978">
        <f t="shared" si="927"/>
        <v>0</v>
      </c>
      <c r="FY154" s="978">
        <f t="shared" si="928"/>
        <v>0</v>
      </c>
      <c r="FZ154" s="978">
        <f t="shared" si="929"/>
        <v>0</v>
      </c>
      <c r="GA154" s="978">
        <f t="shared" si="930"/>
        <v>0</v>
      </c>
      <c r="GB154" s="978">
        <f t="shared" si="931"/>
        <v>0</v>
      </c>
      <c r="GC154" s="978">
        <f t="shared" si="932"/>
        <v>0</v>
      </c>
      <c r="GD154" s="979">
        <f t="shared" si="933"/>
        <v>0</v>
      </c>
      <c r="GF154" s="977">
        <f t="shared" si="961"/>
        <v>0</v>
      </c>
      <c r="GG154" s="978">
        <f t="shared" si="934"/>
        <v>0</v>
      </c>
      <c r="GH154" s="978">
        <f t="shared" si="935"/>
        <v>0</v>
      </c>
      <c r="GI154" s="978">
        <f t="shared" si="936"/>
        <v>0</v>
      </c>
      <c r="GJ154" s="978">
        <f t="shared" si="937"/>
        <v>0</v>
      </c>
      <c r="GK154" s="978">
        <f t="shared" si="938"/>
        <v>0</v>
      </c>
      <c r="GL154" s="978">
        <f t="shared" si="939"/>
        <v>0</v>
      </c>
      <c r="GM154" s="978">
        <f t="shared" si="940"/>
        <v>0</v>
      </c>
      <c r="GN154" s="978">
        <f t="shared" si="941"/>
        <v>0</v>
      </c>
      <c r="GO154" s="978">
        <f t="shared" si="942"/>
        <v>0</v>
      </c>
      <c r="GP154" s="978">
        <f t="shared" si="943"/>
        <v>0</v>
      </c>
      <c r="GQ154" s="979">
        <f t="shared" si="944"/>
        <v>0</v>
      </c>
      <c r="GS154" s="977">
        <f t="shared" si="962"/>
        <v>0</v>
      </c>
      <c r="GT154" s="978">
        <f t="shared" si="945"/>
        <v>0</v>
      </c>
      <c r="GU154" s="978">
        <f t="shared" si="946"/>
        <v>0</v>
      </c>
      <c r="GV154" s="978">
        <f t="shared" si="947"/>
        <v>0</v>
      </c>
      <c r="GW154" s="978">
        <f t="shared" si="948"/>
        <v>0</v>
      </c>
      <c r="GX154" s="978">
        <f t="shared" si="949"/>
        <v>0</v>
      </c>
      <c r="GY154" s="978">
        <f t="shared" si="950"/>
        <v>0</v>
      </c>
      <c r="GZ154" s="978">
        <f t="shared" si="951"/>
        <v>0</v>
      </c>
      <c r="HA154" s="978">
        <f t="shared" si="952"/>
        <v>0</v>
      </c>
      <c r="HB154" s="978">
        <f t="shared" si="953"/>
        <v>0</v>
      </c>
      <c r="HC154" s="978">
        <f t="shared" si="954"/>
        <v>0</v>
      </c>
      <c r="HD154" s="979">
        <f t="shared" si="955"/>
        <v>0</v>
      </c>
    </row>
    <row r="155" spans="2:212" ht="14.25">
      <c r="B155" s="31"/>
      <c r="C155" s="1097" t="s">
        <v>168</v>
      </c>
      <c r="D155" s="31"/>
      <c r="E155" s="31"/>
      <c r="F155" s="31"/>
      <c r="G155" s="31"/>
      <c r="H155" s="1098"/>
      <c r="I155" s="31"/>
      <c r="N155" s="1899"/>
      <c r="O155" s="940" t="s">
        <v>123</v>
      </c>
      <c r="P155" s="595">
        <v>1</v>
      </c>
      <c r="Q155" s="595">
        <v>2</v>
      </c>
      <c r="R155" s="595">
        <v>2</v>
      </c>
      <c r="T155" s="595">
        <v>1</v>
      </c>
      <c r="V155" s="595">
        <v>0</v>
      </c>
      <c r="AA155" s="1899"/>
      <c r="AB155" s="940" t="s">
        <v>123</v>
      </c>
      <c r="DK155" s="1899"/>
      <c r="DL155" s="940" t="s">
        <v>123</v>
      </c>
      <c r="DN155" s="952">
        <v>2</v>
      </c>
      <c r="DO155" s="953">
        <v>3</v>
      </c>
      <c r="DP155" s="953">
        <v>3</v>
      </c>
      <c r="DQ155" s="953">
        <v>2</v>
      </c>
      <c r="DR155" s="933">
        <f>DQ154</f>
        <v>3</v>
      </c>
      <c r="DT155" s="952">
        <v>2</v>
      </c>
      <c r="DU155" s="953">
        <v>3</v>
      </c>
      <c r="DV155" s="953">
        <v>3</v>
      </c>
      <c r="DW155" s="953">
        <v>2</v>
      </c>
      <c r="DX155" s="933">
        <f>DW154</f>
        <v>3</v>
      </c>
      <c r="DZ155" s="977">
        <v>2</v>
      </c>
      <c r="EA155" s="978">
        <f t="shared" si="956"/>
        <v>3</v>
      </c>
      <c r="EB155" s="978">
        <f t="shared" si="956"/>
        <v>3</v>
      </c>
      <c r="EC155" s="978">
        <f t="shared" si="956"/>
        <v>2</v>
      </c>
      <c r="ED155" s="979">
        <f>EC154</f>
        <v>3</v>
      </c>
      <c r="EE155" s="961"/>
      <c r="EF155" s="977">
        <f t="shared" si="957"/>
        <v>5</v>
      </c>
      <c r="EG155" s="978">
        <f t="shared" si="900"/>
        <v>5.5</v>
      </c>
      <c r="EH155" s="978">
        <f t="shared" si="900"/>
        <v>2.5</v>
      </c>
      <c r="EI155" s="978">
        <f t="shared" si="900"/>
        <v>2</v>
      </c>
      <c r="EJ155" s="978">
        <f t="shared" si="900"/>
        <v>2.5</v>
      </c>
      <c r="EK155" s="978">
        <f t="shared" si="900"/>
        <v>3.5</v>
      </c>
      <c r="EL155" s="978">
        <f t="shared" si="900"/>
        <v>4</v>
      </c>
      <c r="EM155" s="978">
        <f t="shared" si="900"/>
        <v>2.5</v>
      </c>
      <c r="EN155" s="978">
        <f t="shared" si="900"/>
        <v>2</v>
      </c>
      <c r="EO155" s="978">
        <f t="shared" si="900"/>
        <v>2</v>
      </c>
      <c r="EP155" s="978">
        <f t="shared" si="900"/>
        <v>1.5</v>
      </c>
      <c r="EQ155" s="979">
        <f t="shared" si="900"/>
        <v>1</v>
      </c>
      <c r="ES155" s="977">
        <f t="shared" si="958"/>
        <v>1</v>
      </c>
      <c r="ET155" s="978">
        <f t="shared" si="901"/>
        <v>1</v>
      </c>
      <c r="EU155" s="978">
        <f t="shared" si="902"/>
        <v>1</v>
      </c>
      <c r="EV155" s="978">
        <f t="shared" si="903"/>
        <v>1</v>
      </c>
      <c r="EW155" s="978">
        <f t="shared" si="904"/>
        <v>0.5</v>
      </c>
      <c r="EX155" s="978">
        <f t="shared" si="905"/>
        <v>0</v>
      </c>
      <c r="EY155" s="978">
        <f t="shared" si="906"/>
        <v>0.5</v>
      </c>
      <c r="EZ155" s="978">
        <f t="shared" si="907"/>
        <v>1</v>
      </c>
      <c r="FA155" s="978">
        <f t="shared" si="908"/>
        <v>1</v>
      </c>
      <c r="FB155" s="978">
        <f t="shared" si="909"/>
        <v>1</v>
      </c>
      <c r="FC155" s="978">
        <f t="shared" si="910"/>
        <v>1</v>
      </c>
      <c r="FD155" s="979">
        <f t="shared" si="911"/>
        <v>1</v>
      </c>
      <c r="FF155" s="977">
        <f t="shared" si="959"/>
        <v>1</v>
      </c>
      <c r="FG155" s="978">
        <f t="shared" si="912"/>
        <v>1</v>
      </c>
      <c r="FH155" s="978">
        <f t="shared" si="913"/>
        <v>1</v>
      </c>
      <c r="FI155" s="978">
        <f t="shared" si="914"/>
        <v>1</v>
      </c>
      <c r="FJ155" s="978">
        <f t="shared" si="915"/>
        <v>0.5</v>
      </c>
      <c r="FK155" s="978">
        <f t="shared" si="916"/>
        <v>0</v>
      </c>
      <c r="FL155" s="978">
        <f t="shared" si="917"/>
        <v>0.5</v>
      </c>
      <c r="FM155" s="978">
        <f t="shared" si="918"/>
        <v>1</v>
      </c>
      <c r="FN155" s="978">
        <f t="shared" si="919"/>
        <v>1</v>
      </c>
      <c r="FO155" s="978">
        <f t="shared" si="920"/>
        <v>1</v>
      </c>
      <c r="FP155" s="978">
        <f t="shared" si="921"/>
        <v>1</v>
      </c>
      <c r="FQ155" s="979">
        <f t="shared" si="922"/>
        <v>1</v>
      </c>
      <c r="FS155" s="977">
        <f t="shared" si="960"/>
        <v>1</v>
      </c>
      <c r="FT155" s="978">
        <f t="shared" si="923"/>
        <v>1</v>
      </c>
      <c r="FU155" s="978">
        <f t="shared" si="924"/>
        <v>1</v>
      </c>
      <c r="FV155" s="978">
        <f t="shared" si="925"/>
        <v>1</v>
      </c>
      <c r="FW155" s="978">
        <f t="shared" si="926"/>
        <v>0.5</v>
      </c>
      <c r="FX155" s="978">
        <f t="shared" si="927"/>
        <v>0</v>
      </c>
      <c r="FY155" s="978">
        <f t="shared" si="928"/>
        <v>0</v>
      </c>
      <c r="FZ155" s="978">
        <f t="shared" si="929"/>
        <v>0</v>
      </c>
      <c r="GA155" s="978">
        <f t="shared" si="930"/>
        <v>0</v>
      </c>
      <c r="GB155" s="978">
        <f t="shared" si="931"/>
        <v>0</v>
      </c>
      <c r="GC155" s="978">
        <f t="shared" si="932"/>
        <v>0</v>
      </c>
      <c r="GD155" s="979">
        <f t="shared" si="933"/>
        <v>0</v>
      </c>
      <c r="GF155" s="977">
        <f t="shared" si="961"/>
        <v>0</v>
      </c>
      <c r="GG155" s="978">
        <f t="shared" si="934"/>
        <v>0</v>
      </c>
      <c r="GH155" s="978">
        <f t="shared" si="935"/>
        <v>0</v>
      </c>
      <c r="GI155" s="978">
        <f t="shared" si="936"/>
        <v>0</v>
      </c>
      <c r="GJ155" s="978">
        <f t="shared" si="937"/>
        <v>0</v>
      </c>
      <c r="GK155" s="978">
        <f t="shared" si="938"/>
        <v>0</v>
      </c>
      <c r="GL155" s="978">
        <f t="shared" si="939"/>
        <v>0</v>
      </c>
      <c r="GM155" s="978">
        <f t="shared" si="940"/>
        <v>0</v>
      </c>
      <c r="GN155" s="978">
        <f t="shared" si="941"/>
        <v>0</v>
      </c>
      <c r="GO155" s="978">
        <f t="shared" si="942"/>
        <v>0</v>
      </c>
      <c r="GP155" s="978">
        <f t="shared" si="943"/>
        <v>0</v>
      </c>
      <c r="GQ155" s="979">
        <f t="shared" si="944"/>
        <v>0</v>
      </c>
      <c r="GS155" s="977">
        <f t="shared" si="962"/>
        <v>0</v>
      </c>
      <c r="GT155" s="978">
        <f t="shared" si="945"/>
        <v>0</v>
      </c>
      <c r="GU155" s="978">
        <f t="shared" si="946"/>
        <v>0</v>
      </c>
      <c r="GV155" s="978">
        <f t="shared" si="947"/>
        <v>0</v>
      </c>
      <c r="GW155" s="978">
        <f t="shared" si="948"/>
        <v>0</v>
      </c>
      <c r="GX155" s="978">
        <f t="shared" si="949"/>
        <v>0</v>
      </c>
      <c r="GY155" s="978">
        <f t="shared" si="950"/>
        <v>0</v>
      </c>
      <c r="GZ155" s="978">
        <f t="shared" si="951"/>
        <v>0</v>
      </c>
      <c r="HA155" s="978">
        <f t="shared" si="952"/>
        <v>0</v>
      </c>
      <c r="HB155" s="978">
        <f t="shared" si="953"/>
        <v>0</v>
      </c>
      <c r="HC155" s="978">
        <f t="shared" si="954"/>
        <v>0</v>
      </c>
      <c r="HD155" s="979">
        <f t="shared" si="955"/>
        <v>0</v>
      </c>
    </row>
    <row r="156" spans="2:212" ht="14.25">
      <c r="B156" s="31"/>
      <c r="C156" s="1097" t="s">
        <v>1094</v>
      </c>
      <c r="D156" s="31"/>
      <c r="E156" s="31"/>
      <c r="F156" s="31"/>
      <c r="G156" s="31"/>
      <c r="H156" s="31"/>
      <c r="I156" s="31"/>
      <c r="N156" s="1899"/>
      <c r="O156" s="940" t="s">
        <v>124</v>
      </c>
      <c r="P156" s="595">
        <v>2</v>
      </c>
      <c r="Q156" s="595">
        <v>1</v>
      </c>
      <c r="R156" s="595">
        <v>2</v>
      </c>
      <c r="S156" s="595">
        <v>2</v>
      </c>
      <c r="U156" s="595">
        <v>1</v>
      </c>
      <c r="V156" s="595">
        <v>0</v>
      </c>
      <c r="AA156" s="1899"/>
      <c r="AB156" s="940" t="s">
        <v>124</v>
      </c>
      <c r="DK156" s="1899"/>
      <c r="DL156" s="940" t="s">
        <v>124</v>
      </c>
      <c r="DN156" s="952">
        <v>0</v>
      </c>
      <c r="DO156" s="953">
        <v>2</v>
      </c>
      <c r="DP156" s="953">
        <v>3</v>
      </c>
      <c r="DQ156" s="953">
        <v>3</v>
      </c>
      <c r="DR156" s="933">
        <v>2</v>
      </c>
      <c r="DT156" s="952">
        <v>0</v>
      </c>
      <c r="DU156" s="953">
        <v>2</v>
      </c>
      <c r="DV156" s="953">
        <v>3</v>
      </c>
      <c r="DW156" s="953">
        <v>3</v>
      </c>
      <c r="DX156" s="933">
        <v>2</v>
      </c>
      <c r="DZ156" s="977">
        <v>0</v>
      </c>
      <c r="EA156" s="978">
        <f t="shared" si="956"/>
        <v>2</v>
      </c>
      <c r="EB156" s="978">
        <f t="shared" si="956"/>
        <v>3</v>
      </c>
      <c r="EC156" s="978">
        <f t="shared" si="956"/>
        <v>3</v>
      </c>
      <c r="ED156" s="979">
        <f t="shared" si="956"/>
        <v>2</v>
      </c>
      <c r="EE156" s="961"/>
      <c r="EF156" s="977">
        <f t="shared" si="957"/>
        <v>3</v>
      </c>
      <c r="EG156" s="978">
        <f t="shared" si="900"/>
        <v>5</v>
      </c>
      <c r="EH156" s="978">
        <f t="shared" si="900"/>
        <v>5.5</v>
      </c>
      <c r="EI156" s="978">
        <f t="shared" si="900"/>
        <v>2.5</v>
      </c>
      <c r="EJ156" s="978">
        <f t="shared" si="900"/>
        <v>2</v>
      </c>
      <c r="EK156" s="978">
        <f t="shared" si="900"/>
        <v>2.5</v>
      </c>
      <c r="EL156" s="978">
        <f t="shared" si="900"/>
        <v>3.5</v>
      </c>
      <c r="EM156" s="978">
        <f t="shared" si="900"/>
        <v>4</v>
      </c>
      <c r="EN156" s="978">
        <f t="shared" si="900"/>
        <v>2.5</v>
      </c>
      <c r="EO156" s="978">
        <f t="shared" si="900"/>
        <v>2</v>
      </c>
      <c r="EP156" s="978">
        <f t="shared" si="900"/>
        <v>2</v>
      </c>
      <c r="EQ156" s="979">
        <f t="shared" si="900"/>
        <v>1.5</v>
      </c>
      <c r="ES156" s="977">
        <f t="shared" si="958"/>
        <v>1</v>
      </c>
      <c r="ET156" s="978">
        <f t="shared" si="901"/>
        <v>1</v>
      </c>
      <c r="EU156" s="978">
        <f t="shared" si="902"/>
        <v>1</v>
      </c>
      <c r="EV156" s="978">
        <f t="shared" si="903"/>
        <v>1</v>
      </c>
      <c r="EW156" s="978">
        <f t="shared" si="904"/>
        <v>1</v>
      </c>
      <c r="EX156" s="978">
        <f t="shared" si="905"/>
        <v>0.5</v>
      </c>
      <c r="EY156" s="978">
        <f t="shared" si="906"/>
        <v>0</v>
      </c>
      <c r="EZ156" s="978">
        <f t="shared" si="907"/>
        <v>0.5</v>
      </c>
      <c r="FA156" s="978">
        <f t="shared" si="908"/>
        <v>1</v>
      </c>
      <c r="FB156" s="978">
        <f t="shared" si="909"/>
        <v>1</v>
      </c>
      <c r="FC156" s="978">
        <f t="shared" si="910"/>
        <v>1</v>
      </c>
      <c r="FD156" s="979">
        <f t="shared" si="911"/>
        <v>1</v>
      </c>
      <c r="FF156" s="977">
        <f t="shared" si="959"/>
        <v>1</v>
      </c>
      <c r="FG156" s="978">
        <f t="shared" si="912"/>
        <v>1</v>
      </c>
      <c r="FH156" s="978">
        <f t="shared" si="913"/>
        <v>1</v>
      </c>
      <c r="FI156" s="978">
        <f t="shared" si="914"/>
        <v>1</v>
      </c>
      <c r="FJ156" s="978">
        <f t="shared" si="915"/>
        <v>1</v>
      </c>
      <c r="FK156" s="978">
        <f t="shared" si="916"/>
        <v>0.5</v>
      </c>
      <c r="FL156" s="978">
        <f t="shared" si="917"/>
        <v>0</v>
      </c>
      <c r="FM156" s="978">
        <f t="shared" si="918"/>
        <v>0.5</v>
      </c>
      <c r="FN156" s="978">
        <f t="shared" si="919"/>
        <v>1</v>
      </c>
      <c r="FO156" s="978">
        <f t="shared" si="920"/>
        <v>1</v>
      </c>
      <c r="FP156" s="978">
        <f t="shared" si="921"/>
        <v>1</v>
      </c>
      <c r="FQ156" s="979">
        <f t="shared" si="922"/>
        <v>1</v>
      </c>
      <c r="FS156" s="977">
        <f t="shared" si="960"/>
        <v>1</v>
      </c>
      <c r="FT156" s="978">
        <f t="shared" si="923"/>
        <v>1</v>
      </c>
      <c r="FU156" s="978">
        <f t="shared" si="924"/>
        <v>1</v>
      </c>
      <c r="FV156" s="978">
        <f t="shared" si="925"/>
        <v>1</v>
      </c>
      <c r="FW156" s="978">
        <f t="shared" si="926"/>
        <v>1</v>
      </c>
      <c r="FX156" s="978">
        <f t="shared" si="927"/>
        <v>0.5</v>
      </c>
      <c r="FY156" s="978">
        <f t="shared" si="928"/>
        <v>0</v>
      </c>
      <c r="FZ156" s="978">
        <f t="shared" si="929"/>
        <v>0</v>
      </c>
      <c r="GA156" s="978">
        <f t="shared" si="930"/>
        <v>0</v>
      </c>
      <c r="GB156" s="978">
        <f t="shared" si="931"/>
        <v>0</v>
      </c>
      <c r="GC156" s="978">
        <f t="shared" si="932"/>
        <v>0</v>
      </c>
      <c r="GD156" s="979">
        <f t="shared" si="933"/>
        <v>0</v>
      </c>
      <c r="GF156" s="977">
        <f t="shared" si="961"/>
        <v>0</v>
      </c>
      <c r="GG156" s="978">
        <f t="shared" si="934"/>
        <v>0</v>
      </c>
      <c r="GH156" s="978">
        <f t="shared" si="935"/>
        <v>0</v>
      </c>
      <c r="GI156" s="978">
        <f t="shared" si="936"/>
        <v>0</v>
      </c>
      <c r="GJ156" s="978">
        <f t="shared" si="937"/>
        <v>0</v>
      </c>
      <c r="GK156" s="978">
        <f t="shared" si="938"/>
        <v>0</v>
      </c>
      <c r="GL156" s="978">
        <f t="shared" si="939"/>
        <v>0</v>
      </c>
      <c r="GM156" s="978">
        <f t="shared" si="940"/>
        <v>0</v>
      </c>
      <c r="GN156" s="978">
        <f t="shared" si="941"/>
        <v>0</v>
      </c>
      <c r="GO156" s="978">
        <f t="shared" si="942"/>
        <v>0</v>
      </c>
      <c r="GP156" s="978">
        <f t="shared" si="943"/>
        <v>0</v>
      </c>
      <c r="GQ156" s="979">
        <f t="shared" si="944"/>
        <v>0</v>
      </c>
      <c r="GS156" s="977">
        <f t="shared" si="962"/>
        <v>0</v>
      </c>
      <c r="GT156" s="978">
        <f t="shared" si="945"/>
        <v>0</v>
      </c>
      <c r="GU156" s="978">
        <f t="shared" si="946"/>
        <v>0</v>
      </c>
      <c r="GV156" s="978">
        <f t="shared" si="947"/>
        <v>0</v>
      </c>
      <c r="GW156" s="978">
        <f t="shared" si="948"/>
        <v>0</v>
      </c>
      <c r="GX156" s="978">
        <f t="shared" si="949"/>
        <v>0</v>
      </c>
      <c r="GY156" s="978">
        <f t="shared" si="950"/>
        <v>0</v>
      </c>
      <c r="GZ156" s="978">
        <f t="shared" si="951"/>
        <v>0</v>
      </c>
      <c r="HA156" s="978">
        <f t="shared" si="952"/>
        <v>0</v>
      </c>
      <c r="HB156" s="978">
        <f t="shared" si="953"/>
        <v>0</v>
      </c>
      <c r="HC156" s="978">
        <f t="shared" si="954"/>
        <v>0</v>
      </c>
      <c r="HD156" s="979">
        <f t="shared" si="955"/>
        <v>0</v>
      </c>
    </row>
    <row r="157" spans="2:212" ht="14.25">
      <c r="B157" s="31"/>
      <c r="C157" s="1099"/>
      <c r="D157" s="31"/>
      <c r="E157" s="31"/>
      <c r="F157" s="31"/>
      <c r="G157" s="31"/>
      <c r="H157" s="31"/>
      <c r="I157" s="31"/>
      <c r="N157" s="1899"/>
      <c r="O157" s="940" t="s">
        <v>125</v>
      </c>
      <c r="P157" s="595">
        <v>1</v>
      </c>
      <c r="Q157" s="595">
        <v>2</v>
      </c>
      <c r="R157" s="595">
        <v>1</v>
      </c>
      <c r="S157" s="595">
        <v>2</v>
      </c>
      <c r="T157" s="595">
        <v>2</v>
      </c>
      <c r="V157" s="595">
        <v>1</v>
      </c>
      <c r="AA157" s="1899"/>
      <c r="AB157" s="940" t="s">
        <v>125</v>
      </c>
      <c r="DK157" s="1899"/>
      <c r="DL157" s="940" t="s">
        <v>125</v>
      </c>
      <c r="DN157" s="952">
        <v>0</v>
      </c>
      <c r="DO157" s="953"/>
      <c r="DP157" s="953">
        <v>2</v>
      </c>
      <c r="DQ157" s="953">
        <v>3</v>
      </c>
      <c r="DR157" s="933">
        <v>3</v>
      </c>
      <c r="DT157" s="952">
        <v>0</v>
      </c>
      <c r="DU157" s="953"/>
      <c r="DV157" s="953">
        <v>2</v>
      </c>
      <c r="DW157" s="953">
        <v>3</v>
      </c>
      <c r="DX157" s="933">
        <v>3</v>
      </c>
      <c r="DZ157" s="977">
        <v>0</v>
      </c>
      <c r="EA157" s="978">
        <f t="shared" si="956"/>
        <v>0</v>
      </c>
      <c r="EB157" s="978">
        <f t="shared" si="956"/>
        <v>2</v>
      </c>
      <c r="EC157" s="978">
        <f t="shared" si="956"/>
        <v>3</v>
      </c>
      <c r="ED157" s="979">
        <f t="shared" si="956"/>
        <v>3</v>
      </c>
      <c r="EE157" s="961"/>
      <c r="EF157" s="977">
        <f t="shared" si="957"/>
        <v>2</v>
      </c>
      <c r="EG157" s="978">
        <f t="shared" si="900"/>
        <v>3</v>
      </c>
      <c r="EH157" s="978">
        <f t="shared" si="900"/>
        <v>5</v>
      </c>
      <c r="EI157" s="978">
        <f t="shared" si="900"/>
        <v>5.5</v>
      </c>
      <c r="EJ157" s="978">
        <f t="shared" si="900"/>
        <v>2.5</v>
      </c>
      <c r="EK157" s="978">
        <f t="shared" si="900"/>
        <v>2</v>
      </c>
      <c r="EL157" s="978">
        <f t="shared" si="900"/>
        <v>2.5</v>
      </c>
      <c r="EM157" s="978">
        <f t="shared" si="900"/>
        <v>3.5</v>
      </c>
      <c r="EN157" s="978">
        <f t="shared" si="900"/>
        <v>4</v>
      </c>
      <c r="EO157" s="978">
        <f t="shared" si="900"/>
        <v>2.5</v>
      </c>
      <c r="EP157" s="978">
        <f t="shared" si="900"/>
        <v>2</v>
      </c>
      <c r="EQ157" s="979">
        <f t="shared" si="900"/>
        <v>2</v>
      </c>
      <c r="ES157" s="977">
        <f t="shared" si="958"/>
        <v>1.5</v>
      </c>
      <c r="ET157" s="978">
        <f t="shared" si="901"/>
        <v>1</v>
      </c>
      <c r="EU157" s="978">
        <f t="shared" si="902"/>
        <v>1</v>
      </c>
      <c r="EV157" s="978">
        <f t="shared" si="903"/>
        <v>1</v>
      </c>
      <c r="EW157" s="978">
        <f t="shared" si="904"/>
        <v>1</v>
      </c>
      <c r="EX157" s="978">
        <f t="shared" si="905"/>
        <v>1</v>
      </c>
      <c r="EY157" s="978">
        <f t="shared" si="906"/>
        <v>0.5</v>
      </c>
      <c r="EZ157" s="978">
        <f t="shared" si="907"/>
        <v>0</v>
      </c>
      <c r="FA157" s="978">
        <f t="shared" si="908"/>
        <v>0.5</v>
      </c>
      <c r="FB157" s="978">
        <f t="shared" si="909"/>
        <v>1</v>
      </c>
      <c r="FC157" s="978">
        <f t="shared" si="910"/>
        <v>1</v>
      </c>
      <c r="FD157" s="979">
        <f t="shared" si="911"/>
        <v>1</v>
      </c>
      <c r="FF157" s="977">
        <f t="shared" si="959"/>
        <v>1</v>
      </c>
      <c r="FG157" s="978">
        <f t="shared" si="912"/>
        <v>1</v>
      </c>
      <c r="FH157" s="978">
        <f t="shared" si="913"/>
        <v>1</v>
      </c>
      <c r="FI157" s="978">
        <f t="shared" si="914"/>
        <v>1</v>
      </c>
      <c r="FJ157" s="978">
        <f t="shared" si="915"/>
        <v>1</v>
      </c>
      <c r="FK157" s="978">
        <f t="shared" si="916"/>
        <v>1</v>
      </c>
      <c r="FL157" s="978">
        <f t="shared" si="917"/>
        <v>0.5</v>
      </c>
      <c r="FM157" s="978">
        <f t="shared" si="918"/>
        <v>0</v>
      </c>
      <c r="FN157" s="978">
        <f t="shared" si="919"/>
        <v>0.5</v>
      </c>
      <c r="FO157" s="978">
        <f t="shared" si="920"/>
        <v>1</v>
      </c>
      <c r="FP157" s="978">
        <f t="shared" si="921"/>
        <v>1</v>
      </c>
      <c r="FQ157" s="979">
        <f t="shared" si="922"/>
        <v>1</v>
      </c>
      <c r="FS157" s="977">
        <f t="shared" si="960"/>
        <v>1</v>
      </c>
      <c r="FT157" s="978">
        <f t="shared" si="923"/>
        <v>1</v>
      </c>
      <c r="FU157" s="978">
        <f t="shared" si="924"/>
        <v>1</v>
      </c>
      <c r="FV157" s="978">
        <f t="shared" si="925"/>
        <v>1</v>
      </c>
      <c r="FW157" s="978">
        <f t="shared" si="926"/>
        <v>1</v>
      </c>
      <c r="FX157" s="978">
        <f t="shared" si="927"/>
        <v>1</v>
      </c>
      <c r="FY157" s="978">
        <f t="shared" si="928"/>
        <v>0.5</v>
      </c>
      <c r="FZ157" s="978">
        <f t="shared" si="929"/>
        <v>0</v>
      </c>
      <c r="GA157" s="978">
        <f t="shared" si="930"/>
        <v>0</v>
      </c>
      <c r="GB157" s="978">
        <f t="shared" si="931"/>
        <v>0</v>
      </c>
      <c r="GC157" s="978">
        <f t="shared" si="932"/>
        <v>0</v>
      </c>
      <c r="GD157" s="979">
        <f t="shared" si="933"/>
        <v>0</v>
      </c>
      <c r="GF157" s="977">
        <f t="shared" si="961"/>
        <v>0</v>
      </c>
      <c r="GG157" s="978">
        <f t="shared" si="934"/>
        <v>0</v>
      </c>
      <c r="GH157" s="978">
        <f t="shared" si="935"/>
        <v>0</v>
      </c>
      <c r="GI157" s="978">
        <f t="shared" si="936"/>
        <v>0</v>
      </c>
      <c r="GJ157" s="978">
        <f t="shared" si="937"/>
        <v>0</v>
      </c>
      <c r="GK157" s="978">
        <f t="shared" si="938"/>
        <v>0</v>
      </c>
      <c r="GL157" s="978">
        <f t="shared" si="939"/>
        <v>0</v>
      </c>
      <c r="GM157" s="978">
        <f t="shared" si="940"/>
        <v>0</v>
      </c>
      <c r="GN157" s="978">
        <f t="shared" si="941"/>
        <v>0</v>
      </c>
      <c r="GO157" s="978">
        <f t="shared" si="942"/>
        <v>0</v>
      </c>
      <c r="GP157" s="978">
        <f t="shared" si="943"/>
        <v>0</v>
      </c>
      <c r="GQ157" s="979">
        <f t="shared" si="944"/>
        <v>0</v>
      </c>
      <c r="GS157" s="977">
        <f t="shared" si="962"/>
        <v>0</v>
      </c>
      <c r="GT157" s="978">
        <f t="shared" si="945"/>
        <v>0</v>
      </c>
      <c r="GU157" s="978">
        <f t="shared" si="946"/>
        <v>0</v>
      </c>
      <c r="GV157" s="978">
        <f t="shared" si="947"/>
        <v>0</v>
      </c>
      <c r="GW157" s="978">
        <f t="shared" si="948"/>
        <v>0</v>
      </c>
      <c r="GX157" s="978">
        <f t="shared" si="949"/>
        <v>0</v>
      </c>
      <c r="GY157" s="978">
        <f t="shared" si="950"/>
        <v>0</v>
      </c>
      <c r="GZ157" s="978">
        <f t="shared" si="951"/>
        <v>0</v>
      </c>
      <c r="HA157" s="978">
        <f t="shared" si="952"/>
        <v>0</v>
      </c>
      <c r="HB157" s="978">
        <f t="shared" si="953"/>
        <v>0</v>
      </c>
      <c r="HC157" s="978">
        <f t="shared" si="954"/>
        <v>0</v>
      </c>
      <c r="HD157" s="979">
        <f t="shared" si="955"/>
        <v>0</v>
      </c>
    </row>
    <row r="158" spans="2:212" ht="14.25" customHeight="1">
      <c r="B158" s="1100" t="s">
        <v>1111</v>
      </c>
      <c r="C158" s="992"/>
      <c r="D158" s="31"/>
      <c r="E158" s="31"/>
      <c r="F158" s="31"/>
      <c r="G158" s="31"/>
      <c r="H158" s="31"/>
      <c r="I158" s="31"/>
      <c r="N158" s="1899"/>
      <c r="O158" s="940" t="s">
        <v>126</v>
      </c>
      <c r="P158" s="595">
        <v>2</v>
      </c>
      <c r="Q158" s="595">
        <v>1</v>
      </c>
      <c r="R158" s="595">
        <v>2</v>
      </c>
      <c r="S158" s="595">
        <v>1</v>
      </c>
      <c r="T158" s="595">
        <v>2</v>
      </c>
      <c r="U158" s="595">
        <v>2</v>
      </c>
      <c r="V158" s="595">
        <v>0</v>
      </c>
      <c r="AA158" s="1899"/>
      <c r="AB158" s="940" t="s">
        <v>126</v>
      </c>
      <c r="DK158" s="1899"/>
      <c r="DL158" s="940" t="s">
        <v>126</v>
      </c>
      <c r="DN158" s="977">
        <v>1</v>
      </c>
      <c r="DO158" s="978"/>
      <c r="DP158" s="978"/>
      <c r="DQ158" s="978">
        <v>2</v>
      </c>
      <c r="DR158" s="979">
        <v>3</v>
      </c>
      <c r="DT158" s="977">
        <v>1</v>
      </c>
      <c r="DU158" s="978"/>
      <c r="DV158" s="978"/>
      <c r="DW158" s="978">
        <v>2</v>
      </c>
      <c r="DX158" s="979">
        <v>3</v>
      </c>
      <c r="DZ158" s="977">
        <v>1</v>
      </c>
      <c r="EA158" s="978">
        <f t="shared" si="956"/>
        <v>0</v>
      </c>
      <c r="EB158" s="978">
        <f t="shared" si="956"/>
        <v>0</v>
      </c>
      <c r="EC158" s="978">
        <f t="shared" si="956"/>
        <v>2</v>
      </c>
      <c r="ED158" s="979">
        <f t="shared" si="956"/>
        <v>3</v>
      </c>
      <c r="EE158" s="961"/>
      <c r="EF158" s="977">
        <f t="shared" si="957"/>
        <v>3</v>
      </c>
      <c r="EG158" s="978">
        <f t="shared" si="900"/>
        <v>2</v>
      </c>
      <c r="EH158" s="978">
        <f t="shared" si="900"/>
        <v>3</v>
      </c>
      <c r="EI158" s="978">
        <f t="shared" si="900"/>
        <v>5</v>
      </c>
      <c r="EJ158" s="978">
        <f t="shared" si="900"/>
        <v>5.5</v>
      </c>
      <c r="EK158" s="978">
        <f t="shared" si="900"/>
        <v>2.5</v>
      </c>
      <c r="EL158" s="978">
        <f t="shared" si="900"/>
        <v>2</v>
      </c>
      <c r="EM158" s="978">
        <f t="shared" si="900"/>
        <v>2.5</v>
      </c>
      <c r="EN158" s="978">
        <f t="shared" si="900"/>
        <v>3.5</v>
      </c>
      <c r="EO158" s="978">
        <f t="shared" si="900"/>
        <v>4</v>
      </c>
      <c r="EP158" s="978">
        <f t="shared" si="900"/>
        <v>2.5</v>
      </c>
      <c r="EQ158" s="979">
        <f t="shared" si="900"/>
        <v>2</v>
      </c>
      <c r="ES158" s="977">
        <f t="shared" si="958"/>
        <v>2</v>
      </c>
      <c r="ET158" s="978">
        <f t="shared" si="901"/>
        <v>1.5</v>
      </c>
      <c r="EU158" s="978">
        <f t="shared" si="902"/>
        <v>1</v>
      </c>
      <c r="EV158" s="978">
        <f t="shared" si="903"/>
        <v>1</v>
      </c>
      <c r="EW158" s="978">
        <f t="shared" si="904"/>
        <v>1</v>
      </c>
      <c r="EX158" s="978">
        <f t="shared" si="905"/>
        <v>1</v>
      </c>
      <c r="EY158" s="978">
        <f t="shared" si="906"/>
        <v>1</v>
      </c>
      <c r="EZ158" s="978">
        <f t="shared" si="907"/>
        <v>0.5</v>
      </c>
      <c r="FA158" s="978">
        <f t="shared" si="908"/>
        <v>0</v>
      </c>
      <c r="FB158" s="978">
        <f t="shared" si="909"/>
        <v>0.5</v>
      </c>
      <c r="FC158" s="978">
        <f t="shared" si="910"/>
        <v>1</v>
      </c>
      <c r="FD158" s="979">
        <f t="shared" si="911"/>
        <v>1</v>
      </c>
      <c r="FF158" s="977">
        <f t="shared" si="959"/>
        <v>1</v>
      </c>
      <c r="FG158" s="978">
        <f t="shared" si="912"/>
        <v>1</v>
      </c>
      <c r="FH158" s="978">
        <f t="shared" si="913"/>
        <v>1</v>
      </c>
      <c r="FI158" s="978">
        <f t="shared" si="914"/>
        <v>1</v>
      </c>
      <c r="FJ158" s="978">
        <f t="shared" si="915"/>
        <v>1</v>
      </c>
      <c r="FK158" s="978">
        <f t="shared" si="916"/>
        <v>1</v>
      </c>
      <c r="FL158" s="978">
        <f t="shared" si="917"/>
        <v>1</v>
      </c>
      <c r="FM158" s="978">
        <f t="shared" si="918"/>
        <v>0.5</v>
      </c>
      <c r="FN158" s="978">
        <f t="shared" si="919"/>
        <v>0</v>
      </c>
      <c r="FO158" s="978">
        <f t="shared" si="920"/>
        <v>0.5</v>
      </c>
      <c r="FP158" s="978">
        <f t="shared" si="921"/>
        <v>1</v>
      </c>
      <c r="FQ158" s="979">
        <f t="shared" si="922"/>
        <v>1</v>
      </c>
      <c r="FS158" s="977">
        <f t="shared" si="960"/>
        <v>1</v>
      </c>
      <c r="FT158" s="978">
        <f t="shared" si="923"/>
        <v>1</v>
      </c>
      <c r="FU158" s="978">
        <f t="shared" si="924"/>
        <v>1</v>
      </c>
      <c r="FV158" s="978">
        <f t="shared" si="925"/>
        <v>1</v>
      </c>
      <c r="FW158" s="978">
        <f t="shared" si="926"/>
        <v>1</v>
      </c>
      <c r="FX158" s="978">
        <f t="shared" si="927"/>
        <v>1</v>
      </c>
      <c r="FY158" s="978">
        <f t="shared" si="928"/>
        <v>1</v>
      </c>
      <c r="FZ158" s="978">
        <f t="shared" si="929"/>
        <v>0.5</v>
      </c>
      <c r="GA158" s="978">
        <f t="shared" si="930"/>
        <v>0</v>
      </c>
      <c r="GB158" s="978">
        <f t="shared" si="931"/>
        <v>0</v>
      </c>
      <c r="GC158" s="978">
        <f t="shared" si="932"/>
        <v>0</v>
      </c>
      <c r="GD158" s="979">
        <f t="shared" si="933"/>
        <v>0</v>
      </c>
      <c r="GF158" s="977">
        <f t="shared" si="961"/>
        <v>0</v>
      </c>
      <c r="GG158" s="978">
        <f t="shared" si="934"/>
        <v>0</v>
      </c>
      <c r="GH158" s="978">
        <f t="shared" si="935"/>
        <v>0</v>
      </c>
      <c r="GI158" s="978">
        <f t="shared" si="936"/>
        <v>0</v>
      </c>
      <c r="GJ158" s="978">
        <f t="shared" si="937"/>
        <v>0</v>
      </c>
      <c r="GK158" s="978">
        <f t="shared" si="938"/>
        <v>0</v>
      </c>
      <c r="GL158" s="978">
        <f t="shared" si="939"/>
        <v>0</v>
      </c>
      <c r="GM158" s="978">
        <f t="shared" si="940"/>
        <v>0</v>
      </c>
      <c r="GN158" s="978">
        <f t="shared" si="941"/>
        <v>0</v>
      </c>
      <c r="GO158" s="978">
        <f t="shared" si="942"/>
        <v>0</v>
      </c>
      <c r="GP158" s="978">
        <f t="shared" si="943"/>
        <v>0</v>
      </c>
      <c r="GQ158" s="979">
        <f t="shared" si="944"/>
        <v>0</v>
      </c>
      <c r="GS158" s="977">
        <f t="shared" si="962"/>
        <v>0</v>
      </c>
      <c r="GT158" s="978">
        <f t="shared" si="945"/>
        <v>0</v>
      </c>
      <c r="GU158" s="978">
        <f t="shared" si="946"/>
        <v>0</v>
      </c>
      <c r="GV158" s="978">
        <f t="shared" si="947"/>
        <v>0</v>
      </c>
      <c r="GW158" s="978">
        <f t="shared" si="948"/>
        <v>0</v>
      </c>
      <c r="GX158" s="978">
        <f t="shared" si="949"/>
        <v>0</v>
      </c>
      <c r="GY158" s="978">
        <f t="shared" si="950"/>
        <v>0</v>
      </c>
      <c r="GZ158" s="978">
        <f t="shared" si="951"/>
        <v>0</v>
      </c>
      <c r="HA158" s="978">
        <f t="shared" si="952"/>
        <v>0</v>
      </c>
      <c r="HB158" s="978">
        <f t="shared" si="953"/>
        <v>0</v>
      </c>
      <c r="HC158" s="978">
        <f t="shared" si="954"/>
        <v>0</v>
      </c>
      <c r="HD158" s="979">
        <f t="shared" si="955"/>
        <v>0</v>
      </c>
    </row>
    <row r="159" spans="2:212" ht="14.25">
      <c r="B159" s="971" t="s">
        <v>1112</v>
      </c>
      <c r="C159" s="1101"/>
      <c r="D159" s="1102"/>
      <c r="E159" s="31"/>
      <c r="F159" s="31"/>
      <c r="G159" s="31"/>
      <c r="H159" s="31"/>
      <c r="I159" s="31"/>
      <c r="N159" s="1899"/>
      <c r="O159" s="940" t="s">
        <v>127</v>
      </c>
      <c r="P159" s="595">
        <v>4</v>
      </c>
      <c r="Q159" s="595">
        <v>2</v>
      </c>
      <c r="R159" s="595">
        <v>1</v>
      </c>
      <c r="S159" s="595">
        <v>2</v>
      </c>
      <c r="T159" s="595">
        <v>1</v>
      </c>
      <c r="U159" s="595">
        <v>2</v>
      </c>
      <c r="V159" s="595">
        <v>2</v>
      </c>
      <c r="AA159" s="1899"/>
      <c r="AB159" s="940" t="s">
        <v>127</v>
      </c>
      <c r="DK159" s="1899"/>
      <c r="DL159" s="940" t="s">
        <v>127</v>
      </c>
      <c r="DN159" s="977">
        <v>0</v>
      </c>
      <c r="DO159" s="978">
        <v>1</v>
      </c>
      <c r="DP159" s="978"/>
      <c r="DQ159" s="978"/>
      <c r="DR159" s="979">
        <v>2</v>
      </c>
      <c r="DT159" s="977">
        <v>0</v>
      </c>
      <c r="DU159" s="978">
        <v>1</v>
      </c>
      <c r="DV159" s="978"/>
      <c r="DW159" s="978"/>
      <c r="DX159" s="979">
        <v>2</v>
      </c>
      <c r="DZ159" s="977">
        <v>0</v>
      </c>
      <c r="EA159" s="978">
        <f t="shared" si="956"/>
        <v>1</v>
      </c>
      <c r="EB159" s="978">
        <f t="shared" si="956"/>
        <v>0</v>
      </c>
      <c r="EC159" s="978">
        <f t="shared" si="956"/>
        <v>0</v>
      </c>
      <c r="ED159" s="979">
        <f t="shared" si="956"/>
        <v>2</v>
      </c>
      <c r="EE159" s="961"/>
      <c r="EF159" s="977">
        <f t="shared" si="957"/>
        <v>3</v>
      </c>
      <c r="EG159" s="978">
        <f t="shared" si="900"/>
        <v>3</v>
      </c>
      <c r="EH159" s="978">
        <f t="shared" si="900"/>
        <v>2</v>
      </c>
      <c r="EI159" s="978">
        <f t="shared" si="900"/>
        <v>3</v>
      </c>
      <c r="EJ159" s="978">
        <f t="shared" si="900"/>
        <v>5</v>
      </c>
      <c r="EK159" s="978">
        <f t="shared" si="900"/>
        <v>5.5</v>
      </c>
      <c r="EL159" s="978">
        <f t="shared" si="900"/>
        <v>2.5</v>
      </c>
      <c r="EM159" s="978">
        <f t="shared" si="900"/>
        <v>2</v>
      </c>
      <c r="EN159" s="978">
        <f t="shared" si="900"/>
        <v>2.5</v>
      </c>
      <c r="EO159" s="978">
        <f t="shared" si="900"/>
        <v>3.5</v>
      </c>
      <c r="EP159" s="978">
        <f t="shared" si="900"/>
        <v>4</v>
      </c>
      <c r="EQ159" s="979">
        <f t="shared" si="900"/>
        <v>2.5</v>
      </c>
      <c r="ES159" s="977">
        <f t="shared" si="958"/>
        <v>2</v>
      </c>
      <c r="ET159" s="978">
        <f t="shared" si="901"/>
        <v>2</v>
      </c>
      <c r="EU159" s="978">
        <f t="shared" si="902"/>
        <v>1.5</v>
      </c>
      <c r="EV159" s="978">
        <f t="shared" si="903"/>
        <v>1</v>
      </c>
      <c r="EW159" s="978">
        <f t="shared" si="904"/>
        <v>1</v>
      </c>
      <c r="EX159" s="978">
        <f t="shared" si="905"/>
        <v>1</v>
      </c>
      <c r="EY159" s="978">
        <f t="shared" si="906"/>
        <v>1</v>
      </c>
      <c r="EZ159" s="978">
        <f t="shared" si="907"/>
        <v>1</v>
      </c>
      <c r="FA159" s="978">
        <f t="shared" si="908"/>
        <v>0.5</v>
      </c>
      <c r="FB159" s="978">
        <f t="shared" si="909"/>
        <v>0</v>
      </c>
      <c r="FC159" s="978">
        <f t="shared" si="910"/>
        <v>0.5</v>
      </c>
      <c r="FD159" s="979">
        <f t="shared" si="911"/>
        <v>1</v>
      </c>
      <c r="FF159" s="977">
        <f t="shared" si="959"/>
        <v>1</v>
      </c>
      <c r="FG159" s="978">
        <f t="shared" si="912"/>
        <v>1</v>
      </c>
      <c r="FH159" s="978">
        <f t="shared" si="913"/>
        <v>1</v>
      </c>
      <c r="FI159" s="978">
        <f t="shared" si="914"/>
        <v>1</v>
      </c>
      <c r="FJ159" s="978">
        <f t="shared" si="915"/>
        <v>1</v>
      </c>
      <c r="FK159" s="978">
        <f t="shared" si="916"/>
        <v>1</v>
      </c>
      <c r="FL159" s="978">
        <f t="shared" si="917"/>
        <v>1</v>
      </c>
      <c r="FM159" s="978">
        <f t="shared" si="918"/>
        <v>1</v>
      </c>
      <c r="FN159" s="978">
        <f t="shared" si="919"/>
        <v>0.5</v>
      </c>
      <c r="FO159" s="978">
        <f t="shared" si="920"/>
        <v>0</v>
      </c>
      <c r="FP159" s="978">
        <f t="shared" si="921"/>
        <v>0.5</v>
      </c>
      <c r="FQ159" s="979">
        <f t="shared" si="922"/>
        <v>1</v>
      </c>
      <c r="FS159" s="977">
        <f t="shared" si="960"/>
        <v>1</v>
      </c>
      <c r="FT159" s="978">
        <f t="shared" si="923"/>
        <v>1</v>
      </c>
      <c r="FU159" s="978">
        <f t="shared" si="924"/>
        <v>1</v>
      </c>
      <c r="FV159" s="978">
        <f t="shared" si="925"/>
        <v>1</v>
      </c>
      <c r="FW159" s="978">
        <f t="shared" si="926"/>
        <v>1</v>
      </c>
      <c r="FX159" s="978">
        <f t="shared" si="927"/>
        <v>1</v>
      </c>
      <c r="FY159" s="978">
        <f t="shared" si="928"/>
        <v>1</v>
      </c>
      <c r="FZ159" s="978">
        <f t="shared" si="929"/>
        <v>1</v>
      </c>
      <c r="GA159" s="978">
        <f t="shared" si="930"/>
        <v>0.5</v>
      </c>
      <c r="GB159" s="978">
        <f t="shared" si="931"/>
        <v>0</v>
      </c>
      <c r="GC159" s="978">
        <f t="shared" si="932"/>
        <v>0</v>
      </c>
      <c r="GD159" s="979">
        <f t="shared" si="933"/>
        <v>0</v>
      </c>
      <c r="GF159" s="977">
        <f t="shared" si="961"/>
        <v>0</v>
      </c>
      <c r="GG159" s="978">
        <f t="shared" si="934"/>
        <v>0</v>
      </c>
      <c r="GH159" s="978">
        <f t="shared" si="935"/>
        <v>0</v>
      </c>
      <c r="GI159" s="978">
        <f t="shared" si="936"/>
        <v>0</v>
      </c>
      <c r="GJ159" s="978">
        <f t="shared" si="937"/>
        <v>0</v>
      </c>
      <c r="GK159" s="978">
        <f t="shared" si="938"/>
        <v>0</v>
      </c>
      <c r="GL159" s="978">
        <f t="shared" si="939"/>
        <v>0</v>
      </c>
      <c r="GM159" s="978">
        <f t="shared" si="940"/>
        <v>0</v>
      </c>
      <c r="GN159" s="978">
        <f t="shared" si="941"/>
        <v>0</v>
      </c>
      <c r="GO159" s="978">
        <f t="shared" si="942"/>
        <v>0</v>
      </c>
      <c r="GP159" s="978">
        <f t="shared" si="943"/>
        <v>0</v>
      </c>
      <c r="GQ159" s="979">
        <f t="shared" si="944"/>
        <v>0</v>
      </c>
      <c r="GS159" s="977">
        <f t="shared" si="962"/>
        <v>0</v>
      </c>
      <c r="GT159" s="978">
        <f t="shared" si="945"/>
        <v>0</v>
      </c>
      <c r="GU159" s="978">
        <f t="shared" si="946"/>
        <v>0</v>
      </c>
      <c r="GV159" s="978">
        <f t="shared" si="947"/>
        <v>0</v>
      </c>
      <c r="GW159" s="978">
        <f t="shared" si="948"/>
        <v>0</v>
      </c>
      <c r="GX159" s="978">
        <f t="shared" si="949"/>
        <v>0</v>
      </c>
      <c r="GY159" s="978">
        <f t="shared" si="950"/>
        <v>0</v>
      </c>
      <c r="GZ159" s="978">
        <f t="shared" si="951"/>
        <v>0</v>
      </c>
      <c r="HA159" s="978">
        <f t="shared" si="952"/>
        <v>0</v>
      </c>
      <c r="HB159" s="978">
        <f t="shared" si="953"/>
        <v>0</v>
      </c>
      <c r="HC159" s="978">
        <f t="shared" si="954"/>
        <v>0</v>
      </c>
      <c r="HD159" s="979">
        <f t="shared" si="955"/>
        <v>0</v>
      </c>
    </row>
    <row r="160" spans="2:212">
      <c r="B160" s="1078" t="s">
        <v>1097</v>
      </c>
      <c r="C160" s="971"/>
      <c r="D160" s="971"/>
      <c r="E160" s="1100"/>
      <c r="F160" s="1100"/>
      <c r="G160" s="1100"/>
      <c r="H160" s="1100"/>
      <c r="I160" s="1100"/>
      <c r="N160" s="1899"/>
      <c r="O160" s="940" t="s">
        <v>163</v>
      </c>
      <c r="Q160" s="595">
        <v>4</v>
      </c>
      <c r="R160" s="595">
        <v>2</v>
      </c>
      <c r="S160" s="595">
        <v>1</v>
      </c>
      <c r="T160" s="595">
        <v>2</v>
      </c>
      <c r="U160" s="595">
        <v>1</v>
      </c>
      <c r="V160" s="595">
        <v>2</v>
      </c>
      <c r="AA160" s="1899"/>
      <c r="AB160" s="940" t="s">
        <v>163</v>
      </c>
      <c r="DK160" s="1899"/>
      <c r="DL160" s="940" t="s">
        <v>163</v>
      </c>
      <c r="DN160" s="977">
        <v>2</v>
      </c>
      <c r="DO160" s="978"/>
      <c r="DP160" s="978">
        <v>1</v>
      </c>
      <c r="DQ160" s="978"/>
      <c r="DR160" s="979"/>
      <c r="DT160" s="977">
        <v>2</v>
      </c>
      <c r="DU160" s="978"/>
      <c r="DV160" s="978">
        <v>1</v>
      </c>
      <c r="DW160" s="978"/>
      <c r="DX160" s="979"/>
      <c r="DZ160" s="977">
        <v>2</v>
      </c>
      <c r="EA160" s="978">
        <f t="shared" si="956"/>
        <v>0</v>
      </c>
      <c r="EB160" s="978">
        <f t="shared" si="956"/>
        <v>1</v>
      </c>
      <c r="EC160" s="978">
        <f t="shared" si="956"/>
        <v>0</v>
      </c>
      <c r="ED160" s="979">
        <f t="shared" si="956"/>
        <v>0</v>
      </c>
      <c r="EE160" s="961"/>
      <c r="EF160" s="977">
        <f t="shared" si="957"/>
        <v>2</v>
      </c>
      <c r="EG160" s="978">
        <f t="shared" si="900"/>
        <v>3</v>
      </c>
      <c r="EH160" s="978">
        <f t="shared" si="900"/>
        <v>3</v>
      </c>
      <c r="EI160" s="978">
        <f t="shared" si="900"/>
        <v>2</v>
      </c>
      <c r="EJ160" s="978">
        <f t="shared" si="900"/>
        <v>3</v>
      </c>
      <c r="EK160" s="978">
        <f t="shared" si="900"/>
        <v>5</v>
      </c>
      <c r="EL160" s="978">
        <f t="shared" si="900"/>
        <v>5.5</v>
      </c>
      <c r="EM160" s="978">
        <f t="shared" si="900"/>
        <v>2.5</v>
      </c>
      <c r="EN160" s="978">
        <f t="shared" si="900"/>
        <v>2</v>
      </c>
      <c r="EO160" s="978">
        <f t="shared" si="900"/>
        <v>2.5</v>
      </c>
      <c r="EP160" s="978">
        <f t="shared" si="900"/>
        <v>3.5</v>
      </c>
      <c r="EQ160" s="979">
        <f t="shared" si="900"/>
        <v>4</v>
      </c>
      <c r="ES160" s="977">
        <f t="shared" si="958"/>
        <v>2.5</v>
      </c>
      <c r="ET160" s="978">
        <f t="shared" si="901"/>
        <v>2</v>
      </c>
      <c r="EU160" s="978">
        <f t="shared" si="902"/>
        <v>2</v>
      </c>
      <c r="EV160" s="978">
        <f t="shared" si="903"/>
        <v>1.5</v>
      </c>
      <c r="EW160" s="978">
        <f t="shared" si="904"/>
        <v>1</v>
      </c>
      <c r="EX160" s="978">
        <f t="shared" si="905"/>
        <v>1</v>
      </c>
      <c r="EY160" s="978">
        <f t="shared" si="906"/>
        <v>1</v>
      </c>
      <c r="EZ160" s="978">
        <f t="shared" si="907"/>
        <v>1</v>
      </c>
      <c r="FA160" s="978">
        <f t="shared" si="908"/>
        <v>1</v>
      </c>
      <c r="FB160" s="978">
        <f t="shared" si="909"/>
        <v>0.5</v>
      </c>
      <c r="FC160" s="978">
        <f t="shared" si="910"/>
        <v>0</v>
      </c>
      <c r="FD160" s="979">
        <f t="shared" si="911"/>
        <v>0.5</v>
      </c>
      <c r="FF160" s="977">
        <f t="shared" si="959"/>
        <v>1</v>
      </c>
      <c r="FG160" s="978">
        <f t="shared" si="912"/>
        <v>1</v>
      </c>
      <c r="FH160" s="978">
        <f t="shared" si="913"/>
        <v>1</v>
      </c>
      <c r="FI160" s="978">
        <f t="shared" si="914"/>
        <v>1</v>
      </c>
      <c r="FJ160" s="978">
        <f t="shared" si="915"/>
        <v>1</v>
      </c>
      <c r="FK160" s="978">
        <f t="shared" si="916"/>
        <v>1</v>
      </c>
      <c r="FL160" s="978">
        <f t="shared" si="917"/>
        <v>1</v>
      </c>
      <c r="FM160" s="978">
        <f t="shared" si="918"/>
        <v>1</v>
      </c>
      <c r="FN160" s="978">
        <f t="shared" si="919"/>
        <v>1</v>
      </c>
      <c r="FO160" s="978">
        <f t="shared" si="920"/>
        <v>0.5</v>
      </c>
      <c r="FP160" s="978">
        <f t="shared" si="921"/>
        <v>0</v>
      </c>
      <c r="FQ160" s="979">
        <f t="shared" si="922"/>
        <v>0.5</v>
      </c>
      <c r="FS160" s="977">
        <f t="shared" si="960"/>
        <v>1</v>
      </c>
      <c r="FT160" s="978">
        <f t="shared" si="923"/>
        <v>1</v>
      </c>
      <c r="FU160" s="978">
        <f t="shared" si="924"/>
        <v>1</v>
      </c>
      <c r="FV160" s="978">
        <f t="shared" si="925"/>
        <v>1</v>
      </c>
      <c r="FW160" s="978">
        <f t="shared" si="926"/>
        <v>1</v>
      </c>
      <c r="FX160" s="978">
        <f t="shared" si="927"/>
        <v>1</v>
      </c>
      <c r="FY160" s="978">
        <f t="shared" si="928"/>
        <v>1</v>
      </c>
      <c r="FZ160" s="978">
        <f t="shared" si="929"/>
        <v>1</v>
      </c>
      <c r="GA160" s="978">
        <f t="shared" si="930"/>
        <v>1</v>
      </c>
      <c r="GB160" s="978">
        <f t="shared" si="931"/>
        <v>0.5</v>
      </c>
      <c r="GC160" s="978">
        <f t="shared" si="932"/>
        <v>0</v>
      </c>
      <c r="GD160" s="979">
        <f t="shared" si="933"/>
        <v>0</v>
      </c>
      <c r="GF160" s="977">
        <f t="shared" si="961"/>
        <v>0</v>
      </c>
      <c r="GG160" s="978">
        <f t="shared" si="934"/>
        <v>0</v>
      </c>
      <c r="GH160" s="978">
        <f t="shared" si="935"/>
        <v>0</v>
      </c>
      <c r="GI160" s="978">
        <f t="shared" si="936"/>
        <v>0</v>
      </c>
      <c r="GJ160" s="978">
        <f t="shared" si="937"/>
        <v>0</v>
      </c>
      <c r="GK160" s="978">
        <f t="shared" si="938"/>
        <v>0</v>
      </c>
      <c r="GL160" s="978">
        <f t="shared" si="939"/>
        <v>0</v>
      </c>
      <c r="GM160" s="978">
        <f t="shared" si="940"/>
        <v>0</v>
      </c>
      <c r="GN160" s="978">
        <f t="shared" si="941"/>
        <v>0</v>
      </c>
      <c r="GO160" s="978">
        <f t="shared" si="942"/>
        <v>0</v>
      </c>
      <c r="GP160" s="978">
        <f t="shared" si="943"/>
        <v>0</v>
      </c>
      <c r="GQ160" s="979">
        <f t="shared" si="944"/>
        <v>0</v>
      </c>
      <c r="GS160" s="977">
        <f t="shared" si="962"/>
        <v>0</v>
      </c>
      <c r="GT160" s="978">
        <f t="shared" si="945"/>
        <v>0</v>
      </c>
      <c r="GU160" s="978">
        <f t="shared" si="946"/>
        <v>0</v>
      </c>
      <c r="GV160" s="978">
        <f t="shared" si="947"/>
        <v>0</v>
      </c>
      <c r="GW160" s="978">
        <f t="shared" si="948"/>
        <v>0</v>
      </c>
      <c r="GX160" s="978">
        <f t="shared" si="949"/>
        <v>0</v>
      </c>
      <c r="GY160" s="978">
        <f t="shared" si="950"/>
        <v>0</v>
      </c>
      <c r="GZ160" s="978">
        <f t="shared" si="951"/>
        <v>0</v>
      </c>
      <c r="HA160" s="978">
        <f t="shared" si="952"/>
        <v>0</v>
      </c>
      <c r="HB160" s="978">
        <f t="shared" si="953"/>
        <v>0</v>
      </c>
      <c r="HC160" s="978">
        <f t="shared" si="954"/>
        <v>0</v>
      </c>
      <c r="HD160" s="979">
        <f t="shared" si="955"/>
        <v>0</v>
      </c>
    </row>
    <row r="161" spans="2:212">
      <c r="B161" s="963"/>
      <c r="D161" s="931"/>
      <c r="E161" s="931"/>
      <c r="F161" s="931"/>
      <c r="G161" s="989"/>
      <c r="H161" s="931"/>
      <c r="I161" s="596"/>
      <c r="N161" s="1899"/>
      <c r="O161" s="940" t="s">
        <v>164</v>
      </c>
      <c r="R161" s="595">
        <v>3</v>
      </c>
      <c r="S161" s="595">
        <v>2</v>
      </c>
      <c r="T161" s="595">
        <v>1</v>
      </c>
      <c r="U161" s="595">
        <v>2</v>
      </c>
      <c r="V161" s="595">
        <v>1</v>
      </c>
      <c r="AA161" s="1899"/>
      <c r="AB161" s="940" t="s">
        <v>164</v>
      </c>
      <c r="DK161" s="1899"/>
      <c r="DL161" s="940" t="s">
        <v>164</v>
      </c>
      <c r="DN161" s="977">
        <v>2</v>
      </c>
      <c r="DO161" s="978">
        <v>2</v>
      </c>
      <c r="DP161" s="978"/>
      <c r="DQ161" s="978">
        <v>1</v>
      </c>
      <c r="DR161" s="979"/>
      <c r="DT161" s="977">
        <v>2</v>
      </c>
      <c r="DU161" s="978">
        <v>2</v>
      </c>
      <c r="DV161" s="978"/>
      <c r="DW161" s="978">
        <v>1</v>
      </c>
      <c r="DX161" s="979"/>
      <c r="DZ161" s="977">
        <v>2</v>
      </c>
      <c r="EA161" s="978">
        <f t="shared" si="956"/>
        <v>2</v>
      </c>
      <c r="EB161" s="978">
        <f t="shared" si="956"/>
        <v>0</v>
      </c>
      <c r="EC161" s="978">
        <f t="shared" si="956"/>
        <v>1</v>
      </c>
      <c r="ED161" s="979">
        <f t="shared" si="956"/>
        <v>0</v>
      </c>
      <c r="EE161" s="961"/>
      <c r="EF161" s="977">
        <f t="shared" si="957"/>
        <v>0</v>
      </c>
      <c r="EG161" s="978">
        <f t="shared" si="900"/>
        <v>2</v>
      </c>
      <c r="EH161" s="978">
        <f t="shared" si="900"/>
        <v>3</v>
      </c>
      <c r="EI161" s="978">
        <f t="shared" si="900"/>
        <v>3</v>
      </c>
      <c r="EJ161" s="978">
        <f t="shared" si="900"/>
        <v>2</v>
      </c>
      <c r="EK161" s="978">
        <f t="shared" si="900"/>
        <v>3</v>
      </c>
      <c r="EL161" s="978">
        <f t="shared" si="900"/>
        <v>5</v>
      </c>
      <c r="EM161" s="978">
        <f t="shared" si="900"/>
        <v>5.5</v>
      </c>
      <c r="EN161" s="978">
        <f t="shared" si="900"/>
        <v>2.5</v>
      </c>
      <c r="EO161" s="978">
        <f t="shared" si="900"/>
        <v>2</v>
      </c>
      <c r="EP161" s="978">
        <f t="shared" si="900"/>
        <v>2.5</v>
      </c>
      <c r="EQ161" s="979">
        <f t="shared" si="900"/>
        <v>3.5</v>
      </c>
      <c r="ES161" s="977">
        <f t="shared" si="958"/>
        <v>4</v>
      </c>
      <c r="ET161" s="978">
        <f t="shared" si="901"/>
        <v>2.5</v>
      </c>
      <c r="EU161" s="978">
        <f t="shared" si="902"/>
        <v>2</v>
      </c>
      <c r="EV161" s="978">
        <f t="shared" si="903"/>
        <v>2</v>
      </c>
      <c r="EW161" s="978">
        <f t="shared" si="904"/>
        <v>1.5</v>
      </c>
      <c r="EX161" s="978">
        <f t="shared" si="905"/>
        <v>1</v>
      </c>
      <c r="EY161" s="978">
        <f t="shared" si="906"/>
        <v>1</v>
      </c>
      <c r="EZ161" s="978">
        <f t="shared" si="907"/>
        <v>1</v>
      </c>
      <c r="FA161" s="978">
        <f t="shared" si="908"/>
        <v>1</v>
      </c>
      <c r="FB161" s="978">
        <f t="shared" si="909"/>
        <v>1</v>
      </c>
      <c r="FC161" s="978">
        <f t="shared" si="910"/>
        <v>0.5</v>
      </c>
      <c r="FD161" s="979">
        <f t="shared" si="911"/>
        <v>0</v>
      </c>
      <c r="FF161" s="977">
        <f t="shared" si="959"/>
        <v>0.5</v>
      </c>
      <c r="FG161" s="978">
        <f t="shared" si="912"/>
        <v>1</v>
      </c>
      <c r="FH161" s="978">
        <f t="shared" si="913"/>
        <v>1</v>
      </c>
      <c r="FI161" s="978">
        <f t="shared" si="914"/>
        <v>1</v>
      </c>
      <c r="FJ161" s="978">
        <f t="shared" si="915"/>
        <v>1</v>
      </c>
      <c r="FK161" s="978">
        <f t="shared" si="916"/>
        <v>1</v>
      </c>
      <c r="FL161" s="978">
        <f t="shared" si="917"/>
        <v>1</v>
      </c>
      <c r="FM161" s="978">
        <f t="shared" si="918"/>
        <v>1</v>
      </c>
      <c r="FN161" s="978">
        <f t="shared" si="919"/>
        <v>1</v>
      </c>
      <c r="FO161" s="978">
        <f t="shared" si="920"/>
        <v>1</v>
      </c>
      <c r="FP161" s="978">
        <f t="shared" si="921"/>
        <v>0.5</v>
      </c>
      <c r="FQ161" s="979">
        <f t="shared" si="922"/>
        <v>0</v>
      </c>
      <c r="FS161" s="977">
        <f t="shared" si="960"/>
        <v>0.5</v>
      </c>
      <c r="FT161" s="978">
        <f t="shared" si="923"/>
        <v>1</v>
      </c>
      <c r="FU161" s="978">
        <f t="shared" si="924"/>
        <v>1</v>
      </c>
      <c r="FV161" s="978">
        <f t="shared" si="925"/>
        <v>1</v>
      </c>
      <c r="FW161" s="978">
        <f t="shared" si="926"/>
        <v>1</v>
      </c>
      <c r="FX161" s="978">
        <f t="shared" si="927"/>
        <v>1</v>
      </c>
      <c r="FY161" s="978">
        <f t="shared" si="928"/>
        <v>1</v>
      </c>
      <c r="FZ161" s="978">
        <f t="shared" si="929"/>
        <v>1</v>
      </c>
      <c r="GA161" s="978">
        <f t="shared" si="930"/>
        <v>1</v>
      </c>
      <c r="GB161" s="978">
        <f t="shared" si="931"/>
        <v>1</v>
      </c>
      <c r="GC161" s="978">
        <f t="shared" si="932"/>
        <v>0.5</v>
      </c>
      <c r="GD161" s="979">
        <f t="shared" si="933"/>
        <v>0</v>
      </c>
      <c r="GF161" s="977">
        <f t="shared" si="961"/>
        <v>0</v>
      </c>
      <c r="GG161" s="978">
        <f t="shared" si="934"/>
        <v>0</v>
      </c>
      <c r="GH161" s="978">
        <f t="shared" si="935"/>
        <v>0</v>
      </c>
      <c r="GI161" s="978">
        <f t="shared" si="936"/>
        <v>0</v>
      </c>
      <c r="GJ161" s="978">
        <f t="shared" si="937"/>
        <v>0</v>
      </c>
      <c r="GK161" s="978">
        <f t="shared" si="938"/>
        <v>0</v>
      </c>
      <c r="GL161" s="978">
        <f t="shared" si="939"/>
        <v>0</v>
      </c>
      <c r="GM161" s="978">
        <f t="shared" si="940"/>
        <v>0</v>
      </c>
      <c r="GN161" s="978">
        <f t="shared" si="941"/>
        <v>0</v>
      </c>
      <c r="GO161" s="978">
        <f t="shared" si="942"/>
        <v>0</v>
      </c>
      <c r="GP161" s="978">
        <f t="shared" si="943"/>
        <v>0</v>
      </c>
      <c r="GQ161" s="979">
        <f t="shared" si="944"/>
        <v>0</v>
      </c>
      <c r="GS161" s="977">
        <f t="shared" si="962"/>
        <v>0</v>
      </c>
      <c r="GT161" s="978">
        <f t="shared" si="945"/>
        <v>0</v>
      </c>
      <c r="GU161" s="978">
        <f t="shared" si="946"/>
        <v>0</v>
      </c>
      <c r="GV161" s="978">
        <f t="shared" si="947"/>
        <v>0</v>
      </c>
      <c r="GW161" s="978">
        <f t="shared" si="948"/>
        <v>0</v>
      </c>
      <c r="GX161" s="978">
        <f t="shared" si="949"/>
        <v>0</v>
      </c>
      <c r="GY161" s="978">
        <f t="shared" si="950"/>
        <v>0</v>
      </c>
      <c r="GZ161" s="978">
        <f t="shared" si="951"/>
        <v>0</v>
      </c>
      <c r="HA161" s="978">
        <f t="shared" si="952"/>
        <v>0</v>
      </c>
      <c r="HB161" s="978">
        <f t="shared" si="953"/>
        <v>0</v>
      </c>
      <c r="HC161" s="978">
        <f t="shared" si="954"/>
        <v>0</v>
      </c>
      <c r="HD161" s="979">
        <f t="shared" si="955"/>
        <v>0</v>
      </c>
    </row>
    <row r="162" spans="2:212">
      <c r="B162" s="960"/>
      <c r="C162" s="966" t="s">
        <v>1044</v>
      </c>
      <c r="D162" s="966"/>
      <c r="E162" s="966"/>
      <c r="F162" s="966"/>
      <c r="G162" s="966"/>
      <c r="H162" s="965"/>
      <c r="I162" s="965"/>
      <c r="N162" s="1899"/>
      <c r="O162" s="940" t="s">
        <v>166</v>
      </c>
      <c r="P162" s="595">
        <v>2</v>
      </c>
      <c r="S162" s="595">
        <v>3</v>
      </c>
      <c r="T162" s="595">
        <v>2</v>
      </c>
      <c r="U162" s="595">
        <v>1</v>
      </c>
      <c r="V162" s="595">
        <v>2</v>
      </c>
      <c r="AA162" s="1899"/>
      <c r="AB162" s="940" t="s">
        <v>166</v>
      </c>
      <c r="DK162" s="1899"/>
      <c r="DL162" s="940" t="s">
        <v>166</v>
      </c>
      <c r="DN162" s="977">
        <v>1</v>
      </c>
      <c r="DO162" s="978">
        <v>2</v>
      </c>
      <c r="DP162" s="978">
        <v>2</v>
      </c>
      <c r="DQ162" s="978"/>
      <c r="DR162" s="979">
        <v>1</v>
      </c>
      <c r="DT162" s="977">
        <v>1</v>
      </c>
      <c r="DU162" s="978">
        <v>2</v>
      </c>
      <c r="DV162" s="978">
        <v>2</v>
      </c>
      <c r="DW162" s="978"/>
      <c r="DX162" s="979">
        <v>1</v>
      </c>
      <c r="DZ162" s="977">
        <v>1</v>
      </c>
      <c r="EA162" s="978">
        <f t="shared" si="956"/>
        <v>2</v>
      </c>
      <c r="EB162" s="978">
        <f t="shared" si="956"/>
        <v>2</v>
      </c>
      <c r="EC162" s="978">
        <f t="shared" si="956"/>
        <v>0</v>
      </c>
      <c r="ED162" s="979">
        <f t="shared" si="956"/>
        <v>1</v>
      </c>
      <c r="EE162" s="961"/>
      <c r="EF162" s="977">
        <f t="shared" si="957"/>
        <v>0</v>
      </c>
      <c r="EG162" s="978">
        <f t="shared" si="900"/>
        <v>0</v>
      </c>
      <c r="EH162" s="978">
        <f t="shared" si="900"/>
        <v>2</v>
      </c>
      <c r="EI162" s="978">
        <f t="shared" si="900"/>
        <v>3</v>
      </c>
      <c r="EJ162" s="978">
        <f t="shared" si="900"/>
        <v>3</v>
      </c>
      <c r="EK162" s="978">
        <f t="shared" si="900"/>
        <v>2</v>
      </c>
      <c r="EL162" s="978">
        <f t="shared" si="900"/>
        <v>3</v>
      </c>
      <c r="EM162" s="978">
        <f t="shared" si="900"/>
        <v>5</v>
      </c>
      <c r="EN162" s="978">
        <f t="shared" si="900"/>
        <v>5.5</v>
      </c>
      <c r="EO162" s="978">
        <f t="shared" si="900"/>
        <v>2.5</v>
      </c>
      <c r="EP162" s="978">
        <f t="shared" si="900"/>
        <v>2</v>
      </c>
      <c r="EQ162" s="979">
        <f t="shared" si="900"/>
        <v>2.5</v>
      </c>
      <c r="ES162" s="977">
        <f t="shared" si="958"/>
        <v>3.5</v>
      </c>
      <c r="ET162" s="978">
        <f t="shared" si="901"/>
        <v>4</v>
      </c>
      <c r="EU162" s="978">
        <f t="shared" si="902"/>
        <v>2.5</v>
      </c>
      <c r="EV162" s="978">
        <f t="shared" si="903"/>
        <v>2</v>
      </c>
      <c r="EW162" s="978">
        <f t="shared" si="904"/>
        <v>2</v>
      </c>
      <c r="EX162" s="978">
        <f t="shared" si="905"/>
        <v>1.5</v>
      </c>
      <c r="EY162" s="978">
        <f t="shared" si="906"/>
        <v>1</v>
      </c>
      <c r="EZ162" s="978">
        <f t="shared" si="907"/>
        <v>1</v>
      </c>
      <c r="FA162" s="978">
        <f t="shared" si="908"/>
        <v>1</v>
      </c>
      <c r="FB162" s="978">
        <f t="shared" si="909"/>
        <v>1</v>
      </c>
      <c r="FC162" s="978">
        <f t="shared" si="910"/>
        <v>1</v>
      </c>
      <c r="FD162" s="979">
        <f t="shared" si="911"/>
        <v>0.5</v>
      </c>
      <c r="FF162" s="977">
        <f t="shared" si="959"/>
        <v>0</v>
      </c>
      <c r="FG162" s="978">
        <f t="shared" si="912"/>
        <v>0.5</v>
      </c>
      <c r="FH162" s="978">
        <f t="shared" si="913"/>
        <v>1</v>
      </c>
      <c r="FI162" s="978">
        <f t="shared" si="914"/>
        <v>1</v>
      </c>
      <c r="FJ162" s="978">
        <f t="shared" si="915"/>
        <v>1</v>
      </c>
      <c r="FK162" s="978">
        <f t="shared" si="916"/>
        <v>1</v>
      </c>
      <c r="FL162" s="978">
        <f t="shared" si="917"/>
        <v>1</v>
      </c>
      <c r="FM162" s="978">
        <f t="shared" si="918"/>
        <v>1</v>
      </c>
      <c r="FN162" s="978">
        <f t="shared" si="919"/>
        <v>1</v>
      </c>
      <c r="FO162" s="978">
        <f t="shared" si="920"/>
        <v>1</v>
      </c>
      <c r="FP162" s="978">
        <f t="shared" si="921"/>
        <v>1</v>
      </c>
      <c r="FQ162" s="979">
        <f t="shared" si="922"/>
        <v>0.5</v>
      </c>
      <c r="FS162" s="977">
        <f t="shared" si="960"/>
        <v>0</v>
      </c>
      <c r="FT162" s="978">
        <f t="shared" si="923"/>
        <v>0.5</v>
      </c>
      <c r="FU162" s="978">
        <f t="shared" si="924"/>
        <v>1</v>
      </c>
      <c r="FV162" s="978">
        <f t="shared" si="925"/>
        <v>1</v>
      </c>
      <c r="FW162" s="978">
        <f t="shared" si="926"/>
        <v>1</v>
      </c>
      <c r="FX162" s="978">
        <f t="shared" si="927"/>
        <v>1</v>
      </c>
      <c r="FY162" s="978">
        <f t="shared" si="928"/>
        <v>1</v>
      </c>
      <c r="FZ162" s="978">
        <f t="shared" si="929"/>
        <v>1</v>
      </c>
      <c r="GA162" s="978">
        <f t="shared" si="930"/>
        <v>1</v>
      </c>
      <c r="GB162" s="978">
        <f t="shared" si="931"/>
        <v>1</v>
      </c>
      <c r="GC162" s="978">
        <f t="shared" si="932"/>
        <v>1</v>
      </c>
      <c r="GD162" s="979">
        <f t="shared" si="933"/>
        <v>0.5</v>
      </c>
      <c r="GF162" s="977">
        <f t="shared" si="961"/>
        <v>0</v>
      </c>
      <c r="GG162" s="978">
        <f t="shared" si="934"/>
        <v>0</v>
      </c>
      <c r="GH162" s="978">
        <f t="shared" si="935"/>
        <v>0</v>
      </c>
      <c r="GI162" s="978">
        <f t="shared" si="936"/>
        <v>0</v>
      </c>
      <c r="GJ162" s="978">
        <f t="shared" si="937"/>
        <v>0</v>
      </c>
      <c r="GK162" s="978">
        <f t="shared" si="938"/>
        <v>0</v>
      </c>
      <c r="GL162" s="978">
        <f t="shared" si="939"/>
        <v>0</v>
      </c>
      <c r="GM162" s="978">
        <f t="shared" si="940"/>
        <v>0</v>
      </c>
      <c r="GN162" s="978">
        <f t="shared" si="941"/>
        <v>0</v>
      </c>
      <c r="GO162" s="978">
        <f t="shared" si="942"/>
        <v>0</v>
      </c>
      <c r="GP162" s="978">
        <f t="shared" si="943"/>
        <v>0</v>
      </c>
      <c r="GQ162" s="979">
        <f t="shared" si="944"/>
        <v>0</v>
      </c>
      <c r="GS162" s="977">
        <f t="shared" si="962"/>
        <v>0</v>
      </c>
      <c r="GT162" s="978">
        <f t="shared" si="945"/>
        <v>0</v>
      </c>
      <c r="GU162" s="978">
        <f t="shared" si="946"/>
        <v>0</v>
      </c>
      <c r="GV162" s="978">
        <f t="shared" si="947"/>
        <v>0</v>
      </c>
      <c r="GW162" s="978">
        <f t="shared" si="948"/>
        <v>0</v>
      </c>
      <c r="GX162" s="978">
        <f t="shared" si="949"/>
        <v>0</v>
      </c>
      <c r="GY162" s="978">
        <f t="shared" si="950"/>
        <v>0</v>
      </c>
      <c r="GZ162" s="978">
        <f t="shared" si="951"/>
        <v>0</v>
      </c>
      <c r="HA162" s="978">
        <f t="shared" si="952"/>
        <v>0</v>
      </c>
      <c r="HB162" s="978">
        <f t="shared" si="953"/>
        <v>0</v>
      </c>
      <c r="HC162" s="978">
        <f t="shared" si="954"/>
        <v>0</v>
      </c>
      <c r="HD162" s="979">
        <f t="shared" si="955"/>
        <v>0</v>
      </c>
    </row>
    <row r="163" spans="2:212">
      <c r="B163" s="960"/>
      <c r="C163" s="990" t="s">
        <v>1045</v>
      </c>
      <c r="D163" s="960"/>
      <c r="E163" s="960"/>
      <c r="F163" s="960"/>
      <c r="G163" s="960"/>
      <c r="H163" s="964"/>
      <c r="I163" s="964"/>
      <c r="N163" s="1899"/>
      <c r="O163" s="940" t="s">
        <v>1061</v>
      </c>
      <c r="AA163" s="1899"/>
      <c r="AB163" s="940" t="s">
        <v>1061</v>
      </c>
      <c r="DK163" s="1899"/>
      <c r="DL163" s="940" t="s">
        <v>1061</v>
      </c>
      <c r="DN163" s="977"/>
      <c r="DO163" s="978"/>
      <c r="DP163" s="978"/>
      <c r="DQ163" s="978"/>
      <c r="DR163" s="979"/>
      <c r="DT163" s="977"/>
      <c r="DU163" s="978"/>
      <c r="DV163" s="978"/>
      <c r="DW163" s="978"/>
      <c r="DX163" s="979"/>
      <c r="DZ163" s="977"/>
      <c r="EA163" s="978"/>
      <c r="EB163" s="978"/>
      <c r="EC163" s="978"/>
      <c r="ED163" s="979"/>
      <c r="EF163" s="977"/>
      <c r="EG163" s="978"/>
      <c r="EH163" s="978"/>
      <c r="EI163" s="978"/>
      <c r="EJ163" s="978"/>
      <c r="EK163" s="978"/>
      <c r="EL163" s="978"/>
      <c r="EM163" s="978"/>
      <c r="EN163" s="978"/>
      <c r="EO163" s="978"/>
      <c r="EP163" s="978"/>
      <c r="EQ163" s="979"/>
      <c r="ES163" s="977"/>
      <c r="ET163" s="978"/>
      <c r="EU163" s="978"/>
      <c r="EV163" s="978"/>
      <c r="EW163" s="978"/>
      <c r="EX163" s="978"/>
      <c r="EY163" s="978"/>
      <c r="EZ163" s="978"/>
      <c r="FA163" s="978"/>
      <c r="FB163" s="978"/>
      <c r="FC163" s="978"/>
      <c r="FD163" s="979"/>
      <c r="FF163" s="977"/>
      <c r="FG163" s="978"/>
      <c r="FH163" s="978"/>
      <c r="FI163" s="978"/>
      <c r="FJ163" s="978"/>
      <c r="FK163" s="978"/>
      <c r="FL163" s="978"/>
      <c r="FM163" s="978"/>
      <c r="FN163" s="978"/>
      <c r="FO163" s="978"/>
      <c r="FP163" s="978"/>
      <c r="FQ163" s="979"/>
      <c r="FS163" s="977"/>
      <c r="FT163" s="978"/>
      <c r="FU163" s="978"/>
      <c r="FV163" s="978"/>
      <c r="FW163" s="978"/>
      <c r="FX163" s="978"/>
      <c r="FY163" s="978"/>
      <c r="FZ163" s="978"/>
      <c r="GA163" s="978"/>
      <c r="GB163" s="978"/>
      <c r="GC163" s="978"/>
      <c r="GD163" s="979"/>
      <c r="GF163" s="977"/>
      <c r="GG163" s="978"/>
      <c r="GH163" s="978"/>
      <c r="GI163" s="978"/>
      <c r="GJ163" s="978"/>
      <c r="GK163" s="978"/>
      <c r="GL163" s="978"/>
      <c r="GM163" s="978"/>
      <c r="GN163" s="978"/>
      <c r="GO163" s="978"/>
      <c r="GP163" s="978"/>
      <c r="GQ163" s="979"/>
      <c r="GS163" s="977"/>
      <c r="GT163" s="978"/>
      <c r="GU163" s="978"/>
      <c r="GV163" s="978"/>
      <c r="GW163" s="978"/>
      <c r="GX163" s="978"/>
      <c r="GY163" s="978"/>
      <c r="GZ163" s="978"/>
      <c r="HA163" s="978"/>
      <c r="HB163" s="978"/>
      <c r="HC163" s="978"/>
      <c r="HD163" s="979"/>
    </row>
    <row r="164" spans="2:212">
      <c r="B164" s="960"/>
      <c r="C164" s="960" t="s">
        <v>1046</v>
      </c>
      <c r="D164" s="960"/>
      <c r="E164" s="960"/>
      <c r="F164" s="960"/>
      <c r="G164" s="960"/>
      <c r="H164" s="964"/>
      <c r="I164" s="964"/>
      <c r="O164" s="940"/>
      <c r="AB164" s="940"/>
      <c r="AK164" s="939">
        <v>1</v>
      </c>
      <c r="AL164" s="939">
        <v>1.1000000000000001</v>
      </c>
      <c r="AM164" s="939">
        <v>1</v>
      </c>
      <c r="AN164" s="939">
        <v>1</v>
      </c>
      <c r="AO164" s="939">
        <v>1.1000000000000001</v>
      </c>
      <c r="AP164" s="939">
        <v>1</v>
      </c>
      <c r="AQ164" s="939">
        <v>0.9</v>
      </c>
      <c r="AR164" s="939">
        <v>1</v>
      </c>
      <c r="AS164" s="939">
        <v>1</v>
      </c>
      <c r="AT164" s="939">
        <v>1.1000000000000001</v>
      </c>
      <c r="AU164" s="939">
        <v>1.1000000000000001</v>
      </c>
      <c r="AV164" s="939">
        <v>1</v>
      </c>
      <c r="AW164" s="939">
        <v>1</v>
      </c>
      <c r="AX164" s="939">
        <v>1</v>
      </c>
      <c r="AY164" s="939">
        <v>1</v>
      </c>
      <c r="AZ164" s="939">
        <v>1</v>
      </c>
      <c r="BA164" s="939">
        <v>1</v>
      </c>
      <c r="BB164" s="939">
        <v>1</v>
      </c>
      <c r="BC164" s="939">
        <v>0.9</v>
      </c>
      <c r="BD164" s="939">
        <v>1</v>
      </c>
      <c r="BE164" s="939">
        <v>1</v>
      </c>
      <c r="BF164" s="939">
        <v>1.1000000000000001</v>
      </c>
      <c r="BG164" s="939">
        <v>1.1000000000000001</v>
      </c>
      <c r="BH164" s="939">
        <v>1</v>
      </c>
      <c r="BI164" s="939">
        <v>1</v>
      </c>
      <c r="BJ164" s="939">
        <v>1</v>
      </c>
      <c r="BK164" s="939">
        <v>1</v>
      </c>
      <c r="BL164" s="939">
        <v>1</v>
      </c>
      <c r="BM164" s="939">
        <v>1</v>
      </c>
      <c r="BN164" s="939">
        <v>1</v>
      </c>
      <c r="BO164" s="939">
        <v>0.9</v>
      </c>
      <c r="BP164" s="939">
        <v>1</v>
      </c>
      <c r="BQ164" s="939">
        <v>1</v>
      </c>
      <c r="BR164" s="939">
        <v>1.1000000000000001</v>
      </c>
      <c r="BS164" s="939">
        <v>1.1000000000000001</v>
      </c>
      <c r="BT164" s="939">
        <v>1</v>
      </c>
      <c r="BU164" s="939">
        <v>1</v>
      </c>
      <c r="BV164" s="939">
        <v>1</v>
      </c>
      <c r="BW164" s="939">
        <v>1</v>
      </c>
      <c r="BX164" s="939">
        <v>1</v>
      </c>
      <c r="BY164" s="939">
        <v>1</v>
      </c>
      <c r="BZ164" s="939">
        <v>1</v>
      </c>
      <c r="CA164" s="939">
        <v>0.9</v>
      </c>
      <c r="CB164" s="939">
        <v>1</v>
      </c>
      <c r="CC164" s="939">
        <v>1</v>
      </c>
      <c r="CD164" s="939">
        <v>1.1000000000000001</v>
      </c>
      <c r="CE164" s="939">
        <v>1.1000000000000001</v>
      </c>
      <c r="CF164" s="939">
        <v>1</v>
      </c>
      <c r="CG164" s="939">
        <v>1</v>
      </c>
      <c r="CH164" s="939">
        <v>1</v>
      </c>
      <c r="CI164" s="939">
        <v>1</v>
      </c>
      <c r="CJ164" s="939">
        <v>1</v>
      </c>
      <c r="CK164" s="939">
        <v>1</v>
      </c>
      <c r="CL164" s="939">
        <v>1</v>
      </c>
      <c r="CM164" s="939">
        <v>0.9</v>
      </c>
      <c r="CN164" s="939">
        <v>1</v>
      </c>
      <c r="CO164" s="939">
        <v>1</v>
      </c>
      <c r="CP164" s="939">
        <v>1.1000000000000001</v>
      </c>
      <c r="CQ164" s="939">
        <v>1.1000000000000001</v>
      </c>
      <c r="CR164" s="939">
        <v>1</v>
      </c>
      <c r="CS164" s="939">
        <v>1</v>
      </c>
      <c r="CT164" s="939">
        <v>1</v>
      </c>
      <c r="CU164" s="939">
        <v>1</v>
      </c>
      <c r="CV164" s="939">
        <v>1</v>
      </c>
      <c r="CW164" s="939">
        <v>1</v>
      </c>
      <c r="CX164" s="939">
        <v>1</v>
      </c>
      <c r="CY164" s="939">
        <v>0.9</v>
      </c>
      <c r="CZ164" s="939">
        <v>1</v>
      </c>
      <c r="DA164" s="939">
        <v>1</v>
      </c>
      <c r="DB164" s="939">
        <v>1.1000000000000001</v>
      </c>
      <c r="DC164" s="939">
        <v>1.1000000000000001</v>
      </c>
      <c r="DD164" s="939">
        <v>1</v>
      </c>
      <c r="DE164" s="939">
        <v>1</v>
      </c>
      <c r="DF164" s="939">
        <v>1</v>
      </c>
      <c r="DG164" s="939">
        <v>1</v>
      </c>
      <c r="DH164" s="939">
        <v>1</v>
      </c>
      <c r="DI164" s="939">
        <v>1</v>
      </c>
      <c r="DL164" s="940"/>
      <c r="DN164" s="977"/>
      <c r="DO164" s="978"/>
      <c r="DP164" s="978"/>
      <c r="DQ164" s="978"/>
      <c r="DR164" s="979"/>
      <c r="DT164" s="977"/>
      <c r="DU164" s="978"/>
      <c r="DV164" s="978"/>
      <c r="DW164" s="978"/>
      <c r="DX164" s="979"/>
      <c r="DZ164" s="977"/>
      <c r="EA164" s="978"/>
      <c r="EB164" s="978"/>
      <c r="EC164" s="978"/>
      <c r="ED164" s="979"/>
      <c r="EF164" s="977"/>
      <c r="EG164" s="978"/>
      <c r="EH164" s="978"/>
      <c r="EI164" s="978"/>
      <c r="EJ164" s="978"/>
      <c r="EK164" s="978"/>
      <c r="EL164" s="978"/>
      <c r="EM164" s="978"/>
      <c r="EN164" s="978"/>
      <c r="EO164" s="978"/>
      <c r="EP164" s="978"/>
      <c r="EQ164" s="979"/>
      <c r="ES164" s="977"/>
      <c r="ET164" s="978"/>
      <c r="EU164" s="978"/>
      <c r="EV164" s="978"/>
      <c r="EW164" s="978"/>
      <c r="EX164" s="978"/>
      <c r="EY164" s="978"/>
      <c r="EZ164" s="978"/>
      <c r="FA164" s="978"/>
      <c r="FB164" s="978"/>
      <c r="FC164" s="978"/>
      <c r="FD164" s="979"/>
      <c r="FF164" s="977"/>
      <c r="FG164" s="978"/>
      <c r="FH164" s="978"/>
      <c r="FI164" s="978"/>
      <c r="FJ164" s="978"/>
      <c r="FK164" s="978"/>
      <c r="FL164" s="978"/>
      <c r="FM164" s="978"/>
      <c r="FN164" s="978"/>
      <c r="FO164" s="978"/>
      <c r="FP164" s="978"/>
      <c r="FQ164" s="979"/>
      <c r="FS164" s="977"/>
      <c r="FT164" s="978"/>
      <c r="FU164" s="978"/>
      <c r="FV164" s="978"/>
      <c r="FW164" s="978"/>
      <c r="FX164" s="978"/>
      <c r="FY164" s="978"/>
      <c r="FZ164" s="978"/>
      <c r="GA164" s="978"/>
      <c r="GB164" s="978"/>
      <c r="GC164" s="978"/>
      <c r="GD164" s="979"/>
      <c r="GF164" s="977"/>
      <c r="GG164" s="978"/>
      <c r="GH164" s="978"/>
      <c r="GI164" s="978"/>
      <c r="GJ164" s="978"/>
      <c r="GK164" s="978"/>
      <c r="GL164" s="978"/>
      <c r="GM164" s="978"/>
      <c r="GN164" s="978"/>
      <c r="GO164" s="978"/>
      <c r="GP164" s="978"/>
      <c r="GQ164" s="979"/>
      <c r="GS164" s="977"/>
      <c r="GT164" s="978"/>
      <c r="GU164" s="978"/>
      <c r="GV164" s="978"/>
      <c r="GW164" s="978"/>
      <c r="GX164" s="978"/>
      <c r="GY164" s="978"/>
      <c r="GZ164" s="978"/>
      <c r="HA164" s="978"/>
      <c r="HB164" s="978"/>
      <c r="HC164" s="978"/>
      <c r="HD164" s="979"/>
    </row>
    <row r="165" spans="2:212" ht="15" customHeight="1">
      <c r="B165" s="957"/>
      <c r="C165" s="957"/>
      <c r="D165" s="957"/>
      <c r="E165" s="957"/>
      <c r="F165" s="957"/>
      <c r="G165" s="957"/>
      <c r="H165" s="957"/>
      <c r="I165" s="957"/>
      <c r="N165" s="1899" t="s">
        <v>1043</v>
      </c>
      <c r="O165" s="940" t="s">
        <v>119</v>
      </c>
      <c r="S165" s="595">
        <v>2</v>
      </c>
      <c r="T165" s="595">
        <v>3</v>
      </c>
      <c r="U165" s="595">
        <v>2</v>
      </c>
      <c r="V165" s="595">
        <v>2</v>
      </c>
      <c r="AA165" s="1899" t="s">
        <v>1043</v>
      </c>
      <c r="AB165" s="940" t="s">
        <v>119</v>
      </c>
      <c r="AC165" s="599">
        <f>P165/P151</f>
        <v>0</v>
      </c>
      <c r="AD165" s="599"/>
      <c r="AE165" s="599"/>
      <c r="AF165" s="599">
        <f>S165/S151</f>
        <v>1</v>
      </c>
      <c r="AG165" s="599">
        <f>T165/T151</f>
        <v>1</v>
      </c>
      <c r="AH165" s="599">
        <f>U165/U151</f>
        <v>0.66666666666666663</v>
      </c>
      <c r="AI165" s="599">
        <f>V165/V151</f>
        <v>1</v>
      </c>
      <c r="AJ165" s="935">
        <f t="shared" ref="AJ165:AJ176" si="963">AVERAGE(AC165:AI165)</f>
        <v>0.73333333333333328</v>
      </c>
      <c r="AK165" s="935">
        <f t="shared" ref="AK165:AK176" si="964">AJ165*$AK$164</f>
        <v>0.73333333333333328</v>
      </c>
      <c r="AL165" s="935">
        <f t="shared" ref="AL165:AL176" si="965">AK165*$AL$164</f>
        <v>0.80666666666666664</v>
      </c>
      <c r="AM165" s="935">
        <f t="shared" ref="AM165:AM176" si="966">AL165*$AM$164</f>
        <v>0.80666666666666664</v>
      </c>
      <c r="AN165" s="935">
        <f t="shared" ref="AN165:AN176" si="967">AM165*$AN$164</f>
        <v>0.80666666666666664</v>
      </c>
      <c r="AO165" s="935">
        <f t="shared" ref="AO165:AO176" si="968">AN165*$AO$164</f>
        <v>0.88733333333333342</v>
      </c>
      <c r="AP165" s="1036">
        <v>0.8</v>
      </c>
      <c r="AQ165" s="1036">
        <f>AP165*AQ$164</f>
        <v>0.72000000000000008</v>
      </c>
      <c r="AR165" s="1036">
        <f t="shared" ref="AR165:BA165" si="969">AQ165*AR$164</f>
        <v>0.72000000000000008</v>
      </c>
      <c r="AS165" s="1036">
        <f t="shared" si="969"/>
        <v>0.72000000000000008</v>
      </c>
      <c r="AT165" s="1036">
        <f t="shared" si="969"/>
        <v>0.79200000000000015</v>
      </c>
      <c r="AU165" s="1036">
        <f t="shared" si="969"/>
        <v>0.8712000000000002</v>
      </c>
      <c r="AV165" s="1036">
        <f t="shared" si="969"/>
        <v>0.8712000000000002</v>
      </c>
      <c r="AW165" s="1036">
        <f t="shared" si="969"/>
        <v>0.8712000000000002</v>
      </c>
      <c r="AX165" s="1036">
        <f t="shared" si="969"/>
        <v>0.8712000000000002</v>
      </c>
      <c r="AY165" s="1036">
        <f t="shared" si="969"/>
        <v>0.8712000000000002</v>
      </c>
      <c r="AZ165" s="1036">
        <f t="shared" si="969"/>
        <v>0.8712000000000002</v>
      </c>
      <c r="BA165" s="1036">
        <f t="shared" si="969"/>
        <v>0.8712000000000002</v>
      </c>
      <c r="BB165" s="1036">
        <v>0.8</v>
      </c>
      <c r="BC165" s="1036">
        <f>BB165*BC$164</f>
        <v>0.72000000000000008</v>
      </c>
      <c r="BD165" s="1036">
        <f t="shared" ref="BD165:BD176" si="970">BC165*BD$164</f>
        <v>0.72000000000000008</v>
      </c>
      <c r="BE165" s="1036">
        <f t="shared" ref="BE165:BE176" si="971">BD165*BE$164</f>
        <v>0.72000000000000008</v>
      </c>
      <c r="BF165" s="1036">
        <f t="shared" ref="BF165:BF176" si="972">BE165*BF$164</f>
        <v>0.79200000000000015</v>
      </c>
      <c r="BG165" s="1036">
        <f t="shared" ref="BG165:BG176" si="973">BF165*BG$164</f>
        <v>0.8712000000000002</v>
      </c>
      <c r="BH165" s="1036">
        <f t="shared" ref="BH165:BH176" si="974">BG165*BH$164</f>
        <v>0.8712000000000002</v>
      </c>
      <c r="BI165" s="1036">
        <f t="shared" ref="BI165:BI176" si="975">BH165*BI$164</f>
        <v>0.8712000000000002</v>
      </c>
      <c r="BJ165" s="1036">
        <f t="shared" ref="BJ165:BJ176" si="976">BI165*BJ$164</f>
        <v>0.8712000000000002</v>
      </c>
      <c r="BK165" s="1036">
        <f t="shared" ref="BK165:BK176" si="977">BJ165*BK$164</f>
        <v>0.8712000000000002</v>
      </c>
      <c r="BL165" s="1036">
        <f t="shared" ref="BL165:BL176" si="978">BK165*BL$164</f>
        <v>0.8712000000000002</v>
      </c>
      <c r="BM165" s="1036">
        <f t="shared" ref="BM165:BM176" si="979">BL165*BM$164</f>
        <v>0.8712000000000002</v>
      </c>
      <c r="BN165" s="1036">
        <v>0.8</v>
      </c>
      <c r="BO165" s="1036">
        <f>BN165*BO$164</f>
        <v>0.72000000000000008</v>
      </c>
      <c r="BP165" s="1036">
        <f t="shared" ref="BP165:BP176" si="980">BO165*BP$164</f>
        <v>0.72000000000000008</v>
      </c>
      <c r="BQ165" s="1036">
        <f t="shared" ref="BQ165:BQ176" si="981">BP165*BQ$164</f>
        <v>0.72000000000000008</v>
      </c>
      <c r="BR165" s="1036">
        <f t="shared" ref="BR165:BR176" si="982">BQ165*BR$164</f>
        <v>0.79200000000000015</v>
      </c>
      <c r="BS165" s="1036">
        <f t="shared" ref="BS165:BS176" si="983">BR165*BS$164</f>
        <v>0.8712000000000002</v>
      </c>
      <c r="BT165" s="1036">
        <f t="shared" ref="BT165:BT176" si="984">BS165*BT$164</f>
        <v>0.8712000000000002</v>
      </c>
      <c r="BU165" s="1036">
        <f t="shared" ref="BU165:BU176" si="985">BT165*BU$164</f>
        <v>0.8712000000000002</v>
      </c>
      <c r="BV165" s="1036">
        <f t="shared" ref="BV165:BV176" si="986">BU165*BV$164</f>
        <v>0.8712000000000002</v>
      </c>
      <c r="BW165" s="1036">
        <f t="shared" ref="BW165:BW176" si="987">BV165*BW$164</f>
        <v>0.8712000000000002</v>
      </c>
      <c r="BX165" s="1036">
        <f t="shared" ref="BX165:BX176" si="988">BW165*BX$164</f>
        <v>0.8712000000000002</v>
      </c>
      <c r="BY165" s="1036">
        <f t="shared" ref="BY165:BY176" si="989">BX165*BY$164</f>
        <v>0.8712000000000002</v>
      </c>
      <c r="BZ165" s="1036">
        <v>0.8</v>
      </c>
      <c r="CA165" s="1036">
        <f>BZ165*CA$164</f>
        <v>0.72000000000000008</v>
      </c>
      <c r="CB165" s="1036">
        <f t="shared" ref="CB165:CB176" si="990">CA165*CB$164</f>
        <v>0.72000000000000008</v>
      </c>
      <c r="CC165" s="1036">
        <f t="shared" ref="CC165:CC176" si="991">CB165*CC$164</f>
        <v>0.72000000000000008</v>
      </c>
      <c r="CD165" s="1036">
        <f t="shared" ref="CD165:CD176" si="992">CC165*CD$164</f>
        <v>0.79200000000000015</v>
      </c>
      <c r="CE165" s="1036">
        <f t="shared" ref="CE165:CE176" si="993">CD165*CE$164</f>
        <v>0.8712000000000002</v>
      </c>
      <c r="CF165" s="1036">
        <f t="shared" ref="CF165:CF176" si="994">CE165*CF$164</f>
        <v>0.8712000000000002</v>
      </c>
      <c r="CG165" s="1036">
        <f t="shared" ref="CG165:CG176" si="995">CF165*CG$164</f>
        <v>0.8712000000000002</v>
      </c>
      <c r="CH165" s="1036">
        <f t="shared" ref="CH165:CH176" si="996">CG165*CH$164</f>
        <v>0.8712000000000002</v>
      </c>
      <c r="CI165" s="1036">
        <f t="shared" ref="CI165:CI176" si="997">CH165*CI$164</f>
        <v>0.8712000000000002</v>
      </c>
      <c r="CJ165" s="1036">
        <f t="shared" ref="CJ165:CJ176" si="998">CI165*CJ$164</f>
        <v>0.8712000000000002</v>
      </c>
      <c r="CK165" s="1036">
        <f t="shared" ref="CK165:CK176" si="999">CJ165*CK$164</f>
        <v>0.8712000000000002</v>
      </c>
      <c r="CL165" s="1036">
        <v>0.8</v>
      </c>
      <c r="CM165" s="1036">
        <f>CL165*CM$164</f>
        <v>0.72000000000000008</v>
      </c>
      <c r="CN165" s="1036">
        <f t="shared" ref="CN165:CN176" si="1000">CM165*CN$164</f>
        <v>0.72000000000000008</v>
      </c>
      <c r="CO165" s="1036">
        <f t="shared" ref="CO165:CO176" si="1001">CN165*CO$164</f>
        <v>0.72000000000000008</v>
      </c>
      <c r="CP165" s="1036">
        <f t="shared" ref="CP165:CP176" si="1002">CO165*CP$164</f>
        <v>0.79200000000000015</v>
      </c>
      <c r="CQ165" s="1036">
        <f t="shared" ref="CQ165:CQ176" si="1003">CP165*CQ$164</f>
        <v>0.8712000000000002</v>
      </c>
      <c r="CR165" s="1036">
        <f t="shared" ref="CR165:CR176" si="1004">CQ165*CR$164</f>
        <v>0.8712000000000002</v>
      </c>
      <c r="CS165" s="1036">
        <f t="shared" ref="CS165:CS176" si="1005">CR165*CS$164</f>
        <v>0.8712000000000002</v>
      </c>
      <c r="CT165" s="1036">
        <f t="shared" ref="CT165:CT176" si="1006">CS165*CT$164</f>
        <v>0.8712000000000002</v>
      </c>
      <c r="CU165" s="1036">
        <f t="shared" ref="CU165:CU176" si="1007">CT165*CU$164</f>
        <v>0.8712000000000002</v>
      </c>
      <c r="CV165" s="1036">
        <f t="shared" ref="CV165:CV176" si="1008">CU165*CV$164</f>
        <v>0.8712000000000002</v>
      </c>
      <c r="CW165" s="1036">
        <f t="shared" ref="CW165:CW176" si="1009">CV165*CW$164</f>
        <v>0.8712000000000002</v>
      </c>
      <c r="CX165" s="1036">
        <v>0.8</v>
      </c>
      <c r="CY165" s="1036">
        <f>CX165*CY$164</f>
        <v>0.72000000000000008</v>
      </c>
      <c r="CZ165" s="1036">
        <f t="shared" ref="CZ165:CZ176" si="1010">CY165*CZ$164</f>
        <v>0.72000000000000008</v>
      </c>
      <c r="DA165" s="1036">
        <f t="shared" ref="DA165:DA176" si="1011">CZ165*DA$164</f>
        <v>0.72000000000000008</v>
      </c>
      <c r="DB165" s="1036">
        <f t="shared" ref="DB165:DB176" si="1012">DA165*DB$164</f>
        <v>0.79200000000000015</v>
      </c>
      <c r="DC165" s="1036">
        <f t="shared" ref="DC165:DC176" si="1013">DB165*DC$164</f>
        <v>0.8712000000000002</v>
      </c>
      <c r="DD165" s="1036">
        <f t="shared" ref="DD165:DD176" si="1014">DC165*DD$164</f>
        <v>0.8712000000000002</v>
      </c>
      <c r="DE165" s="1036">
        <f t="shared" ref="DE165:DE176" si="1015">DD165*DE$164</f>
        <v>0.8712000000000002</v>
      </c>
      <c r="DF165" s="1036">
        <f t="shared" ref="DF165:DF176" si="1016">DE165*DF$164</f>
        <v>0.8712000000000002</v>
      </c>
      <c r="DG165" s="1036">
        <f t="shared" ref="DG165:DG176" si="1017">DF165*DG$164</f>
        <v>0.8712000000000002</v>
      </c>
      <c r="DH165" s="1036">
        <f t="shared" ref="DH165:DH176" si="1018">DG165*DH$164</f>
        <v>0.8712000000000002</v>
      </c>
      <c r="DI165" s="1036">
        <f t="shared" ref="DI165:DI176" si="1019">DH165*DI$164</f>
        <v>0.8712000000000002</v>
      </c>
      <c r="DK165" s="1899" t="s">
        <v>1043</v>
      </c>
      <c r="DL165" s="940" t="s">
        <v>119</v>
      </c>
      <c r="DN165" s="977">
        <v>1</v>
      </c>
      <c r="DO165" s="978">
        <f>DO151*$AJ$165</f>
        <v>3.3</v>
      </c>
      <c r="DP165" s="978">
        <f>DP151*$AJ$165</f>
        <v>4.0333333333333332</v>
      </c>
      <c r="DQ165" s="978">
        <f>DQ151*$AJ$165</f>
        <v>2.1999999999999997</v>
      </c>
      <c r="DR165" s="979">
        <f>DR151*$AJ$165</f>
        <v>1.4666666666666666</v>
      </c>
      <c r="DT165" s="977">
        <v>1</v>
      </c>
      <c r="DU165" s="978">
        <f>DU151*$AH$165</f>
        <v>3</v>
      </c>
      <c r="DV165" s="978">
        <f>DV151*$AH$165</f>
        <v>3.6666666666666665</v>
      </c>
      <c r="DW165" s="978">
        <f>DW151*$AH$165</f>
        <v>2</v>
      </c>
      <c r="DX165" s="979">
        <f>DX151*$AH$165</f>
        <v>1.3333333333333333</v>
      </c>
      <c r="DZ165" s="977">
        <v>1</v>
      </c>
      <c r="EA165" s="978">
        <f>EA151*AL$165</f>
        <v>4.0333333333333332</v>
      </c>
      <c r="EB165" s="978">
        <f>EB151*AM$165</f>
        <v>4.4366666666666665</v>
      </c>
      <c r="EC165" s="978">
        <f>EC151*AN$165</f>
        <v>2.0166666666666666</v>
      </c>
      <c r="ED165" s="979">
        <f>ED151*AO$165</f>
        <v>1.7746666666666668</v>
      </c>
      <c r="EF165" s="977">
        <f t="shared" ref="EF165:EF176" si="1020">EF154*$AP165</f>
        <v>4.4000000000000004</v>
      </c>
      <c r="EG165" s="978">
        <f t="shared" ref="EG165:EG176" si="1021">EG154*AQ165</f>
        <v>1.8000000000000003</v>
      </c>
      <c r="EH165" s="978">
        <f t="shared" ref="EH165:EH176" si="1022">EH154*AR165</f>
        <v>1.4400000000000002</v>
      </c>
      <c r="EI165" s="978">
        <f t="shared" ref="EI165:EI176" si="1023">EI154*AS165</f>
        <v>1.8000000000000003</v>
      </c>
      <c r="EJ165" s="978">
        <f t="shared" ref="EJ165:EJ176" si="1024">EJ154*AT165</f>
        <v>2.7720000000000007</v>
      </c>
      <c r="EK165" s="978">
        <f t="shared" ref="EK165:EK176" si="1025">EK154*AU165</f>
        <v>3.4848000000000008</v>
      </c>
      <c r="EL165" s="978">
        <f t="shared" ref="EL165:EL176" si="1026">EL154*AV165</f>
        <v>2.1780000000000004</v>
      </c>
      <c r="EM165" s="978">
        <f t="shared" ref="EM165:EM176" si="1027">EM154*AW165</f>
        <v>1.7424000000000004</v>
      </c>
      <c r="EN165" s="978">
        <f t="shared" ref="EN165:EN176" si="1028">EN154*AX165</f>
        <v>1.7424000000000004</v>
      </c>
      <c r="EO165" s="978">
        <f t="shared" ref="EO165:EO176" si="1029">EO154*AY165</f>
        <v>1.3068000000000004</v>
      </c>
      <c r="EP165" s="978">
        <f t="shared" ref="EP165:EP176" si="1030">EP154*AZ165</f>
        <v>0.8712000000000002</v>
      </c>
      <c r="EQ165" s="979">
        <f t="shared" ref="EQ165:EQ176" si="1031">EQ154*BA165</f>
        <v>0.8712000000000002</v>
      </c>
      <c r="ES165" s="977">
        <f>ES154*BB165</f>
        <v>0.8</v>
      </c>
      <c r="ET165" s="978">
        <f t="shared" ref="ET165:FD176" si="1032">ET154*BC165</f>
        <v>0.72000000000000008</v>
      </c>
      <c r="EU165" s="978">
        <f t="shared" si="1032"/>
        <v>0.72000000000000008</v>
      </c>
      <c r="EV165" s="978">
        <f t="shared" si="1032"/>
        <v>0.36000000000000004</v>
      </c>
      <c r="EW165" s="978">
        <f t="shared" si="1032"/>
        <v>0</v>
      </c>
      <c r="EX165" s="978">
        <f t="shared" si="1032"/>
        <v>0.4356000000000001</v>
      </c>
      <c r="EY165" s="978">
        <f t="shared" si="1032"/>
        <v>0.8712000000000002</v>
      </c>
      <c r="EZ165" s="978">
        <f t="shared" si="1032"/>
        <v>0.8712000000000002</v>
      </c>
      <c r="FA165" s="978">
        <f t="shared" si="1032"/>
        <v>0.8712000000000002</v>
      </c>
      <c r="FB165" s="978">
        <f t="shared" si="1032"/>
        <v>0.8712000000000002</v>
      </c>
      <c r="FC165" s="978">
        <f t="shared" si="1032"/>
        <v>0.8712000000000002</v>
      </c>
      <c r="FD165" s="979">
        <f t="shared" si="1032"/>
        <v>0.8712000000000002</v>
      </c>
      <c r="FF165" s="977">
        <f>FF154*BN165</f>
        <v>0.8</v>
      </c>
      <c r="FG165" s="978">
        <f t="shared" ref="FG165:FQ176" si="1033">FG154*BO165</f>
        <v>0.72000000000000008</v>
      </c>
      <c r="FH165" s="978">
        <f t="shared" si="1033"/>
        <v>0.72000000000000008</v>
      </c>
      <c r="FI165" s="978">
        <f t="shared" si="1033"/>
        <v>0.36000000000000004</v>
      </c>
      <c r="FJ165" s="978">
        <f t="shared" si="1033"/>
        <v>0</v>
      </c>
      <c r="FK165" s="978">
        <f t="shared" si="1033"/>
        <v>0.4356000000000001</v>
      </c>
      <c r="FL165" s="978">
        <f t="shared" si="1033"/>
        <v>0.8712000000000002</v>
      </c>
      <c r="FM165" s="978">
        <f t="shared" si="1033"/>
        <v>0.8712000000000002</v>
      </c>
      <c r="FN165" s="978">
        <f t="shared" si="1033"/>
        <v>0.8712000000000002</v>
      </c>
      <c r="FO165" s="978">
        <f t="shared" si="1033"/>
        <v>0.8712000000000002</v>
      </c>
      <c r="FP165" s="978">
        <f t="shared" si="1033"/>
        <v>0.8712000000000002</v>
      </c>
      <c r="FQ165" s="979">
        <f t="shared" si="1033"/>
        <v>0.8712000000000002</v>
      </c>
      <c r="FS165" s="977">
        <f>FS154*BZ165</f>
        <v>0.8</v>
      </c>
      <c r="FT165" s="978">
        <f t="shared" ref="FT165:GD176" si="1034">FT154*CA165</f>
        <v>0.72000000000000008</v>
      </c>
      <c r="FU165" s="978">
        <f t="shared" si="1034"/>
        <v>0.72000000000000008</v>
      </c>
      <c r="FV165" s="978">
        <f t="shared" si="1034"/>
        <v>0.36000000000000004</v>
      </c>
      <c r="FW165" s="978">
        <f t="shared" si="1034"/>
        <v>0</v>
      </c>
      <c r="FX165" s="978">
        <f t="shared" si="1034"/>
        <v>0</v>
      </c>
      <c r="FY165" s="978">
        <f t="shared" si="1034"/>
        <v>0</v>
      </c>
      <c r="FZ165" s="978">
        <f t="shared" si="1034"/>
        <v>0</v>
      </c>
      <c r="GA165" s="978">
        <f t="shared" si="1034"/>
        <v>0</v>
      </c>
      <c r="GB165" s="978">
        <f t="shared" si="1034"/>
        <v>0</v>
      </c>
      <c r="GC165" s="978">
        <f t="shared" si="1034"/>
        <v>0</v>
      </c>
      <c r="GD165" s="979">
        <f t="shared" si="1034"/>
        <v>0</v>
      </c>
      <c r="GF165" s="977">
        <f>GF154*CL165</f>
        <v>0</v>
      </c>
      <c r="GG165" s="978">
        <f t="shared" ref="GG165:GQ176" si="1035">GG154*CM165</f>
        <v>0</v>
      </c>
      <c r="GH165" s="978">
        <f t="shared" si="1035"/>
        <v>0</v>
      </c>
      <c r="GI165" s="978">
        <f t="shared" si="1035"/>
        <v>0</v>
      </c>
      <c r="GJ165" s="978">
        <f t="shared" si="1035"/>
        <v>0</v>
      </c>
      <c r="GK165" s="978">
        <f t="shared" si="1035"/>
        <v>0</v>
      </c>
      <c r="GL165" s="978">
        <f t="shared" si="1035"/>
        <v>0</v>
      </c>
      <c r="GM165" s="978">
        <f t="shared" si="1035"/>
        <v>0</v>
      </c>
      <c r="GN165" s="978">
        <f t="shared" si="1035"/>
        <v>0</v>
      </c>
      <c r="GO165" s="978">
        <f t="shared" si="1035"/>
        <v>0</v>
      </c>
      <c r="GP165" s="978">
        <f t="shared" si="1035"/>
        <v>0</v>
      </c>
      <c r="GQ165" s="979">
        <f t="shared" si="1035"/>
        <v>0</v>
      </c>
      <c r="GS165" s="977">
        <f>GS154*CX165</f>
        <v>0</v>
      </c>
      <c r="GT165" s="978">
        <f t="shared" ref="GT165:HD176" si="1036">GT154*CY165</f>
        <v>0</v>
      </c>
      <c r="GU165" s="978">
        <f t="shared" si="1036"/>
        <v>0</v>
      </c>
      <c r="GV165" s="978">
        <f t="shared" si="1036"/>
        <v>0</v>
      </c>
      <c r="GW165" s="978">
        <f t="shared" si="1036"/>
        <v>0</v>
      </c>
      <c r="GX165" s="978">
        <f t="shared" si="1036"/>
        <v>0</v>
      </c>
      <c r="GY165" s="978">
        <f t="shared" si="1036"/>
        <v>0</v>
      </c>
      <c r="GZ165" s="978">
        <f t="shared" si="1036"/>
        <v>0</v>
      </c>
      <c r="HA165" s="978">
        <f t="shared" si="1036"/>
        <v>0</v>
      </c>
      <c r="HB165" s="978">
        <f t="shared" si="1036"/>
        <v>0</v>
      </c>
      <c r="HC165" s="978">
        <f t="shared" si="1036"/>
        <v>0</v>
      </c>
      <c r="HD165" s="979">
        <f t="shared" si="1036"/>
        <v>0</v>
      </c>
    </row>
    <row r="166" spans="2:212">
      <c r="B166" s="1037" t="s">
        <v>1062</v>
      </c>
      <c r="C166" s="1038"/>
      <c r="D166" s="1038"/>
      <c r="E166" s="1039"/>
      <c r="F166" s="1039"/>
      <c r="G166" s="1040"/>
      <c r="H166" s="1039"/>
      <c r="I166" s="1039"/>
      <c r="N166" s="1899"/>
      <c r="O166" s="940" t="s">
        <v>120</v>
      </c>
      <c r="T166" s="595">
        <v>2</v>
      </c>
      <c r="U166" s="595">
        <v>1</v>
      </c>
      <c r="V166" s="595">
        <v>1</v>
      </c>
      <c r="AA166" s="1899"/>
      <c r="AB166" s="940" t="s">
        <v>120</v>
      </c>
      <c r="AC166" s="599"/>
      <c r="AD166" s="599">
        <f>Q166/Q152</f>
        <v>0</v>
      </c>
      <c r="AE166" s="599"/>
      <c r="AF166" s="599"/>
      <c r="AG166" s="599">
        <f>T166/T152</f>
        <v>1</v>
      </c>
      <c r="AH166" s="599">
        <f>U166/U152</f>
        <v>0.33333333333333331</v>
      </c>
      <c r="AI166" s="599">
        <f>V166/V152</f>
        <v>0.33333333333333331</v>
      </c>
      <c r="AJ166" s="935">
        <f t="shared" si="963"/>
        <v>0.41666666666666663</v>
      </c>
      <c r="AK166" s="935">
        <f t="shared" si="964"/>
        <v>0.41666666666666663</v>
      </c>
      <c r="AL166" s="935">
        <f t="shared" si="965"/>
        <v>0.45833333333333331</v>
      </c>
      <c r="AM166" s="935">
        <f t="shared" si="966"/>
        <v>0.45833333333333331</v>
      </c>
      <c r="AN166" s="935">
        <f t="shared" si="967"/>
        <v>0.45833333333333331</v>
      </c>
      <c r="AO166" s="935">
        <f t="shared" si="968"/>
        <v>0.50416666666666665</v>
      </c>
      <c r="AP166" s="1036">
        <v>0.5</v>
      </c>
      <c r="AQ166" s="1036">
        <f t="shared" ref="AQ166:BA176" si="1037">AP166*AQ$164</f>
        <v>0.45</v>
      </c>
      <c r="AR166" s="1036">
        <f t="shared" si="1037"/>
        <v>0.45</v>
      </c>
      <c r="AS166" s="1036">
        <f t="shared" si="1037"/>
        <v>0.45</v>
      </c>
      <c r="AT166" s="1036">
        <f t="shared" si="1037"/>
        <v>0.49500000000000005</v>
      </c>
      <c r="AU166" s="1036">
        <f t="shared" si="1037"/>
        <v>0.5445000000000001</v>
      </c>
      <c r="AV166" s="1036">
        <f t="shared" si="1037"/>
        <v>0.5445000000000001</v>
      </c>
      <c r="AW166" s="1036">
        <f t="shared" si="1037"/>
        <v>0.5445000000000001</v>
      </c>
      <c r="AX166" s="1036">
        <f t="shared" si="1037"/>
        <v>0.5445000000000001</v>
      </c>
      <c r="AY166" s="1036">
        <f t="shared" si="1037"/>
        <v>0.5445000000000001</v>
      </c>
      <c r="AZ166" s="1036">
        <f t="shared" si="1037"/>
        <v>0.5445000000000001</v>
      </c>
      <c r="BA166" s="1036">
        <f t="shared" si="1037"/>
        <v>0.5445000000000001</v>
      </c>
      <c r="BB166" s="1036">
        <v>0.5</v>
      </c>
      <c r="BC166" s="1036">
        <f t="shared" ref="BC166:BC176" si="1038">BB166*BC$164</f>
        <v>0.45</v>
      </c>
      <c r="BD166" s="1036">
        <f t="shared" si="970"/>
        <v>0.45</v>
      </c>
      <c r="BE166" s="1036">
        <f t="shared" si="971"/>
        <v>0.45</v>
      </c>
      <c r="BF166" s="1036">
        <f t="shared" si="972"/>
        <v>0.49500000000000005</v>
      </c>
      <c r="BG166" s="1036">
        <f t="shared" si="973"/>
        <v>0.5445000000000001</v>
      </c>
      <c r="BH166" s="1036">
        <f t="shared" si="974"/>
        <v>0.5445000000000001</v>
      </c>
      <c r="BI166" s="1036">
        <f t="shared" si="975"/>
        <v>0.5445000000000001</v>
      </c>
      <c r="BJ166" s="1036">
        <f t="shared" si="976"/>
        <v>0.5445000000000001</v>
      </c>
      <c r="BK166" s="1036">
        <f t="shared" si="977"/>
        <v>0.5445000000000001</v>
      </c>
      <c r="BL166" s="1036">
        <f t="shared" si="978"/>
        <v>0.5445000000000001</v>
      </c>
      <c r="BM166" s="1036">
        <f t="shared" si="979"/>
        <v>0.5445000000000001</v>
      </c>
      <c r="BN166" s="1036">
        <v>0.5</v>
      </c>
      <c r="BO166" s="1036">
        <f t="shared" ref="BO166:BO176" si="1039">BN166*BO$164</f>
        <v>0.45</v>
      </c>
      <c r="BP166" s="1036">
        <f t="shared" si="980"/>
        <v>0.45</v>
      </c>
      <c r="BQ166" s="1036">
        <f t="shared" si="981"/>
        <v>0.45</v>
      </c>
      <c r="BR166" s="1036">
        <f t="shared" si="982"/>
        <v>0.49500000000000005</v>
      </c>
      <c r="BS166" s="1036">
        <f t="shared" si="983"/>
        <v>0.5445000000000001</v>
      </c>
      <c r="BT166" s="1036">
        <f t="shared" si="984"/>
        <v>0.5445000000000001</v>
      </c>
      <c r="BU166" s="1036">
        <f t="shared" si="985"/>
        <v>0.5445000000000001</v>
      </c>
      <c r="BV166" s="1036">
        <f t="shared" si="986"/>
        <v>0.5445000000000001</v>
      </c>
      <c r="BW166" s="1036">
        <f t="shared" si="987"/>
        <v>0.5445000000000001</v>
      </c>
      <c r="BX166" s="1036">
        <f t="shared" si="988"/>
        <v>0.5445000000000001</v>
      </c>
      <c r="BY166" s="1036">
        <f t="shared" si="989"/>
        <v>0.5445000000000001</v>
      </c>
      <c r="BZ166" s="1036">
        <v>0.5</v>
      </c>
      <c r="CA166" s="1036">
        <f t="shared" ref="CA166:CA176" si="1040">BZ166*CA$164</f>
        <v>0.45</v>
      </c>
      <c r="CB166" s="1036">
        <f t="shared" si="990"/>
        <v>0.45</v>
      </c>
      <c r="CC166" s="1036">
        <f t="shared" si="991"/>
        <v>0.45</v>
      </c>
      <c r="CD166" s="1036">
        <f t="shared" si="992"/>
        <v>0.49500000000000005</v>
      </c>
      <c r="CE166" s="1036">
        <f t="shared" si="993"/>
        <v>0.5445000000000001</v>
      </c>
      <c r="CF166" s="1036">
        <f t="shared" si="994"/>
        <v>0.5445000000000001</v>
      </c>
      <c r="CG166" s="1036">
        <f t="shared" si="995"/>
        <v>0.5445000000000001</v>
      </c>
      <c r="CH166" s="1036">
        <f t="shared" si="996"/>
        <v>0.5445000000000001</v>
      </c>
      <c r="CI166" s="1036">
        <f t="shared" si="997"/>
        <v>0.5445000000000001</v>
      </c>
      <c r="CJ166" s="1036">
        <f t="shared" si="998"/>
        <v>0.5445000000000001</v>
      </c>
      <c r="CK166" s="1036">
        <f t="shared" si="999"/>
        <v>0.5445000000000001</v>
      </c>
      <c r="CL166" s="1036">
        <v>0.5</v>
      </c>
      <c r="CM166" s="1036">
        <f t="shared" ref="CM166:CM176" si="1041">CL166*CM$164</f>
        <v>0.45</v>
      </c>
      <c r="CN166" s="1036">
        <f t="shared" si="1000"/>
        <v>0.45</v>
      </c>
      <c r="CO166" s="1036">
        <f t="shared" si="1001"/>
        <v>0.45</v>
      </c>
      <c r="CP166" s="1036">
        <f t="shared" si="1002"/>
        <v>0.49500000000000005</v>
      </c>
      <c r="CQ166" s="1036">
        <f t="shared" si="1003"/>
        <v>0.5445000000000001</v>
      </c>
      <c r="CR166" s="1036">
        <f t="shared" si="1004"/>
        <v>0.5445000000000001</v>
      </c>
      <c r="CS166" s="1036">
        <f t="shared" si="1005"/>
        <v>0.5445000000000001</v>
      </c>
      <c r="CT166" s="1036">
        <f t="shared" si="1006"/>
        <v>0.5445000000000001</v>
      </c>
      <c r="CU166" s="1036">
        <f t="shared" si="1007"/>
        <v>0.5445000000000001</v>
      </c>
      <c r="CV166" s="1036">
        <f t="shared" si="1008"/>
        <v>0.5445000000000001</v>
      </c>
      <c r="CW166" s="1036">
        <f t="shared" si="1009"/>
        <v>0.5445000000000001</v>
      </c>
      <c r="CX166" s="1036">
        <v>0.5</v>
      </c>
      <c r="CY166" s="1036">
        <f t="shared" ref="CY166:CY176" si="1042">CX166*CY$164</f>
        <v>0.45</v>
      </c>
      <c r="CZ166" s="1036">
        <f t="shared" si="1010"/>
        <v>0.45</v>
      </c>
      <c r="DA166" s="1036">
        <f t="shared" si="1011"/>
        <v>0.45</v>
      </c>
      <c r="DB166" s="1036">
        <f t="shared" si="1012"/>
        <v>0.49500000000000005</v>
      </c>
      <c r="DC166" s="1036">
        <f t="shared" si="1013"/>
        <v>0.5445000000000001</v>
      </c>
      <c r="DD166" s="1036">
        <f t="shared" si="1014"/>
        <v>0.5445000000000001</v>
      </c>
      <c r="DE166" s="1036">
        <f t="shared" si="1015"/>
        <v>0.5445000000000001</v>
      </c>
      <c r="DF166" s="1036">
        <f t="shared" si="1016"/>
        <v>0.5445000000000001</v>
      </c>
      <c r="DG166" s="1036">
        <f t="shared" si="1017"/>
        <v>0.5445000000000001</v>
      </c>
      <c r="DH166" s="1036">
        <f t="shared" si="1018"/>
        <v>0.5445000000000001</v>
      </c>
      <c r="DI166" s="1036">
        <f t="shared" si="1019"/>
        <v>0.5445000000000001</v>
      </c>
      <c r="DK166" s="1899"/>
      <c r="DL166" s="940" t="s">
        <v>120</v>
      </c>
      <c r="DN166" s="977">
        <v>1</v>
      </c>
      <c r="DO166" s="978">
        <f>DO152*$AJ$166</f>
        <v>1.25</v>
      </c>
      <c r="DP166" s="978">
        <f>DP152*$AJ$166</f>
        <v>1.8749999999999998</v>
      </c>
      <c r="DQ166" s="978">
        <f>DQ152*$AJ$166</f>
        <v>2.2916666666666665</v>
      </c>
      <c r="DR166" s="979">
        <f>DR152*$AJ$166</f>
        <v>1.25</v>
      </c>
      <c r="DT166" s="977">
        <v>1</v>
      </c>
      <c r="DU166" s="978">
        <f>DU152*$AH$166</f>
        <v>1</v>
      </c>
      <c r="DV166" s="978">
        <f>DV152*$AH$166</f>
        <v>1.5</v>
      </c>
      <c r="DW166" s="978">
        <f>DW152*$AH$166</f>
        <v>1.8333333333333333</v>
      </c>
      <c r="DX166" s="979">
        <f>DX152*$AH$166</f>
        <v>1</v>
      </c>
      <c r="DZ166" s="977">
        <v>1</v>
      </c>
      <c r="EA166" s="978">
        <f>EA152*AL$166</f>
        <v>1.375</v>
      </c>
      <c r="EB166" s="978">
        <f>EB152*AM$166</f>
        <v>2.2916666666666665</v>
      </c>
      <c r="EC166" s="978">
        <f>EC152*AN$166</f>
        <v>2.520833333333333</v>
      </c>
      <c r="ED166" s="979">
        <f>ED152*AO$166</f>
        <v>1.2604166666666665</v>
      </c>
      <c r="EF166" s="977">
        <f t="shared" si="1020"/>
        <v>2.5</v>
      </c>
      <c r="EG166" s="978">
        <f t="shared" si="1021"/>
        <v>2.4750000000000001</v>
      </c>
      <c r="EH166" s="978">
        <f t="shared" si="1022"/>
        <v>1.125</v>
      </c>
      <c r="EI166" s="978">
        <f t="shared" si="1023"/>
        <v>0.9</v>
      </c>
      <c r="EJ166" s="978">
        <f t="shared" si="1024"/>
        <v>1.2375</v>
      </c>
      <c r="EK166" s="978">
        <f t="shared" si="1025"/>
        <v>1.9057500000000003</v>
      </c>
      <c r="EL166" s="978">
        <f t="shared" si="1026"/>
        <v>2.1780000000000004</v>
      </c>
      <c r="EM166" s="978">
        <f t="shared" si="1027"/>
        <v>1.3612500000000003</v>
      </c>
      <c r="EN166" s="978">
        <f t="shared" si="1028"/>
        <v>1.0890000000000002</v>
      </c>
      <c r="EO166" s="978">
        <f t="shared" si="1029"/>
        <v>1.0890000000000002</v>
      </c>
      <c r="EP166" s="978">
        <f t="shared" si="1030"/>
        <v>0.81675000000000009</v>
      </c>
      <c r="EQ166" s="979">
        <f t="shared" si="1031"/>
        <v>0.5445000000000001</v>
      </c>
      <c r="ES166" s="977">
        <f t="shared" ref="ES166:ES176" si="1043">ES155*BB166</f>
        <v>0.5</v>
      </c>
      <c r="ET166" s="978">
        <f t="shared" si="1032"/>
        <v>0.45</v>
      </c>
      <c r="EU166" s="978">
        <f t="shared" si="1032"/>
        <v>0.45</v>
      </c>
      <c r="EV166" s="978">
        <f t="shared" si="1032"/>
        <v>0.45</v>
      </c>
      <c r="EW166" s="978">
        <f t="shared" si="1032"/>
        <v>0.24750000000000003</v>
      </c>
      <c r="EX166" s="978">
        <f t="shared" si="1032"/>
        <v>0</v>
      </c>
      <c r="EY166" s="978">
        <f t="shared" si="1032"/>
        <v>0.27225000000000005</v>
      </c>
      <c r="EZ166" s="978">
        <f t="shared" si="1032"/>
        <v>0.5445000000000001</v>
      </c>
      <c r="FA166" s="978">
        <f t="shared" si="1032"/>
        <v>0.5445000000000001</v>
      </c>
      <c r="FB166" s="978">
        <f t="shared" si="1032"/>
        <v>0.5445000000000001</v>
      </c>
      <c r="FC166" s="978">
        <f t="shared" si="1032"/>
        <v>0.5445000000000001</v>
      </c>
      <c r="FD166" s="979">
        <f t="shared" si="1032"/>
        <v>0.5445000000000001</v>
      </c>
      <c r="FF166" s="977">
        <f t="shared" ref="FF166:FF176" si="1044">FF155*BN166</f>
        <v>0.5</v>
      </c>
      <c r="FG166" s="978">
        <f t="shared" si="1033"/>
        <v>0.45</v>
      </c>
      <c r="FH166" s="978">
        <f t="shared" si="1033"/>
        <v>0.45</v>
      </c>
      <c r="FI166" s="978">
        <f t="shared" si="1033"/>
        <v>0.45</v>
      </c>
      <c r="FJ166" s="978">
        <f t="shared" si="1033"/>
        <v>0.24750000000000003</v>
      </c>
      <c r="FK166" s="978">
        <f t="shared" si="1033"/>
        <v>0</v>
      </c>
      <c r="FL166" s="978">
        <f t="shared" si="1033"/>
        <v>0.27225000000000005</v>
      </c>
      <c r="FM166" s="978">
        <f t="shared" si="1033"/>
        <v>0.5445000000000001</v>
      </c>
      <c r="FN166" s="978">
        <f t="shared" si="1033"/>
        <v>0.5445000000000001</v>
      </c>
      <c r="FO166" s="978">
        <f t="shared" si="1033"/>
        <v>0.5445000000000001</v>
      </c>
      <c r="FP166" s="978">
        <f t="shared" si="1033"/>
        <v>0.5445000000000001</v>
      </c>
      <c r="FQ166" s="979">
        <f t="shared" si="1033"/>
        <v>0.5445000000000001</v>
      </c>
      <c r="FS166" s="977">
        <f t="shared" ref="FS166:FS176" si="1045">FS155*BZ166</f>
        <v>0.5</v>
      </c>
      <c r="FT166" s="978">
        <f t="shared" si="1034"/>
        <v>0.45</v>
      </c>
      <c r="FU166" s="978">
        <f t="shared" si="1034"/>
        <v>0.45</v>
      </c>
      <c r="FV166" s="978">
        <f t="shared" si="1034"/>
        <v>0.45</v>
      </c>
      <c r="FW166" s="978">
        <f t="shared" si="1034"/>
        <v>0.24750000000000003</v>
      </c>
      <c r="FX166" s="978">
        <f t="shared" si="1034"/>
        <v>0</v>
      </c>
      <c r="FY166" s="978">
        <f t="shared" si="1034"/>
        <v>0</v>
      </c>
      <c r="FZ166" s="978">
        <f t="shared" si="1034"/>
        <v>0</v>
      </c>
      <c r="GA166" s="978">
        <f t="shared" si="1034"/>
        <v>0</v>
      </c>
      <c r="GB166" s="978">
        <f t="shared" si="1034"/>
        <v>0</v>
      </c>
      <c r="GC166" s="978">
        <f t="shared" si="1034"/>
        <v>0</v>
      </c>
      <c r="GD166" s="979">
        <f t="shared" si="1034"/>
        <v>0</v>
      </c>
      <c r="GF166" s="977">
        <f t="shared" ref="GF166:GF176" si="1046">GF155*CL166</f>
        <v>0</v>
      </c>
      <c r="GG166" s="978">
        <f t="shared" si="1035"/>
        <v>0</v>
      </c>
      <c r="GH166" s="978">
        <f t="shared" si="1035"/>
        <v>0</v>
      </c>
      <c r="GI166" s="978">
        <f t="shared" si="1035"/>
        <v>0</v>
      </c>
      <c r="GJ166" s="978">
        <f t="shared" si="1035"/>
        <v>0</v>
      </c>
      <c r="GK166" s="978">
        <f t="shared" si="1035"/>
        <v>0</v>
      </c>
      <c r="GL166" s="978">
        <f t="shared" si="1035"/>
        <v>0</v>
      </c>
      <c r="GM166" s="978">
        <f t="shared" si="1035"/>
        <v>0</v>
      </c>
      <c r="GN166" s="978">
        <f t="shared" si="1035"/>
        <v>0</v>
      </c>
      <c r="GO166" s="978">
        <f t="shared" si="1035"/>
        <v>0</v>
      </c>
      <c r="GP166" s="978">
        <f t="shared" si="1035"/>
        <v>0</v>
      </c>
      <c r="GQ166" s="979">
        <f t="shared" si="1035"/>
        <v>0</v>
      </c>
      <c r="GS166" s="977">
        <f t="shared" ref="GS166:GS176" si="1047">GS155*CX166</f>
        <v>0</v>
      </c>
      <c r="GT166" s="978">
        <f t="shared" si="1036"/>
        <v>0</v>
      </c>
      <c r="GU166" s="978">
        <f t="shared" si="1036"/>
        <v>0</v>
      </c>
      <c r="GV166" s="978">
        <f t="shared" si="1036"/>
        <v>0</v>
      </c>
      <c r="GW166" s="978">
        <f t="shared" si="1036"/>
        <v>0</v>
      </c>
      <c r="GX166" s="978">
        <f t="shared" si="1036"/>
        <v>0</v>
      </c>
      <c r="GY166" s="978">
        <f t="shared" si="1036"/>
        <v>0</v>
      </c>
      <c r="GZ166" s="978">
        <f t="shared" si="1036"/>
        <v>0</v>
      </c>
      <c r="HA166" s="978">
        <f t="shared" si="1036"/>
        <v>0</v>
      </c>
      <c r="HB166" s="978">
        <f t="shared" si="1036"/>
        <v>0</v>
      </c>
      <c r="HC166" s="978">
        <f t="shared" si="1036"/>
        <v>0</v>
      </c>
      <c r="HD166" s="979">
        <f t="shared" si="1036"/>
        <v>0</v>
      </c>
    </row>
    <row r="167" spans="2:212" ht="15">
      <c r="B167" s="1041">
        <v>40</v>
      </c>
      <c r="C167" s="1042" t="s">
        <v>1113</v>
      </c>
      <c r="D167" s="1043"/>
      <c r="E167" s="1043"/>
      <c r="F167" s="1043"/>
      <c r="G167" s="1043"/>
      <c r="H167" s="1043"/>
      <c r="I167" s="1044"/>
      <c r="N167" s="1899"/>
      <c r="O167" s="940" t="s">
        <v>121</v>
      </c>
      <c r="P167" s="595">
        <v>2</v>
      </c>
      <c r="U167" s="595">
        <v>1</v>
      </c>
      <c r="V167" s="595">
        <v>2</v>
      </c>
      <c r="AA167" s="1899"/>
      <c r="AB167" s="940" t="s">
        <v>121</v>
      </c>
      <c r="AC167" s="599">
        <f t="shared" ref="AC167:AC173" si="1048">P167/P153</f>
        <v>1</v>
      </c>
      <c r="AD167" s="599"/>
      <c r="AE167" s="599">
        <f>R167/R153</f>
        <v>0</v>
      </c>
      <c r="AF167" s="599"/>
      <c r="AG167" s="599"/>
      <c r="AH167" s="599">
        <f>U167/U153</f>
        <v>0.5</v>
      </c>
      <c r="AI167" s="599">
        <f>V167/V153</f>
        <v>0.66666666666666663</v>
      </c>
      <c r="AJ167" s="935">
        <f t="shared" si="963"/>
        <v>0.54166666666666663</v>
      </c>
      <c r="AK167" s="935">
        <f t="shared" si="964"/>
        <v>0.54166666666666663</v>
      </c>
      <c r="AL167" s="935">
        <f t="shared" si="965"/>
        <v>0.59583333333333333</v>
      </c>
      <c r="AM167" s="935">
        <f t="shared" si="966"/>
        <v>0.59583333333333333</v>
      </c>
      <c r="AN167" s="935">
        <f t="shared" si="967"/>
        <v>0.59583333333333333</v>
      </c>
      <c r="AO167" s="935">
        <f t="shared" si="968"/>
        <v>0.65541666666666676</v>
      </c>
      <c r="AP167" s="1036">
        <v>0.5</v>
      </c>
      <c r="AQ167" s="1036">
        <f t="shared" si="1037"/>
        <v>0.45</v>
      </c>
      <c r="AR167" s="1036">
        <f t="shared" si="1037"/>
        <v>0.45</v>
      </c>
      <c r="AS167" s="1036">
        <f t="shared" si="1037"/>
        <v>0.45</v>
      </c>
      <c r="AT167" s="1036">
        <f t="shared" si="1037"/>
        <v>0.49500000000000005</v>
      </c>
      <c r="AU167" s="1036">
        <f t="shared" si="1037"/>
        <v>0.5445000000000001</v>
      </c>
      <c r="AV167" s="1036">
        <f t="shared" si="1037"/>
        <v>0.5445000000000001</v>
      </c>
      <c r="AW167" s="1036">
        <f t="shared" si="1037"/>
        <v>0.5445000000000001</v>
      </c>
      <c r="AX167" s="1036">
        <f t="shared" si="1037"/>
        <v>0.5445000000000001</v>
      </c>
      <c r="AY167" s="1036">
        <f t="shared" si="1037"/>
        <v>0.5445000000000001</v>
      </c>
      <c r="AZ167" s="1036">
        <f t="shared" si="1037"/>
        <v>0.5445000000000001</v>
      </c>
      <c r="BA167" s="1036">
        <f t="shared" si="1037"/>
        <v>0.5445000000000001</v>
      </c>
      <c r="BB167" s="1036">
        <v>0.5</v>
      </c>
      <c r="BC167" s="1036">
        <f t="shared" si="1038"/>
        <v>0.45</v>
      </c>
      <c r="BD167" s="1036">
        <f t="shared" si="970"/>
        <v>0.45</v>
      </c>
      <c r="BE167" s="1036">
        <f t="shared" si="971"/>
        <v>0.45</v>
      </c>
      <c r="BF167" s="1036">
        <f t="shared" si="972"/>
        <v>0.49500000000000005</v>
      </c>
      <c r="BG167" s="1036">
        <f t="shared" si="973"/>
        <v>0.5445000000000001</v>
      </c>
      <c r="BH167" s="1036">
        <f t="shared" si="974"/>
        <v>0.5445000000000001</v>
      </c>
      <c r="BI167" s="1036">
        <f t="shared" si="975"/>
        <v>0.5445000000000001</v>
      </c>
      <c r="BJ167" s="1036">
        <f t="shared" si="976"/>
        <v>0.5445000000000001</v>
      </c>
      <c r="BK167" s="1036">
        <f t="shared" si="977"/>
        <v>0.5445000000000001</v>
      </c>
      <c r="BL167" s="1036">
        <f t="shared" si="978"/>
        <v>0.5445000000000001</v>
      </c>
      <c r="BM167" s="1036">
        <f t="shared" si="979"/>
        <v>0.5445000000000001</v>
      </c>
      <c r="BN167" s="1036">
        <v>0.5</v>
      </c>
      <c r="BO167" s="1036">
        <f t="shared" si="1039"/>
        <v>0.45</v>
      </c>
      <c r="BP167" s="1036">
        <f t="shared" si="980"/>
        <v>0.45</v>
      </c>
      <c r="BQ167" s="1036">
        <f t="shared" si="981"/>
        <v>0.45</v>
      </c>
      <c r="BR167" s="1036">
        <f t="shared" si="982"/>
        <v>0.49500000000000005</v>
      </c>
      <c r="BS167" s="1036">
        <f t="shared" si="983"/>
        <v>0.5445000000000001</v>
      </c>
      <c r="BT167" s="1036">
        <f t="shared" si="984"/>
        <v>0.5445000000000001</v>
      </c>
      <c r="BU167" s="1036">
        <f t="shared" si="985"/>
        <v>0.5445000000000001</v>
      </c>
      <c r="BV167" s="1036">
        <f t="shared" si="986"/>
        <v>0.5445000000000001</v>
      </c>
      <c r="BW167" s="1036">
        <f t="shared" si="987"/>
        <v>0.5445000000000001</v>
      </c>
      <c r="BX167" s="1036">
        <f t="shared" si="988"/>
        <v>0.5445000000000001</v>
      </c>
      <c r="BY167" s="1036">
        <f t="shared" si="989"/>
        <v>0.5445000000000001</v>
      </c>
      <c r="BZ167" s="1036">
        <v>0.5</v>
      </c>
      <c r="CA167" s="1036">
        <f t="shared" si="1040"/>
        <v>0.45</v>
      </c>
      <c r="CB167" s="1036">
        <f t="shared" si="990"/>
        <v>0.45</v>
      </c>
      <c r="CC167" s="1036">
        <f t="shared" si="991"/>
        <v>0.45</v>
      </c>
      <c r="CD167" s="1036">
        <f t="shared" si="992"/>
        <v>0.49500000000000005</v>
      </c>
      <c r="CE167" s="1036">
        <f t="shared" si="993"/>
        <v>0.5445000000000001</v>
      </c>
      <c r="CF167" s="1036">
        <f t="shared" si="994"/>
        <v>0.5445000000000001</v>
      </c>
      <c r="CG167" s="1036">
        <f t="shared" si="995"/>
        <v>0.5445000000000001</v>
      </c>
      <c r="CH167" s="1036">
        <f t="shared" si="996"/>
        <v>0.5445000000000001</v>
      </c>
      <c r="CI167" s="1036">
        <f t="shared" si="997"/>
        <v>0.5445000000000001</v>
      </c>
      <c r="CJ167" s="1036">
        <f t="shared" si="998"/>
        <v>0.5445000000000001</v>
      </c>
      <c r="CK167" s="1036">
        <f t="shared" si="999"/>
        <v>0.5445000000000001</v>
      </c>
      <c r="CL167" s="1036">
        <v>0.5</v>
      </c>
      <c r="CM167" s="1036">
        <f t="shared" si="1041"/>
        <v>0.45</v>
      </c>
      <c r="CN167" s="1036">
        <f t="shared" si="1000"/>
        <v>0.45</v>
      </c>
      <c r="CO167" s="1036">
        <f t="shared" si="1001"/>
        <v>0.45</v>
      </c>
      <c r="CP167" s="1036">
        <f t="shared" si="1002"/>
        <v>0.49500000000000005</v>
      </c>
      <c r="CQ167" s="1036">
        <f t="shared" si="1003"/>
        <v>0.5445000000000001</v>
      </c>
      <c r="CR167" s="1036">
        <f t="shared" si="1004"/>
        <v>0.5445000000000001</v>
      </c>
      <c r="CS167" s="1036">
        <f t="shared" si="1005"/>
        <v>0.5445000000000001</v>
      </c>
      <c r="CT167" s="1036">
        <f t="shared" si="1006"/>
        <v>0.5445000000000001</v>
      </c>
      <c r="CU167" s="1036">
        <f t="shared" si="1007"/>
        <v>0.5445000000000001</v>
      </c>
      <c r="CV167" s="1036">
        <f t="shared" si="1008"/>
        <v>0.5445000000000001</v>
      </c>
      <c r="CW167" s="1036">
        <f t="shared" si="1009"/>
        <v>0.5445000000000001</v>
      </c>
      <c r="CX167" s="1036">
        <v>0.5</v>
      </c>
      <c r="CY167" s="1036">
        <f t="shared" si="1042"/>
        <v>0.45</v>
      </c>
      <c r="CZ167" s="1036">
        <f t="shared" si="1010"/>
        <v>0.45</v>
      </c>
      <c r="DA167" s="1036">
        <f t="shared" si="1011"/>
        <v>0.45</v>
      </c>
      <c r="DB167" s="1036">
        <f t="shared" si="1012"/>
        <v>0.49500000000000005</v>
      </c>
      <c r="DC167" s="1036">
        <f t="shared" si="1013"/>
        <v>0.5445000000000001</v>
      </c>
      <c r="DD167" s="1036">
        <f t="shared" si="1014"/>
        <v>0.5445000000000001</v>
      </c>
      <c r="DE167" s="1036">
        <f t="shared" si="1015"/>
        <v>0.5445000000000001</v>
      </c>
      <c r="DF167" s="1036">
        <f t="shared" si="1016"/>
        <v>0.5445000000000001</v>
      </c>
      <c r="DG167" s="1036">
        <f t="shared" si="1017"/>
        <v>0.5445000000000001</v>
      </c>
      <c r="DH167" s="1036">
        <f t="shared" si="1018"/>
        <v>0.5445000000000001</v>
      </c>
      <c r="DI167" s="1036">
        <f t="shared" si="1019"/>
        <v>0.5445000000000001</v>
      </c>
      <c r="DK167" s="1899"/>
      <c r="DL167" s="940" t="s">
        <v>121</v>
      </c>
      <c r="DN167" s="977">
        <v>1</v>
      </c>
      <c r="DO167" s="978">
        <f>DO153*$AJ$167</f>
        <v>1.0833333333333333</v>
      </c>
      <c r="DP167" s="978">
        <f>DP153*$AJ$167</f>
        <v>1.625</v>
      </c>
      <c r="DQ167" s="978">
        <f>DQ153*$AJ$167</f>
        <v>2.4375</v>
      </c>
      <c r="DR167" s="979">
        <f>DR153*$AJ$167</f>
        <v>2.9791666666666665</v>
      </c>
      <c r="DT167" s="977">
        <v>1</v>
      </c>
      <c r="DU167" s="978">
        <f>DU153*$AH$167</f>
        <v>1</v>
      </c>
      <c r="DV167" s="978">
        <f>DV153*$AH$167</f>
        <v>1.5</v>
      </c>
      <c r="DW167" s="978">
        <f>DW153*$AH$167</f>
        <v>2.25</v>
      </c>
      <c r="DX167" s="979">
        <f>DX153*$AH$167</f>
        <v>2.75</v>
      </c>
      <c r="DZ167" s="977">
        <v>1</v>
      </c>
      <c r="EA167" s="978">
        <f>EA153*AL$167</f>
        <v>1.1916666666666667</v>
      </c>
      <c r="EB167" s="978">
        <f>EB153*AM$167</f>
        <v>1.7875000000000001</v>
      </c>
      <c r="EC167" s="978">
        <f>EC153*AN$167</f>
        <v>2.9791666666666665</v>
      </c>
      <c r="ED167" s="979">
        <f>ED153*AO$167</f>
        <v>3.6047916666666673</v>
      </c>
      <c r="EF167" s="977">
        <f t="shared" si="1020"/>
        <v>1.5</v>
      </c>
      <c r="EG167" s="978">
        <f t="shared" si="1021"/>
        <v>2.25</v>
      </c>
      <c r="EH167" s="978">
        <f t="shared" si="1022"/>
        <v>2.4750000000000001</v>
      </c>
      <c r="EI167" s="978">
        <f t="shared" si="1023"/>
        <v>1.125</v>
      </c>
      <c r="EJ167" s="978">
        <f t="shared" si="1024"/>
        <v>0.9900000000000001</v>
      </c>
      <c r="EK167" s="978">
        <f t="shared" si="1025"/>
        <v>1.3612500000000003</v>
      </c>
      <c r="EL167" s="978">
        <f t="shared" si="1026"/>
        <v>1.9057500000000003</v>
      </c>
      <c r="EM167" s="978">
        <f t="shared" si="1027"/>
        <v>2.1780000000000004</v>
      </c>
      <c r="EN167" s="978">
        <f t="shared" si="1028"/>
        <v>1.3612500000000003</v>
      </c>
      <c r="EO167" s="978">
        <f t="shared" si="1029"/>
        <v>1.0890000000000002</v>
      </c>
      <c r="EP167" s="978">
        <f t="shared" si="1030"/>
        <v>1.0890000000000002</v>
      </c>
      <c r="EQ167" s="979">
        <f t="shared" si="1031"/>
        <v>0.81675000000000009</v>
      </c>
      <c r="ES167" s="977">
        <f t="shared" si="1043"/>
        <v>0.5</v>
      </c>
      <c r="ET167" s="978">
        <f t="shared" si="1032"/>
        <v>0.45</v>
      </c>
      <c r="EU167" s="978">
        <f t="shared" si="1032"/>
        <v>0.45</v>
      </c>
      <c r="EV167" s="978">
        <f t="shared" si="1032"/>
        <v>0.45</v>
      </c>
      <c r="EW167" s="978">
        <f t="shared" si="1032"/>
        <v>0.49500000000000005</v>
      </c>
      <c r="EX167" s="978">
        <f t="shared" si="1032"/>
        <v>0.27225000000000005</v>
      </c>
      <c r="EY167" s="978">
        <f t="shared" si="1032"/>
        <v>0</v>
      </c>
      <c r="EZ167" s="978">
        <f t="shared" si="1032"/>
        <v>0.27225000000000005</v>
      </c>
      <c r="FA167" s="978">
        <f t="shared" si="1032"/>
        <v>0.5445000000000001</v>
      </c>
      <c r="FB167" s="978">
        <f t="shared" si="1032"/>
        <v>0.5445000000000001</v>
      </c>
      <c r="FC167" s="978">
        <f t="shared" si="1032"/>
        <v>0.5445000000000001</v>
      </c>
      <c r="FD167" s="979">
        <f t="shared" si="1032"/>
        <v>0.5445000000000001</v>
      </c>
      <c r="FF167" s="977">
        <f t="shared" si="1044"/>
        <v>0.5</v>
      </c>
      <c r="FG167" s="978">
        <f t="shared" si="1033"/>
        <v>0.45</v>
      </c>
      <c r="FH167" s="978">
        <f t="shared" si="1033"/>
        <v>0.45</v>
      </c>
      <c r="FI167" s="978">
        <f t="shared" si="1033"/>
        <v>0.45</v>
      </c>
      <c r="FJ167" s="978">
        <f t="shared" si="1033"/>
        <v>0.49500000000000005</v>
      </c>
      <c r="FK167" s="978">
        <f t="shared" si="1033"/>
        <v>0.27225000000000005</v>
      </c>
      <c r="FL167" s="978">
        <f t="shared" si="1033"/>
        <v>0</v>
      </c>
      <c r="FM167" s="978">
        <f t="shared" si="1033"/>
        <v>0.27225000000000005</v>
      </c>
      <c r="FN167" s="978">
        <f t="shared" si="1033"/>
        <v>0.5445000000000001</v>
      </c>
      <c r="FO167" s="978">
        <f t="shared" si="1033"/>
        <v>0.5445000000000001</v>
      </c>
      <c r="FP167" s="978">
        <f t="shared" si="1033"/>
        <v>0.5445000000000001</v>
      </c>
      <c r="FQ167" s="979">
        <f t="shared" si="1033"/>
        <v>0.5445000000000001</v>
      </c>
      <c r="FS167" s="977">
        <f t="shared" si="1045"/>
        <v>0.5</v>
      </c>
      <c r="FT167" s="978">
        <f t="shared" si="1034"/>
        <v>0.45</v>
      </c>
      <c r="FU167" s="978">
        <f t="shared" si="1034"/>
        <v>0.45</v>
      </c>
      <c r="FV167" s="978">
        <f t="shared" si="1034"/>
        <v>0.45</v>
      </c>
      <c r="FW167" s="978">
        <f t="shared" si="1034"/>
        <v>0.49500000000000005</v>
      </c>
      <c r="FX167" s="978">
        <f t="shared" si="1034"/>
        <v>0.27225000000000005</v>
      </c>
      <c r="FY167" s="978">
        <f t="shared" si="1034"/>
        <v>0</v>
      </c>
      <c r="FZ167" s="978">
        <f t="shared" si="1034"/>
        <v>0</v>
      </c>
      <c r="GA167" s="978">
        <f t="shared" si="1034"/>
        <v>0</v>
      </c>
      <c r="GB167" s="978">
        <f t="shared" si="1034"/>
        <v>0</v>
      </c>
      <c r="GC167" s="978">
        <f t="shared" si="1034"/>
        <v>0</v>
      </c>
      <c r="GD167" s="979">
        <f t="shared" si="1034"/>
        <v>0</v>
      </c>
      <c r="GF167" s="977">
        <f t="shared" si="1046"/>
        <v>0</v>
      </c>
      <c r="GG167" s="978">
        <f t="shared" si="1035"/>
        <v>0</v>
      </c>
      <c r="GH167" s="978">
        <f t="shared" si="1035"/>
        <v>0</v>
      </c>
      <c r="GI167" s="978">
        <f t="shared" si="1035"/>
        <v>0</v>
      </c>
      <c r="GJ167" s="978">
        <f t="shared" si="1035"/>
        <v>0</v>
      </c>
      <c r="GK167" s="978">
        <f t="shared" si="1035"/>
        <v>0</v>
      </c>
      <c r="GL167" s="978">
        <f t="shared" si="1035"/>
        <v>0</v>
      </c>
      <c r="GM167" s="978">
        <f t="shared" si="1035"/>
        <v>0</v>
      </c>
      <c r="GN167" s="978">
        <f t="shared" si="1035"/>
        <v>0</v>
      </c>
      <c r="GO167" s="978">
        <f t="shared" si="1035"/>
        <v>0</v>
      </c>
      <c r="GP167" s="978">
        <f t="shared" si="1035"/>
        <v>0</v>
      </c>
      <c r="GQ167" s="979">
        <f t="shared" si="1035"/>
        <v>0</v>
      </c>
      <c r="GS167" s="977">
        <f t="shared" si="1047"/>
        <v>0</v>
      </c>
      <c r="GT167" s="978">
        <f t="shared" si="1036"/>
        <v>0</v>
      </c>
      <c r="GU167" s="978">
        <f t="shared" si="1036"/>
        <v>0</v>
      </c>
      <c r="GV167" s="978">
        <f t="shared" si="1036"/>
        <v>0</v>
      </c>
      <c r="GW167" s="978">
        <f t="shared" si="1036"/>
        <v>0</v>
      </c>
      <c r="GX167" s="978">
        <f t="shared" si="1036"/>
        <v>0</v>
      </c>
      <c r="GY167" s="978">
        <f t="shared" si="1036"/>
        <v>0</v>
      </c>
      <c r="GZ167" s="978">
        <f t="shared" si="1036"/>
        <v>0</v>
      </c>
      <c r="HA167" s="978">
        <f t="shared" si="1036"/>
        <v>0</v>
      </c>
      <c r="HB167" s="978">
        <f t="shared" si="1036"/>
        <v>0</v>
      </c>
      <c r="HC167" s="978">
        <f t="shared" si="1036"/>
        <v>0</v>
      </c>
      <c r="HD167" s="979">
        <f t="shared" si="1036"/>
        <v>0</v>
      </c>
    </row>
    <row r="168" spans="2:212" ht="15">
      <c r="B168" s="963"/>
      <c r="C168" s="1104" t="s">
        <v>1114</v>
      </c>
      <c r="D168" s="974"/>
      <c r="E168" s="596"/>
      <c r="F168" s="987"/>
      <c r="G168" s="988"/>
      <c r="I168" s="974"/>
      <c r="N168" s="1899"/>
      <c r="O168" s="940" t="s">
        <v>122</v>
      </c>
      <c r="P168" s="595">
        <v>2</v>
      </c>
      <c r="Q168" s="595">
        <v>1</v>
      </c>
      <c r="V168" s="595">
        <v>1</v>
      </c>
      <c r="AA168" s="1899"/>
      <c r="AB168" s="940" t="s">
        <v>122</v>
      </c>
      <c r="AC168" s="599">
        <f t="shared" si="1048"/>
        <v>1</v>
      </c>
      <c r="AD168" s="599">
        <f>Q168/Q154</f>
        <v>0.5</v>
      </c>
      <c r="AE168" s="599"/>
      <c r="AF168" s="599">
        <f>S168/S154</f>
        <v>0</v>
      </c>
      <c r="AG168" s="599"/>
      <c r="AH168" s="599"/>
      <c r="AI168" s="599">
        <f>V168/V154</f>
        <v>0.5</v>
      </c>
      <c r="AJ168" s="935">
        <f t="shared" si="963"/>
        <v>0.5</v>
      </c>
      <c r="AK168" s="935">
        <f t="shared" si="964"/>
        <v>0.5</v>
      </c>
      <c r="AL168" s="935">
        <f t="shared" si="965"/>
        <v>0.55000000000000004</v>
      </c>
      <c r="AM168" s="935">
        <f t="shared" si="966"/>
        <v>0.55000000000000004</v>
      </c>
      <c r="AN168" s="935">
        <f t="shared" si="967"/>
        <v>0.55000000000000004</v>
      </c>
      <c r="AO168" s="935">
        <f t="shared" si="968"/>
        <v>0.60500000000000009</v>
      </c>
      <c r="AP168" s="1036">
        <v>0.5</v>
      </c>
      <c r="AQ168" s="1036">
        <f t="shared" si="1037"/>
        <v>0.45</v>
      </c>
      <c r="AR168" s="1036">
        <f t="shared" si="1037"/>
        <v>0.45</v>
      </c>
      <c r="AS168" s="1036">
        <f t="shared" si="1037"/>
        <v>0.45</v>
      </c>
      <c r="AT168" s="1036">
        <f t="shared" si="1037"/>
        <v>0.49500000000000005</v>
      </c>
      <c r="AU168" s="1036">
        <f t="shared" si="1037"/>
        <v>0.5445000000000001</v>
      </c>
      <c r="AV168" s="1036">
        <f t="shared" si="1037"/>
        <v>0.5445000000000001</v>
      </c>
      <c r="AW168" s="1036">
        <f t="shared" si="1037"/>
        <v>0.5445000000000001</v>
      </c>
      <c r="AX168" s="1036">
        <f t="shared" si="1037"/>
        <v>0.5445000000000001</v>
      </c>
      <c r="AY168" s="1036">
        <f t="shared" si="1037"/>
        <v>0.5445000000000001</v>
      </c>
      <c r="AZ168" s="1036">
        <f t="shared" si="1037"/>
        <v>0.5445000000000001</v>
      </c>
      <c r="BA168" s="1036">
        <f t="shared" si="1037"/>
        <v>0.5445000000000001</v>
      </c>
      <c r="BB168" s="1036">
        <v>0.5</v>
      </c>
      <c r="BC168" s="1036">
        <f t="shared" si="1038"/>
        <v>0.45</v>
      </c>
      <c r="BD168" s="1036">
        <f t="shared" si="970"/>
        <v>0.45</v>
      </c>
      <c r="BE168" s="1036">
        <f t="shared" si="971"/>
        <v>0.45</v>
      </c>
      <c r="BF168" s="1036">
        <f t="shared" si="972"/>
        <v>0.49500000000000005</v>
      </c>
      <c r="BG168" s="1036">
        <f t="shared" si="973"/>
        <v>0.5445000000000001</v>
      </c>
      <c r="BH168" s="1036">
        <f t="shared" si="974"/>
        <v>0.5445000000000001</v>
      </c>
      <c r="BI168" s="1036">
        <f t="shared" si="975"/>
        <v>0.5445000000000001</v>
      </c>
      <c r="BJ168" s="1036">
        <f t="shared" si="976"/>
        <v>0.5445000000000001</v>
      </c>
      <c r="BK168" s="1036">
        <f t="shared" si="977"/>
        <v>0.5445000000000001</v>
      </c>
      <c r="BL168" s="1036">
        <f t="shared" si="978"/>
        <v>0.5445000000000001</v>
      </c>
      <c r="BM168" s="1036">
        <f t="shared" si="979"/>
        <v>0.5445000000000001</v>
      </c>
      <c r="BN168" s="1036">
        <v>0.5</v>
      </c>
      <c r="BO168" s="1036">
        <f t="shared" si="1039"/>
        <v>0.45</v>
      </c>
      <c r="BP168" s="1036">
        <f t="shared" si="980"/>
        <v>0.45</v>
      </c>
      <c r="BQ168" s="1036">
        <f t="shared" si="981"/>
        <v>0.45</v>
      </c>
      <c r="BR168" s="1036">
        <f t="shared" si="982"/>
        <v>0.49500000000000005</v>
      </c>
      <c r="BS168" s="1036">
        <f t="shared" si="983"/>
        <v>0.5445000000000001</v>
      </c>
      <c r="BT168" s="1036">
        <f t="shared" si="984"/>
        <v>0.5445000000000001</v>
      </c>
      <c r="BU168" s="1036">
        <f t="shared" si="985"/>
        <v>0.5445000000000001</v>
      </c>
      <c r="BV168" s="1036">
        <f t="shared" si="986"/>
        <v>0.5445000000000001</v>
      </c>
      <c r="BW168" s="1036">
        <f t="shared" si="987"/>
        <v>0.5445000000000001</v>
      </c>
      <c r="BX168" s="1036">
        <f t="shared" si="988"/>
        <v>0.5445000000000001</v>
      </c>
      <c r="BY168" s="1036">
        <f t="shared" si="989"/>
        <v>0.5445000000000001</v>
      </c>
      <c r="BZ168" s="1036">
        <v>0.5</v>
      </c>
      <c r="CA168" s="1036">
        <f t="shared" si="1040"/>
        <v>0.45</v>
      </c>
      <c r="CB168" s="1036">
        <f t="shared" si="990"/>
        <v>0.45</v>
      </c>
      <c r="CC168" s="1036">
        <f t="shared" si="991"/>
        <v>0.45</v>
      </c>
      <c r="CD168" s="1036">
        <f t="shared" si="992"/>
        <v>0.49500000000000005</v>
      </c>
      <c r="CE168" s="1036">
        <f t="shared" si="993"/>
        <v>0.5445000000000001</v>
      </c>
      <c r="CF168" s="1036">
        <f t="shared" si="994"/>
        <v>0.5445000000000001</v>
      </c>
      <c r="CG168" s="1036">
        <f t="shared" si="995"/>
        <v>0.5445000000000001</v>
      </c>
      <c r="CH168" s="1036">
        <f t="shared" si="996"/>
        <v>0.5445000000000001</v>
      </c>
      <c r="CI168" s="1036">
        <f t="shared" si="997"/>
        <v>0.5445000000000001</v>
      </c>
      <c r="CJ168" s="1036">
        <f t="shared" si="998"/>
        <v>0.5445000000000001</v>
      </c>
      <c r="CK168" s="1036">
        <f t="shared" si="999"/>
        <v>0.5445000000000001</v>
      </c>
      <c r="CL168" s="1036">
        <v>0.5</v>
      </c>
      <c r="CM168" s="1036">
        <f t="shared" si="1041"/>
        <v>0.45</v>
      </c>
      <c r="CN168" s="1036">
        <f t="shared" si="1000"/>
        <v>0.45</v>
      </c>
      <c r="CO168" s="1036">
        <f t="shared" si="1001"/>
        <v>0.45</v>
      </c>
      <c r="CP168" s="1036">
        <f t="shared" si="1002"/>
        <v>0.49500000000000005</v>
      </c>
      <c r="CQ168" s="1036">
        <f t="shared" si="1003"/>
        <v>0.5445000000000001</v>
      </c>
      <c r="CR168" s="1036">
        <f t="shared" si="1004"/>
        <v>0.5445000000000001</v>
      </c>
      <c r="CS168" s="1036">
        <f t="shared" si="1005"/>
        <v>0.5445000000000001</v>
      </c>
      <c r="CT168" s="1036">
        <f t="shared" si="1006"/>
        <v>0.5445000000000001</v>
      </c>
      <c r="CU168" s="1036">
        <f t="shared" si="1007"/>
        <v>0.5445000000000001</v>
      </c>
      <c r="CV168" s="1036">
        <f t="shared" si="1008"/>
        <v>0.5445000000000001</v>
      </c>
      <c r="CW168" s="1036">
        <f t="shared" si="1009"/>
        <v>0.5445000000000001</v>
      </c>
      <c r="CX168" s="1036">
        <v>0.5</v>
      </c>
      <c r="CY168" s="1036">
        <f t="shared" si="1042"/>
        <v>0.45</v>
      </c>
      <c r="CZ168" s="1036">
        <f t="shared" si="1010"/>
        <v>0.45</v>
      </c>
      <c r="DA168" s="1036">
        <f t="shared" si="1011"/>
        <v>0.45</v>
      </c>
      <c r="DB168" s="1036">
        <f t="shared" si="1012"/>
        <v>0.49500000000000005</v>
      </c>
      <c r="DC168" s="1036">
        <f t="shared" si="1013"/>
        <v>0.5445000000000001</v>
      </c>
      <c r="DD168" s="1036">
        <f t="shared" si="1014"/>
        <v>0.5445000000000001</v>
      </c>
      <c r="DE168" s="1036">
        <f t="shared" si="1015"/>
        <v>0.5445000000000001</v>
      </c>
      <c r="DF168" s="1036">
        <f t="shared" si="1016"/>
        <v>0.5445000000000001</v>
      </c>
      <c r="DG168" s="1036">
        <f t="shared" si="1017"/>
        <v>0.5445000000000001</v>
      </c>
      <c r="DH168" s="1036">
        <f t="shared" si="1018"/>
        <v>0.5445000000000001</v>
      </c>
      <c r="DI168" s="1036">
        <f t="shared" si="1019"/>
        <v>0.5445000000000001</v>
      </c>
      <c r="DK168" s="1899"/>
      <c r="DL168" s="940" t="s">
        <v>122</v>
      </c>
      <c r="DN168" s="977">
        <v>1</v>
      </c>
      <c r="DO168" s="978">
        <f>DO154*$AJ$168</f>
        <v>1.5</v>
      </c>
      <c r="DP168" s="978">
        <f>DP154*$AJ$168</f>
        <v>1</v>
      </c>
      <c r="DQ168" s="978">
        <f>DQ154*$AJ$168</f>
        <v>1.5</v>
      </c>
      <c r="DR168" s="979">
        <f>DR154*$AJ$168</f>
        <v>2.25</v>
      </c>
      <c r="DT168" s="977">
        <v>1</v>
      </c>
      <c r="DU168" s="978">
        <f>DU154*$AH$168</f>
        <v>0</v>
      </c>
      <c r="DV168" s="978">
        <f>DV154*$AH$168</f>
        <v>0</v>
      </c>
      <c r="DW168" s="978">
        <f>DW154*$AH$168</f>
        <v>0</v>
      </c>
      <c r="DX168" s="979">
        <f>DX154*$AH$168</f>
        <v>0</v>
      </c>
      <c r="DZ168" s="977">
        <v>1</v>
      </c>
      <c r="EA168" s="978">
        <f>EA154*AL$168</f>
        <v>1.6500000000000001</v>
      </c>
      <c r="EB168" s="978">
        <f>EB154*AM$168</f>
        <v>1.1000000000000001</v>
      </c>
      <c r="EC168" s="978">
        <f>EC154*AN$168</f>
        <v>1.6500000000000001</v>
      </c>
      <c r="ED168" s="979">
        <f>ED154*AO$168</f>
        <v>3.0250000000000004</v>
      </c>
      <c r="EF168" s="977">
        <f t="shared" si="1020"/>
        <v>1</v>
      </c>
      <c r="EG168" s="978">
        <f t="shared" si="1021"/>
        <v>1.35</v>
      </c>
      <c r="EH168" s="978">
        <f t="shared" si="1022"/>
        <v>2.25</v>
      </c>
      <c r="EI168" s="978">
        <f t="shared" si="1023"/>
        <v>2.4750000000000001</v>
      </c>
      <c r="EJ168" s="978">
        <f t="shared" si="1024"/>
        <v>1.2375</v>
      </c>
      <c r="EK168" s="978">
        <f t="shared" si="1025"/>
        <v>1.0890000000000002</v>
      </c>
      <c r="EL168" s="978">
        <f t="shared" si="1026"/>
        <v>1.3612500000000003</v>
      </c>
      <c r="EM168" s="978">
        <f t="shared" si="1027"/>
        <v>1.9057500000000003</v>
      </c>
      <c r="EN168" s="978">
        <f t="shared" si="1028"/>
        <v>2.1780000000000004</v>
      </c>
      <c r="EO168" s="978">
        <f t="shared" si="1029"/>
        <v>1.3612500000000003</v>
      </c>
      <c r="EP168" s="978">
        <f t="shared" si="1030"/>
        <v>1.0890000000000002</v>
      </c>
      <c r="EQ168" s="979">
        <f t="shared" si="1031"/>
        <v>1.0890000000000002</v>
      </c>
      <c r="ES168" s="977">
        <f t="shared" si="1043"/>
        <v>0.75</v>
      </c>
      <c r="ET168" s="978">
        <f t="shared" si="1032"/>
        <v>0.45</v>
      </c>
      <c r="EU168" s="978">
        <f t="shared" si="1032"/>
        <v>0.45</v>
      </c>
      <c r="EV168" s="978">
        <f t="shared" si="1032"/>
        <v>0.45</v>
      </c>
      <c r="EW168" s="978">
        <f t="shared" si="1032"/>
        <v>0.49500000000000005</v>
      </c>
      <c r="EX168" s="978">
        <f t="shared" si="1032"/>
        <v>0.5445000000000001</v>
      </c>
      <c r="EY168" s="978">
        <f t="shared" si="1032"/>
        <v>0.27225000000000005</v>
      </c>
      <c r="EZ168" s="978">
        <f t="shared" si="1032"/>
        <v>0</v>
      </c>
      <c r="FA168" s="978">
        <f t="shared" si="1032"/>
        <v>0.27225000000000005</v>
      </c>
      <c r="FB168" s="978">
        <f t="shared" si="1032"/>
        <v>0.5445000000000001</v>
      </c>
      <c r="FC168" s="978">
        <f t="shared" si="1032"/>
        <v>0.5445000000000001</v>
      </c>
      <c r="FD168" s="979">
        <f t="shared" si="1032"/>
        <v>0.5445000000000001</v>
      </c>
      <c r="FF168" s="977">
        <f t="shared" si="1044"/>
        <v>0.5</v>
      </c>
      <c r="FG168" s="978">
        <f t="shared" si="1033"/>
        <v>0.45</v>
      </c>
      <c r="FH168" s="978">
        <f t="shared" si="1033"/>
        <v>0.45</v>
      </c>
      <c r="FI168" s="978">
        <f t="shared" si="1033"/>
        <v>0.45</v>
      </c>
      <c r="FJ168" s="978">
        <f t="shared" si="1033"/>
        <v>0.49500000000000005</v>
      </c>
      <c r="FK168" s="978">
        <f t="shared" si="1033"/>
        <v>0.5445000000000001</v>
      </c>
      <c r="FL168" s="978">
        <f t="shared" si="1033"/>
        <v>0.27225000000000005</v>
      </c>
      <c r="FM168" s="978">
        <f t="shared" si="1033"/>
        <v>0</v>
      </c>
      <c r="FN168" s="978">
        <f t="shared" si="1033"/>
        <v>0.27225000000000005</v>
      </c>
      <c r="FO168" s="978">
        <f t="shared" si="1033"/>
        <v>0.5445000000000001</v>
      </c>
      <c r="FP168" s="978">
        <f t="shared" si="1033"/>
        <v>0.5445000000000001</v>
      </c>
      <c r="FQ168" s="979">
        <f t="shared" si="1033"/>
        <v>0.5445000000000001</v>
      </c>
      <c r="FS168" s="977">
        <f t="shared" si="1045"/>
        <v>0.5</v>
      </c>
      <c r="FT168" s="978">
        <f t="shared" si="1034"/>
        <v>0.45</v>
      </c>
      <c r="FU168" s="978">
        <f t="shared" si="1034"/>
        <v>0.45</v>
      </c>
      <c r="FV168" s="978">
        <f t="shared" si="1034"/>
        <v>0.45</v>
      </c>
      <c r="FW168" s="978">
        <f t="shared" si="1034"/>
        <v>0.49500000000000005</v>
      </c>
      <c r="FX168" s="978">
        <f t="shared" si="1034"/>
        <v>0.5445000000000001</v>
      </c>
      <c r="FY168" s="978">
        <f t="shared" si="1034"/>
        <v>0.27225000000000005</v>
      </c>
      <c r="FZ168" s="978">
        <f t="shared" si="1034"/>
        <v>0</v>
      </c>
      <c r="GA168" s="978">
        <f t="shared" si="1034"/>
        <v>0</v>
      </c>
      <c r="GB168" s="978">
        <f t="shared" si="1034"/>
        <v>0</v>
      </c>
      <c r="GC168" s="978">
        <f t="shared" si="1034"/>
        <v>0</v>
      </c>
      <c r="GD168" s="979">
        <f t="shared" si="1034"/>
        <v>0</v>
      </c>
      <c r="GF168" s="977">
        <f t="shared" si="1046"/>
        <v>0</v>
      </c>
      <c r="GG168" s="978">
        <f t="shared" si="1035"/>
        <v>0</v>
      </c>
      <c r="GH168" s="978">
        <f t="shared" si="1035"/>
        <v>0</v>
      </c>
      <c r="GI168" s="978">
        <f t="shared" si="1035"/>
        <v>0</v>
      </c>
      <c r="GJ168" s="978">
        <f t="shared" si="1035"/>
        <v>0</v>
      </c>
      <c r="GK168" s="978">
        <f t="shared" si="1035"/>
        <v>0</v>
      </c>
      <c r="GL168" s="978">
        <f t="shared" si="1035"/>
        <v>0</v>
      </c>
      <c r="GM168" s="978">
        <f t="shared" si="1035"/>
        <v>0</v>
      </c>
      <c r="GN168" s="978">
        <f t="shared" si="1035"/>
        <v>0</v>
      </c>
      <c r="GO168" s="978">
        <f t="shared" si="1035"/>
        <v>0</v>
      </c>
      <c r="GP168" s="978">
        <f t="shared" si="1035"/>
        <v>0</v>
      </c>
      <c r="GQ168" s="979">
        <f t="shared" si="1035"/>
        <v>0</v>
      </c>
      <c r="GS168" s="977">
        <f t="shared" si="1047"/>
        <v>0</v>
      </c>
      <c r="GT168" s="978">
        <f t="shared" si="1036"/>
        <v>0</v>
      </c>
      <c r="GU168" s="978">
        <f t="shared" si="1036"/>
        <v>0</v>
      </c>
      <c r="GV168" s="978">
        <f t="shared" si="1036"/>
        <v>0</v>
      </c>
      <c r="GW168" s="978">
        <f t="shared" si="1036"/>
        <v>0</v>
      </c>
      <c r="GX168" s="978">
        <f t="shared" si="1036"/>
        <v>0</v>
      </c>
      <c r="GY168" s="978">
        <f t="shared" si="1036"/>
        <v>0</v>
      </c>
      <c r="GZ168" s="978">
        <f t="shared" si="1036"/>
        <v>0</v>
      </c>
      <c r="HA168" s="978">
        <f t="shared" si="1036"/>
        <v>0</v>
      </c>
      <c r="HB168" s="978">
        <f t="shared" si="1036"/>
        <v>0</v>
      </c>
      <c r="HC168" s="978">
        <f t="shared" si="1036"/>
        <v>0</v>
      </c>
      <c r="HD168" s="979">
        <f t="shared" si="1036"/>
        <v>0</v>
      </c>
    </row>
    <row r="169" spans="2:212" ht="15">
      <c r="B169" s="957"/>
      <c r="C169" s="929" t="s">
        <v>1115</v>
      </c>
      <c r="D169" s="957"/>
      <c r="E169" s="957"/>
      <c r="F169" s="957"/>
      <c r="G169" s="957"/>
      <c r="H169" s="957"/>
      <c r="I169" s="957"/>
      <c r="N169" s="1899"/>
      <c r="O169" s="940" t="s">
        <v>123</v>
      </c>
      <c r="P169" s="595">
        <v>1</v>
      </c>
      <c r="Q169" s="595">
        <v>2</v>
      </c>
      <c r="R169" s="595">
        <v>2</v>
      </c>
      <c r="AA169" s="1899"/>
      <c r="AB169" s="940" t="s">
        <v>123</v>
      </c>
      <c r="AC169" s="599">
        <f t="shared" si="1048"/>
        <v>1</v>
      </c>
      <c r="AD169" s="599">
        <f>Q169/Q155</f>
        <v>1</v>
      </c>
      <c r="AE169" s="599">
        <f>R169/R155</f>
        <v>1</v>
      </c>
      <c r="AF169" s="599"/>
      <c r="AG169" s="599">
        <f>T169/T155</f>
        <v>0</v>
      </c>
      <c r="AH169" s="599"/>
      <c r="AI169" s="599"/>
      <c r="AJ169" s="935">
        <f t="shared" si="963"/>
        <v>0.75</v>
      </c>
      <c r="AK169" s="935">
        <f t="shared" si="964"/>
        <v>0.75</v>
      </c>
      <c r="AL169" s="935">
        <f t="shared" si="965"/>
        <v>0.82500000000000007</v>
      </c>
      <c r="AM169" s="935">
        <f t="shared" si="966"/>
        <v>0.82500000000000007</v>
      </c>
      <c r="AN169" s="935">
        <f t="shared" si="967"/>
        <v>0.82500000000000007</v>
      </c>
      <c r="AO169" s="935">
        <f t="shared" si="968"/>
        <v>0.9075000000000002</v>
      </c>
      <c r="AP169" s="1036">
        <v>0.5</v>
      </c>
      <c r="AQ169" s="1036">
        <f t="shared" si="1037"/>
        <v>0.45</v>
      </c>
      <c r="AR169" s="1036">
        <f t="shared" si="1037"/>
        <v>0.45</v>
      </c>
      <c r="AS169" s="1036">
        <f t="shared" si="1037"/>
        <v>0.45</v>
      </c>
      <c r="AT169" s="1036">
        <f t="shared" si="1037"/>
        <v>0.49500000000000005</v>
      </c>
      <c r="AU169" s="1036">
        <f t="shared" si="1037"/>
        <v>0.5445000000000001</v>
      </c>
      <c r="AV169" s="1036">
        <f t="shared" si="1037"/>
        <v>0.5445000000000001</v>
      </c>
      <c r="AW169" s="1036">
        <f t="shared" si="1037"/>
        <v>0.5445000000000001</v>
      </c>
      <c r="AX169" s="1036">
        <f t="shared" si="1037"/>
        <v>0.5445000000000001</v>
      </c>
      <c r="AY169" s="1036">
        <f t="shared" si="1037"/>
        <v>0.5445000000000001</v>
      </c>
      <c r="AZ169" s="1036">
        <f t="shared" si="1037"/>
        <v>0.5445000000000001</v>
      </c>
      <c r="BA169" s="1036">
        <f t="shared" si="1037"/>
        <v>0.5445000000000001</v>
      </c>
      <c r="BB169" s="1036">
        <v>0.5</v>
      </c>
      <c r="BC169" s="1036">
        <f t="shared" si="1038"/>
        <v>0.45</v>
      </c>
      <c r="BD169" s="1036">
        <f t="shared" si="970"/>
        <v>0.45</v>
      </c>
      <c r="BE169" s="1036">
        <f t="shared" si="971"/>
        <v>0.45</v>
      </c>
      <c r="BF169" s="1036">
        <f t="shared" si="972"/>
        <v>0.49500000000000005</v>
      </c>
      <c r="BG169" s="1036">
        <f t="shared" si="973"/>
        <v>0.5445000000000001</v>
      </c>
      <c r="BH169" s="1036">
        <f t="shared" si="974"/>
        <v>0.5445000000000001</v>
      </c>
      <c r="BI169" s="1036">
        <f t="shared" si="975"/>
        <v>0.5445000000000001</v>
      </c>
      <c r="BJ169" s="1036">
        <f t="shared" si="976"/>
        <v>0.5445000000000001</v>
      </c>
      <c r="BK169" s="1036">
        <f t="shared" si="977"/>
        <v>0.5445000000000001</v>
      </c>
      <c r="BL169" s="1036">
        <f t="shared" si="978"/>
        <v>0.5445000000000001</v>
      </c>
      <c r="BM169" s="1036">
        <f t="shared" si="979"/>
        <v>0.5445000000000001</v>
      </c>
      <c r="BN169" s="1036">
        <v>0.5</v>
      </c>
      <c r="BO169" s="1036">
        <f t="shared" si="1039"/>
        <v>0.45</v>
      </c>
      <c r="BP169" s="1036">
        <f t="shared" si="980"/>
        <v>0.45</v>
      </c>
      <c r="BQ169" s="1036">
        <f t="shared" si="981"/>
        <v>0.45</v>
      </c>
      <c r="BR169" s="1036">
        <f t="shared" si="982"/>
        <v>0.49500000000000005</v>
      </c>
      <c r="BS169" s="1036">
        <f t="shared" si="983"/>
        <v>0.5445000000000001</v>
      </c>
      <c r="BT169" s="1036">
        <f t="shared" si="984"/>
        <v>0.5445000000000001</v>
      </c>
      <c r="BU169" s="1036">
        <f t="shared" si="985"/>
        <v>0.5445000000000001</v>
      </c>
      <c r="BV169" s="1036">
        <f t="shared" si="986"/>
        <v>0.5445000000000001</v>
      </c>
      <c r="BW169" s="1036">
        <f t="shared" si="987"/>
        <v>0.5445000000000001</v>
      </c>
      <c r="BX169" s="1036">
        <f t="shared" si="988"/>
        <v>0.5445000000000001</v>
      </c>
      <c r="BY169" s="1036">
        <f t="shared" si="989"/>
        <v>0.5445000000000001</v>
      </c>
      <c r="BZ169" s="1036">
        <v>0.5</v>
      </c>
      <c r="CA169" s="1036">
        <f t="shared" si="1040"/>
        <v>0.45</v>
      </c>
      <c r="CB169" s="1036">
        <f t="shared" si="990"/>
        <v>0.45</v>
      </c>
      <c r="CC169" s="1036">
        <f t="shared" si="991"/>
        <v>0.45</v>
      </c>
      <c r="CD169" s="1036">
        <f t="shared" si="992"/>
        <v>0.49500000000000005</v>
      </c>
      <c r="CE169" s="1036">
        <f t="shared" si="993"/>
        <v>0.5445000000000001</v>
      </c>
      <c r="CF169" s="1036">
        <f t="shared" si="994"/>
        <v>0.5445000000000001</v>
      </c>
      <c r="CG169" s="1036">
        <f t="shared" si="995"/>
        <v>0.5445000000000001</v>
      </c>
      <c r="CH169" s="1036">
        <f t="shared" si="996"/>
        <v>0.5445000000000001</v>
      </c>
      <c r="CI169" s="1036">
        <f t="shared" si="997"/>
        <v>0.5445000000000001</v>
      </c>
      <c r="CJ169" s="1036">
        <f t="shared" si="998"/>
        <v>0.5445000000000001</v>
      </c>
      <c r="CK169" s="1036">
        <f t="shared" si="999"/>
        <v>0.5445000000000001</v>
      </c>
      <c r="CL169" s="1036">
        <v>0.5</v>
      </c>
      <c r="CM169" s="1036">
        <f t="shared" si="1041"/>
        <v>0.45</v>
      </c>
      <c r="CN169" s="1036">
        <f t="shared" si="1000"/>
        <v>0.45</v>
      </c>
      <c r="CO169" s="1036">
        <f t="shared" si="1001"/>
        <v>0.45</v>
      </c>
      <c r="CP169" s="1036">
        <f t="shared" si="1002"/>
        <v>0.49500000000000005</v>
      </c>
      <c r="CQ169" s="1036">
        <f t="shared" si="1003"/>
        <v>0.5445000000000001</v>
      </c>
      <c r="CR169" s="1036">
        <f t="shared" si="1004"/>
        <v>0.5445000000000001</v>
      </c>
      <c r="CS169" s="1036">
        <f t="shared" si="1005"/>
        <v>0.5445000000000001</v>
      </c>
      <c r="CT169" s="1036">
        <f t="shared" si="1006"/>
        <v>0.5445000000000001</v>
      </c>
      <c r="CU169" s="1036">
        <f t="shared" si="1007"/>
        <v>0.5445000000000001</v>
      </c>
      <c r="CV169" s="1036">
        <f t="shared" si="1008"/>
        <v>0.5445000000000001</v>
      </c>
      <c r="CW169" s="1036">
        <f t="shared" si="1009"/>
        <v>0.5445000000000001</v>
      </c>
      <c r="CX169" s="1036">
        <v>0.5</v>
      </c>
      <c r="CY169" s="1036">
        <f t="shared" si="1042"/>
        <v>0.45</v>
      </c>
      <c r="CZ169" s="1036">
        <f t="shared" si="1010"/>
        <v>0.45</v>
      </c>
      <c r="DA169" s="1036">
        <f t="shared" si="1011"/>
        <v>0.45</v>
      </c>
      <c r="DB169" s="1036">
        <f t="shared" si="1012"/>
        <v>0.49500000000000005</v>
      </c>
      <c r="DC169" s="1036">
        <f t="shared" si="1013"/>
        <v>0.5445000000000001</v>
      </c>
      <c r="DD169" s="1036">
        <f t="shared" si="1014"/>
        <v>0.5445000000000001</v>
      </c>
      <c r="DE169" s="1036">
        <f t="shared" si="1015"/>
        <v>0.5445000000000001</v>
      </c>
      <c r="DF169" s="1036">
        <f t="shared" si="1016"/>
        <v>0.5445000000000001</v>
      </c>
      <c r="DG169" s="1036">
        <f t="shared" si="1017"/>
        <v>0.5445000000000001</v>
      </c>
      <c r="DH169" s="1036">
        <f t="shared" si="1018"/>
        <v>0.5445000000000001</v>
      </c>
      <c r="DI169" s="1036">
        <f t="shared" si="1019"/>
        <v>0.5445000000000001</v>
      </c>
      <c r="DK169" s="1899"/>
      <c r="DL169" s="940" t="s">
        <v>123</v>
      </c>
      <c r="DN169" s="977">
        <v>1</v>
      </c>
      <c r="DO169" s="978">
        <f>DO155*$AJ$169</f>
        <v>2.25</v>
      </c>
      <c r="DP169" s="978">
        <f>DP155*$AJ$169</f>
        <v>2.25</v>
      </c>
      <c r="DQ169" s="978">
        <f>DQ155*$AJ$169</f>
        <v>1.5</v>
      </c>
      <c r="DR169" s="979">
        <f>DR155*$AJ$169</f>
        <v>2.25</v>
      </c>
      <c r="DT169" s="977">
        <v>1</v>
      </c>
      <c r="DU169" s="978">
        <f>DU155*$AH$169</f>
        <v>0</v>
      </c>
      <c r="DV169" s="978">
        <f>DV155*$AH$169</f>
        <v>0</v>
      </c>
      <c r="DW169" s="978">
        <f>DW155*$AH$169</f>
        <v>0</v>
      </c>
      <c r="DX169" s="979">
        <f>DX155*$AH$169</f>
        <v>0</v>
      </c>
      <c r="DZ169" s="977">
        <v>1</v>
      </c>
      <c r="EA169" s="978">
        <f>EA155*AL$169</f>
        <v>2.4750000000000001</v>
      </c>
      <c r="EB169" s="978">
        <f>EB155*AM$169</f>
        <v>2.4750000000000001</v>
      </c>
      <c r="EC169" s="978">
        <f>EC155*AN$169</f>
        <v>1.6500000000000001</v>
      </c>
      <c r="ED169" s="979">
        <f>ED155*AO$169</f>
        <v>2.7225000000000006</v>
      </c>
      <c r="EF169" s="977">
        <f t="shared" si="1020"/>
        <v>1.5</v>
      </c>
      <c r="EG169" s="978">
        <f t="shared" si="1021"/>
        <v>0.9</v>
      </c>
      <c r="EH169" s="978">
        <f t="shared" si="1022"/>
        <v>1.35</v>
      </c>
      <c r="EI169" s="978">
        <f t="shared" si="1023"/>
        <v>2.25</v>
      </c>
      <c r="EJ169" s="978">
        <f t="shared" si="1024"/>
        <v>2.7225000000000001</v>
      </c>
      <c r="EK169" s="978">
        <f t="shared" si="1025"/>
        <v>1.3612500000000003</v>
      </c>
      <c r="EL169" s="978">
        <f t="shared" si="1026"/>
        <v>1.0890000000000002</v>
      </c>
      <c r="EM169" s="978">
        <f t="shared" si="1027"/>
        <v>1.3612500000000003</v>
      </c>
      <c r="EN169" s="978">
        <f t="shared" si="1028"/>
        <v>1.9057500000000003</v>
      </c>
      <c r="EO169" s="978">
        <f t="shared" si="1029"/>
        <v>2.1780000000000004</v>
      </c>
      <c r="EP169" s="978">
        <f t="shared" si="1030"/>
        <v>1.3612500000000003</v>
      </c>
      <c r="EQ169" s="979">
        <f t="shared" si="1031"/>
        <v>1.0890000000000002</v>
      </c>
      <c r="ES169" s="977">
        <f t="shared" si="1043"/>
        <v>1</v>
      </c>
      <c r="ET169" s="978">
        <f t="shared" si="1032"/>
        <v>0.67500000000000004</v>
      </c>
      <c r="EU169" s="978">
        <f t="shared" si="1032"/>
        <v>0.45</v>
      </c>
      <c r="EV169" s="978">
        <f t="shared" si="1032"/>
        <v>0.45</v>
      </c>
      <c r="EW169" s="978">
        <f t="shared" si="1032"/>
        <v>0.49500000000000005</v>
      </c>
      <c r="EX169" s="978">
        <f t="shared" si="1032"/>
        <v>0.5445000000000001</v>
      </c>
      <c r="EY169" s="978">
        <f t="shared" si="1032"/>
        <v>0.5445000000000001</v>
      </c>
      <c r="EZ169" s="978">
        <f t="shared" si="1032"/>
        <v>0.27225000000000005</v>
      </c>
      <c r="FA169" s="978">
        <f t="shared" si="1032"/>
        <v>0</v>
      </c>
      <c r="FB169" s="978">
        <f t="shared" si="1032"/>
        <v>0.27225000000000005</v>
      </c>
      <c r="FC169" s="978">
        <f t="shared" si="1032"/>
        <v>0.5445000000000001</v>
      </c>
      <c r="FD169" s="979">
        <f t="shared" si="1032"/>
        <v>0.5445000000000001</v>
      </c>
      <c r="FF169" s="977">
        <f t="shared" si="1044"/>
        <v>0.5</v>
      </c>
      <c r="FG169" s="978">
        <f t="shared" si="1033"/>
        <v>0.45</v>
      </c>
      <c r="FH169" s="978">
        <f t="shared" si="1033"/>
        <v>0.45</v>
      </c>
      <c r="FI169" s="978">
        <f t="shared" si="1033"/>
        <v>0.45</v>
      </c>
      <c r="FJ169" s="978">
        <f t="shared" si="1033"/>
        <v>0.49500000000000005</v>
      </c>
      <c r="FK169" s="978">
        <f t="shared" si="1033"/>
        <v>0.5445000000000001</v>
      </c>
      <c r="FL169" s="978">
        <f t="shared" si="1033"/>
        <v>0.5445000000000001</v>
      </c>
      <c r="FM169" s="978">
        <f t="shared" si="1033"/>
        <v>0.27225000000000005</v>
      </c>
      <c r="FN169" s="978">
        <f t="shared" si="1033"/>
        <v>0</v>
      </c>
      <c r="FO169" s="978">
        <f t="shared" si="1033"/>
        <v>0.27225000000000005</v>
      </c>
      <c r="FP169" s="978">
        <f t="shared" si="1033"/>
        <v>0.5445000000000001</v>
      </c>
      <c r="FQ169" s="979">
        <f t="shared" si="1033"/>
        <v>0.5445000000000001</v>
      </c>
      <c r="FS169" s="977">
        <f t="shared" si="1045"/>
        <v>0.5</v>
      </c>
      <c r="FT169" s="978">
        <f t="shared" si="1034"/>
        <v>0.45</v>
      </c>
      <c r="FU169" s="978">
        <f t="shared" si="1034"/>
        <v>0.45</v>
      </c>
      <c r="FV169" s="978">
        <f t="shared" si="1034"/>
        <v>0.45</v>
      </c>
      <c r="FW169" s="978">
        <f t="shared" si="1034"/>
        <v>0.49500000000000005</v>
      </c>
      <c r="FX169" s="978">
        <f t="shared" si="1034"/>
        <v>0.5445000000000001</v>
      </c>
      <c r="FY169" s="978">
        <f t="shared" si="1034"/>
        <v>0.5445000000000001</v>
      </c>
      <c r="FZ169" s="978">
        <f t="shared" si="1034"/>
        <v>0.27225000000000005</v>
      </c>
      <c r="GA169" s="978">
        <f t="shared" si="1034"/>
        <v>0</v>
      </c>
      <c r="GB169" s="978">
        <f t="shared" si="1034"/>
        <v>0</v>
      </c>
      <c r="GC169" s="978">
        <f t="shared" si="1034"/>
        <v>0</v>
      </c>
      <c r="GD169" s="979">
        <f t="shared" si="1034"/>
        <v>0</v>
      </c>
      <c r="GF169" s="977">
        <f t="shared" si="1046"/>
        <v>0</v>
      </c>
      <c r="GG169" s="978">
        <f t="shared" si="1035"/>
        <v>0</v>
      </c>
      <c r="GH169" s="978">
        <f t="shared" si="1035"/>
        <v>0</v>
      </c>
      <c r="GI169" s="978">
        <f t="shared" si="1035"/>
        <v>0</v>
      </c>
      <c r="GJ169" s="978">
        <f t="shared" si="1035"/>
        <v>0</v>
      </c>
      <c r="GK169" s="978">
        <f t="shared" si="1035"/>
        <v>0</v>
      </c>
      <c r="GL169" s="978">
        <f t="shared" si="1035"/>
        <v>0</v>
      </c>
      <c r="GM169" s="978">
        <f t="shared" si="1035"/>
        <v>0</v>
      </c>
      <c r="GN169" s="978">
        <f t="shared" si="1035"/>
        <v>0</v>
      </c>
      <c r="GO169" s="978">
        <f t="shared" si="1035"/>
        <v>0</v>
      </c>
      <c r="GP169" s="978">
        <f t="shared" si="1035"/>
        <v>0</v>
      </c>
      <c r="GQ169" s="979">
        <f t="shared" si="1035"/>
        <v>0</v>
      </c>
      <c r="GS169" s="977">
        <f t="shared" si="1047"/>
        <v>0</v>
      </c>
      <c r="GT169" s="978">
        <f t="shared" si="1036"/>
        <v>0</v>
      </c>
      <c r="GU169" s="978">
        <f t="shared" si="1036"/>
        <v>0</v>
      </c>
      <c r="GV169" s="978">
        <f t="shared" si="1036"/>
        <v>0</v>
      </c>
      <c r="GW169" s="978">
        <f t="shared" si="1036"/>
        <v>0</v>
      </c>
      <c r="GX169" s="978">
        <f t="shared" si="1036"/>
        <v>0</v>
      </c>
      <c r="GY169" s="978">
        <f t="shared" si="1036"/>
        <v>0</v>
      </c>
      <c r="GZ169" s="978">
        <f t="shared" si="1036"/>
        <v>0</v>
      </c>
      <c r="HA169" s="978">
        <f t="shared" si="1036"/>
        <v>0</v>
      </c>
      <c r="HB169" s="978">
        <f t="shared" si="1036"/>
        <v>0</v>
      </c>
      <c r="HC169" s="978">
        <f t="shared" si="1036"/>
        <v>0</v>
      </c>
      <c r="HD169" s="979">
        <f t="shared" si="1036"/>
        <v>0</v>
      </c>
    </row>
    <row r="170" spans="2:212">
      <c r="B170" s="960"/>
      <c r="C170" s="960"/>
      <c r="D170" s="960"/>
      <c r="E170" s="960"/>
      <c r="F170" s="960"/>
      <c r="G170" s="960"/>
      <c r="H170" s="964"/>
      <c r="I170" s="964"/>
      <c r="N170" s="1899"/>
      <c r="O170" s="940" t="s">
        <v>124</v>
      </c>
      <c r="P170" s="595">
        <v>1</v>
      </c>
      <c r="R170" s="595">
        <v>2</v>
      </c>
      <c r="S170" s="595">
        <v>2</v>
      </c>
      <c r="AA170" s="1899"/>
      <c r="AB170" s="940" t="s">
        <v>124</v>
      </c>
      <c r="AC170" s="599">
        <f t="shared" si="1048"/>
        <v>0.5</v>
      </c>
      <c r="AD170" s="599">
        <f>Q170/Q156</f>
        <v>0</v>
      </c>
      <c r="AE170" s="599">
        <f>R170/R156</f>
        <v>1</v>
      </c>
      <c r="AF170" s="599">
        <f>S170/S156</f>
        <v>1</v>
      </c>
      <c r="AG170" s="599"/>
      <c r="AH170" s="599">
        <f>U170/U156</f>
        <v>0</v>
      </c>
      <c r="AI170" s="599"/>
      <c r="AJ170" s="935">
        <f t="shared" si="963"/>
        <v>0.5</v>
      </c>
      <c r="AK170" s="935">
        <f t="shared" si="964"/>
        <v>0.5</v>
      </c>
      <c r="AL170" s="935">
        <f t="shared" si="965"/>
        <v>0.55000000000000004</v>
      </c>
      <c r="AM170" s="935">
        <f t="shared" si="966"/>
        <v>0.55000000000000004</v>
      </c>
      <c r="AN170" s="935">
        <f t="shared" si="967"/>
        <v>0.55000000000000004</v>
      </c>
      <c r="AO170" s="935">
        <f t="shared" si="968"/>
        <v>0.60500000000000009</v>
      </c>
      <c r="AP170" s="1036">
        <v>0.5</v>
      </c>
      <c r="AQ170" s="1036">
        <f t="shared" si="1037"/>
        <v>0.45</v>
      </c>
      <c r="AR170" s="1036">
        <f t="shared" si="1037"/>
        <v>0.45</v>
      </c>
      <c r="AS170" s="1036">
        <f t="shared" si="1037"/>
        <v>0.45</v>
      </c>
      <c r="AT170" s="1036">
        <f t="shared" si="1037"/>
        <v>0.49500000000000005</v>
      </c>
      <c r="AU170" s="1036">
        <f t="shared" si="1037"/>
        <v>0.5445000000000001</v>
      </c>
      <c r="AV170" s="1036">
        <f t="shared" si="1037"/>
        <v>0.5445000000000001</v>
      </c>
      <c r="AW170" s="1036">
        <f t="shared" si="1037"/>
        <v>0.5445000000000001</v>
      </c>
      <c r="AX170" s="1036">
        <f t="shared" si="1037"/>
        <v>0.5445000000000001</v>
      </c>
      <c r="AY170" s="1036">
        <f t="shared" si="1037"/>
        <v>0.5445000000000001</v>
      </c>
      <c r="AZ170" s="1036">
        <f t="shared" si="1037"/>
        <v>0.5445000000000001</v>
      </c>
      <c r="BA170" s="1036">
        <f t="shared" si="1037"/>
        <v>0.5445000000000001</v>
      </c>
      <c r="BB170" s="1036">
        <v>0.5</v>
      </c>
      <c r="BC170" s="1036">
        <f t="shared" si="1038"/>
        <v>0.45</v>
      </c>
      <c r="BD170" s="1036">
        <f t="shared" si="970"/>
        <v>0.45</v>
      </c>
      <c r="BE170" s="1036">
        <f t="shared" si="971"/>
        <v>0.45</v>
      </c>
      <c r="BF170" s="1036">
        <f t="shared" si="972"/>
        <v>0.49500000000000005</v>
      </c>
      <c r="BG170" s="1036">
        <f t="shared" si="973"/>
        <v>0.5445000000000001</v>
      </c>
      <c r="BH170" s="1036">
        <f t="shared" si="974"/>
        <v>0.5445000000000001</v>
      </c>
      <c r="BI170" s="1036">
        <f t="shared" si="975"/>
        <v>0.5445000000000001</v>
      </c>
      <c r="BJ170" s="1036">
        <f t="shared" si="976"/>
        <v>0.5445000000000001</v>
      </c>
      <c r="BK170" s="1036">
        <f t="shared" si="977"/>
        <v>0.5445000000000001</v>
      </c>
      <c r="BL170" s="1036">
        <f t="shared" si="978"/>
        <v>0.5445000000000001</v>
      </c>
      <c r="BM170" s="1036">
        <f t="shared" si="979"/>
        <v>0.5445000000000001</v>
      </c>
      <c r="BN170" s="1036">
        <v>0.5</v>
      </c>
      <c r="BO170" s="1036">
        <f t="shared" si="1039"/>
        <v>0.45</v>
      </c>
      <c r="BP170" s="1036">
        <f t="shared" si="980"/>
        <v>0.45</v>
      </c>
      <c r="BQ170" s="1036">
        <f t="shared" si="981"/>
        <v>0.45</v>
      </c>
      <c r="BR170" s="1036">
        <f t="shared" si="982"/>
        <v>0.49500000000000005</v>
      </c>
      <c r="BS170" s="1036">
        <f t="shared" si="983"/>
        <v>0.5445000000000001</v>
      </c>
      <c r="BT170" s="1036">
        <f t="shared" si="984"/>
        <v>0.5445000000000001</v>
      </c>
      <c r="BU170" s="1036">
        <f t="shared" si="985"/>
        <v>0.5445000000000001</v>
      </c>
      <c r="BV170" s="1036">
        <f t="shared" si="986"/>
        <v>0.5445000000000001</v>
      </c>
      <c r="BW170" s="1036">
        <f t="shared" si="987"/>
        <v>0.5445000000000001</v>
      </c>
      <c r="BX170" s="1036">
        <f t="shared" si="988"/>
        <v>0.5445000000000001</v>
      </c>
      <c r="BY170" s="1036">
        <f t="shared" si="989"/>
        <v>0.5445000000000001</v>
      </c>
      <c r="BZ170" s="1036">
        <v>0.5</v>
      </c>
      <c r="CA170" s="1036">
        <f t="shared" si="1040"/>
        <v>0.45</v>
      </c>
      <c r="CB170" s="1036">
        <f t="shared" si="990"/>
        <v>0.45</v>
      </c>
      <c r="CC170" s="1036">
        <f t="shared" si="991"/>
        <v>0.45</v>
      </c>
      <c r="CD170" s="1036">
        <f t="shared" si="992"/>
        <v>0.49500000000000005</v>
      </c>
      <c r="CE170" s="1036">
        <f t="shared" si="993"/>
        <v>0.5445000000000001</v>
      </c>
      <c r="CF170" s="1036">
        <f t="shared" si="994"/>
        <v>0.5445000000000001</v>
      </c>
      <c r="CG170" s="1036">
        <f t="shared" si="995"/>
        <v>0.5445000000000001</v>
      </c>
      <c r="CH170" s="1036">
        <f t="shared" si="996"/>
        <v>0.5445000000000001</v>
      </c>
      <c r="CI170" s="1036">
        <f t="shared" si="997"/>
        <v>0.5445000000000001</v>
      </c>
      <c r="CJ170" s="1036">
        <f t="shared" si="998"/>
        <v>0.5445000000000001</v>
      </c>
      <c r="CK170" s="1036">
        <f t="shared" si="999"/>
        <v>0.5445000000000001</v>
      </c>
      <c r="CL170" s="1036">
        <v>0.5</v>
      </c>
      <c r="CM170" s="1036">
        <f t="shared" si="1041"/>
        <v>0.45</v>
      </c>
      <c r="CN170" s="1036">
        <f t="shared" si="1000"/>
        <v>0.45</v>
      </c>
      <c r="CO170" s="1036">
        <f t="shared" si="1001"/>
        <v>0.45</v>
      </c>
      <c r="CP170" s="1036">
        <f t="shared" si="1002"/>
        <v>0.49500000000000005</v>
      </c>
      <c r="CQ170" s="1036">
        <f t="shared" si="1003"/>
        <v>0.5445000000000001</v>
      </c>
      <c r="CR170" s="1036">
        <f t="shared" si="1004"/>
        <v>0.5445000000000001</v>
      </c>
      <c r="CS170" s="1036">
        <f t="shared" si="1005"/>
        <v>0.5445000000000001</v>
      </c>
      <c r="CT170" s="1036">
        <f t="shared" si="1006"/>
        <v>0.5445000000000001</v>
      </c>
      <c r="CU170" s="1036">
        <f t="shared" si="1007"/>
        <v>0.5445000000000001</v>
      </c>
      <c r="CV170" s="1036">
        <f t="shared" si="1008"/>
        <v>0.5445000000000001</v>
      </c>
      <c r="CW170" s="1036">
        <f t="shared" si="1009"/>
        <v>0.5445000000000001</v>
      </c>
      <c r="CX170" s="1036">
        <v>0.5</v>
      </c>
      <c r="CY170" s="1036">
        <f t="shared" si="1042"/>
        <v>0.45</v>
      </c>
      <c r="CZ170" s="1036">
        <f t="shared" si="1010"/>
        <v>0.45</v>
      </c>
      <c r="DA170" s="1036">
        <f t="shared" si="1011"/>
        <v>0.45</v>
      </c>
      <c r="DB170" s="1036">
        <f t="shared" si="1012"/>
        <v>0.49500000000000005</v>
      </c>
      <c r="DC170" s="1036">
        <f t="shared" si="1013"/>
        <v>0.5445000000000001</v>
      </c>
      <c r="DD170" s="1036">
        <f t="shared" si="1014"/>
        <v>0.5445000000000001</v>
      </c>
      <c r="DE170" s="1036">
        <f t="shared" si="1015"/>
        <v>0.5445000000000001</v>
      </c>
      <c r="DF170" s="1036">
        <f t="shared" si="1016"/>
        <v>0.5445000000000001</v>
      </c>
      <c r="DG170" s="1036">
        <f t="shared" si="1017"/>
        <v>0.5445000000000001</v>
      </c>
      <c r="DH170" s="1036">
        <f t="shared" si="1018"/>
        <v>0.5445000000000001</v>
      </c>
      <c r="DI170" s="1036">
        <f t="shared" si="1019"/>
        <v>0.5445000000000001</v>
      </c>
      <c r="DK170" s="1899"/>
      <c r="DL170" s="940" t="s">
        <v>124</v>
      </c>
      <c r="DN170" s="977">
        <v>0</v>
      </c>
      <c r="DO170" s="978">
        <f>DO156*$AJ$170</f>
        <v>1</v>
      </c>
      <c r="DP170" s="978">
        <f>DP156*$AJ$170</f>
        <v>1.5</v>
      </c>
      <c r="DQ170" s="978">
        <f>DQ156*$AJ$170</f>
        <v>1.5</v>
      </c>
      <c r="DR170" s="979">
        <f>DR156*$AJ$170</f>
        <v>1</v>
      </c>
      <c r="DT170" s="977">
        <v>0</v>
      </c>
      <c r="DU170" s="978">
        <f>DU156*$AH$170</f>
        <v>0</v>
      </c>
      <c r="DV170" s="978">
        <f>DV156*$AH$170</f>
        <v>0</v>
      </c>
      <c r="DW170" s="978">
        <f>DW156*$AH$170</f>
        <v>0</v>
      </c>
      <c r="DX170" s="979">
        <f>DX156*$AH$170</f>
        <v>0</v>
      </c>
      <c r="DZ170" s="977">
        <v>0</v>
      </c>
      <c r="EA170" s="978">
        <f>EA156*AL$170</f>
        <v>1.1000000000000001</v>
      </c>
      <c r="EB170" s="978">
        <f>EB156*AM$170</f>
        <v>1.6500000000000001</v>
      </c>
      <c r="EC170" s="978">
        <f>EC156*AN$170</f>
        <v>1.6500000000000001</v>
      </c>
      <c r="ED170" s="979">
        <f>ED156*AO$170</f>
        <v>1.2100000000000002</v>
      </c>
      <c r="EF170" s="977">
        <f t="shared" si="1020"/>
        <v>1.5</v>
      </c>
      <c r="EG170" s="978">
        <f t="shared" si="1021"/>
        <v>1.35</v>
      </c>
      <c r="EH170" s="978">
        <f t="shared" si="1022"/>
        <v>0.9</v>
      </c>
      <c r="EI170" s="978">
        <f t="shared" si="1023"/>
        <v>1.35</v>
      </c>
      <c r="EJ170" s="978">
        <f t="shared" si="1024"/>
        <v>2.4750000000000001</v>
      </c>
      <c r="EK170" s="978">
        <f t="shared" si="1025"/>
        <v>2.9947500000000007</v>
      </c>
      <c r="EL170" s="978">
        <f t="shared" si="1026"/>
        <v>1.3612500000000003</v>
      </c>
      <c r="EM170" s="978">
        <f t="shared" si="1027"/>
        <v>1.0890000000000002</v>
      </c>
      <c r="EN170" s="978">
        <f t="shared" si="1028"/>
        <v>1.3612500000000003</v>
      </c>
      <c r="EO170" s="978">
        <f t="shared" si="1029"/>
        <v>1.9057500000000003</v>
      </c>
      <c r="EP170" s="978">
        <f t="shared" si="1030"/>
        <v>2.1780000000000004</v>
      </c>
      <c r="EQ170" s="979">
        <f t="shared" si="1031"/>
        <v>1.3612500000000003</v>
      </c>
      <c r="ES170" s="977">
        <f t="shared" si="1043"/>
        <v>1</v>
      </c>
      <c r="ET170" s="978">
        <f t="shared" si="1032"/>
        <v>0.9</v>
      </c>
      <c r="EU170" s="978">
        <f t="shared" si="1032"/>
        <v>0.67500000000000004</v>
      </c>
      <c r="EV170" s="978">
        <f t="shared" si="1032"/>
        <v>0.45</v>
      </c>
      <c r="EW170" s="978">
        <f t="shared" si="1032"/>
        <v>0.49500000000000005</v>
      </c>
      <c r="EX170" s="978">
        <f t="shared" si="1032"/>
        <v>0.5445000000000001</v>
      </c>
      <c r="EY170" s="978">
        <f t="shared" si="1032"/>
        <v>0.5445000000000001</v>
      </c>
      <c r="EZ170" s="978">
        <f t="shared" si="1032"/>
        <v>0.5445000000000001</v>
      </c>
      <c r="FA170" s="978">
        <f t="shared" si="1032"/>
        <v>0.27225000000000005</v>
      </c>
      <c r="FB170" s="978">
        <f t="shared" si="1032"/>
        <v>0</v>
      </c>
      <c r="FC170" s="978">
        <f t="shared" si="1032"/>
        <v>0.27225000000000005</v>
      </c>
      <c r="FD170" s="979">
        <f t="shared" si="1032"/>
        <v>0.5445000000000001</v>
      </c>
      <c r="FF170" s="977">
        <f t="shared" si="1044"/>
        <v>0.5</v>
      </c>
      <c r="FG170" s="978">
        <f t="shared" si="1033"/>
        <v>0.45</v>
      </c>
      <c r="FH170" s="978">
        <f t="shared" si="1033"/>
        <v>0.45</v>
      </c>
      <c r="FI170" s="978">
        <f t="shared" si="1033"/>
        <v>0.45</v>
      </c>
      <c r="FJ170" s="978">
        <f t="shared" si="1033"/>
        <v>0.49500000000000005</v>
      </c>
      <c r="FK170" s="978">
        <f t="shared" si="1033"/>
        <v>0.5445000000000001</v>
      </c>
      <c r="FL170" s="978">
        <f t="shared" si="1033"/>
        <v>0.5445000000000001</v>
      </c>
      <c r="FM170" s="978">
        <f t="shared" si="1033"/>
        <v>0.5445000000000001</v>
      </c>
      <c r="FN170" s="978">
        <f t="shared" si="1033"/>
        <v>0.27225000000000005</v>
      </c>
      <c r="FO170" s="978">
        <f t="shared" si="1033"/>
        <v>0</v>
      </c>
      <c r="FP170" s="978">
        <f t="shared" si="1033"/>
        <v>0.27225000000000005</v>
      </c>
      <c r="FQ170" s="979">
        <f t="shared" si="1033"/>
        <v>0.5445000000000001</v>
      </c>
      <c r="FS170" s="977">
        <f t="shared" si="1045"/>
        <v>0.5</v>
      </c>
      <c r="FT170" s="978">
        <f t="shared" si="1034"/>
        <v>0.45</v>
      </c>
      <c r="FU170" s="978">
        <f t="shared" si="1034"/>
        <v>0.45</v>
      </c>
      <c r="FV170" s="978">
        <f t="shared" si="1034"/>
        <v>0.45</v>
      </c>
      <c r="FW170" s="978">
        <f t="shared" si="1034"/>
        <v>0.49500000000000005</v>
      </c>
      <c r="FX170" s="978">
        <f t="shared" si="1034"/>
        <v>0.5445000000000001</v>
      </c>
      <c r="FY170" s="978">
        <f t="shared" si="1034"/>
        <v>0.5445000000000001</v>
      </c>
      <c r="FZ170" s="978">
        <f t="shared" si="1034"/>
        <v>0.5445000000000001</v>
      </c>
      <c r="GA170" s="978">
        <f t="shared" si="1034"/>
        <v>0.27225000000000005</v>
      </c>
      <c r="GB170" s="978">
        <f t="shared" si="1034"/>
        <v>0</v>
      </c>
      <c r="GC170" s="978">
        <f t="shared" si="1034"/>
        <v>0</v>
      </c>
      <c r="GD170" s="979">
        <f t="shared" si="1034"/>
        <v>0</v>
      </c>
      <c r="GF170" s="977">
        <f t="shared" si="1046"/>
        <v>0</v>
      </c>
      <c r="GG170" s="978">
        <f t="shared" si="1035"/>
        <v>0</v>
      </c>
      <c r="GH170" s="978">
        <f t="shared" si="1035"/>
        <v>0</v>
      </c>
      <c r="GI170" s="978">
        <f t="shared" si="1035"/>
        <v>0</v>
      </c>
      <c r="GJ170" s="978">
        <f t="shared" si="1035"/>
        <v>0</v>
      </c>
      <c r="GK170" s="978">
        <f t="shared" si="1035"/>
        <v>0</v>
      </c>
      <c r="GL170" s="978">
        <f t="shared" si="1035"/>
        <v>0</v>
      </c>
      <c r="GM170" s="978">
        <f t="shared" si="1035"/>
        <v>0</v>
      </c>
      <c r="GN170" s="978">
        <f t="shared" si="1035"/>
        <v>0</v>
      </c>
      <c r="GO170" s="978">
        <f t="shared" si="1035"/>
        <v>0</v>
      </c>
      <c r="GP170" s="978">
        <f t="shared" si="1035"/>
        <v>0</v>
      </c>
      <c r="GQ170" s="979">
        <f t="shared" si="1035"/>
        <v>0</v>
      </c>
      <c r="GS170" s="977">
        <f t="shared" si="1047"/>
        <v>0</v>
      </c>
      <c r="GT170" s="978">
        <f t="shared" si="1036"/>
        <v>0</v>
      </c>
      <c r="GU170" s="978">
        <f t="shared" si="1036"/>
        <v>0</v>
      </c>
      <c r="GV170" s="978">
        <f t="shared" si="1036"/>
        <v>0</v>
      </c>
      <c r="GW170" s="978">
        <f t="shared" si="1036"/>
        <v>0</v>
      </c>
      <c r="GX170" s="978">
        <f t="shared" si="1036"/>
        <v>0</v>
      </c>
      <c r="GY170" s="978">
        <f t="shared" si="1036"/>
        <v>0</v>
      </c>
      <c r="GZ170" s="978">
        <f t="shared" si="1036"/>
        <v>0</v>
      </c>
      <c r="HA170" s="978">
        <f t="shared" si="1036"/>
        <v>0</v>
      </c>
      <c r="HB170" s="978">
        <f t="shared" si="1036"/>
        <v>0</v>
      </c>
      <c r="HC170" s="978">
        <f t="shared" si="1036"/>
        <v>0</v>
      </c>
      <c r="HD170" s="979">
        <f t="shared" si="1036"/>
        <v>0</v>
      </c>
    </row>
    <row r="171" spans="2:212">
      <c r="B171" s="1078"/>
      <c r="C171" s="971"/>
      <c r="D171" s="971"/>
      <c r="E171" s="1100"/>
      <c r="F171" s="1100"/>
      <c r="G171" s="1100"/>
      <c r="H171" s="1100"/>
      <c r="I171" s="1100"/>
      <c r="N171" s="1899"/>
      <c r="O171" s="940" t="s">
        <v>125</v>
      </c>
      <c r="R171" s="595">
        <v>1</v>
      </c>
      <c r="S171" s="595">
        <v>1</v>
      </c>
      <c r="T171" s="595">
        <v>2</v>
      </c>
      <c r="AA171" s="1899"/>
      <c r="AB171" s="940" t="s">
        <v>125</v>
      </c>
      <c r="AC171" s="599">
        <f t="shared" si="1048"/>
        <v>0</v>
      </c>
      <c r="AD171" s="599"/>
      <c r="AE171" s="599">
        <f>R171/R157</f>
        <v>1</v>
      </c>
      <c r="AF171" s="599">
        <f>S171/S157</f>
        <v>0.5</v>
      </c>
      <c r="AG171" s="599">
        <f>T171/T157</f>
        <v>1</v>
      </c>
      <c r="AH171" s="599"/>
      <c r="AI171" s="599">
        <f>V171/V157</f>
        <v>0</v>
      </c>
      <c r="AJ171" s="935">
        <f t="shared" si="963"/>
        <v>0.5</v>
      </c>
      <c r="AK171" s="935">
        <f t="shared" si="964"/>
        <v>0.5</v>
      </c>
      <c r="AL171" s="935">
        <f t="shared" si="965"/>
        <v>0.55000000000000004</v>
      </c>
      <c r="AM171" s="935">
        <f t="shared" si="966"/>
        <v>0.55000000000000004</v>
      </c>
      <c r="AN171" s="935">
        <f t="shared" si="967"/>
        <v>0.55000000000000004</v>
      </c>
      <c r="AO171" s="935">
        <f t="shared" si="968"/>
        <v>0.60500000000000009</v>
      </c>
      <c r="AP171" s="1036">
        <v>0.5</v>
      </c>
      <c r="AQ171" s="1036">
        <f t="shared" si="1037"/>
        <v>0.45</v>
      </c>
      <c r="AR171" s="1036">
        <f t="shared" si="1037"/>
        <v>0.45</v>
      </c>
      <c r="AS171" s="1036">
        <f t="shared" si="1037"/>
        <v>0.45</v>
      </c>
      <c r="AT171" s="1036">
        <f t="shared" si="1037"/>
        <v>0.49500000000000005</v>
      </c>
      <c r="AU171" s="1036">
        <f t="shared" si="1037"/>
        <v>0.5445000000000001</v>
      </c>
      <c r="AV171" s="1036">
        <f t="shared" si="1037"/>
        <v>0.5445000000000001</v>
      </c>
      <c r="AW171" s="1036">
        <f t="shared" si="1037"/>
        <v>0.5445000000000001</v>
      </c>
      <c r="AX171" s="1036">
        <f t="shared" si="1037"/>
        <v>0.5445000000000001</v>
      </c>
      <c r="AY171" s="1036">
        <f t="shared" si="1037"/>
        <v>0.5445000000000001</v>
      </c>
      <c r="AZ171" s="1036">
        <f t="shared" si="1037"/>
        <v>0.5445000000000001</v>
      </c>
      <c r="BA171" s="1036">
        <f t="shared" si="1037"/>
        <v>0.5445000000000001</v>
      </c>
      <c r="BB171" s="1036">
        <v>0.5</v>
      </c>
      <c r="BC171" s="1036">
        <f t="shared" si="1038"/>
        <v>0.45</v>
      </c>
      <c r="BD171" s="1036">
        <f t="shared" si="970"/>
        <v>0.45</v>
      </c>
      <c r="BE171" s="1036">
        <f t="shared" si="971"/>
        <v>0.45</v>
      </c>
      <c r="BF171" s="1036">
        <f t="shared" si="972"/>
        <v>0.49500000000000005</v>
      </c>
      <c r="BG171" s="1036">
        <f t="shared" si="973"/>
        <v>0.5445000000000001</v>
      </c>
      <c r="BH171" s="1036">
        <f t="shared" si="974"/>
        <v>0.5445000000000001</v>
      </c>
      <c r="BI171" s="1036">
        <f t="shared" si="975"/>
        <v>0.5445000000000001</v>
      </c>
      <c r="BJ171" s="1036">
        <f t="shared" si="976"/>
        <v>0.5445000000000001</v>
      </c>
      <c r="BK171" s="1036">
        <f t="shared" si="977"/>
        <v>0.5445000000000001</v>
      </c>
      <c r="BL171" s="1036">
        <f t="shared" si="978"/>
        <v>0.5445000000000001</v>
      </c>
      <c r="BM171" s="1036">
        <f t="shared" si="979"/>
        <v>0.5445000000000001</v>
      </c>
      <c r="BN171" s="1036">
        <v>0.5</v>
      </c>
      <c r="BO171" s="1036">
        <f t="shared" si="1039"/>
        <v>0.45</v>
      </c>
      <c r="BP171" s="1036">
        <f t="shared" si="980"/>
        <v>0.45</v>
      </c>
      <c r="BQ171" s="1036">
        <f t="shared" si="981"/>
        <v>0.45</v>
      </c>
      <c r="BR171" s="1036">
        <f t="shared" si="982"/>
        <v>0.49500000000000005</v>
      </c>
      <c r="BS171" s="1036">
        <f t="shared" si="983"/>
        <v>0.5445000000000001</v>
      </c>
      <c r="BT171" s="1036">
        <f t="shared" si="984"/>
        <v>0.5445000000000001</v>
      </c>
      <c r="BU171" s="1036">
        <f t="shared" si="985"/>
        <v>0.5445000000000001</v>
      </c>
      <c r="BV171" s="1036">
        <f t="shared" si="986"/>
        <v>0.5445000000000001</v>
      </c>
      <c r="BW171" s="1036">
        <f t="shared" si="987"/>
        <v>0.5445000000000001</v>
      </c>
      <c r="BX171" s="1036">
        <f t="shared" si="988"/>
        <v>0.5445000000000001</v>
      </c>
      <c r="BY171" s="1036">
        <f t="shared" si="989"/>
        <v>0.5445000000000001</v>
      </c>
      <c r="BZ171" s="1036">
        <v>0.5</v>
      </c>
      <c r="CA171" s="1036">
        <f t="shared" si="1040"/>
        <v>0.45</v>
      </c>
      <c r="CB171" s="1036">
        <f t="shared" si="990"/>
        <v>0.45</v>
      </c>
      <c r="CC171" s="1036">
        <f t="shared" si="991"/>
        <v>0.45</v>
      </c>
      <c r="CD171" s="1036">
        <f t="shared" si="992"/>
        <v>0.49500000000000005</v>
      </c>
      <c r="CE171" s="1036">
        <f t="shared" si="993"/>
        <v>0.5445000000000001</v>
      </c>
      <c r="CF171" s="1036">
        <f t="shared" si="994"/>
        <v>0.5445000000000001</v>
      </c>
      <c r="CG171" s="1036">
        <f t="shared" si="995"/>
        <v>0.5445000000000001</v>
      </c>
      <c r="CH171" s="1036">
        <f t="shared" si="996"/>
        <v>0.5445000000000001</v>
      </c>
      <c r="CI171" s="1036">
        <f t="shared" si="997"/>
        <v>0.5445000000000001</v>
      </c>
      <c r="CJ171" s="1036">
        <f t="shared" si="998"/>
        <v>0.5445000000000001</v>
      </c>
      <c r="CK171" s="1036">
        <f t="shared" si="999"/>
        <v>0.5445000000000001</v>
      </c>
      <c r="CL171" s="1036">
        <v>0.5</v>
      </c>
      <c r="CM171" s="1036">
        <f t="shared" si="1041"/>
        <v>0.45</v>
      </c>
      <c r="CN171" s="1036">
        <f t="shared" si="1000"/>
        <v>0.45</v>
      </c>
      <c r="CO171" s="1036">
        <f t="shared" si="1001"/>
        <v>0.45</v>
      </c>
      <c r="CP171" s="1036">
        <f t="shared" si="1002"/>
        <v>0.49500000000000005</v>
      </c>
      <c r="CQ171" s="1036">
        <f t="shared" si="1003"/>
        <v>0.5445000000000001</v>
      </c>
      <c r="CR171" s="1036">
        <f t="shared" si="1004"/>
        <v>0.5445000000000001</v>
      </c>
      <c r="CS171" s="1036">
        <f t="shared" si="1005"/>
        <v>0.5445000000000001</v>
      </c>
      <c r="CT171" s="1036">
        <f t="shared" si="1006"/>
        <v>0.5445000000000001</v>
      </c>
      <c r="CU171" s="1036">
        <f t="shared" si="1007"/>
        <v>0.5445000000000001</v>
      </c>
      <c r="CV171" s="1036">
        <f t="shared" si="1008"/>
        <v>0.5445000000000001</v>
      </c>
      <c r="CW171" s="1036">
        <f t="shared" si="1009"/>
        <v>0.5445000000000001</v>
      </c>
      <c r="CX171" s="1036">
        <v>0.5</v>
      </c>
      <c r="CY171" s="1036">
        <f t="shared" si="1042"/>
        <v>0.45</v>
      </c>
      <c r="CZ171" s="1036">
        <f t="shared" si="1010"/>
        <v>0.45</v>
      </c>
      <c r="DA171" s="1036">
        <f t="shared" si="1011"/>
        <v>0.45</v>
      </c>
      <c r="DB171" s="1036">
        <f t="shared" si="1012"/>
        <v>0.49500000000000005</v>
      </c>
      <c r="DC171" s="1036">
        <f t="shared" si="1013"/>
        <v>0.5445000000000001</v>
      </c>
      <c r="DD171" s="1036">
        <f t="shared" si="1014"/>
        <v>0.5445000000000001</v>
      </c>
      <c r="DE171" s="1036">
        <f t="shared" si="1015"/>
        <v>0.5445000000000001</v>
      </c>
      <c r="DF171" s="1036">
        <f t="shared" si="1016"/>
        <v>0.5445000000000001</v>
      </c>
      <c r="DG171" s="1036">
        <f t="shared" si="1017"/>
        <v>0.5445000000000001</v>
      </c>
      <c r="DH171" s="1036">
        <f t="shared" si="1018"/>
        <v>0.5445000000000001</v>
      </c>
      <c r="DI171" s="1036">
        <f t="shared" si="1019"/>
        <v>0.5445000000000001</v>
      </c>
      <c r="DK171" s="1899"/>
      <c r="DL171" s="940" t="s">
        <v>125</v>
      </c>
      <c r="DN171" s="977">
        <v>0</v>
      </c>
      <c r="DO171" s="978">
        <f>DO157*$AJ$171</f>
        <v>0</v>
      </c>
      <c r="DP171" s="978">
        <f>DP157*$AJ$171</f>
        <v>1</v>
      </c>
      <c r="DQ171" s="978">
        <f>DQ157*$AJ$171</f>
        <v>1.5</v>
      </c>
      <c r="DR171" s="979">
        <f>DR157*$AJ$171</f>
        <v>1.5</v>
      </c>
      <c r="DT171" s="977">
        <v>0</v>
      </c>
      <c r="DU171" s="978">
        <f>DU157*$AH$171</f>
        <v>0</v>
      </c>
      <c r="DV171" s="978">
        <f>DV157*$AH$171</f>
        <v>0</v>
      </c>
      <c r="DW171" s="978">
        <f>DW157*$AH$171</f>
        <v>0</v>
      </c>
      <c r="DX171" s="979">
        <f>DX157*$AH$171</f>
        <v>0</v>
      </c>
      <c r="DZ171" s="977">
        <v>0</v>
      </c>
      <c r="EA171" s="978">
        <f>EA157*AL$171</f>
        <v>0</v>
      </c>
      <c r="EB171" s="978">
        <f>EB157*AM$171</f>
        <v>1.1000000000000001</v>
      </c>
      <c r="EC171" s="978">
        <f>EC157*AN$171</f>
        <v>1.6500000000000001</v>
      </c>
      <c r="ED171" s="979">
        <f>ED157*AO$171</f>
        <v>1.8150000000000004</v>
      </c>
      <c r="EF171" s="977">
        <f t="shared" si="1020"/>
        <v>1</v>
      </c>
      <c r="EG171" s="978">
        <f t="shared" si="1021"/>
        <v>1.35</v>
      </c>
      <c r="EH171" s="978">
        <f t="shared" si="1022"/>
        <v>1.35</v>
      </c>
      <c r="EI171" s="978">
        <f t="shared" si="1023"/>
        <v>0.9</v>
      </c>
      <c r="EJ171" s="978">
        <f t="shared" si="1024"/>
        <v>1.4850000000000001</v>
      </c>
      <c r="EK171" s="978">
        <f t="shared" si="1025"/>
        <v>2.7225000000000006</v>
      </c>
      <c r="EL171" s="978">
        <f t="shared" si="1026"/>
        <v>2.9947500000000007</v>
      </c>
      <c r="EM171" s="978">
        <f t="shared" si="1027"/>
        <v>1.3612500000000003</v>
      </c>
      <c r="EN171" s="978">
        <f t="shared" si="1028"/>
        <v>1.0890000000000002</v>
      </c>
      <c r="EO171" s="978">
        <f t="shared" si="1029"/>
        <v>1.3612500000000003</v>
      </c>
      <c r="EP171" s="978">
        <f t="shared" si="1030"/>
        <v>1.9057500000000003</v>
      </c>
      <c r="EQ171" s="979">
        <f t="shared" si="1031"/>
        <v>2.1780000000000004</v>
      </c>
      <c r="ES171" s="977">
        <f t="shared" si="1043"/>
        <v>1.25</v>
      </c>
      <c r="ET171" s="978">
        <f t="shared" si="1032"/>
        <v>0.9</v>
      </c>
      <c r="EU171" s="978">
        <f t="shared" si="1032"/>
        <v>0.9</v>
      </c>
      <c r="EV171" s="978">
        <f t="shared" si="1032"/>
        <v>0.67500000000000004</v>
      </c>
      <c r="EW171" s="978">
        <f t="shared" si="1032"/>
        <v>0.49500000000000005</v>
      </c>
      <c r="EX171" s="978">
        <f t="shared" si="1032"/>
        <v>0.5445000000000001</v>
      </c>
      <c r="EY171" s="978">
        <f t="shared" si="1032"/>
        <v>0.5445000000000001</v>
      </c>
      <c r="EZ171" s="978">
        <f t="shared" si="1032"/>
        <v>0.5445000000000001</v>
      </c>
      <c r="FA171" s="978">
        <f t="shared" si="1032"/>
        <v>0.5445000000000001</v>
      </c>
      <c r="FB171" s="978">
        <f t="shared" si="1032"/>
        <v>0.27225000000000005</v>
      </c>
      <c r="FC171" s="978">
        <f t="shared" si="1032"/>
        <v>0</v>
      </c>
      <c r="FD171" s="979">
        <f t="shared" si="1032"/>
        <v>0.27225000000000005</v>
      </c>
      <c r="FF171" s="977">
        <f t="shared" si="1044"/>
        <v>0.5</v>
      </c>
      <c r="FG171" s="978">
        <f t="shared" si="1033"/>
        <v>0.45</v>
      </c>
      <c r="FH171" s="978">
        <f t="shared" si="1033"/>
        <v>0.45</v>
      </c>
      <c r="FI171" s="978">
        <f t="shared" si="1033"/>
        <v>0.45</v>
      </c>
      <c r="FJ171" s="978">
        <f t="shared" si="1033"/>
        <v>0.49500000000000005</v>
      </c>
      <c r="FK171" s="978">
        <f t="shared" si="1033"/>
        <v>0.5445000000000001</v>
      </c>
      <c r="FL171" s="978">
        <f t="shared" si="1033"/>
        <v>0.5445000000000001</v>
      </c>
      <c r="FM171" s="978">
        <f t="shared" si="1033"/>
        <v>0.5445000000000001</v>
      </c>
      <c r="FN171" s="978">
        <f t="shared" si="1033"/>
        <v>0.5445000000000001</v>
      </c>
      <c r="FO171" s="978">
        <f t="shared" si="1033"/>
        <v>0.27225000000000005</v>
      </c>
      <c r="FP171" s="978">
        <f t="shared" si="1033"/>
        <v>0</v>
      </c>
      <c r="FQ171" s="979">
        <f t="shared" si="1033"/>
        <v>0.27225000000000005</v>
      </c>
      <c r="FS171" s="977">
        <f t="shared" si="1045"/>
        <v>0.5</v>
      </c>
      <c r="FT171" s="978">
        <f t="shared" si="1034"/>
        <v>0.45</v>
      </c>
      <c r="FU171" s="978">
        <f t="shared" si="1034"/>
        <v>0.45</v>
      </c>
      <c r="FV171" s="978">
        <f t="shared" si="1034"/>
        <v>0.45</v>
      </c>
      <c r="FW171" s="978">
        <f t="shared" si="1034"/>
        <v>0.49500000000000005</v>
      </c>
      <c r="FX171" s="978">
        <f t="shared" si="1034"/>
        <v>0.5445000000000001</v>
      </c>
      <c r="FY171" s="978">
        <f t="shared" si="1034"/>
        <v>0.5445000000000001</v>
      </c>
      <c r="FZ171" s="978">
        <f t="shared" si="1034"/>
        <v>0.5445000000000001</v>
      </c>
      <c r="GA171" s="978">
        <f t="shared" si="1034"/>
        <v>0.5445000000000001</v>
      </c>
      <c r="GB171" s="978">
        <f t="shared" si="1034"/>
        <v>0.27225000000000005</v>
      </c>
      <c r="GC171" s="978">
        <f t="shared" si="1034"/>
        <v>0</v>
      </c>
      <c r="GD171" s="979">
        <f t="shared" si="1034"/>
        <v>0</v>
      </c>
      <c r="GF171" s="977">
        <f t="shared" si="1046"/>
        <v>0</v>
      </c>
      <c r="GG171" s="978">
        <f t="shared" si="1035"/>
        <v>0</v>
      </c>
      <c r="GH171" s="978">
        <f t="shared" si="1035"/>
        <v>0</v>
      </c>
      <c r="GI171" s="978">
        <f t="shared" si="1035"/>
        <v>0</v>
      </c>
      <c r="GJ171" s="978">
        <f t="shared" si="1035"/>
        <v>0</v>
      </c>
      <c r="GK171" s="978">
        <f t="shared" si="1035"/>
        <v>0</v>
      </c>
      <c r="GL171" s="978">
        <f t="shared" si="1035"/>
        <v>0</v>
      </c>
      <c r="GM171" s="978">
        <f t="shared" si="1035"/>
        <v>0</v>
      </c>
      <c r="GN171" s="978">
        <f t="shared" si="1035"/>
        <v>0</v>
      </c>
      <c r="GO171" s="978">
        <f t="shared" si="1035"/>
        <v>0</v>
      </c>
      <c r="GP171" s="978">
        <f t="shared" si="1035"/>
        <v>0</v>
      </c>
      <c r="GQ171" s="979">
        <f t="shared" si="1035"/>
        <v>0</v>
      </c>
      <c r="GS171" s="977">
        <f t="shared" si="1047"/>
        <v>0</v>
      </c>
      <c r="GT171" s="978">
        <f t="shared" si="1036"/>
        <v>0</v>
      </c>
      <c r="GU171" s="978">
        <f t="shared" si="1036"/>
        <v>0</v>
      </c>
      <c r="GV171" s="978">
        <f t="shared" si="1036"/>
        <v>0</v>
      </c>
      <c r="GW171" s="978">
        <f t="shared" si="1036"/>
        <v>0</v>
      </c>
      <c r="GX171" s="978">
        <f t="shared" si="1036"/>
        <v>0</v>
      </c>
      <c r="GY171" s="978">
        <f t="shared" si="1036"/>
        <v>0</v>
      </c>
      <c r="GZ171" s="978">
        <f t="shared" si="1036"/>
        <v>0</v>
      </c>
      <c r="HA171" s="978">
        <f t="shared" si="1036"/>
        <v>0</v>
      </c>
      <c r="HB171" s="978">
        <f t="shared" si="1036"/>
        <v>0</v>
      </c>
      <c r="HC171" s="978">
        <f t="shared" si="1036"/>
        <v>0</v>
      </c>
      <c r="HD171" s="979">
        <f t="shared" si="1036"/>
        <v>0</v>
      </c>
    </row>
    <row r="172" spans="2:212" ht="14.25">
      <c r="B172" s="1048" t="s">
        <v>1036</v>
      </c>
      <c r="C172" s="992"/>
      <c r="D172" s="31"/>
      <c r="E172" s="31"/>
      <c r="F172" s="31"/>
      <c r="G172" s="31"/>
      <c r="H172" s="31"/>
      <c r="I172" s="31"/>
      <c r="N172" s="1899"/>
      <c r="O172" s="940" t="s">
        <v>126</v>
      </c>
      <c r="R172" s="595">
        <v>1</v>
      </c>
      <c r="S172" s="595">
        <v>1</v>
      </c>
      <c r="T172" s="595">
        <v>1</v>
      </c>
      <c r="U172" s="595">
        <v>1</v>
      </c>
      <c r="AA172" s="1899"/>
      <c r="AB172" s="940" t="s">
        <v>126</v>
      </c>
      <c r="AC172" s="599">
        <f t="shared" si="1048"/>
        <v>0</v>
      </c>
      <c r="AD172" s="599">
        <f>Q172/Q158</f>
        <v>0</v>
      </c>
      <c r="AE172" s="599"/>
      <c r="AF172" s="599">
        <f>S172/S158</f>
        <v>1</v>
      </c>
      <c r="AG172" s="599">
        <f>T172/T158</f>
        <v>0.5</v>
      </c>
      <c r="AH172" s="599">
        <f>U172/U158</f>
        <v>0.5</v>
      </c>
      <c r="AI172" s="599"/>
      <c r="AJ172" s="935">
        <f t="shared" si="963"/>
        <v>0.4</v>
      </c>
      <c r="AK172" s="935">
        <f t="shared" si="964"/>
        <v>0.4</v>
      </c>
      <c r="AL172" s="935">
        <f t="shared" si="965"/>
        <v>0.44000000000000006</v>
      </c>
      <c r="AM172" s="935">
        <f t="shared" si="966"/>
        <v>0.44000000000000006</v>
      </c>
      <c r="AN172" s="935">
        <f t="shared" si="967"/>
        <v>0.44000000000000006</v>
      </c>
      <c r="AO172" s="935">
        <f t="shared" si="968"/>
        <v>0.4840000000000001</v>
      </c>
      <c r="AP172" s="1036">
        <v>0.4</v>
      </c>
      <c r="AQ172" s="1036">
        <f t="shared" si="1037"/>
        <v>0.36000000000000004</v>
      </c>
      <c r="AR172" s="1036">
        <f t="shared" si="1037"/>
        <v>0.36000000000000004</v>
      </c>
      <c r="AS172" s="1036">
        <f t="shared" si="1037"/>
        <v>0.36000000000000004</v>
      </c>
      <c r="AT172" s="1036">
        <f t="shared" si="1037"/>
        <v>0.39600000000000007</v>
      </c>
      <c r="AU172" s="1036">
        <f t="shared" si="1037"/>
        <v>0.4356000000000001</v>
      </c>
      <c r="AV172" s="1036">
        <f t="shared" si="1037"/>
        <v>0.4356000000000001</v>
      </c>
      <c r="AW172" s="1036">
        <f t="shared" si="1037"/>
        <v>0.4356000000000001</v>
      </c>
      <c r="AX172" s="1036">
        <f t="shared" si="1037"/>
        <v>0.4356000000000001</v>
      </c>
      <c r="AY172" s="1036">
        <f t="shared" si="1037"/>
        <v>0.4356000000000001</v>
      </c>
      <c r="AZ172" s="1036">
        <f t="shared" si="1037"/>
        <v>0.4356000000000001</v>
      </c>
      <c r="BA172" s="1036">
        <f t="shared" si="1037"/>
        <v>0.4356000000000001</v>
      </c>
      <c r="BB172" s="1036">
        <v>0.4</v>
      </c>
      <c r="BC172" s="1036">
        <f t="shared" si="1038"/>
        <v>0.36000000000000004</v>
      </c>
      <c r="BD172" s="1036">
        <f t="shared" si="970"/>
        <v>0.36000000000000004</v>
      </c>
      <c r="BE172" s="1036">
        <f t="shared" si="971"/>
        <v>0.36000000000000004</v>
      </c>
      <c r="BF172" s="1036">
        <f t="shared" si="972"/>
        <v>0.39600000000000007</v>
      </c>
      <c r="BG172" s="1036">
        <f t="shared" si="973"/>
        <v>0.4356000000000001</v>
      </c>
      <c r="BH172" s="1036">
        <f t="shared" si="974"/>
        <v>0.4356000000000001</v>
      </c>
      <c r="BI172" s="1036">
        <f t="shared" si="975"/>
        <v>0.4356000000000001</v>
      </c>
      <c r="BJ172" s="1036">
        <f t="shared" si="976"/>
        <v>0.4356000000000001</v>
      </c>
      <c r="BK172" s="1036">
        <f t="shared" si="977"/>
        <v>0.4356000000000001</v>
      </c>
      <c r="BL172" s="1036">
        <f t="shared" si="978"/>
        <v>0.4356000000000001</v>
      </c>
      <c r="BM172" s="1036">
        <f t="shared" si="979"/>
        <v>0.4356000000000001</v>
      </c>
      <c r="BN172" s="1036">
        <v>0.4</v>
      </c>
      <c r="BO172" s="1036">
        <f t="shared" si="1039"/>
        <v>0.36000000000000004</v>
      </c>
      <c r="BP172" s="1036">
        <f t="shared" si="980"/>
        <v>0.36000000000000004</v>
      </c>
      <c r="BQ172" s="1036">
        <f t="shared" si="981"/>
        <v>0.36000000000000004</v>
      </c>
      <c r="BR172" s="1036">
        <f t="shared" si="982"/>
        <v>0.39600000000000007</v>
      </c>
      <c r="BS172" s="1036">
        <f t="shared" si="983"/>
        <v>0.4356000000000001</v>
      </c>
      <c r="BT172" s="1036">
        <f t="shared" si="984"/>
        <v>0.4356000000000001</v>
      </c>
      <c r="BU172" s="1036">
        <f t="shared" si="985"/>
        <v>0.4356000000000001</v>
      </c>
      <c r="BV172" s="1036">
        <f t="shared" si="986"/>
        <v>0.4356000000000001</v>
      </c>
      <c r="BW172" s="1036">
        <f t="shared" si="987"/>
        <v>0.4356000000000001</v>
      </c>
      <c r="BX172" s="1036">
        <f t="shared" si="988"/>
        <v>0.4356000000000001</v>
      </c>
      <c r="BY172" s="1036">
        <f t="shared" si="989"/>
        <v>0.4356000000000001</v>
      </c>
      <c r="BZ172" s="1036">
        <v>0.4</v>
      </c>
      <c r="CA172" s="1036">
        <f t="shared" si="1040"/>
        <v>0.36000000000000004</v>
      </c>
      <c r="CB172" s="1036">
        <f t="shared" si="990"/>
        <v>0.36000000000000004</v>
      </c>
      <c r="CC172" s="1036">
        <f t="shared" si="991"/>
        <v>0.36000000000000004</v>
      </c>
      <c r="CD172" s="1036">
        <f t="shared" si="992"/>
        <v>0.39600000000000007</v>
      </c>
      <c r="CE172" s="1036">
        <f t="shared" si="993"/>
        <v>0.4356000000000001</v>
      </c>
      <c r="CF172" s="1036">
        <f t="shared" si="994"/>
        <v>0.4356000000000001</v>
      </c>
      <c r="CG172" s="1036">
        <f t="shared" si="995"/>
        <v>0.4356000000000001</v>
      </c>
      <c r="CH172" s="1036">
        <f t="shared" si="996"/>
        <v>0.4356000000000001</v>
      </c>
      <c r="CI172" s="1036">
        <f t="shared" si="997"/>
        <v>0.4356000000000001</v>
      </c>
      <c r="CJ172" s="1036">
        <f t="shared" si="998"/>
        <v>0.4356000000000001</v>
      </c>
      <c r="CK172" s="1036">
        <f t="shared" si="999"/>
        <v>0.4356000000000001</v>
      </c>
      <c r="CL172" s="1036">
        <v>0.4</v>
      </c>
      <c r="CM172" s="1036">
        <f t="shared" si="1041"/>
        <v>0.36000000000000004</v>
      </c>
      <c r="CN172" s="1036">
        <f t="shared" si="1000"/>
        <v>0.36000000000000004</v>
      </c>
      <c r="CO172" s="1036">
        <f t="shared" si="1001"/>
        <v>0.36000000000000004</v>
      </c>
      <c r="CP172" s="1036">
        <f t="shared" si="1002"/>
        <v>0.39600000000000007</v>
      </c>
      <c r="CQ172" s="1036">
        <f t="shared" si="1003"/>
        <v>0.4356000000000001</v>
      </c>
      <c r="CR172" s="1036">
        <f t="shared" si="1004"/>
        <v>0.4356000000000001</v>
      </c>
      <c r="CS172" s="1036">
        <f t="shared" si="1005"/>
        <v>0.4356000000000001</v>
      </c>
      <c r="CT172" s="1036">
        <f t="shared" si="1006"/>
        <v>0.4356000000000001</v>
      </c>
      <c r="CU172" s="1036">
        <f t="shared" si="1007"/>
        <v>0.4356000000000001</v>
      </c>
      <c r="CV172" s="1036">
        <f t="shared" si="1008"/>
        <v>0.4356000000000001</v>
      </c>
      <c r="CW172" s="1036">
        <f t="shared" si="1009"/>
        <v>0.4356000000000001</v>
      </c>
      <c r="CX172" s="1036">
        <v>0.4</v>
      </c>
      <c r="CY172" s="1036">
        <f t="shared" si="1042"/>
        <v>0.36000000000000004</v>
      </c>
      <c r="CZ172" s="1036">
        <f t="shared" si="1010"/>
        <v>0.36000000000000004</v>
      </c>
      <c r="DA172" s="1036">
        <f t="shared" si="1011"/>
        <v>0.36000000000000004</v>
      </c>
      <c r="DB172" s="1036">
        <f t="shared" si="1012"/>
        <v>0.39600000000000007</v>
      </c>
      <c r="DC172" s="1036">
        <f t="shared" si="1013"/>
        <v>0.4356000000000001</v>
      </c>
      <c r="DD172" s="1036">
        <f t="shared" si="1014"/>
        <v>0.4356000000000001</v>
      </c>
      <c r="DE172" s="1036">
        <f t="shared" si="1015"/>
        <v>0.4356000000000001</v>
      </c>
      <c r="DF172" s="1036">
        <f t="shared" si="1016"/>
        <v>0.4356000000000001</v>
      </c>
      <c r="DG172" s="1036">
        <f t="shared" si="1017"/>
        <v>0.4356000000000001</v>
      </c>
      <c r="DH172" s="1036">
        <f t="shared" si="1018"/>
        <v>0.4356000000000001</v>
      </c>
      <c r="DI172" s="1036">
        <f t="shared" si="1019"/>
        <v>0.4356000000000001</v>
      </c>
      <c r="DK172" s="1899"/>
      <c r="DL172" s="940" t="s">
        <v>126</v>
      </c>
      <c r="DN172" s="977">
        <v>0</v>
      </c>
      <c r="DO172" s="978">
        <f>DO158*$AJ$172</f>
        <v>0</v>
      </c>
      <c r="DP172" s="978">
        <f>DP158*$AJ$172</f>
        <v>0</v>
      </c>
      <c r="DQ172" s="978">
        <f>DQ158*$AJ$172</f>
        <v>0.8</v>
      </c>
      <c r="DR172" s="979">
        <f>DR158*$AJ$172</f>
        <v>1.2000000000000002</v>
      </c>
      <c r="DT172" s="977">
        <v>0</v>
      </c>
      <c r="DU172" s="978">
        <f>DU158*$AH$172</f>
        <v>0</v>
      </c>
      <c r="DV172" s="978">
        <f>DV158*$AH$172</f>
        <v>0</v>
      </c>
      <c r="DW172" s="978">
        <f>DW158*$AH$172</f>
        <v>1</v>
      </c>
      <c r="DX172" s="979">
        <f>DX158*$AH$172</f>
        <v>1.5</v>
      </c>
      <c r="DZ172" s="977">
        <v>0</v>
      </c>
      <c r="EA172" s="978">
        <f>EA158*AL$172</f>
        <v>0</v>
      </c>
      <c r="EB172" s="978">
        <f>EB158*AM$172</f>
        <v>0</v>
      </c>
      <c r="EC172" s="978">
        <f>EC158*AN$172</f>
        <v>0.88000000000000012</v>
      </c>
      <c r="ED172" s="979">
        <f>ED158*AO$172</f>
        <v>1.4520000000000004</v>
      </c>
      <c r="EF172" s="977">
        <f t="shared" si="1020"/>
        <v>0</v>
      </c>
      <c r="EG172" s="978">
        <f t="shared" si="1021"/>
        <v>0.72000000000000008</v>
      </c>
      <c r="EH172" s="978">
        <f t="shared" si="1022"/>
        <v>1.08</v>
      </c>
      <c r="EI172" s="978">
        <f t="shared" si="1023"/>
        <v>1.08</v>
      </c>
      <c r="EJ172" s="978">
        <f t="shared" si="1024"/>
        <v>0.79200000000000015</v>
      </c>
      <c r="EK172" s="978">
        <f t="shared" si="1025"/>
        <v>1.3068000000000004</v>
      </c>
      <c r="EL172" s="978">
        <f t="shared" si="1026"/>
        <v>2.1780000000000004</v>
      </c>
      <c r="EM172" s="978">
        <f t="shared" si="1027"/>
        <v>2.3958000000000004</v>
      </c>
      <c r="EN172" s="978">
        <f t="shared" si="1028"/>
        <v>1.0890000000000002</v>
      </c>
      <c r="EO172" s="978">
        <f t="shared" si="1029"/>
        <v>0.8712000000000002</v>
      </c>
      <c r="EP172" s="978">
        <f t="shared" si="1030"/>
        <v>1.0890000000000002</v>
      </c>
      <c r="EQ172" s="979">
        <f t="shared" si="1031"/>
        <v>1.5246000000000004</v>
      </c>
      <c r="ES172" s="977">
        <f t="shared" si="1043"/>
        <v>1.6</v>
      </c>
      <c r="ET172" s="978">
        <f t="shared" si="1032"/>
        <v>0.90000000000000013</v>
      </c>
      <c r="EU172" s="978">
        <f t="shared" si="1032"/>
        <v>0.72000000000000008</v>
      </c>
      <c r="EV172" s="978">
        <f t="shared" si="1032"/>
        <v>0.72000000000000008</v>
      </c>
      <c r="EW172" s="978">
        <f t="shared" si="1032"/>
        <v>0.59400000000000008</v>
      </c>
      <c r="EX172" s="978">
        <f t="shared" si="1032"/>
        <v>0.4356000000000001</v>
      </c>
      <c r="EY172" s="978">
        <f t="shared" si="1032"/>
        <v>0.4356000000000001</v>
      </c>
      <c r="EZ172" s="978">
        <f t="shared" si="1032"/>
        <v>0.4356000000000001</v>
      </c>
      <c r="FA172" s="978">
        <f t="shared" si="1032"/>
        <v>0.4356000000000001</v>
      </c>
      <c r="FB172" s="978">
        <f t="shared" si="1032"/>
        <v>0.4356000000000001</v>
      </c>
      <c r="FC172" s="978">
        <f t="shared" si="1032"/>
        <v>0.21780000000000005</v>
      </c>
      <c r="FD172" s="979">
        <f t="shared" si="1032"/>
        <v>0</v>
      </c>
      <c r="FF172" s="977">
        <f t="shared" si="1044"/>
        <v>0.2</v>
      </c>
      <c r="FG172" s="978">
        <f t="shared" si="1033"/>
        <v>0.36000000000000004</v>
      </c>
      <c r="FH172" s="978">
        <f t="shared" si="1033"/>
        <v>0.36000000000000004</v>
      </c>
      <c r="FI172" s="978">
        <f t="shared" si="1033"/>
        <v>0.36000000000000004</v>
      </c>
      <c r="FJ172" s="978">
        <f t="shared" si="1033"/>
        <v>0.39600000000000007</v>
      </c>
      <c r="FK172" s="978">
        <f t="shared" si="1033"/>
        <v>0.4356000000000001</v>
      </c>
      <c r="FL172" s="978">
        <f t="shared" si="1033"/>
        <v>0.4356000000000001</v>
      </c>
      <c r="FM172" s="978">
        <f t="shared" si="1033"/>
        <v>0.4356000000000001</v>
      </c>
      <c r="FN172" s="978">
        <f t="shared" si="1033"/>
        <v>0.4356000000000001</v>
      </c>
      <c r="FO172" s="978">
        <f t="shared" si="1033"/>
        <v>0.4356000000000001</v>
      </c>
      <c r="FP172" s="978">
        <f t="shared" si="1033"/>
        <v>0.21780000000000005</v>
      </c>
      <c r="FQ172" s="979">
        <f t="shared" si="1033"/>
        <v>0</v>
      </c>
      <c r="FS172" s="977">
        <f t="shared" si="1045"/>
        <v>0.2</v>
      </c>
      <c r="FT172" s="978">
        <f t="shared" si="1034"/>
        <v>0.36000000000000004</v>
      </c>
      <c r="FU172" s="978">
        <f t="shared" si="1034"/>
        <v>0.36000000000000004</v>
      </c>
      <c r="FV172" s="978">
        <f t="shared" si="1034"/>
        <v>0.36000000000000004</v>
      </c>
      <c r="FW172" s="978">
        <f t="shared" si="1034"/>
        <v>0.39600000000000007</v>
      </c>
      <c r="FX172" s="978">
        <f t="shared" si="1034"/>
        <v>0.4356000000000001</v>
      </c>
      <c r="FY172" s="978">
        <f t="shared" si="1034"/>
        <v>0.4356000000000001</v>
      </c>
      <c r="FZ172" s="978">
        <f t="shared" si="1034"/>
        <v>0.4356000000000001</v>
      </c>
      <c r="GA172" s="978">
        <f t="shared" si="1034"/>
        <v>0.4356000000000001</v>
      </c>
      <c r="GB172" s="978">
        <f t="shared" si="1034"/>
        <v>0.4356000000000001</v>
      </c>
      <c r="GC172" s="978">
        <f t="shared" si="1034"/>
        <v>0.21780000000000005</v>
      </c>
      <c r="GD172" s="979">
        <f t="shared" si="1034"/>
        <v>0</v>
      </c>
      <c r="GF172" s="977">
        <f t="shared" si="1046"/>
        <v>0</v>
      </c>
      <c r="GG172" s="978">
        <f t="shared" si="1035"/>
        <v>0</v>
      </c>
      <c r="GH172" s="978">
        <f t="shared" si="1035"/>
        <v>0</v>
      </c>
      <c r="GI172" s="978">
        <f t="shared" si="1035"/>
        <v>0</v>
      </c>
      <c r="GJ172" s="978">
        <f t="shared" si="1035"/>
        <v>0</v>
      </c>
      <c r="GK172" s="978">
        <f t="shared" si="1035"/>
        <v>0</v>
      </c>
      <c r="GL172" s="978">
        <f t="shared" si="1035"/>
        <v>0</v>
      </c>
      <c r="GM172" s="978">
        <f t="shared" si="1035"/>
        <v>0</v>
      </c>
      <c r="GN172" s="978">
        <f t="shared" si="1035"/>
        <v>0</v>
      </c>
      <c r="GO172" s="978">
        <f t="shared" si="1035"/>
        <v>0</v>
      </c>
      <c r="GP172" s="978">
        <f t="shared" si="1035"/>
        <v>0</v>
      </c>
      <c r="GQ172" s="979">
        <f t="shared" si="1035"/>
        <v>0</v>
      </c>
      <c r="GS172" s="977">
        <f t="shared" si="1047"/>
        <v>0</v>
      </c>
      <c r="GT172" s="978">
        <f t="shared" si="1036"/>
        <v>0</v>
      </c>
      <c r="GU172" s="978">
        <f t="shared" si="1036"/>
        <v>0</v>
      </c>
      <c r="GV172" s="978">
        <f t="shared" si="1036"/>
        <v>0</v>
      </c>
      <c r="GW172" s="978">
        <f t="shared" si="1036"/>
        <v>0</v>
      </c>
      <c r="GX172" s="978">
        <f t="shared" si="1036"/>
        <v>0</v>
      </c>
      <c r="GY172" s="978">
        <f t="shared" si="1036"/>
        <v>0</v>
      </c>
      <c r="GZ172" s="978">
        <f t="shared" si="1036"/>
        <v>0</v>
      </c>
      <c r="HA172" s="978">
        <f t="shared" si="1036"/>
        <v>0</v>
      </c>
      <c r="HB172" s="978">
        <f t="shared" si="1036"/>
        <v>0</v>
      </c>
      <c r="HC172" s="978">
        <f t="shared" si="1036"/>
        <v>0</v>
      </c>
      <c r="HD172" s="979">
        <f t="shared" si="1036"/>
        <v>0</v>
      </c>
    </row>
    <row r="173" spans="2:212" ht="14.25">
      <c r="B173" s="1084" t="s">
        <v>1083</v>
      </c>
      <c r="C173" s="992"/>
      <c r="D173" s="31"/>
      <c r="E173" s="31"/>
      <c r="F173" s="31"/>
      <c r="G173" s="31"/>
      <c r="H173" s="31"/>
      <c r="I173" s="31"/>
      <c r="N173" s="1899"/>
      <c r="O173" s="940" t="s">
        <v>127</v>
      </c>
      <c r="S173" s="595">
        <v>1</v>
      </c>
      <c r="T173" s="595">
        <v>1</v>
      </c>
      <c r="U173" s="595">
        <v>2</v>
      </c>
      <c r="AA173" s="1899"/>
      <c r="AB173" s="940" t="s">
        <v>127</v>
      </c>
      <c r="AC173" s="599">
        <f t="shared" si="1048"/>
        <v>0</v>
      </c>
      <c r="AD173" s="599">
        <f>Q173/Q159</f>
        <v>0</v>
      </c>
      <c r="AE173" s="599">
        <f>R173/R159</f>
        <v>0</v>
      </c>
      <c r="AF173" s="599"/>
      <c r="AG173" s="599">
        <f>T173/T159</f>
        <v>1</v>
      </c>
      <c r="AH173" s="599">
        <f>U173/U159</f>
        <v>1</v>
      </c>
      <c r="AI173" s="599">
        <f>V173/V159</f>
        <v>0</v>
      </c>
      <c r="AJ173" s="935">
        <f t="shared" si="963"/>
        <v>0.33333333333333331</v>
      </c>
      <c r="AK173" s="935">
        <f t="shared" si="964"/>
        <v>0.33333333333333331</v>
      </c>
      <c r="AL173" s="935">
        <f t="shared" si="965"/>
        <v>0.3666666666666667</v>
      </c>
      <c r="AM173" s="935">
        <f t="shared" si="966"/>
        <v>0.3666666666666667</v>
      </c>
      <c r="AN173" s="935">
        <f t="shared" si="967"/>
        <v>0.3666666666666667</v>
      </c>
      <c r="AO173" s="935">
        <f t="shared" si="968"/>
        <v>0.40333333333333338</v>
      </c>
      <c r="AP173" s="1036">
        <v>0.3</v>
      </c>
      <c r="AQ173" s="1036">
        <f t="shared" si="1037"/>
        <v>0.27</v>
      </c>
      <c r="AR173" s="1036">
        <f t="shared" si="1037"/>
        <v>0.27</v>
      </c>
      <c r="AS173" s="1036">
        <f t="shared" si="1037"/>
        <v>0.27</v>
      </c>
      <c r="AT173" s="1036">
        <f t="shared" si="1037"/>
        <v>0.29700000000000004</v>
      </c>
      <c r="AU173" s="1036">
        <f t="shared" si="1037"/>
        <v>0.32670000000000005</v>
      </c>
      <c r="AV173" s="1036">
        <f t="shared" si="1037"/>
        <v>0.32670000000000005</v>
      </c>
      <c r="AW173" s="1036">
        <f t="shared" si="1037"/>
        <v>0.32670000000000005</v>
      </c>
      <c r="AX173" s="1036">
        <f t="shared" si="1037"/>
        <v>0.32670000000000005</v>
      </c>
      <c r="AY173" s="1036">
        <f t="shared" si="1037"/>
        <v>0.32670000000000005</v>
      </c>
      <c r="AZ173" s="1036">
        <f t="shared" si="1037"/>
        <v>0.32670000000000005</v>
      </c>
      <c r="BA173" s="1036">
        <f t="shared" si="1037"/>
        <v>0.32670000000000005</v>
      </c>
      <c r="BB173" s="1036">
        <v>0.3</v>
      </c>
      <c r="BC173" s="1036">
        <f t="shared" si="1038"/>
        <v>0.27</v>
      </c>
      <c r="BD173" s="1036">
        <f t="shared" si="970"/>
        <v>0.27</v>
      </c>
      <c r="BE173" s="1036">
        <f t="shared" si="971"/>
        <v>0.27</v>
      </c>
      <c r="BF173" s="1036">
        <f t="shared" si="972"/>
        <v>0.29700000000000004</v>
      </c>
      <c r="BG173" s="1036">
        <f t="shared" si="973"/>
        <v>0.32670000000000005</v>
      </c>
      <c r="BH173" s="1036">
        <f t="shared" si="974"/>
        <v>0.32670000000000005</v>
      </c>
      <c r="BI173" s="1036">
        <f t="shared" si="975"/>
        <v>0.32670000000000005</v>
      </c>
      <c r="BJ173" s="1036">
        <f t="shared" si="976"/>
        <v>0.32670000000000005</v>
      </c>
      <c r="BK173" s="1036">
        <f t="shared" si="977"/>
        <v>0.32670000000000005</v>
      </c>
      <c r="BL173" s="1036">
        <f t="shared" si="978"/>
        <v>0.32670000000000005</v>
      </c>
      <c r="BM173" s="1036">
        <f t="shared" si="979"/>
        <v>0.32670000000000005</v>
      </c>
      <c r="BN173" s="1036">
        <v>0.3</v>
      </c>
      <c r="BO173" s="1036">
        <f t="shared" si="1039"/>
        <v>0.27</v>
      </c>
      <c r="BP173" s="1036">
        <f t="shared" si="980"/>
        <v>0.27</v>
      </c>
      <c r="BQ173" s="1036">
        <f t="shared" si="981"/>
        <v>0.27</v>
      </c>
      <c r="BR173" s="1036">
        <f t="shared" si="982"/>
        <v>0.29700000000000004</v>
      </c>
      <c r="BS173" s="1036">
        <f t="shared" si="983"/>
        <v>0.32670000000000005</v>
      </c>
      <c r="BT173" s="1036">
        <f t="shared" si="984"/>
        <v>0.32670000000000005</v>
      </c>
      <c r="BU173" s="1036">
        <f t="shared" si="985"/>
        <v>0.32670000000000005</v>
      </c>
      <c r="BV173" s="1036">
        <f t="shared" si="986"/>
        <v>0.32670000000000005</v>
      </c>
      <c r="BW173" s="1036">
        <f t="shared" si="987"/>
        <v>0.32670000000000005</v>
      </c>
      <c r="BX173" s="1036">
        <f t="shared" si="988"/>
        <v>0.32670000000000005</v>
      </c>
      <c r="BY173" s="1036">
        <f t="shared" si="989"/>
        <v>0.32670000000000005</v>
      </c>
      <c r="BZ173" s="1036">
        <v>0.3</v>
      </c>
      <c r="CA173" s="1036">
        <f t="shared" si="1040"/>
        <v>0.27</v>
      </c>
      <c r="CB173" s="1036">
        <f t="shared" si="990"/>
        <v>0.27</v>
      </c>
      <c r="CC173" s="1036">
        <f t="shared" si="991"/>
        <v>0.27</v>
      </c>
      <c r="CD173" s="1036">
        <f t="shared" si="992"/>
        <v>0.29700000000000004</v>
      </c>
      <c r="CE173" s="1036">
        <f t="shared" si="993"/>
        <v>0.32670000000000005</v>
      </c>
      <c r="CF173" s="1036">
        <f t="shared" si="994"/>
        <v>0.32670000000000005</v>
      </c>
      <c r="CG173" s="1036">
        <f t="shared" si="995"/>
        <v>0.32670000000000005</v>
      </c>
      <c r="CH173" s="1036">
        <f t="shared" si="996"/>
        <v>0.32670000000000005</v>
      </c>
      <c r="CI173" s="1036">
        <f t="shared" si="997"/>
        <v>0.32670000000000005</v>
      </c>
      <c r="CJ173" s="1036">
        <f t="shared" si="998"/>
        <v>0.32670000000000005</v>
      </c>
      <c r="CK173" s="1036">
        <f t="shared" si="999"/>
        <v>0.32670000000000005</v>
      </c>
      <c r="CL173" s="1036">
        <v>0.3</v>
      </c>
      <c r="CM173" s="1036">
        <f t="shared" si="1041"/>
        <v>0.27</v>
      </c>
      <c r="CN173" s="1036">
        <f t="shared" si="1000"/>
        <v>0.27</v>
      </c>
      <c r="CO173" s="1036">
        <f t="shared" si="1001"/>
        <v>0.27</v>
      </c>
      <c r="CP173" s="1036">
        <f t="shared" si="1002"/>
        <v>0.29700000000000004</v>
      </c>
      <c r="CQ173" s="1036">
        <f t="shared" si="1003"/>
        <v>0.32670000000000005</v>
      </c>
      <c r="CR173" s="1036">
        <f t="shared" si="1004"/>
        <v>0.32670000000000005</v>
      </c>
      <c r="CS173" s="1036">
        <f t="shared" si="1005"/>
        <v>0.32670000000000005</v>
      </c>
      <c r="CT173" s="1036">
        <f t="shared" si="1006"/>
        <v>0.32670000000000005</v>
      </c>
      <c r="CU173" s="1036">
        <f t="shared" si="1007"/>
        <v>0.32670000000000005</v>
      </c>
      <c r="CV173" s="1036">
        <f t="shared" si="1008"/>
        <v>0.32670000000000005</v>
      </c>
      <c r="CW173" s="1036">
        <f t="shared" si="1009"/>
        <v>0.32670000000000005</v>
      </c>
      <c r="CX173" s="1036">
        <v>0.3</v>
      </c>
      <c r="CY173" s="1036">
        <f t="shared" si="1042"/>
        <v>0.27</v>
      </c>
      <c r="CZ173" s="1036">
        <f t="shared" si="1010"/>
        <v>0.27</v>
      </c>
      <c r="DA173" s="1036">
        <f t="shared" si="1011"/>
        <v>0.27</v>
      </c>
      <c r="DB173" s="1036">
        <f t="shared" si="1012"/>
        <v>0.29700000000000004</v>
      </c>
      <c r="DC173" s="1036">
        <f t="shared" si="1013"/>
        <v>0.32670000000000005</v>
      </c>
      <c r="DD173" s="1036">
        <f t="shared" si="1014"/>
        <v>0.32670000000000005</v>
      </c>
      <c r="DE173" s="1036">
        <f t="shared" si="1015"/>
        <v>0.32670000000000005</v>
      </c>
      <c r="DF173" s="1036">
        <f t="shared" si="1016"/>
        <v>0.32670000000000005</v>
      </c>
      <c r="DG173" s="1036">
        <f t="shared" si="1017"/>
        <v>0.32670000000000005</v>
      </c>
      <c r="DH173" s="1036">
        <f t="shared" si="1018"/>
        <v>0.32670000000000005</v>
      </c>
      <c r="DI173" s="1036">
        <f t="shared" si="1019"/>
        <v>0.32670000000000005</v>
      </c>
      <c r="DK173" s="1899"/>
      <c r="DL173" s="940" t="s">
        <v>127</v>
      </c>
      <c r="DN173" s="977">
        <v>0</v>
      </c>
      <c r="DO173" s="978">
        <f>DO159*$AJ$173</f>
        <v>0.33333333333333331</v>
      </c>
      <c r="DP173" s="978">
        <f>DP159*$AJ$173</f>
        <v>0</v>
      </c>
      <c r="DQ173" s="978">
        <f>DQ159*$AJ$173</f>
        <v>0</v>
      </c>
      <c r="DR173" s="979">
        <f>DR159*$AJ$173</f>
        <v>0.66666666666666663</v>
      </c>
      <c r="DT173" s="977">
        <v>0</v>
      </c>
      <c r="DU173" s="978">
        <f>DU159*$AH$173</f>
        <v>1</v>
      </c>
      <c r="DV173" s="978">
        <f>DV159*$AH$173</f>
        <v>0</v>
      </c>
      <c r="DW173" s="978">
        <f>DW159*$AH$173</f>
        <v>0</v>
      </c>
      <c r="DX173" s="979">
        <f>DX159*$AH$173</f>
        <v>2</v>
      </c>
      <c r="DZ173" s="977">
        <v>0</v>
      </c>
      <c r="EA173" s="978">
        <f>EA159*AL$173</f>
        <v>0.3666666666666667</v>
      </c>
      <c r="EB173" s="978">
        <f>EB159*AM$173</f>
        <v>0</v>
      </c>
      <c r="EC173" s="978">
        <f>EC159*AN$173</f>
        <v>0</v>
      </c>
      <c r="ED173" s="979">
        <f>ED159*AO$173</f>
        <v>0.80666666666666675</v>
      </c>
      <c r="EF173" s="977">
        <f t="shared" si="1020"/>
        <v>0</v>
      </c>
      <c r="EG173" s="978">
        <f t="shared" si="1021"/>
        <v>0</v>
      </c>
      <c r="EH173" s="978">
        <f t="shared" si="1022"/>
        <v>0.54</v>
      </c>
      <c r="EI173" s="978">
        <f t="shared" si="1023"/>
        <v>0.81</v>
      </c>
      <c r="EJ173" s="978">
        <f t="shared" si="1024"/>
        <v>0.89100000000000013</v>
      </c>
      <c r="EK173" s="978">
        <f t="shared" si="1025"/>
        <v>0.65340000000000009</v>
      </c>
      <c r="EL173" s="978">
        <f t="shared" si="1026"/>
        <v>0.98010000000000019</v>
      </c>
      <c r="EM173" s="978">
        <f t="shared" si="1027"/>
        <v>1.6335000000000002</v>
      </c>
      <c r="EN173" s="978">
        <f t="shared" si="1028"/>
        <v>1.7968500000000003</v>
      </c>
      <c r="EO173" s="978">
        <f t="shared" si="1029"/>
        <v>0.81675000000000009</v>
      </c>
      <c r="EP173" s="978">
        <f t="shared" si="1030"/>
        <v>0.65340000000000009</v>
      </c>
      <c r="EQ173" s="979">
        <f t="shared" si="1031"/>
        <v>0.81675000000000009</v>
      </c>
      <c r="ES173" s="977">
        <f t="shared" si="1043"/>
        <v>1.05</v>
      </c>
      <c r="ET173" s="978">
        <f t="shared" si="1032"/>
        <v>1.08</v>
      </c>
      <c r="EU173" s="978">
        <f t="shared" si="1032"/>
        <v>0.67500000000000004</v>
      </c>
      <c r="EV173" s="978">
        <f t="shared" si="1032"/>
        <v>0.54</v>
      </c>
      <c r="EW173" s="978">
        <f t="shared" si="1032"/>
        <v>0.59400000000000008</v>
      </c>
      <c r="EX173" s="978">
        <f t="shared" si="1032"/>
        <v>0.4900500000000001</v>
      </c>
      <c r="EY173" s="978">
        <f t="shared" si="1032"/>
        <v>0.32670000000000005</v>
      </c>
      <c r="EZ173" s="978">
        <f t="shared" si="1032"/>
        <v>0.32670000000000005</v>
      </c>
      <c r="FA173" s="978">
        <f t="shared" si="1032"/>
        <v>0.32670000000000005</v>
      </c>
      <c r="FB173" s="978">
        <f t="shared" si="1032"/>
        <v>0.32670000000000005</v>
      </c>
      <c r="FC173" s="978">
        <f t="shared" si="1032"/>
        <v>0.32670000000000005</v>
      </c>
      <c r="FD173" s="979">
        <f t="shared" si="1032"/>
        <v>0.16335000000000002</v>
      </c>
      <c r="FF173" s="977">
        <f t="shared" si="1044"/>
        <v>0</v>
      </c>
      <c r="FG173" s="978">
        <f t="shared" si="1033"/>
        <v>0.13500000000000001</v>
      </c>
      <c r="FH173" s="978">
        <f t="shared" si="1033"/>
        <v>0.27</v>
      </c>
      <c r="FI173" s="978">
        <f t="shared" si="1033"/>
        <v>0.27</v>
      </c>
      <c r="FJ173" s="978">
        <f t="shared" si="1033"/>
        <v>0.29700000000000004</v>
      </c>
      <c r="FK173" s="978">
        <f t="shared" si="1033"/>
        <v>0.32670000000000005</v>
      </c>
      <c r="FL173" s="978">
        <f t="shared" si="1033"/>
        <v>0.32670000000000005</v>
      </c>
      <c r="FM173" s="978">
        <f t="shared" si="1033"/>
        <v>0.32670000000000005</v>
      </c>
      <c r="FN173" s="978">
        <f t="shared" si="1033"/>
        <v>0.32670000000000005</v>
      </c>
      <c r="FO173" s="978">
        <f t="shared" si="1033"/>
        <v>0.32670000000000005</v>
      </c>
      <c r="FP173" s="978">
        <f t="shared" si="1033"/>
        <v>0.32670000000000005</v>
      </c>
      <c r="FQ173" s="979">
        <f t="shared" si="1033"/>
        <v>0.16335000000000002</v>
      </c>
      <c r="FS173" s="977">
        <f t="shared" si="1045"/>
        <v>0</v>
      </c>
      <c r="FT173" s="978">
        <f t="shared" si="1034"/>
        <v>0.13500000000000001</v>
      </c>
      <c r="FU173" s="978">
        <f t="shared" si="1034"/>
        <v>0.27</v>
      </c>
      <c r="FV173" s="978">
        <f t="shared" si="1034"/>
        <v>0.27</v>
      </c>
      <c r="FW173" s="978">
        <f t="shared" si="1034"/>
        <v>0.29700000000000004</v>
      </c>
      <c r="FX173" s="978">
        <f t="shared" si="1034"/>
        <v>0.32670000000000005</v>
      </c>
      <c r="FY173" s="978">
        <f t="shared" si="1034"/>
        <v>0.32670000000000005</v>
      </c>
      <c r="FZ173" s="978">
        <f t="shared" si="1034"/>
        <v>0.32670000000000005</v>
      </c>
      <c r="GA173" s="978">
        <f t="shared" si="1034"/>
        <v>0.32670000000000005</v>
      </c>
      <c r="GB173" s="978">
        <f t="shared" si="1034"/>
        <v>0.32670000000000005</v>
      </c>
      <c r="GC173" s="978">
        <f t="shared" si="1034"/>
        <v>0.32670000000000005</v>
      </c>
      <c r="GD173" s="979">
        <f t="shared" si="1034"/>
        <v>0.16335000000000002</v>
      </c>
      <c r="GF173" s="977">
        <f t="shared" si="1046"/>
        <v>0</v>
      </c>
      <c r="GG173" s="978">
        <f t="shared" si="1035"/>
        <v>0</v>
      </c>
      <c r="GH173" s="978">
        <f t="shared" si="1035"/>
        <v>0</v>
      </c>
      <c r="GI173" s="978">
        <f t="shared" si="1035"/>
        <v>0</v>
      </c>
      <c r="GJ173" s="978">
        <f t="shared" si="1035"/>
        <v>0</v>
      </c>
      <c r="GK173" s="978">
        <f t="shared" si="1035"/>
        <v>0</v>
      </c>
      <c r="GL173" s="978">
        <f t="shared" si="1035"/>
        <v>0</v>
      </c>
      <c r="GM173" s="978">
        <f t="shared" si="1035"/>
        <v>0</v>
      </c>
      <c r="GN173" s="978">
        <f t="shared" si="1035"/>
        <v>0</v>
      </c>
      <c r="GO173" s="978">
        <f t="shared" si="1035"/>
        <v>0</v>
      </c>
      <c r="GP173" s="978">
        <f t="shared" si="1035"/>
        <v>0</v>
      </c>
      <c r="GQ173" s="979">
        <f t="shared" si="1035"/>
        <v>0</v>
      </c>
      <c r="GS173" s="977">
        <f t="shared" si="1047"/>
        <v>0</v>
      </c>
      <c r="GT173" s="978">
        <f t="shared" si="1036"/>
        <v>0</v>
      </c>
      <c r="GU173" s="978">
        <f t="shared" si="1036"/>
        <v>0</v>
      </c>
      <c r="GV173" s="978">
        <f t="shared" si="1036"/>
        <v>0</v>
      </c>
      <c r="GW173" s="978">
        <f t="shared" si="1036"/>
        <v>0</v>
      </c>
      <c r="GX173" s="978">
        <f t="shared" si="1036"/>
        <v>0</v>
      </c>
      <c r="GY173" s="978">
        <f t="shared" si="1036"/>
        <v>0</v>
      </c>
      <c r="GZ173" s="978">
        <f t="shared" si="1036"/>
        <v>0</v>
      </c>
      <c r="HA173" s="978">
        <f t="shared" si="1036"/>
        <v>0</v>
      </c>
      <c r="HB173" s="978">
        <f t="shared" si="1036"/>
        <v>0</v>
      </c>
      <c r="HC173" s="978">
        <f t="shared" si="1036"/>
        <v>0</v>
      </c>
      <c r="HD173" s="979">
        <f t="shared" si="1036"/>
        <v>0</v>
      </c>
    </row>
    <row r="174" spans="2:212" ht="14.25">
      <c r="B174" s="1050" t="s">
        <v>1066</v>
      </c>
      <c r="C174" s="992"/>
      <c r="D174" s="31"/>
      <c r="E174" s="31"/>
      <c r="F174" s="31"/>
      <c r="G174" s="31"/>
      <c r="H174" s="31"/>
      <c r="I174" s="31"/>
      <c r="J174" s="929"/>
      <c r="K174" s="929"/>
      <c r="N174" s="1899"/>
      <c r="O174" s="940" t="s">
        <v>163</v>
      </c>
      <c r="Q174" s="595">
        <v>1</v>
      </c>
      <c r="R174" s="595">
        <v>1</v>
      </c>
      <c r="T174" s="595">
        <v>1</v>
      </c>
      <c r="V174" s="595">
        <v>1</v>
      </c>
      <c r="AA174" s="1899"/>
      <c r="AB174" s="940" t="s">
        <v>163</v>
      </c>
      <c r="AC174" s="599"/>
      <c r="AD174" s="599">
        <f>Q174/Q160</f>
        <v>0.25</v>
      </c>
      <c r="AE174" s="599">
        <f>R174/R160</f>
        <v>0.5</v>
      </c>
      <c r="AF174" s="599">
        <f>S174/S160</f>
        <v>0</v>
      </c>
      <c r="AG174" s="599"/>
      <c r="AH174" s="599">
        <f>U174/U160</f>
        <v>0</v>
      </c>
      <c r="AI174" s="599">
        <f>V174/V160</f>
        <v>0.5</v>
      </c>
      <c r="AJ174" s="935">
        <f t="shared" si="963"/>
        <v>0.25</v>
      </c>
      <c r="AK174" s="935">
        <f t="shared" si="964"/>
        <v>0.25</v>
      </c>
      <c r="AL174" s="935">
        <f t="shared" si="965"/>
        <v>0.27500000000000002</v>
      </c>
      <c r="AM174" s="935">
        <f t="shared" si="966"/>
        <v>0.27500000000000002</v>
      </c>
      <c r="AN174" s="935">
        <f t="shared" si="967"/>
        <v>0.27500000000000002</v>
      </c>
      <c r="AO174" s="935">
        <f t="shared" si="968"/>
        <v>0.30250000000000005</v>
      </c>
      <c r="AP174" s="1036">
        <v>0.25</v>
      </c>
      <c r="AQ174" s="1036">
        <f t="shared" si="1037"/>
        <v>0.22500000000000001</v>
      </c>
      <c r="AR174" s="1036">
        <f t="shared" si="1037"/>
        <v>0.22500000000000001</v>
      </c>
      <c r="AS174" s="1036">
        <f t="shared" si="1037"/>
        <v>0.22500000000000001</v>
      </c>
      <c r="AT174" s="1036">
        <f t="shared" si="1037"/>
        <v>0.24750000000000003</v>
      </c>
      <c r="AU174" s="1036">
        <f t="shared" si="1037"/>
        <v>0.27225000000000005</v>
      </c>
      <c r="AV174" s="1036">
        <f t="shared" si="1037"/>
        <v>0.27225000000000005</v>
      </c>
      <c r="AW174" s="1036">
        <f t="shared" si="1037"/>
        <v>0.27225000000000005</v>
      </c>
      <c r="AX174" s="1036">
        <f t="shared" si="1037"/>
        <v>0.27225000000000005</v>
      </c>
      <c r="AY174" s="1036">
        <f t="shared" si="1037"/>
        <v>0.27225000000000005</v>
      </c>
      <c r="AZ174" s="1036">
        <f t="shared" si="1037"/>
        <v>0.27225000000000005</v>
      </c>
      <c r="BA174" s="1036">
        <f t="shared" si="1037"/>
        <v>0.27225000000000005</v>
      </c>
      <c r="BB174" s="1036">
        <v>0.25</v>
      </c>
      <c r="BC174" s="1036">
        <f t="shared" si="1038"/>
        <v>0.22500000000000001</v>
      </c>
      <c r="BD174" s="1036">
        <f t="shared" si="970"/>
        <v>0.22500000000000001</v>
      </c>
      <c r="BE174" s="1036">
        <f t="shared" si="971"/>
        <v>0.22500000000000001</v>
      </c>
      <c r="BF174" s="1036">
        <f t="shared" si="972"/>
        <v>0.24750000000000003</v>
      </c>
      <c r="BG174" s="1036">
        <f t="shared" si="973"/>
        <v>0.27225000000000005</v>
      </c>
      <c r="BH174" s="1036">
        <f t="shared" si="974"/>
        <v>0.27225000000000005</v>
      </c>
      <c r="BI174" s="1036">
        <f t="shared" si="975"/>
        <v>0.27225000000000005</v>
      </c>
      <c r="BJ174" s="1036">
        <f t="shared" si="976"/>
        <v>0.27225000000000005</v>
      </c>
      <c r="BK174" s="1036">
        <f t="shared" si="977"/>
        <v>0.27225000000000005</v>
      </c>
      <c r="BL174" s="1036">
        <f t="shared" si="978"/>
        <v>0.27225000000000005</v>
      </c>
      <c r="BM174" s="1036">
        <f t="shared" si="979"/>
        <v>0.27225000000000005</v>
      </c>
      <c r="BN174" s="1036">
        <v>0.25</v>
      </c>
      <c r="BO174" s="1036">
        <f t="shared" si="1039"/>
        <v>0.22500000000000001</v>
      </c>
      <c r="BP174" s="1036">
        <f t="shared" si="980"/>
        <v>0.22500000000000001</v>
      </c>
      <c r="BQ174" s="1036">
        <f t="shared" si="981"/>
        <v>0.22500000000000001</v>
      </c>
      <c r="BR174" s="1036">
        <f t="shared" si="982"/>
        <v>0.24750000000000003</v>
      </c>
      <c r="BS174" s="1036">
        <f t="shared" si="983"/>
        <v>0.27225000000000005</v>
      </c>
      <c r="BT174" s="1036">
        <f t="shared" si="984"/>
        <v>0.27225000000000005</v>
      </c>
      <c r="BU174" s="1036">
        <f t="shared" si="985"/>
        <v>0.27225000000000005</v>
      </c>
      <c r="BV174" s="1036">
        <f t="shared" si="986"/>
        <v>0.27225000000000005</v>
      </c>
      <c r="BW174" s="1036">
        <f t="shared" si="987"/>
        <v>0.27225000000000005</v>
      </c>
      <c r="BX174" s="1036">
        <f t="shared" si="988"/>
        <v>0.27225000000000005</v>
      </c>
      <c r="BY174" s="1036">
        <f t="shared" si="989"/>
        <v>0.27225000000000005</v>
      </c>
      <c r="BZ174" s="1036">
        <v>0.25</v>
      </c>
      <c r="CA174" s="1036">
        <f t="shared" si="1040"/>
        <v>0.22500000000000001</v>
      </c>
      <c r="CB174" s="1036">
        <f t="shared" si="990"/>
        <v>0.22500000000000001</v>
      </c>
      <c r="CC174" s="1036">
        <f t="shared" si="991"/>
        <v>0.22500000000000001</v>
      </c>
      <c r="CD174" s="1036">
        <f t="shared" si="992"/>
        <v>0.24750000000000003</v>
      </c>
      <c r="CE174" s="1036">
        <f t="shared" si="993"/>
        <v>0.27225000000000005</v>
      </c>
      <c r="CF174" s="1036">
        <f t="shared" si="994"/>
        <v>0.27225000000000005</v>
      </c>
      <c r="CG174" s="1036">
        <f t="shared" si="995"/>
        <v>0.27225000000000005</v>
      </c>
      <c r="CH174" s="1036">
        <f t="shared" si="996"/>
        <v>0.27225000000000005</v>
      </c>
      <c r="CI174" s="1036">
        <f t="shared" si="997"/>
        <v>0.27225000000000005</v>
      </c>
      <c r="CJ174" s="1036">
        <f t="shared" si="998"/>
        <v>0.27225000000000005</v>
      </c>
      <c r="CK174" s="1036">
        <f t="shared" si="999"/>
        <v>0.27225000000000005</v>
      </c>
      <c r="CL174" s="1036">
        <v>0.25</v>
      </c>
      <c r="CM174" s="1036">
        <f t="shared" si="1041"/>
        <v>0.22500000000000001</v>
      </c>
      <c r="CN174" s="1036">
        <f t="shared" si="1000"/>
        <v>0.22500000000000001</v>
      </c>
      <c r="CO174" s="1036">
        <f t="shared" si="1001"/>
        <v>0.22500000000000001</v>
      </c>
      <c r="CP174" s="1036">
        <f t="shared" si="1002"/>
        <v>0.24750000000000003</v>
      </c>
      <c r="CQ174" s="1036">
        <f t="shared" si="1003"/>
        <v>0.27225000000000005</v>
      </c>
      <c r="CR174" s="1036">
        <f t="shared" si="1004"/>
        <v>0.27225000000000005</v>
      </c>
      <c r="CS174" s="1036">
        <f t="shared" si="1005"/>
        <v>0.27225000000000005</v>
      </c>
      <c r="CT174" s="1036">
        <f t="shared" si="1006"/>
        <v>0.27225000000000005</v>
      </c>
      <c r="CU174" s="1036">
        <f t="shared" si="1007"/>
        <v>0.27225000000000005</v>
      </c>
      <c r="CV174" s="1036">
        <f t="shared" si="1008"/>
        <v>0.27225000000000005</v>
      </c>
      <c r="CW174" s="1036">
        <f t="shared" si="1009"/>
        <v>0.27225000000000005</v>
      </c>
      <c r="CX174" s="1036">
        <v>0.25</v>
      </c>
      <c r="CY174" s="1036">
        <f t="shared" si="1042"/>
        <v>0.22500000000000001</v>
      </c>
      <c r="CZ174" s="1036">
        <f t="shared" si="1010"/>
        <v>0.22500000000000001</v>
      </c>
      <c r="DA174" s="1036">
        <f t="shared" si="1011"/>
        <v>0.22500000000000001</v>
      </c>
      <c r="DB174" s="1036">
        <f t="shared" si="1012"/>
        <v>0.24750000000000003</v>
      </c>
      <c r="DC174" s="1036">
        <f t="shared" si="1013"/>
        <v>0.27225000000000005</v>
      </c>
      <c r="DD174" s="1036">
        <f t="shared" si="1014"/>
        <v>0.27225000000000005</v>
      </c>
      <c r="DE174" s="1036">
        <f t="shared" si="1015"/>
        <v>0.27225000000000005</v>
      </c>
      <c r="DF174" s="1036">
        <f t="shared" si="1016"/>
        <v>0.27225000000000005</v>
      </c>
      <c r="DG174" s="1036">
        <f t="shared" si="1017"/>
        <v>0.27225000000000005</v>
      </c>
      <c r="DH174" s="1036">
        <f t="shared" si="1018"/>
        <v>0.27225000000000005</v>
      </c>
      <c r="DI174" s="1036">
        <f t="shared" si="1019"/>
        <v>0.27225000000000005</v>
      </c>
      <c r="DK174" s="1899"/>
      <c r="DL174" s="940" t="s">
        <v>163</v>
      </c>
      <c r="DN174" s="977">
        <v>1</v>
      </c>
      <c r="DO174" s="978">
        <f>DO160*$AJ$174</f>
        <v>0</v>
      </c>
      <c r="DP174" s="978">
        <f>DP160*$AJ$174</f>
        <v>0.25</v>
      </c>
      <c r="DQ174" s="978">
        <f>DQ160*$AJ$174</f>
        <v>0</v>
      </c>
      <c r="DR174" s="979">
        <f>DR160*$AJ$174</f>
        <v>0</v>
      </c>
      <c r="DT174" s="977">
        <v>1</v>
      </c>
      <c r="DU174" s="978">
        <f>DU160*$AH$174</f>
        <v>0</v>
      </c>
      <c r="DV174" s="978">
        <f>DV160*$AH$174</f>
        <v>0</v>
      </c>
      <c r="DW174" s="978">
        <f>DW160*$AH$174</f>
        <v>0</v>
      </c>
      <c r="DX174" s="979">
        <f>DX160*$AH$174</f>
        <v>0</v>
      </c>
      <c r="DZ174" s="977">
        <v>1</v>
      </c>
      <c r="EA174" s="978">
        <f>EA160*AL$174</f>
        <v>0</v>
      </c>
      <c r="EB174" s="978">
        <f>EB160*AM$174</f>
        <v>0.27500000000000002</v>
      </c>
      <c r="EC174" s="978">
        <f>EC160*AN$174</f>
        <v>0</v>
      </c>
      <c r="ED174" s="979">
        <f>ED160*AO$174</f>
        <v>0</v>
      </c>
      <c r="EF174" s="977">
        <f t="shared" si="1020"/>
        <v>0</v>
      </c>
      <c r="EG174" s="978">
        <f t="shared" si="1021"/>
        <v>0</v>
      </c>
      <c r="EH174" s="978">
        <f t="shared" si="1022"/>
        <v>0</v>
      </c>
      <c r="EI174" s="978">
        <f t="shared" si="1023"/>
        <v>0</v>
      </c>
      <c r="EJ174" s="978">
        <f t="shared" si="1024"/>
        <v>0</v>
      </c>
      <c r="EK174" s="978">
        <f t="shared" si="1025"/>
        <v>0</v>
      </c>
      <c r="EL174" s="978">
        <f t="shared" si="1026"/>
        <v>0</v>
      </c>
      <c r="EM174" s="978">
        <f t="shared" si="1027"/>
        <v>0</v>
      </c>
      <c r="EN174" s="978">
        <f t="shared" si="1028"/>
        <v>0</v>
      </c>
      <c r="EO174" s="978">
        <f t="shared" si="1029"/>
        <v>0</v>
      </c>
      <c r="EP174" s="978">
        <f t="shared" si="1030"/>
        <v>0</v>
      </c>
      <c r="EQ174" s="979">
        <f t="shared" si="1031"/>
        <v>0</v>
      </c>
      <c r="ES174" s="977">
        <f t="shared" si="1043"/>
        <v>0</v>
      </c>
      <c r="ET174" s="978">
        <f t="shared" si="1032"/>
        <v>0</v>
      </c>
      <c r="EU174" s="978">
        <f t="shared" si="1032"/>
        <v>0</v>
      </c>
      <c r="EV174" s="978">
        <f t="shared" si="1032"/>
        <v>0</v>
      </c>
      <c r="EW174" s="978">
        <f t="shared" si="1032"/>
        <v>0</v>
      </c>
      <c r="EX174" s="978">
        <f t="shared" si="1032"/>
        <v>0</v>
      </c>
      <c r="EY174" s="978">
        <f t="shared" si="1032"/>
        <v>0</v>
      </c>
      <c r="EZ174" s="978">
        <f t="shared" si="1032"/>
        <v>0</v>
      </c>
      <c r="FA174" s="978">
        <f t="shared" si="1032"/>
        <v>0</v>
      </c>
      <c r="FB174" s="978">
        <f t="shared" si="1032"/>
        <v>0</v>
      </c>
      <c r="FC174" s="978">
        <f t="shared" si="1032"/>
        <v>0</v>
      </c>
      <c r="FD174" s="979">
        <f t="shared" si="1032"/>
        <v>0</v>
      </c>
      <c r="FF174" s="977">
        <f t="shared" si="1044"/>
        <v>0</v>
      </c>
      <c r="FG174" s="978">
        <f t="shared" si="1033"/>
        <v>0</v>
      </c>
      <c r="FH174" s="978">
        <f t="shared" si="1033"/>
        <v>0</v>
      </c>
      <c r="FI174" s="978">
        <f t="shared" si="1033"/>
        <v>0</v>
      </c>
      <c r="FJ174" s="978">
        <f t="shared" si="1033"/>
        <v>0</v>
      </c>
      <c r="FK174" s="978">
        <f t="shared" si="1033"/>
        <v>0</v>
      </c>
      <c r="FL174" s="978">
        <f t="shared" si="1033"/>
        <v>0</v>
      </c>
      <c r="FM174" s="978">
        <f t="shared" si="1033"/>
        <v>0</v>
      </c>
      <c r="FN174" s="978">
        <f t="shared" si="1033"/>
        <v>0</v>
      </c>
      <c r="FO174" s="978">
        <f t="shared" si="1033"/>
        <v>0</v>
      </c>
      <c r="FP174" s="978">
        <f t="shared" si="1033"/>
        <v>0</v>
      </c>
      <c r="FQ174" s="979">
        <f t="shared" si="1033"/>
        <v>0</v>
      </c>
      <c r="FS174" s="977">
        <f t="shared" si="1045"/>
        <v>0</v>
      </c>
      <c r="FT174" s="978">
        <f t="shared" si="1034"/>
        <v>0</v>
      </c>
      <c r="FU174" s="978">
        <f t="shared" si="1034"/>
        <v>0</v>
      </c>
      <c r="FV174" s="978">
        <f t="shared" si="1034"/>
        <v>0</v>
      </c>
      <c r="FW174" s="978">
        <f t="shared" si="1034"/>
        <v>0</v>
      </c>
      <c r="FX174" s="978">
        <f t="shared" si="1034"/>
        <v>0</v>
      </c>
      <c r="FY174" s="978">
        <f t="shared" si="1034"/>
        <v>0</v>
      </c>
      <c r="FZ174" s="978">
        <f t="shared" si="1034"/>
        <v>0</v>
      </c>
      <c r="GA174" s="978">
        <f t="shared" si="1034"/>
        <v>0</v>
      </c>
      <c r="GB174" s="978">
        <f t="shared" si="1034"/>
        <v>0</v>
      </c>
      <c r="GC174" s="978">
        <f t="shared" si="1034"/>
        <v>0</v>
      </c>
      <c r="GD174" s="979">
        <f t="shared" si="1034"/>
        <v>0</v>
      </c>
      <c r="GF174" s="977">
        <f t="shared" si="1046"/>
        <v>0</v>
      </c>
      <c r="GG174" s="978">
        <f t="shared" si="1035"/>
        <v>0</v>
      </c>
      <c r="GH174" s="978">
        <f t="shared" si="1035"/>
        <v>0</v>
      </c>
      <c r="GI174" s="978">
        <f t="shared" si="1035"/>
        <v>0</v>
      </c>
      <c r="GJ174" s="978">
        <f t="shared" si="1035"/>
        <v>0</v>
      </c>
      <c r="GK174" s="978">
        <f t="shared" si="1035"/>
        <v>0</v>
      </c>
      <c r="GL174" s="978">
        <f t="shared" si="1035"/>
        <v>0</v>
      </c>
      <c r="GM174" s="978">
        <f t="shared" si="1035"/>
        <v>0</v>
      </c>
      <c r="GN174" s="978">
        <f t="shared" si="1035"/>
        <v>0</v>
      </c>
      <c r="GO174" s="978">
        <f t="shared" si="1035"/>
        <v>0</v>
      </c>
      <c r="GP174" s="978">
        <f t="shared" si="1035"/>
        <v>0</v>
      </c>
      <c r="GQ174" s="979">
        <f t="shared" si="1035"/>
        <v>0</v>
      </c>
      <c r="GS174" s="977">
        <f t="shared" si="1047"/>
        <v>0</v>
      </c>
      <c r="GT174" s="978">
        <f t="shared" si="1036"/>
        <v>0</v>
      </c>
      <c r="GU174" s="978">
        <f t="shared" si="1036"/>
        <v>0</v>
      </c>
      <c r="GV174" s="978">
        <f t="shared" si="1036"/>
        <v>0</v>
      </c>
      <c r="GW174" s="978">
        <f t="shared" si="1036"/>
        <v>0</v>
      </c>
      <c r="GX174" s="978">
        <f t="shared" si="1036"/>
        <v>0</v>
      </c>
      <c r="GY174" s="978">
        <f t="shared" si="1036"/>
        <v>0</v>
      </c>
      <c r="GZ174" s="978">
        <f t="shared" si="1036"/>
        <v>0</v>
      </c>
      <c r="HA174" s="978">
        <f t="shared" si="1036"/>
        <v>0</v>
      </c>
      <c r="HB174" s="978">
        <f t="shared" si="1036"/>
        <v>0</v>
      </c>
      <c r="HC174" s="978">
        <f t="shared" si="1036"/>
        <v>0</v>
      </c>
      <c r="HD174" s="979">
        <f t="shared" si="1036"/>
        <v>0</v>
      </c>
    </row>
    <row r="175" spans="2:212" ht="14.25">
      <c r="B175" s="1052" t="s">
        <v>1067</v>
      </c>
      <c r="C175" s="992"/>
      <c r="D175" s="31"/>
      <c r="E175" s="31"/>
      <c r="F175" s="31"/>
      <c r="G175" s="31"/>
      <c r="H175" s="31"/>
      <c r="I175" s="31"/>
      <c r="J175" s="929"/>
      <c r="K175" s="929"/>
      <c r="N175" s="1899"/>
      <c r="O175" s="940" t="s">
        <v>164</v>
      </c>
      <c r="R175" s="595">
        <v>0</v>
      </c>
      <c r="S175" s="595">
        <v>1</v>
      </c>
      <c r="AA175" s="1899"/>
      <c r="AB175" s="940" t="s">
        <v>164</v>
      </c>
      <c r="AC175" s="599"/>
      <c r="AD175" s="599"/>
      <c r="AE175" s="599">
        <f>R175/R161</f>
        <v>0</v>
      </c>
      <c r="AF175" s="599">
        <f>S175/S161</f>
        <v>0.5</v>
      </c>
      <c r="AG175" s="599">
        <f>T175/T161</f>
        <v>0</v>
      </c>
      <c r="AH175" s="599"/>
      <c r="AI175" s="599">
        <f>V175/V161</f>
        <v>0</v>
      </c>
      <c r="AJ175" s="935">
        <f t="shared" si="963"/>
        <v>0.125</v>
      </c>
      <c r="AK175" s="935">
        <f t="shared" si="964"/>
        <v>0.125</v>
      </c>
      <c r="AL175" s="935">
        <f t="shared" si="965"/>
        <v>0.13750000000000001</v>
      </c>
      <c r="AM175" s="935">
        <f t="shared" si="966"/>
        <v>0.13750000000000001</v>
      </c>
      <c r="AN175" s="935">
        <f t="shared" si="967"/>
        <v>0.13750000000000001</v>
      </c>
      <c r="AO175" s="935">
        <f t="shared" si="968"/>
        <v>0.15125000000000002</v>
      </c>
      <c r="AP175" s="1036">
        <v>0.2</v>
      </c>
      <c r="AQ175" s="1036">
        <f t="shared" si="1037"/>
        <v>0.18000000000000002</v>
      </c>
      <c r="AR175" s="1036">
        <f t="shared" si="1037"/>
        <v>0.18000000000000002</v>
      </c>
      <c r="AS175" s="1036">
        <f t="shared" si="1037"/>
        <v>0.18000000000000002</v>
      </c>
      <c r="AT175" s="1036">
        <f t="shared" si="1037"/>
        <v>0.19800000000000004</v>
      </c>
      <c r="AU175" s="1036">
        <f t="shared" si="1037"/>
        <v>0.21780000000000005</v>
      </c>
      <c r="AV175" s="1036">
        <f t="shared" si="1037"/>
        <v>0.21780000000000005</v>
      </c>
      <c r="AW175" s="1036">
        <f t="shared" si="1037"/>
        <v>0.21780000000000005</v>
      </c>
      <c r="AX175" s="1036">
        <f t="shared" si="1037"/>
        <v>0.21780000000000005</v>
      </c>
      <c r="AY175" s="1036">
        <f t="shared" si="1037"/>
        <v>0.21780000000000005</v>
      </c>
      <c r="AZ175" s="1036">
        <f t="shared" si="1037"/>
        <v>0.21780000000000005</v>
      </c>
      <c r="BA175" s="1036">
        <f t="shared" si="1037"/>
        <v>0.21780000000000005</v>
      </c>
      <c r="BB175" s="1036">
        <v>0.2</v>
      </c>
      <c r="BC175" s="1036">
        <f t="shared" si="1038"/>
        <v>0.18000000000000002</v>
      </c>
      <c r="BD175" s="1036">
        <f t="shared" si="970"/>
        <v>0.18000000000000002</v>
      </c>
      <c r="BE175" s="1036">
        <f t="shared" si="971"/>
        <v>0.18000000000000002</v>
      </c>
      <c r="BF175" s="1036">
        <f t="shared" si="972"/>
        <v>0.19800000000000004</v>
      </c>
      <c r="BG175" s="1036">
        <f t="shared" si="973"/>
        <v>0.21780000000000005</v>
      </c>
      <c r="BH175" s="1036">
        <f t="shared" si="974"/>
        <v>0.21780000000000005</v>
      </c>
      <c r="BI175" s="1036">
        <f t="shared" si="975"/>
        <v>0.21780000000000005</v>
      </c>
      <c r="BJ175" s="1036">
        <f t="shared" si="976"/>
        <v>0.21780000000000005</v>
      </c>
      <c r="BK175" s="1036">
        <f t="shared" si="977"/>
        <v>0.21780000000000005</v>
      </c>
      <c r="BL175" s="1036">
        <f t="shared" si="978"/>
        <v>0.21780000000000005</v>
      </c>
      <c r="BM175" s="1036">
        <f t="shared" si="979"/>
        <v>0.21780000000000005</v>
      </c>
      <c r="BN175" s="1036">
        <v>0.2</v>
      </c>
      <c r="BO175" s="1036">
        <f t="shared" si="1039"/>
        <v>0.18000000000000002</v>
      </c>
      <c r="BP175" s="1036">
        <f t="shared" si="980"/>
        <v>0.18000000000000002</v>
      </c>
      <c r="BQ175" s="1036">
        <f t="shared" si="981"/>
        <v>0.18000000000000002</v>
      </c>
      <c r="BR175" s="1036">
        <f t="shared" si="982"/>
        <v>0.19800000000000004</v>
      </c>
      <c r="BS175" s="1036">
        <f t="shared" si="983"/>
        <v>0.21780000000000005</v>
      </c>
      <c r="BT175" s="1036">
        <f t="shared" si="984"/>
        <v>0.21780000000000005</v>
      </c>
      <c r="BU175" s="1036">
        <f t="shared" si="985"/>
        <v>0.21780000000000005</v>
      </c>
      <c r="BV175" s="1036">
        <f t="shared" si="986"/>
        <v>0.21780000000000005</v>
      </c>
      <c r="BW175" s="1036">
        <f t="shared" si="987"/>
        <v>0.21780000000000005</v>
      </c>
      <c r="BX175" s="1036">
        <f t="shared" si="988"/>
        <v>0.21780000000000005</v>
      </c>
      <c r="BY175" s="1036">
        <f t="shared" si="989"/>
        <v>0.21780000000000005</v>
      </c>
      <c r="BZ175" s="1036">
        <v>0.2</v>
      </c>
      <c r="CA175" s="1036">
        <f t="shared" si="1040"/>
        <v>0.18000000000000002</v>
      </c>
      <c r="CB175" s="1036">
        <f t="shared" si="990"/>
        <v>0.18000000000000002</v>
      </c>
      <c r="CC175" s="1036">
        <f t="shared" si="991"/>
        <v>0.18000000000000002</v>
      </c>
      <c r="CD175" s="1036">
        <f t="shared" si="992"/>
        <v>0.19800000000000004</v>
      </c>
      <c r="CE175" s="1036">
        <f t="shared" si="993"/>
        <v>0.21780000000000005</v>
      </c>
      <c r="CF175" s="1036">
        <f t="shared" si="994"/>
        <v>0.21780000000000005</v>
      </c>
      <c r="CG175" s="1036">
        <f t="shared" si="995"/>
        <v>0.21780000000000005</v>
      </c>
      <c r="CH175" s="1036">
        <f t="shared" si="996"/>
        <v>0.21780000000000005</v>
      </c>
      <c r="CI175" s="1036">
        <f t="shared" si="997"/>
        <v>0.21780000000000005</v>
      </c>
      <c r="CJ175" s="1036">
        <f t="shared" si="998"/>
        <v>0.21780000000000005</v>
      </c>
      <c r="CK175" s="1036">
        <f t="shared" si="999"/>
        <v>0.21780000000000005</v>
      </c>
      <c r="CL175" s="1036">
        <v>0.2</v>
      </c>
      <c r="CM175" s="1036">
        <f t="shared" si="1041"/>
        <v>0.18000000000000002</v>
      </c>
      <c r="CN175" s="1036">
        <f t="shared" si="1000"/>
        <v>0.18000000000000002</v>
      </c>
      <c r="CO175" s="1036">
        <f t="shared" si="1001"/>
        <v>0.18000000000000002</v>
      </c>
      <c r="CP175" s="1036">
        <f t="shared" si="1002"/>
        <v>0.19800000000000004</v>
      </c>
      <c r="CQ175" s="1036">
        <f t="shared" si="1003"/>
        <v>0.21780000000000005</v>
      </c>
      <c r="CR175" s="1036">
        <f t="shared" si="1004"/>
        <v>0.21780000000000005</v>
      </c>
      <c r="CS175" s="1036">
        <f t="shared" si="1005"/>
        <v>0.21780000000000005</v>
      </c>
      <c r="CT175" s="1036">
        <f t="shared" si="1006"/>
        <v>0.21780000000000005</v>
      </c>
      <c r="CU175" s="1036">
        <f t="shared" si="1007"/>
        <v>0.21780000000000005</v>
      </c>
      <c r="CV175" s="1036">
        <f t="shared" si="1008"/>
        <v>0.21780000000000005</v>
      </c>
      <c r="CW175" s="1036">
        <f t="shared" si="1009"/>
        <v>0.21780000000000005</v>
      </c>
      <c r="CX175" s="1036">
        <v>0.2</v>
      </c>
      <c r="CY175" s="1036">
        <f t="shared" si="1042"/>
        <v>0.18000000000000002</v>
      </c>
      <c r="CZ175" s="1036">
        <f t="shared" si="1010"/>
        <v>0.18000000000000002</v>
      </c>
      <c r="DA175" s="1036">
        <f t="shared" si="1011"/>
        <v>0.18000000000000002</v>
      </c>
      <c r="DB175" s="1036">
        <f t="shared" si="1012"/>
        <v>0.19800000000000004</v>
      </c>
      <c r="DC175" s="1036">
        <f t="shared" si="1013"/>
        <v>0.21780000000000005</v>
      </c>
      <c r="DD175" s="1036">
        <f t="shared" si="1014"/>
        <v>0.21780000000000005</v>
      </c>
      <c r="DE175" s="1036">
        <f t="shared" si="1015"/>
        <v>0.21780000000000005</v>
      </c>
      <c r="DF175" s="1036">
        <f t="shared" si="1016"/>
        <v>0.21780000000000005</v>
      </c>
      <c r="DG175" s="1036">
        <f t="shared" si="1017"/>
        <v>0.21780000000000005</v>
      </c>
      <c r="DH175" s="1036">
        <f t="shared" si="1018"/>
        <v>0.21780000000000005</v>
      </c>
      <c r="DI175" s="1036">
        <f t="shared" si="1019"/>
        <v>0.21780000000000005</v>
      </c>
      <c r="DK175" s="1899"/>
      <c r="DL175" s="940" t="s">
        <v>164</v>
      </c>
      <c r="DN175" s="977">
        <v>1</v>
      </c>
      <c r="DO175" s="978">
        <f>DO161*$AJ$175</f>
        <v>0.25</v>
      </c>
      <c r="DP175" s="978">
        <f>DP161*$AJ$175</f>
        <v>0</v>
      </c>
      <c r="DQ175" s="978">
        <f>DQ161*$AJ$175</f>
        <v>0.125</v>
      </c>
      <c r="DR175" s="979">
        <f>DR161*$AJ$175</f>
        <v>0</v>
      </c>
      <c r="DT175" s="977">
        <v>1</v>
      </c>
      <c r="DU175" s="978">
        <f>DU161*$AH$175</f>
        <v>0</v>
      </c>
      <c r="DV175" s="978">
        <f>DV161*$AH$175</f>
        <v>0</v>
      </c>
      <c r="DW175" s="978">
        <f>DW161*$AH$175</f>
        <v>0</v>
      </c>
      <c r="DX175" s="979">
        <f>DX161*$AH$175</f>
        <v>0</v>
      </c>
      <c r="DZ175" s="977">
        <v>1</v>
      </c>
      <c r="EA175" s="978">
        <f>EA161*AL$175</f>
        <v>0.27500000000000002</v>
      </c>
      <c r="EB175" s="978">
        <f>EB161*AM$175</f>
        <v>0</v>
      </c>
      <c r="EC175" s="978">
        <f>EC161*AN$175</f>
        <v>0.13750000000000001</v>
      </c>
      <c r="ED175" s="979">
        <f>ED161*AO$175</f>
        <v>0</v>
      </c>
      <c r="EF175" s="977">
        <f t="shared" si="1020"/>
        <v>0</v>
      </c>
      <c r="EG175" s="978">
        <f t="shared" si="1021"/>
        <v>0</v>
      </c>
      <c r="EH175" s="978">
        <f t="shared" si="1022"/>
        <v>0</v>
      </c>
      <c r="EI175" s="978">
        <f t="shared" si="1023"/>
        <v>0</v>
      </c>
      <c r="EJ175" s="978">
        <f t="shared" si="1024"/>
        <v>0</v>
      </c>
      <c r="EK175" s="978">
        <f t="shared" si="1025"/>
        <v>0</v>
      </c>
      <c r="EL175" s="978">
        <f t="shared" si="1026"/>
        <v>0</v>
      </c>
      <c r="EM175" s="978">
        <f t="shared" si="1027"/>
        <v>0</v>
      </c>
      <c r="EN175" s="978">
        <f t="shared" si="1028"/>
        <v>0</v>
      </c>
      <c r="EO175" s="978">
        <f t="shared" si="1029"/>
        <v>0</v>
      </c>
      <c r="EP175" s="978">
        <f t="shared" si="1030"/>
        <v>0</v>
      </c>
      <c r="EQ175" s="979">
        <f t="shared" si="1031"/>
        <v>0</v>
      </c>
      <c r="ES175" s="977">
        <f t="shared" si="1043"/>
        <v>0</v>
      </c>
      <c r="ET175" s="978">
        <f t="shared" si="1032"/>
        <v>0</v>
      </c>
      <c r="EU175" s="978">
        <f t="shared" si="1032"/>
        <v>0</v>
      </c>
      <c r="EV175" s="978">
        <f t="shared" si="1032"/>
        <v>0</v>
      </c>
      <c r="EW175" s="978">
        <f t="shared" si="1032"/>
        <v>0</v>
      </c>
      <c r="EX175" s="978">
        <f t="shared" si="1032"/>
        <v>0</v>
      </c>
      <c r="EY175" s="978">
        <f t="shared" si="1032"/>
        <v>0</v>
      </c>
      <c r="EZ175" s="978">
        <f t="shared" si="1032"/>
        <v>0</v>
      </c>
      <c r="FA175" s="978">
        <f t="shared" si="1032"/>
        <v>0</v>
      </c>
      <c r="FB175" s="978">
        <f t="shared" si="1032"/>
        <v>0</v>
      </c>
      <c r="FC175" s="978">
        <f t="shared" si="1032"/>
        <v>0</v>
      </c>
      <c r="FD175" s="979">
        <f t="shared" si="1032"/>
        <v>0</v>
      </c>
      <c r="FF175" s="977">
        <f t="shared" si="1044"/>
        <v>0</v>
      </c>
      <c r="FG175" s="978">
        <f t="shared" si="1033"/>
        <v>0</v>
      </c>
      <c r="FH175" s="978">
        <f t="shared" si="1033"/>
        <v>0</v>
      </c>
      <c r="FI175" s="978">
        <f t="shared" si="1033"/>
        <v>0</v>
      </c>
      <c r="FJ175" s="978">
        <f t="shared" si="1033"/>
        <v>0</v>
      </c>
      <c r="FK175" s="978">
        <f t="shared" si="1033"/>
        <v>0</v>
      </c>
      <c r="FL175" s="978">
        <f t="shared" si="1033"/>
        <v>0</v>
      </c>
      <c r="FM175" s="978">
        <f t="shared" si="1033"/>
        <v>0</v>
      </c>
      <c r="FN175" s="978">
        <f t="shared" si="1033"/>
        <v>0</v>
      </c>
      <c r="FO175" s="978">
        <f t="shared" si="1033"/>
        <v>0</v>
      </c>
      <c r="FP175" s="978">
        <f t="shared" si="1033"/>
        <v>0</v>
      </c>
      <c r="FQ175" s="979">
        <f t="shared" si="1033"/>
        <v>0</v>
      </c>
      <c r="FS175" s="977">
        <f t="shared" si="1045"/>
        <v>0</v>
      </c>
      <c r="FT175" s="978">
        <f t="shared" si="1034"/>
        <v>0</v>
      </c>
      <c r="FU175" s="978">
        <f t="shared" si="1034"/>
        <v>0</v>
      </c>
      <c r="FV175" s="978">
        <f t="shared" si="1034"/>
        <v>0</v>
      </c>
      <c r="FW175" s="978">
        <f t="shared" si="1034"/>
        <v>0</v>
      </c>
      <c r="FX175" s="978">
        <f t="shared" si="1034"/>
        <v>0</v>
      </c>
      <c r="FY175" s="978">
        <f t="shared" si="1034"/>
        <v>0</v>
      </c>
      <c r="FZ175" s="978">
        <f t="shared" si="1034"/>
        <v>0</v>
      </c>
      <c r="GA175" s="978">
        <f t="shared" si="1034"/>
        <v>0</v>
      </c>
      <c r="GB175" s="978">
        <f t="shared" si="1034"/>
        <v>0</v>
      </c>
      <c r="GC175" s="978">
        <f t="shared" si="1034"/>
        <v>0</v>
      </c>
      <c r="GD175" s="979">
        <f t="shared" si="1034"/>
        <v>0</v>
      </c>
      <c r="GF175" s="977">
        <f t="shared" si="1046"/>
        <v>0</v>
      </c>
      <c r="GG175" s="978">
        <f t="shared" si="1035"/>
        <v>0</v>
      </c>
      <c r="GH175" s="978">
        <f t="shared" si="1035"/>
        <v>0</v>
      </c>
      <c r="GI175" s="978">
        <f t="shared" si="1035"/>
        <v>0</v>
      </c>
      <c r="GJ175" s="978">
        <f t="shared" si="1035"/>
        <v>0</v>
      </c>
      <c r="GK175" s="978">
        <f t="shared" si="1035"/>
        <v>0</v>
      </c>
      <c r="GL175" s="978">
        <f t="shared" si="1035"/>
        <v>0</v>
      </c>
      <c r="GM175" s="978">
        <f t="shared" si="1035"/>
        <v>0</v>
      </c>
      <c r="GN175" s="978">
        <f t="shared" si="1035"/>
        <v>0</v>
      </c>
      <c r="GO175" s="978">
        <f t="shared" si="1035"/>
        <v>0</v>
      </c>
      <c r="GP175" s="978">
        <f t="shared" si="1035"/>
        <v>0</v>
      </c>
      <c r="GQ175" s="979">
        <f t="shared" si="1035"/>
        <v>0</v>
      </c>
      <c r="GS175" s="977">
        <f t="shared" si="1047"/>
        <v>0</v>
      </c>
      <c r="GT175" s="978">
        <f t="shared" si="1036"/>
        <v>0</v>
      </c>
      <c r="GU175" s="978">
        <f t="shared" si="1036"/>
        <v>0</v>
      </c>
      <c r="GV175" s="978">
        <f t="shared" si="1036"/>
        <v>0</v>
      </c>
      <c r="GW175" s="978">
        <f t="shared" si="1036"/>
        <v>0</v>
      </c>
      <c r="GX175" s="978">
        <f t="shared" si="1036"/>
        <v>0</v>
      </c>
      <c r="GY175" s="978">
        <f t="shared" si="1036"/>
        <v>0</v>
      </c>
      <c r="GZ175" s="978">
        <f t="shared" si="1036"/>
        <v>0</v>
      </c>
      <c r="HA175" s="978">
        <f t="shared" si="1036"/>
        <v>0</v>
      </c>
      <c r="HB175" s="978">
        <f t="shared" si="1036"/>
        <v>0</v>
      </c>
      <c r="HC175" s="978">
        <f t="shared" si="1036"/>
        <v>0</v>
      </c>
      <c r="HD175" s="979">
        <f t="shared" si="1036"/>
        <v>0</v>
      </c>
    </row>
    <row r="176" spans="2:212" ht="14.25">
      <c r="B176" s="1103"/>
      <c r="C176" s="31"/>
      <c r="D176" s="31"/>
      <c r="E176" s="31"/>
      <c r="F176" s="31"/>
      <c r="G176" s="31"/>
      <c r="H176" s="31"/>
      <c r="I176" s="31"/>
      <c r="N176" s="1899"/>
      <c r="O176" s="940" t="s">
        <v>166</v>
      </c>
      <c r="S176" s="595">
        <v>1</v>
      </c>
      <c r="T176" s="595">
        <v>1</v>
      </c>
      <c r="U176" s="595">
        <v>1</v>
      </c>
      <c r="AA176" s="1899"/>
      <c r="AB176" s="940" t="s">
        <v>166</v>
      </c>
      <c r="AC176" s="599">
        <f>P176/P162</f>
        <v>0</v>
      </c>
      <c r="AD176" s="599"/>
      <c r="AE176" s="599"/>
      <c r="AF176" s="599">
        <f>S176/S162</f>
        <v>0.33333333333333331</v>
      </c>
      <c r="AG176" s="599">
        <f>T176/T162</f>
        <v>0.5</v>
      </c>
      <c r="AH176" s="599">
        <f>U176/U162</f>
        <v>1</v>
      </c>
      <c r="AI176" s="599"/>
      <c r="AJ176" s="935">
        <f t="shared" si="963"/>
        <v>0.45833333333333331</v>
      </c>
      <c r="AK176" s="935">
        <f t="shared" si="964"/>
        <v>0.45833333333333331</v>
      </c>
      <c r="AL176" s="935">
        <f t="shared" si="965"/>
        <v>0.50416666666666665</v>
      </c>
      <c r="AM176" s="935">
        <f t="shared" si="966"/>
        <v>0.50416666666666665</v>
      </c>
      <c r="AN176" s="935">
        <f t="shared" si="967"/>
        <v>0.50416666666666665</v>
      </c>
      <c r="AO176" s="935">
        <f t="shared" si="968"/>
        <v>0.55458333333333332</v>
      </c>
      <c r="AP176" s="1036">
        <v>0.2</v>
      </c>
      <c r="AQ176" s="1036">
        <f t="shared" si="1037"/>
        <v>0.18000000000000002</v>
      </c>
      <c r="AR176" s="1036">
        <f t="shared" si="1037"/>
        <v>0.18000000000000002</v>
      </c>
      <c r="AS176" s="1036">
        <f t="shared" si="1037"/>
        <v>0.18000000000000002</v>
      </c>
      <c r="AT176" s="1036">
        <f t="shared" si="1037"/>
        <v>0.19800000000000004</v>
      </c>
      <c r="AU176" s="1036">
        <f t="shared" si="1037"/>
        <v>0.21780000000000005</v>
      </c>
      <c r="AV176" s="1036">
        <f t="shared" si="1037"/>
        <v>0.21780000000000005</v>
      </c>
      <c r="AW176" s="1036">
        <f t="shared" si="1037"/>
        <v>0.21780000000000005</v>
      </c>
      <c r="AX176" s="1036">
        <f t="shared" si="1037"/>
        <v>0.21780000000000005</v>
      </c>
      <c r="AY176" s="1036">
        <f t="shared" si="1037"/>
        <v>0.21780000000000005</v>
      </c>
      <c r="AZ176" s="1036">
        <f t="shared" si="1037"/>
        <v>0.21780000000000005</v>
      </c>
      <c r="BA176" s="1036">
        <f t="shared" si="1037"/>
        <v>0.21780000000000005</v>
      </c>
      <c r="BB176" s="1036">
        <v>0.2</v>
      </c>
      <c r="BC176" s="1036">
        <f t="shared" si="1038"/>
        <v>0.18000000000000002</v>
      </c>
      <c r="BD176" s="1036">
        <f t="shared" si="970"/>
        <v>0.18000000000000002</v>
      </c>
      <c r="BE176" s="1036">
        <f t="shared" si="971"/>
        <v>0.18000000000000002</v>
      </c>
      <c r="BF176" s="1036">
        <f t="shared" si="972"/>
        <v>0.19800000000000004</v>
      </c>
      <c r="BG176" s="1036">
        <f t="shared" si="973"/>
        <v>0.21780000000000005</v>
      </c>
      <c r="BH176" s="1036">
        <f t="shared" si="974"/>
        <v>0.21780000000000005</v>
      </c>
      <c r="BI176" s="1036">
        <f t="shared" si="975"/>
        <v>0.21780000000000005</v>
      </c>
      <c r="BJ176" s="1036">
        <f t="shared" si="976"/>
        <v>0.21780000000000005</v>
      </c>
      <c r="BK176" s="1036">
        <f t="shared" si="977"/>
        <v>0.21780000000000005</v>
      </c>
      <c r="BL176" s="1036">
        <f t="shared" si="978"/>
        <v>0.21780000000000005</v>
      </c>
      <c r="BM176" s="1036">
        <f t="shared" si="979"/>
        <v>0.21780000000000005</v>
      </c>
      <c r="BN176" s="1036">
        <v>0.2</v>
      </c>
      <c r="BO176" s="1036">
        <f t="shared" si="1039"/>
        <v>0.18000000000000002</v>
      </c>
      <c r="BP176" s="1036">
        <f t="shared" si="980"/>
        <v>0.18000000000000002</v>
      </c>
      <c r="BQ176" s="1036">
        <f t="shared" si="981"/>
        <v>0.18000000000000002</v>
      </c>
      <c r="BR176" s="1036">
        <f t="shared" si="982"/>
        <v>0.19800000000000004</v>
      </c>
      <c r="BS176" s="1036">
        <f t="shared" si="983"/>
        <v>0.21780000000000005</v>
      </c>
      <c r="BT176" s="1036">
        <f t="shared" si="984"/>
        <v>0.21780000000000005</v>
      </c>
      <c r="BU176" s="1036">
        <f t="shared" si="985"/>
        <v>0.21780000000000005</v>
      </c>
      <c r="BV176" s="1036">
        <f t="shared" si="986"/>
        <v>0.21780000000000005</v>
      </c>
      <c r="BW176" s="1036">
        <f t="shared" si="987"/>
        <v>0.21780000000000005</v>
      </c>
      <c r="BX176" s="1036">
        <f t="shared" si="988"/>
        <v>0.21780000000000005</v>
      </c>
      <c r="BY176" s="1036">
        <f t="shared" si="989"/>
        <v>0.21780000000000005</v>
      </c>
      <c r="BZ176" s="1036">
        <v>0.2</v>
      </c>
      <c r="CA176" s="1036">
        <f t="shared" si="1040"/>
        <v>0.18000000000000002</v>
      </c>
      <c r="CB176" s="1036">
        <f t="shared" si="990"/>
        <v>0.18000000000000002</v>
      </c>
      <c r="CC176" s="1036">
        <f t="shared" si="991"/>
        <v>0.18000000000000002</v>
      </c>
      <c r="CD176" s="1036">
        <f t="shared" si="992"/>
        <v>0.19800000000000004</v>
      </c>
      <c r="CE176" s="1036">
        <f t="shared" si="993"/>
        <v>0.21780000000000005</v>
      </c>
      <c r="CF176" s="1036">
        <f t="shared" si="994"/>
        <v>0.21780000000000005</v>
      </c>
      <c r="CG176" s="1036">
        <f t="shared" si="995"/>
        <v>0.21780000000000005</v>
      </c>
      <c r="CH176" s="1036">
        <f t="shared" si="996"/>
        <v>0.21780000000000005</v>
      </c>
      <c r="CI176" s="1036">
        <f t="shared" si="997"/>
        <v>0.21780000000000005</v>
      </c>
      <c r="CJ176" s="1036">
        <f t="shared" si="998"/>
        <v>0.21780000000000005</v>
      </c>
      <c r="CK176" s="1036">
        <f t="shared" si="999"/>
        <v>0.21780000000000005</v>
      </c>
      <c r="CL176" s="1036">
        <v>0.2</v>
      </c>
      <c r="CM176" s="1036">
        <f t="shared" si="1041"/>
        <v>0.18000000000000002</v>
      </c>
      <c r="CN176" s="1036">
        <f t="shared" si="1000"/>
        <v>0.18000000000000002</v>
      </c>
      <c r="CO176" s="1036">
        <f t="shared" si="1001"/>
        <v>0.18000000000000002</v>
      </c>
      <c r="CP176" s="1036">
        <f t="shared" si="1002"/>
        <v>0.19800000000000004</v>
      </c>
      <c r="CQ176" s="1036">
        <f t="shared" si="1003"/>
        <v>0.21780000000000005</v>
      </c>
      <c r="CR176" s="1036">
        <f t="shared" si="1004"/>
        <v>0.21780000000000005</v>
      </c>
      <c r="CS176" s="1036">
        <f t="shared" si="1005"/>
        <v>0.21780000000000005</v>
      </c>
      <c r="CT176" s="1036">
        <f t="shared" si="1006"/>
        <v>0.21780000000000005</v>
      </c>
      <c r="CU176" s="1036">
        <f t="shared" si="1007"/>
        <v>0.21780000000000005</v>
      </c>
      <c r="CV176" s="1036">
        <f t="shared" si="1008"/>
        <v>0.21780000000000005</v>
      </c>
      <c r="CW176" s="1036">
        <f t="shared" si="1009"/>
        <v>0.21780000000000005</v>
      </c>
      <c r="CX176" s="1036">
        <v>0.2</v>
      </c>
      <c r="CY176" s="1036">
        <f t="shared" si="1042"/>
        <v>0.18000000000000002</v>
      </c>
      <c r="CZ176" s="1036">
        <f t="shared" si="1010"/>
        <v>0.18000000000000002</v>
      </c>
      <c r="DA176" s="1036">
        <f t="shared" si="1011"/>
        <v>0.18000000000000002</v>
      </c>
      <c r="DB176" s="1036">
        <f t="shared" si="1012"/>
        <v>0.19800000000000004</v>
      </c>
      <c r="DC176" s="1036">
        <f t="shared" si="1013"/>
        <v>0.21780000000000005</v>
      </c>
      <c r="DD176" s="1036">
        <f t="shared" si="1014"/>
        <v>0.21780000000000005</v>
      </c>
      <c r="DE176" s="1036">
        <f t="shared" si="1015"/>
        <v>0.21780000000000005</v>
      </c>
      <c r="DF176" s="1036">
        <f t="shared" si="1016"/>
        <v>0.21780000000000005</v>
      </c>
      <c r="DG176" s="1036">
        <f t="shared" si="1017"/>
        <v>0.21780000000000005</v>
      </c>
      <c r="DH176" s="1036">
        <f t="shared" si="1018"/>
        <v>0.21780000000000005</v>
      </c>
      <c r="DI176" s="1036">
        <f t="shared" si="1019"/>
        <v>0.21780000000000005</v>
      </c>
      <c r="DK176" s="1899"/>
      <c r="DL176" s="940" t="s">
        <v>166</v>
      </c>
      <c r="DN176" s="977">
        <v>0</v>
      </c>
      <c r="DO176" s="978">
        <f>DO162*$AJ$176</f>
        <v>0.91666666666666663</v>
      </c>
      <c r="DP176" s="978">
        <f>DP162*$AJ$176</f>
        <v>0.91666666666666663</v>
      </c>
      <c r="DQ176" s="978">
        <f>DQ162*$AJ$176</f>
        <v>0</v>
      </c>
      <c r="DR176" s="979">
        <f>DR162*$AJ$176</f>
        <v>0.45833333333333331</v>
      </c>
      <c r="DT176" s="977">
        <v>0</v>
      </c>
      <c r="DU176" s="978">
        <f>DU162*$AH$176</f>
        <v>2</v>
      </c>
      <c r="DV176" s="978">
        <f>DV162*$AH$176</f>
        <v>2</v>
      </c>
      <c r="DW176" s="978">
        <f>DW162*$AH$176</f>
        <v>0</v>
      </c>
      <c r="DX176" s="979">
        <f>DX162*$AH$176</f>
        <v>1</v>
      </c>
      <c r="DZ176" s="977">
        <v>0</v>
      </c>
      <c r="EA176" s="978">
        <f>EA162*AL$176</f>
        <v>1.0083333333333333</v>
      </c>
      <c r="EB176" s="978">
        <f>EB162*AM$176</f>
        <v>1.0083333333333333</v>
      </c>
      <c r="EC176" s="978">
        <f>EC162*AN$176</f>
        <v>0</v>
      </c>
      <c r="ED176" s="979">
        <f>ED162*AO$176</f>
        <v>0.55458333333333332</v>
      </c>
      <c r="EF176" s="977">
        <f t="shared" si="1020"/>
        <v>0.88000000000000012</v>
      </c>
      <c r="EG176" s="978">
        <f t="shared" si="1021"/>
        <v>0.32400000000000007</v>
      </c>
      <c r="EH176" s="978">
        <f t="shared" si="1022"/>
        <v>0.25920000000000004</v>
      </c>
      <c r="EI176" s="978">
        <f t="shared" si="1023"/>
        <v>0.32400000000000007</v>
      </c>
      <c r="EJ176" s="978">
        <f t="shared" si="1024"/>
        <v>0.54885600000000023</v>
      </c>
      <c r="EK176" s="978">
        <f t="shared" si="1025"/>
        <v>0.75898944000000035</v>
      </c>
      <c r="EL176" s="978">
        <f t="shared" si="1026"/>
        <v>0.47436840000000019</v>
      </c>
      <c r="EM176" s="978">
        <f t="shared" si="1027"/>
        <v>0.37949472000000017</v>
      </c>
      <c r="EN176" s="978">
        <f t="shared" si="1028"/>
        <v>0.37949472000000017</v>
      </c>
      <c r="EO176" s="978">
        <f t="shared" si="1029"/>
        <v>0.28462104000000016</v>
      </c>
      <c r="EP176" s="978">
        <f t="shared" si="1030"/>
        <v>0.18974736000000009</v>
      </c>
      <c r="EQ176" s="979">
        <f t="shared" si="1031"/>
        <v>0.18974736000000009</v>
      </c>
      <c r="ES176" s="977">
        <f t="shared" si="1043"/>
        <v>0.16000000000000003</v>
      </c>
      <c r="ET176" s="978">
        <f t="shared" si="1032"/>
        <v>0.12960000000000002</v>
      </c>
      <c r="EU176" s="978">
        <f t="shared" si="1032"/>
        <v>0.12960000000000002</v>
      </c>
      <c r="EV176" s="978">
        <f t="shared" si="1032"/>
        <v>6.480000000000001E-2</v>
      </c>
      <c r="EW176" s="978">
        <f t="shared" si="1032"/>
        <v>0</v>
      </c>
      <c r="EX176" s="978">
        <f t="shared" si="1032"/>
        <v>9.4873680000000044E-2</v>
      </c>
      <c r="EY176" s="978">
        <f t="shared" si="1032"/>
        <v>0.18974736000000009</v>
      </c>
      <c r="EZ176" s="978">
        <f t="shared" si="1032"/>
        <v>0.18974736000000009</v>
      </c>
      <c r="FA176" s="978">
        <f t="shared" si="1032"/>
        <v>0.18974736000000009</v>
      </c>
      <c r="FB176" s="978">
        <f t="shared" si="1032"/>
        <v>0.18974736000000009</v>
      </c>
      <c r="FC176" s="978">
        <f t="shared" si="1032"/>
        <v>0.18974736000000009</v>
      </c>
      <c r="FD176" s="979">
        <f t="shared" si="1032"/>
        <v>0.18974736000000009</v>
      </c>
      <c r="FF176" s="977">
        <f t="shared" si="1044"/>
        <v>0.16000000000000003</v>
      </c>
      <c r="FG176" s="978">
        <f t="shared" si="1033"/>
        <v>0.12960000000000002</v>
      </c>
      <c r="FH176" s="978">
        <f t="shared" si="1033"/>
        <v>0.12960000000000002</v>
      </c>
      <c r="FI176" s="978">
        <f t="shared" si="1033"/>
        <v>6.480000000000001E-2</v>
      </c>
      <c r="FJ176" s="978">
        <f t="shared" si="1033"/>
        <v>0</v>
      </c>
      <c r="FK176" s="978">
        <f t="shared" si="1033"/>
        <v>9.4873680000000044E-2</v>
      </c>
      <c r="FL176" s="978">
        <f t="shared" si="1033"/>
        <v>0.18974736000000009</v>
      </c>
      <c r="FM176" s="978">
        <f t="shared" si="1033"/>
        <v>0.18974736000000009</v>
      </c>
      <c r="FN176" s="978">
        <f t="shared" si="1033"/>
        <v>0.18974736000000009</v>
      </c>
      <c r="FO176" s="978">
        <f t="shared" si="1033"/>
        <v>0.18974736000000009</v>
      </c>
      <c r="FP176" s="978">
        <f t="shared" si="1033"/>
        <v>0.18974736000000009</v>
      </c>
      <c r="FQ176" s="979">
        <f t="shared" si="1033"/>
        <v>0.18974736000000009</v>
      </c>
      <c r="FS176" s="977">
        <f t="shared" si="1045"/>
        <v>0.16000000000000003</v>
      </c>
      <c r="FT176" s="978">
        <f t="shared" si="1034"/>
        <v>0.12960000000000002</v>
      </c>
      <c r="FU176" s="978">
        <f t="shared" si="1034"/>
        <v>0.12960000000000002</v>
      </c>
      <c r="FV176" s="978">
        <f t="shared" si="1034"/>
        <v>6.480000000000001E-2</v>
      </c>
      <c r="FW176" s="978">
        <f t="shared" si="1034"/>
        <v>0</v>
      </c>
      <c r="FX176" s="978">
        <f t="shared" si="1034"/>
        <v>0</v>
      </c>
      <c r="FY176" s="978">
        <f t="shared" si="1034"/>
        <v>0</v>
      </c>
      <c r="FZ176" s="978">
        <f t="shared" si="1034"/>
        <v>0</v>
      </c>
      <c r="GA176" s="978">
        <f t="shared" si="1034"/>
        <v>0</v>
      </c>
      <c r="GB176" s="978">
        <f t="shared" si="1034"/>
        <v>0</v>
      </c>
      <c r="GC176" s="978">
        <f t="shared" si="1034"/>
        <v>0</v>
      </c>
      <c r="GD176" s="979">
        <f t="shared" si="1034"/>
        <v>0</v>
      </c>
      <c r="GF176" s="977">
        <f t="shared" si="1046"/>
        <v>0</v>
      </c>
      <c r="GG176" s="978">
        <f t="shared" si="1035"/>
        <v>0</v>
      </c>
      <c r="GH176" s="978">
        <f t="shared" si="1035"/>
        <v>0</v>
      </c>
      <c r="GI176" s="978">
        <f t="shared" si="1035"/>
        <v>0</v>
      </c>
      <c r="GJ176" s="978">
        <f t="shared" si="1035"/>
        <v>0</v>
      </c>
      <c r="GK176" s="978">
        <f t="shared" si="1035"/>
        <v>0</v>
      </c>
      <c r="GL176" s="978">
        <f t="shared" si="1035"/>
        <v>0</v>
      </c>
      <c r="GM176" s="978">
        <f t="shared" si="1035"/>
        <v>0</v>
      </c>
      <c r="GN176" s="978">
        <f t="shared" si="1035"/>
        <v>0</v>
      </c>
      <c r="GO176" s="978">
        <f t="shared" si="1035"/>
        <v>0</v>
      </c>
      <c r="GP176" s="978">
        <f t="shared" si="1035"/>
        <v>0</v>
      </c>
      <c r="GQ176" s="979">
        <f t="shared" si="1035"/>
        <v>0</v>
      </c>
      <c r="GS176" s="977">
        <f t="shared" si="1047"/>
        <v>0</v>
      </c>
      <c r="GT176" s="978">
        <f t="shared" si="1036"/>
        <v>0</v>
      </c>
      <c r="GU176" s="978">
        <f t="shared" si="1036"/>
        <v>0</v>
      </c>
      <c r="GV176" s="978">
        <f t="shared" si="1036"/>
        <v>0</v>
      </c>
      <c r="GW176" s="978">
        <f t="shared" si="1036"/>
        <v>0</v>
      </c>
      <c r="GX176" s="978">
        <f t="shared" si="1036"/>
        <v>0</v>
      </c>
      <c r="GY176" s="978">
        <f t="shared" si="1036"/>
        <v>0</v>
      </c>
      <c r="GZ176" s="978">
        <f t="shared" si="1036"/>
        <v>0</v>
      </c>
      <c r="HA176" s="978">
        <f t="shared" si="1036"/>
        <v>0</v>
      </c>
      <c r="HB176" s="978">
        <f t="shared" si="1036"/>
        <v>0</v>
      </c>
      <c r="HC176" s="978">
        <f t="shared" si="1036"/>
        <v>0</v>
      </c>
      <c r="HD176" s="979">
        <f t="shared" si="1036"/>
        <v>0</v>
      </c>
    </row>
    <row r="177" spans="2:212" ht="14.25">
      <c r="B177" s="1048"/>
      <c r="C177" s="31"/>
      <c r="D177" s="31"/>
      <c r="E177" s="31"/>
      <c r="F177" s="31"/>
      <c r="G177" s="31"/>
      <c r="H177" s="1072"/>
      <c r="I177" s="1072"/>
      <c r="N177" s="1899"/>
      <c r="O177" s="940" t="s">
        <v>1061</v>
      </c>
      <c r="S177" s="595">
        <v>1</v>
      </c>
      <c r="T177" s="595">
        <v>1</v>
      </c>
      <c r="AA177" s="1899"/>
      <c r="AB177" s="940" t="s">
        <v>1061</v>
      </c>
      <c r="DK177" s="1899"/>
      <c r="DL177" s="940" t="s">
        <v>1061</v>
      </c>
      <c r="DN177" s="1046">
        <v>0</v>
      </c>
      <c r="DO177" s="603">
        <v>0</v>
      </c>
      <c r="DP177" s="603">
        <v>1</v>
      </c>
      <c r="DQ177" s="603">
        <v>1</v>
      </c>
      <c r="DR177" s="930">
        <v>1</v>
      </c>
      <c r="DT177" s="1046">
        <v>0</v>
      </c>
      <c r="DU177" s="603">
        <v>0</v>
      </c>
      <c r="DV177" s="603">
        <v>1</v>
      </c>
      <c r="DW177" s="603">
        <v>1</v>
      </c>
      <c r="DX177" s="930">
        <v>1</v>
      </c>
      <c r="DZ177" s="1046">
        <v>0</v>
      </c>
      <c r="EA177" s="603">
        <v>0</v>
      </c>
      <c r="EB177" s="603">
        <v>1</v>
      </c>
      <c r="EC177" s="603">
        <v>1</v>
      </c>
      <c r="ED177" s="930">
        <v>1</v>
      </c>
      <c r="EF177" s="1046"/>
      <c r="EG177" s="603"/>
      <c r="EH177" s="603"/>
      <c r="EI177" s="603"/>
      <c r="EJ177" s="603"/>
      <c r="EK177" s="603"/>
      <c r="EL177" s="603"/>
      <c r="EM177" s="603"/>
      <c r="EN177" s="603"/>
      <c r="EO177" s="603"/>
      <c r="EP177" s="603"/>
      <c r="EQ177" s="930"/>
      <c r="ES177" s="1046"/>
      <c r="ET177" s="603"/>
      <c r="EU177" s="603"/>
      <c r="EV177" s="603"/>
      <c r="EW177" s="603"/>
      <c r="EX177" s="603"/>
      <c r="EY177" s="603"/>
      <c r="EZ177" s="603"/>
      <c r="FA177" s="603"/>
      <c r="FB177" s="603"/>
      <c r="FC177" s="603"/>
      <c r="FD177" s="930"/>
      <c r="FF177" s="1046"/>
      <c r="FG177" s="603"/>
      <c r="FH177" s="603"/>
      <c r="FI177" s="603"/>
      <c r="FJ177" s="603"/>
      <c r="FK177" s="603"/>
      <c r="FL177" s="603"/>
      <c r="FM177" s="603"/>
      <c r="FN177" s="603"/>
      <c r="FO177" s="603"/>
      <c r="FP177" s="603"/>
      <c r="FQ177" s="930"/>
      <c r="FS177" s="1046"/>
      <c r="FT177" s="603"/>
      <c r="FU177" s="603"/>
      <c r="FV177" s="603"/>
      <c r="FW177" s="603"/>
      <c r="FX177" s="603"/>
      <c r="FY177" s="603"/>
      <c r="FZ177" s="603"/>
      <c r="GA177" s="603"/>
      <c r="GB177" s="603"/>
      <c r="GC177" s="603"/>
      <c r="GD177" s="930"/>
      <c r="GF177" s="1046"/>
      <c r="GG177" s="603"/>
      <c r="GH177" s="603"/>
      <c r="GI177" s="603"/>
      <c r="GJ177" s="603"/>
      <c r="GK177" s="603"/>
      <c r="GL177" s="603"/>
      <c r="GM177" s="603"/>
      <c r="GN177" s="603"/>
      <c r="GO177" s="603"/>
      <c r="GP177" s="603"/>
      <c r="GQ177" s="930"/>
      <c r="GS177" s="1046"/>
      <c r="GT177" s="603"/>
      <c r="GU177" s="603"/>
      <c r="GV177" s="603"/>
      <c r="GW177" s="603"/>
      <c r="GX177" s="603"/>
      <c r="GY177" s="603"/>
      <c r="GZ177" s="603"/>
      <c r="HA177" s="603"/>
      <c r="HB177" s="603"/>
      <c r="HC177" s="603"/>
      <c r="HD177" s="930"/>
    </row>
    <row r="178" spans="2:212" ht="14.25">
      <c r="B178" s="1084"/>
      <c r="C178" s="31"/>
      <c r="D178" s="31"/>
      <c r="E178" s="31"/>
      <c r="F178" s="31"/>
      <c r="G178" s="31"/>
      <c r="H178" s="1072"/>
      <c r="I178" s="1072"/>
      <c r="O178" s="1107" t="s">
        <v>254</v>
      </c>
      <c r="P178" s="1107">
        <f>SUM(P165:P177)</f>
        <v>6</v>
      </c>
      <c r="Q178" s="1107">
        <f t="shared" ref="Q178:V178" si="1049">SUM(Q165:Q177)</f>
        <v>4</v>
      </c>
      <c r="R178" s="1107">
        <f t="shared" si="1049"/>
        <v>7</v>
      </c>
      <c r="S178" s="1107">
        <f t="shared" si="1049"/>
        <v>10</v>
      </c>
      <c r="T178" s="1107">
        <f t="shared" si="1049"/>
        <v>12</v>
      </c>
      <c r="U178" s="1107">
        <f t="shared" si="1049"/>
        <v>8</v>
      </c>
      <c r="V178" s="1107">
        <f t="shared" si="1049"/>
        <v>7</v>
      </c>
      <c r="DN178" s="928" t="s">
        <v>1035</v>
      </c>
      <c r="DT178" s="928" t="s">
        <v>1037</v>
      </c>
      <c r="DZ178" s="928" t="s">
        <v>1038</v>
      </c>
      <c r="EF178" s="1260">
        <f>SUM(EF165:EF177)</f>
        <v>14.280000000000001</v>
      </c>
      <c r="EG178" s="1260">
        <f t="shared" ref="EG178" si="1050">SUM(EG165:EG177)</f>
        <v>12.519</v>
      </c>
      <c r="EH178" s="1260">
        <f t="shared" ref="EH178" si="1051">SUM(EH165:EH177)</f>
        <v>12.769200000000001</v>
      </c>
      <c r="EI178" s="1260">
        <f t="shared" ref="EI178" si="1052">SUM(EI165:EI177)</f>
        <v>13.014000000000001</v>
      </c>
      <c r="EJ178" s="1260">
        <f t="shared" ref="EJ178" si="1053">SUM(EJ165:EJ177)</f>
        <v>15.151356000000002</v>
      </c>
      <c r="EK178" s="1260">
        <f t="shared" ref="EK178" si="1054">SUM(EK165:EK177)</f>
        <v>17.638489440000004</v>
      </c>
      <c r="EL178" s="1260">
        <f t="shared" ref="EL178" si="1055">SUM(EL165:EL177)</f>
        <v>16.700468400000002</v>
      </c>
      <c r="EM178" s="1260">
        <f>SUM(EM165:EM177)</f>
        <v>15.407694720000004</v>
      </c>
      <c r="EN178" s="1260">
        <f t="shared" ref="EN178" si="1056">SUM(EN165:EN177)</f>
        <v>13.991994720000005</v>
      </c>
      <c r="EO178" s="1260">
        <f t="shared" ref="EO178" si="1057">SUM(EO165:EO177)</f>
        <v>12.26362104</v>
      </c>
      <c r="EP178" s="1260">
        <f t="shared" ref="EP178" si="1058">SUM(EP165:EP177)</f>
        <v>11.243097360000002</v>
      </c>
      <c r="EQ178" s="1260">
        <f t="shared" ref="EQ178" si="1059">SUM(EQ165:EQ177)</f>
        <v>10.480797360000004</v>
      </c>
      <c r="ES178" s="1260">
        <f>SUM(ES165:ES177)</f>
        <v>8.6100000000000012</v>
      </c>
      <c r="ET178" s="1260">
        <f t="shared" ref="ET178:EY178" si="1060">SUM(ET165:ET177)</f>
        <v>6.6546000000000003</v>
      </c>
      <c r="EU178" s="1260">
        <f t="shared" si="1060"/>
        <v>5.6196000000000002</v>
      </c>
      <c r="EV178" s="1260">
        <f t="shared" si="1060"/>
        <v>4.6097999999999999</v>
      </c>
      <c r="EW178" s="1260">
        <f t="shared" si="1060"/>
        <v>3.9105000000000008</v>
      </c>
      <c r="EX178" s="1260">
        <f t="shared" si="1060"/>
        <v>3.9063736800000011</v>
      </c>
      <c r="EY178" s="1260">
        <f t="shared" si="1060"/>
        <v>4.0012473600000007</v>
      </c>
      <c r="EZ178" s="1260">
        <f>SUM(EZ165:EZ177)</f>
        <v>4.0012473600000007</v>
      </c>
      <c r="FA178" s="1260">
        <f t="shared" ref="FA178:FD178" si="1061">SUM(FA165:FA177)</f>
        <v>4.0012473600000007</v>
      </c>
      <c r="FB178" s="1260">
        <f t="shared" si="1061"/>
        <v>4.0012473600000007</v>
      </c>
      <c r="FC178" s="1260">
        <f t="shared" si="1061"/>
        <v>4.0556973600000008</v>
      </c>
      <c r="FD178" s="1260">
        <f t="shared" si="1061"/>
        <v>4.2190473600000011</v>
      </c>
      <c r="FF178" s="1260">
        <f>SUM(FF165:FF177)</f>
        <v>4.16</v>
      </c>
      <c r="FG178" s="1260">
        <f t="shared" ref="FG178:FL178" si="1062">SUM(FG165:FG177)</f>
        <v>4.0446000000000009</v>
      </c>
      <c r="FH178" s="1260">
        <f t="shared" si="1062"/>
        <v>4.1796000000000006</v>
      </c>
      <c r="FI178" s="1260">
        <f t="shared" si="1062"/>
        <v>3.7548000000000004</v>
      </c>
      <c r="FJ178" s="1260">
        <f t="shared" si="1062"/>
        <v>3.4155000000000002</v>
      </c>
      <c r="FK178" s="1260">
        <f t="shared" si="1062"/>
        <v>3.7430236800000012</v>
      </c>
      <c r="FL178" s="1260">
        <f t="shared" si="1062"/>
        <v>4.0012473600000007</v>
      </c>
      <c r="FM178" s="1260">
        <f>SUM(FM165:FM177)</f>
        <v>4.0012473600000007</v>
      </c>
      <c r="FN178" s="1260">
        <f t="shared" ref="FN178:FQ178" si="1063">SUM(FN165:FN177)</f>
        <v>4.0012473600000007</v>
      </c>
      <c r="FO178" s="1260">
        <f t="shared" si="1063"/>
        <v>4.0012473600000007</v>
      </c>
      <c r="FP178" s="1260">
        <f t="shared" si="1063"/>
        <v>4.0556973600000008</v>
      </c>
      <c r="FQ178" s="1260">
        <f t="shared" si="1063"/>
        <v>4.2190473600000011</v>
      </c>
      <c r="FS178" s="1260">
        <f>SUM(FS165:FS177)</f>
        <v>4.16</v>
      </c>
      <c r="FT178" s="1260">
        <f t="shared" ref="FT178:FY178" si="1064">SUM(FT165:FT177)</f>
        <v>4.0446000000000009</v>
      </c>
      <c r="FU178" s="1260">
        <f t="shared" si="1064"/>
        <v>4.1796000000000006</v>
      </c>
      <c r="FV178" s="1260">
        <f t="shared" si="1064"/>
        <v>3.7548000000000004</v>
      </c>
      <c r="FW178" s="1260">
        <f t="shared" si="1064"/>
        <v>3.4155000000000002</v>
      </c>
      <c r="FX178" s="1260">
        <f t="shared" si="1064"/>
        <v>3.2125500000000007</v>
      </c>
      <c r="FY178" s="1260">
        <f t="shared" si="1064"/>
        <v>2.6680500000000005</v>
      </c>
      <c r="FZ178" s="1260">
        <f>SUM(FZ165:FZ177)</f>
        <v>2.1235500000000003</v>
      </c>
      <c r="GA178" s="1260">
        <f t="shared" ref="GA178:GD178" si="1065">SUM(GA165:GA177)</f>
        <v>1.5790500000000003</v>
      </c>
      <c r="GB178" s="1260">
        <f t="shared" si="1065"/>
        <v>1.0345500000000001</v>
      </c>
      <c r="GC178" s="1260">
        <f t="shared" si="1065"/>
        <v>0.5445000000000001</v>
      </c>
      <c r="GD178" s="1260">
        <f t="shared" si="1065"/>
        <v>0.16335000000000002</v>
      </c>
      <c r="GF178" s="1260">
        <f>SUM(GF165:GF177)</f>
        <v>0</v>
      </c>
      <c r="GG178" s="1260">
        <f t="shared" ref="GG178:GL178" si="1066">SUM(GG165:GG177)</f>
        <v>0</v>
      </c>
      <c r="GH178" s="1260">
        <f t="shared" si="1066"/>
        <v>0</v>
      </c>
      <c r="GI178" s="1260">
        <f t="shared" si="1066"/>
        <v>0</v>
      </c>
      <c r="GJ178" s="1260">
        <f t="shared" si="1066"/>
        <v>0</v>
      </c>
      <c r="GK178" s="1260">
        <f t="shared" si="1066"/>
        <v>0</v>
      </c>
      <c r="GL178" s="1260">
        <f t="shared" si="1066"/>
        <v>0</v>
      </c>
      <c r="GM178" s="1260">
        <f>SUM(GM165:GM177)</f>
        <v>0</v>
      </c>
      <c r="GN178" s="1260">
        <f t="shared" ref="GN178:GQ178" si="1067">SUM(GN165:GN177)</f>
        <v>0</v>
      </c>
      <c r="GO178" s="1260">
        <f t="shared" si="1067"/>
        <v>0</v>
      </c>
      <c r="GP178" s="1260">
        <f t="shared" si="1067"/>
        <v>0</v>
      </c>
      <c r="GQ178" s="1260">
        <f t="shared" si="1067"/>
        <v>0</v>
      </c>
      <c r="GS178" s="1260">
        <f>SUM(GS165:GS177)</f>
        <v>0</v>
      </c>
      <c r="GT178" s="1260">
        <f t="shared" ref="GT178:GY178" si="1068">SUM(GT165:GT177)</f>
        <v>0</v>
      </c>
      <c r="GU178" s="1260">
        <f t="shared" si="1068"/>
        <v>0</v>
      </c>
      <c r="GV178" s="1260">
        <f t="shared" si="1068"/>
        <v>0</v>
      </c>
      <c r="GW178" s="1260">
        <f t="shared" si="1068"/>
        <v>0</v>
      </c>
      <c r="GX178" s="1260">
        <f t="shared" si="1068"/>
        <v>0</v>
      </c>
      <c r="GY178" s="1260">
        <f t="shared" si="1068"/>
        <v>0</v>
      </c>
      <c r="GZ178" s="1260">
        <f>SUM(GZ165:GZ177)</f>
        <v>0</v>
      </c>
      <c r="HA178" s="1260">
        <f t="shared" ref="HA178:HD178" si="1069">SUM(HA165:HA177)</f>
        <v>0</v>
      </c>
      <c r="HB178" s="1260">
        <f t="shared" si="1069"/>
        <v>0</v>
      </c>
      <c r="HC178" s="1260">
        <f t="shared" si="1069"/>
        <v>0</v>
      </c>
      <c r="HD178" s="1260">
        <f t="shared" si="1069"/>
        <v>0</v>
      </c>
    </row>
    <row r="179" spans="2:212" ht="14.25">
      <c r="B179" s="1050"/>
      <c r="C179" s="31"/>
      <c r="D179" s="31"/>
      <c r="E179" s="31"/>
      <c r="F179" s="31"/>
      <c r="G179" s="31"/>
      <c r="H179" s="1072"/>
      <c r="I179" s="1072"/>
      <c r="P179" s="956">
        <f>P178/P146</f>
        <v>0.35294117647058826</v>
      </c>
      <c r="Q179" s="956">
        <f t="shared" ref="Q179:V179" si="1070">Q178/Q146</f>
        <v>0.25</v>
      </c>
      <c r="R179" s="956">
        <f t="shared" si="1070"/>
        <v>0.5</v>
      </c>
      <c r="S179" s="956">
        <f t="shared" si="1070"/>
        <v>0.625</v>
      </c>
      <c r="T179" s="956">
        <f t="shared" si="1070"/>
        <v>0.75</v>
      </c>
      <c r="U179" s="956">
        <f t="shared" si="1070"/>
        <v>0.47058823529411764</v>
      </c>
      <c r="V179" s="956">
        <f t="shared" si="1070"/>
        <v>0.3888888888888889</v>
      </c>
      <c r="DN179" s="928" t="s">
        <v>1065</v>
      </c>
      <c r="DT179" s="928" t="s">
        <v>1065</v>
      </c>
      <c r="DZ179" s="928" t="s">
        <v>1065</v>
      </c>
      <c r="EF179" s="956">
        <f>EF178/EF146</f>
        <v>0.46819672131147544</v>
      </c>
      <c r="EG179" s="956">
        <f t="shared" ref="EG179" si="1071">EG178/EG146</f>
        <v>0.36820588235294116</v>
      </c>
      <c r="EH179" s="956">
        <f t="shared" ref="EH179" si="1072">EH178/EH146</f>
        <v>0.33603157894736846</v>
      </c>
      <c r="EI179" s="956">
        <f t="shared" ref="EI179" si="1073">EI178/EI146</f>
        <v>0.33802597402597406</v>
      </c>
      <c r="EJ179" s="956">
        <f t="shared" ref="EJ179" si="1074">EJ178/EJ146</f>
        <v>0.40403616000000003</v>
      </c>
      <c r="EK179" s="956">
        <f t="shared" ref="EK179" si="1075">EK178/EK146</f>
        <v>0.48324628602739739</v>
      </c>
      <c r="EL179" s="956">
        <f t="shared" ref="EL179" si="1076">EL178/EL146</f>
        <v>0.46390190000000003</v>
      </c>
      <c r="EM179" s="956">
        <f>EM178/EM146</f>
        <v>0.453167491764706</v>
      </c>
      <c r="EN179" s="956">
        <f t="shared" ref="EN179" si="1077">EN178/EN146</f>
        <v>0.46639982400000013</v>
      </c>
      <c r="EO179" s="956">
        <f t="shared" ref="EO179" si="1078">EO178/EO146</f>
        <v>0.48092631529411767</v>
      </c>
      <c r="EP179" s="956">
        <f t="shared" ref="EP179" si="1079">EP178/EP146</f>
        <v>0.46846239000000006</v>
      </c>
      <c r="EQ179" s="956">
        <f t="shared" ref="EQ179" si="1080">EQ178/EQ146</f>
        <v>0.4556868417391306</v>
      </c>
      <c r="ES179" s="956">
        <f>ES178/ES146</f>
        <v>0.41000000000000003</v>
      </c>
      <c r="ET179" s="956">
        <f t="shared" ref="ET179:EY179" si="1081">ET178/ET146</f>
        <v>0.38026285714285718</v>
      </c>
      <c r="EU179" s="956">
        <f t="shared" si="1081"/>
        <v>0.40140000000000003</v>
      </c>
      <c r="EV179" s="956">
        <f t="shared" si="1081"/>
        <v>0.368784</v>
      </c>
      <c r="EW179" s="956">
        <f t="shared" si="1081"/>
        <v>0.34004347826086961</v>
      </c>
      <c r="EX179" s="956">
        <f t="shared" si="1081"/>
        <v>0.37203558857142865</v>
      </c>
      <c r="EY179" s="956">
        <f t="shared" si="1081"/>
        <v>0.40012473600000009</v>
      </c>
      <c r="EZ179" s="956">
        <f>EZ178/EZ146</f>
        <v>0.40012473600000009</v>
      </c>
      <c r="FA179" s="956">
        <f t="shared" ref="FA179:FD179" si="1082">FA178/FA146</f>
        <v>0.40012473600000009</v>
      </c>
      <c r="FB179" s="956">
        <f t="shared" si="1082"/>
        <v>0.40012473600000009</v>
      </c>
      <c r="FC179" s="956">
        <f t="shared" si="1082"/>
        <v>0.40556973600000007</v>
      </c>
      <c r="FD179" s="956">
        <f t="shared" si="1082"/>
        <v>0.42190473600000011</v>
      </c>
      <c r="FF179" s="956">
        <f>FF178/FF146</f>
        <v>0.41600000000000004</v>
      </c>
      <c r="FG179" s="956">
        <f t="shared" ref="FG179:FL179" si="1083">FG178/FG146</f>
        <v>0.4044600000000001</v>
      </c>
      <c r="FH179" s="956">
        <f t="shared" si="1083"/>
        <v>0.41796000000000005</v>
      </c>
      <c r="FI179" s="956">
        <f t="shared" si="1083"/>
        <v>0.37548000000000004</v>
      </c>
      <c r="FJ179" s="956">
        <f t="shared" si="1083"/>
        <v>0.34155000000000002</v>
      </c>
      <c r="FK179" s="956">
        <f t="shared" si="1083"/>
        <v>0.37430236800000011</v>
      </c>
      <c r="FL179" s="956">
        <f t="shared" si="1083"/>
        <v>0.40012473600000009</v>
      </c>
      <c r="FM179" s="956">
        <f>FM178/FM146</f>
        <v>0.40012473600000009</v>
      </c>
      <c r="FN179" s="956">
        <f t="shared" ref="FN179:FQ179" si="1084">FN178/FN146</f>
        <v>0.40012473600000009</v>
      </c>
      <c r="FO179" s="956">
        <f t="shared" si="1084"/>
        <v>0.40012473600000009</v>
      </c>
      <c r="FP179" s="956">
        <f t="shared" si="1084"/>
        <v>0.40556973600000007</v>
      </c>
      <c r="FQ179" s="956">
        <f t="shared" si="1084"/>
        <v>0.42190473600000011</v>
      </c>
      <c r="FS179" s="956">
        <f>FS178/FS146</f>
        <v>0.41600000000000004</v>
      </c>
      <c r="FT179" s="956">
        <f t="shared" ref="FT179:FY179" si="1085">FT178/FT146</f>
        <v>0.4044600000000001</v>
      </c>
      <c r="FU179" s="956">
        <f t="shared" si="1085"/>
        <v>0.43995789473684216</v>
      </c>
      <c r="FV179" s="956">
        <f t="shared" si="1085"/>
        <v>0.4417411764705883</v>
      </c>
      <c r="FW179" s="956">
        <f t="shared" si="1085"/>
        <v>0.45540000000000003</v>
      </c>
      <c r="FX179" s="956">
        <f t="shared" si="1085"/>
        <v>0.49423846153846163</v>
      </c>
      <c r="FY179" s="956">
        <f t="shared" si="1085"/>
        <v>0.48510000000000009</v>
      </c>
      <c r="FZ179" s="956">
        <f>FZ178/FZ146</f>
        <v>0.47190000000000004</v>
      </c>
      <c r="GA179" s="956">
        <f t="shared" ref="GA179:GD179" si="1086">GA178/GA146</f>
        <v>0.45115714285714292</v>
      </c>
      <c r="GB179" s="956">
        <f t="shared" si="1086"/>
        <v>0.41382000000000002</v>
      </c>
      <c r="GC179" s="956">
        <f t="shared" si="1086"/>
        <v>0.36300000000000004</v>
      </c>
      <c r="GD179" s="956">
        <f t="shared" si="1086"/>
        <v>0.32670000000000005</v>
      </c>
      <c r="GF179" s="956" t="e">
        <f>GF178/GF146</f>
        <v>#DIV/0!</v>
      </c>
      <c r="GG179" s="956" t="e">
        <f t="shared" ref="GG179:GL179" si="1087">GG178/GG146</f>
        <v>#DIV/0!</v>
      </c>
      <c r="GH179" s="956" t="e">
        <f t="shared" si="1087"/>
        <v>#DIV/0!</v>
      </c>
      <c r="GI179" s="956" t="e">
        <f t="shared" si="1087"/>
        <v>#DIV/0!</v>
      </c>
      <c r="GJ179" s="956" t="e">
        <f t="shared" si="1087"/>
        <v>#DIV/0!</v>
      </c>
      <c r="GK179" s="956" t="e">
        <f t="shared" si="1087"/>
        <v>#DIV/0!</v>
      </c>
      <c r="GL179" s="956" t="e">
        <f t="shared" si="1087"/>
        <v>#DIV/0!</v>
      </c>
      <c r="GM179" s="956" t="e">
        <f>GM178/GM146</f>
        <v>#DIV/0!</v>
      </c>
      <c r="GN179" s="956" t="e">
        <f t="shared" ref="GN179:GQ179" si="1088">GN178/GN146</f>
        <v>#DIV/0!</v>
      </c>
      <c r="GO179" s="956" t="e">
        <f t="shared" si="1088"/>
        <v>#DIV/0!</v>
      </c>
      <c r="GP179" s="956" t="e">
        <f t="shared" si="1088"/>
        <v>#DIV/0!</v>
      </c>
      <c r="GQ179" s="956" t="e">
        <f t="shared" si="1088"/>
        <v>#DIV/0!</v>
      </c>
      <c r="GS179" s="956" t="e">
        <f>GS178/GS146</f>
        <v>#DIV/0!</v>
      </c>
      <c r="GT179" s="956" t="e">
        <f t="shared" ref="GT179:GY179" si="1089">GT178/GT146</f>
        <v>#DIV/0!</v>
      </c>
      <c r="GU179" s="956" t="e">
        <f t="shared" si="1089"/>
        <v>#DIV/0!</v>
      </c>
      <c r="GV179" s="956" t="e">
        <f t="shared" si="1089"/>
        <v>#DIV/0!</v>
      </c>
      <c r="GW179" s="956" t="e">
        <f t="shared" si="1089"/>
        <v>#DIV/0!</v>
      </c>
      <c r="GX179" s="956" t="e">
        <f t="shared" si="1089"/>
        <v>#DIV/0!</v>
      </c>
      <c r="GY179" s="956" t="e">
        <f t="shared" si="1089"/>
        <v>#DIV/0!</v>
      </c>
      <c r="GZ179" s="956" t="e">
        <f>GZ178/GZ146</f>
        <v>#DIV/0!</v>
      </c>
      <c r="HA179" s="956" t="e">
        <f t="shared" ref="HA179:HD179" si="1090">HA178/HA146</f>
        <v>#DIV/0!</v>
      </c>
      <c r="HB179" s="956" t="e">
        <f t="shared" si="1090"/>
        <v>#DIV/0!</v>
      </c>
      <c r="HC179" s="956" t="e">
        <f t="shared" si="1090"/>
        <v>#DIV/0!</v>
      </c>
      <c r="HD179" s="956" t="e">
        <f t="shared" si="1090"/>
        <v>#DIV/0!</v>
      </c>
    </row>
    <row r="180" spans="2:212">
      <c r="EF180" s="928" t="s">
        <v>1038</v>
      </c>
      <c r="ES180" s="928" t="s">
        <v>1038</v>
      </c>
      <c r="FF180" s="928" t="s">
        <v>1038</v>
      </c>
      <c r="FS180" s="928" t="s">
        <v>1038</v>
      </c>
      <c r="GF180" s="928" t="s">
        <v>1038</v>
      </c>
      <c r="GS180" s="928" t="s">
        <v>1038</v>
      </c>
    </row>
    <row r="181" spans="2:212">
      <c r="EF181" s="928" t="s">
        <v>1065</v>
      </c>
      <c r="ES181" s="928" t="s">
        <v>1065</v>
      </c>
      <c r="FF181" s="928" t="s">
        <v>1065</v>
      </c>
      <c r="FS181" s="928" t="s">
        <v>1065</v>
      </c>
      <c r="GF181" s="928" t="s">
        <v>1065</v>
      </c>
      <c r="GS181" s="928" t="s">
        <v>1065</v>
      </c>
    </row>
    <row r="183" spans="2:212">
      <c r="ER183" s="595" t="s">
        <v>628</v>
      </c>
      <c r="ES183" s="934">
        <f>ES13</f>
        <v>515.25100000000009</v>
      </c>
      <c r="ET183" s="934">
        <f t="shared" ref="ET183:FD183" si="1091">ET13</f>
        <v>426.02175000000011</v>
      </c>
      <c r="EU183" s="934">
        <f t="shared" si="1091"/>
        <v>443.90115000000009</v>
      </c>
      <c r="EV183" s="934">
        <f t="shared" si="1091"/>
        <v>491.45580000000012</v>
      </c>
      <c r="EW183" s="934">
        <f t="shared" si="1091"/>
        <v>556.21764000000007</v>
      </c>
      <c r="EX183" s="934">
        <f t="shared" si="1091"/>
        <v>616.52918250000016</v>
      </c>
      <c r="EY183" s="934">
        <f t="shared" si="1091"/>
        <v>623.00383200000022</v>
      </c>
      <c r="EZ183" s="934">
        <f t="shared" si="1091"/>
        <v>691.50394665000033</v>
      </c>
      <c r="FA183" s="934">
        <f t="shared" si="1091"/>
        <v>784.5124364550004</v>
      </c>
      <c r="FB183" s="934">
        <f t="shared" si="1091"/>
        <v>827.32220802000029</v>
      </c>
      <c r="FC183" s="934">
        <f t="shared" si="1091"/>
        <v>945.90462299850049</v>
      </c>
      <c r="FD183" s="934">
        <f t="shared" si="1091"/>
        <v>1047.9226205250006</v>
      </c>
      <c r="FF183" s="934">
        <f>FF13</f>
        <v>605.7700000000001</v>
      </c>
      <c r="FG183" s="934">
        <f t="shared" ref="FG183:FQ183" si="1092">FG13</f>
        <v>472.32900000000006</v>
      </c>
      <c r="FH183" s="934">
        <f t="shared" si="1092"/>
        <v>471.09150000000011</v>
      </c>
      <c r="FI183" s="934">
        <f t="shared" si="1092"/>
        <v>487.37700000000007</v>
      </c>
      <c r="FJ183" s="934">
        <f t="shared" si="1092"/>
        <v>513.44172000000015</v>
      </c>
      <c r="FK183" s="934">
        <f t="shared" si="1092"/>
        <v>548.44054650000021</v>
      </c>
      <c r="FL183" s="934">
        <f t="shared" si="1092"/>
        <v>532.05926400000021</v>
      </c>
      <c r="FM183" s="934">
        <f t="shared" si="1092"/>
        <v>561.21075945000018</v>
      </c>
      <c r="FN183" s="934">
        <f t="shared" si="1092"/>
        <v>612.5486206950003</v>
      </c>
      <c r="FO183" s="934">
        <f t="shared" si="1092"/>
        <v>631.38434040000027</v>
      </c>
      <c r="FP183" s="934">
        <f t="shared" si="1092"/>
        <v>707.06276897850034</v>
      </c>
      <c r="FQ183" s="934">
        <f t="shared" si="1092"/>
        <v>770.53443364260045</v>
      </c>
      <c r="FS183" s="934">
        <f>FS13</f>
        <v>450.38400000000001</v>
      </c>
      <c r="FT183" s="934">
        <f t="shared" ref="FT183:GD183" si="1093">FT13</f>
        <v>363.2706</v>
      </c>
      <c r="FU183" s="934">
        <f t="shared" si="1093"/>
        <v>333.81810000000002</v>
      </c>
      <c r="FV183" s="934">
        <f t="shared" si="1093"/>
        <v>309.41460000000001</v>
      </c>
      <c r="FW183" s="934">
        <f t="shared" si="1093"/>
        <v>315.73377000000005</v>
      </c>
      <c r="FX183" s="934">
        <f t="shared" si="1093"/>
        <v>323.78638050000006</v>
      </c>
      <c r="FY183" s="934">
        <f t="shared" si="1093"/>
        <v>299.65468500000009</v>
      </c>
      <c r="FZ183" s="934">
        <f t="shared" si="1093"/>
        <v>302.51527020000009</v>
      </c>
      <c r="GA183" s="934">
        <f t="shared" si="1093"/>
        <v>312.43813474500013</v>
      </c>
      <c r="GB183" s="934">
        <f t="shared" si="1093"/>
        <v>305.66191392000019</v>
      </c>
      <c r="GC183" s="934">
        <f t="shared" si="1093"/>
        <v>336.2281053120002</v>
      </c>
      <c r="GD183" s="934">
        <f t="shared" si="1093"/>
        <v>369.85091584320026</v>
      </c>
      <c r="GF183" s="934">
        <f>GF13</f>
        <v>231.96800000000005</v>
      </c>
      <c r="GG183" s="934">
        <f t="shared" ref="GG183:GQ183" si="1094">GG13</f>
        <v>208.77120000000002</v>
      </c>
      <c r="GH183" s="934">
        <f t="shared" si="1094"/>
        <v>208.77120000000002</v>
      </c>
      <c r="GI183" s="934">
        <f t="shared" si="1094"/>
        <v>208.77120000000002</v>
      </c>
      <c r="GJ183" s="934">
        <f t="shared" si="1094"/>
        <v>229.6483200000001</v>
      </c>
      <c r="GK183" s="934">
        <f t="shared" si="1094"/>
        <v>252.61315200000004</v>
      </c>
      <c r="GL183" s="934">
        <f t="shared" si="1094"/>
        <v>252.61315200000004</v>
      </c>
      <c r="GM183" s="934">
        <f t="shared" si="1094"/>
        <v>277.87446720000008</v>
      </c>
      <c r="GN183" s="934">
        <f t="shared" si="1094"/>
        <v>305.66191392000019</v>
      </c>
      <c r="GO183" s="934">
        <f t="shared" si="1094"/>
        <v>305.66191392000019</v>
      </c>
      <c r="GP183" s="934">
        <f t="shared" si="1094"/>
        <v>336.2281053120002</v>
      </c>
      <c r="GQ183" s="934">
        <f t="shared" si="1094"/>
        <v>369.85091584320026</v>
      </c>
      <c r="GS183" s="934">
        <f>GS13</f>
        <v>231.96800000000005</v>
      </c>
      <c r="GT183" s="934">
        <f t="shared" ref="GT183:HD183" si="1095">GT13</f>
        <v>208.77120000000002</v>
      </c>
      <c r="GU183" s="934">
        <f t="shared" si="1095"/>
        <v>208.77120000000002</v>
      </c>
      <c r="GV183" s="934">
        <f t="shared" si="1095"/>
        <v>208.77120000000002</v>
      </c>
      <c r="GW183" s="934">
        <f t="shared" si="1095"/>
        <v>229.6483200000001</v>
      </c>
      <c r="GX183" s="934">
        <f t="shared" si="1095"/>
        <v>252.61315200000004</v>
      </c>
      <c r="GY183" s="934">
        <f t="shared" si="1095"/>
        <v>252.61315200000004</v>
      </c>
      <c r="GZ183" s="934">
        <f t="shared" si="1095"/>
        <v>277.87446720000008</v>
      </c>
      <c r="HA183" s="934">
        <f t="shared" si="1095"/>
        <v>305.66191392000019</v>
      </c>
      <c r="HB183" s="934">
        <f t="shared" si="1095"/>
        <v>305.66191392000019</v>
      </c>
      <c r="HC183" s="934">
        <f t="shared" si="1095"/>
        <v>336.2281053120002</v>
      </c>
      <c r="HD183" s="934">
        <f t="shared" si="1095"/>
        <v>369.85091584320026</v>
      </c>
    </row>
    <row r="184" spans="2:212">
      <c r="ER184" s="595" t="s">
        <v>913</v>
      </c>
      <c r="ES184" s="934">
        <f>ES56</f>
        <v>87.284999999999997</v>
      </c>
      <c r="ET184" s="934">
        <f t="shared" ref="ET184:FD184" si="1096">ET56</f>
        <v>67.96350000000001</v>
      </c>
      <c r="EU184" s="934">
        <f t="shared" si="1096"/>
        <v>69.993000000000009</v>
      </c>
      <c r="EV184" s="934">
        <f t="shared" si="1096"/>
        <v>80.858250000000012</v>
      </c>
      <c r="EW184" s="934">
        <f t="shared" si="1096"/>
        <v>92.565000000000012</v>
      </c>
      <c r="EX184" s="934">
        <f t="shared" si="1096"/>
        <v>103.76808750000002</v>
      </c>
      <c r="EY184" s="934">
        <f t="shared" si="1096"/>
        <v>103.01940000000002</v>
      </c>
      <c r="EZ184" s="934">
        <f t="shared" si="1096"/>
        <v>111.87188100000003</v>
      </c>
      <c r="FA184" s="934">
        <f t="shared" si="1096"/>
        <v>125.30573055000006</v>
      </c>
      <c r="FB184" s="934">
        <f t="shared" si="1096"/>
        <v>132.40807965000008</v>
      </c>
      <c r="FC184" s="934">
        <f t="shared" si="1096"/>
        <v>156.8097219150001</v>
      </c>
      <c r="FD184" s="934">
        <f t="shared" si="1096"/>
        <v>178.6291529715001</v>
      </c>
      <c r="FF184" s="934">
        <f>FF56</f>
        <v>102.13500000000002</v>
      </c>
      <c r="FG184" s="934">
        <f t="shared" ref="FG184:FQ184" si="1097">FG56</f>
        <v>77.814000000000021</v>
      </c>
      <c r="FH184" s="934">
        <f t="shared" si="1097"/>
        <v>77.814000000000021</v>
      </c>
      <c r="FI184" s="934">
        <f t="shared" si="1097"/>
        <v>81.303750000000022</v>
      </c>
      <c r="FJ184" s="934">
        <f t="shared" si="1097"/>
        <v>86.902200000000022</v>
      </c>
      <c r="FK184" s="934">
        <f t="shared" si="1097"/>
        <v>94.42446750000002</v>
      </c>
      <c r="FL184" s="934">
        <f t="shared" si="1097"/>
        <v>90.860715000000042</v>
      </c>
      <c r="FM184" s="934">
        <f t="shared" si="1097"/>
        <v>93.687759000000042</v>
      </c>
      <c r="FN184" s="934">
        <f t="shared" si="1097"/>
        <v>98.635684950000041</v>
      </c>
      <c r="FO184" s="934">
        <f t="shared" si="1097"/>
        <v>100.37503575000004</v>
      </c>
      <c r="FP184" s="934">
        <f t="shared" si="1097"/>
        <v>117.10903990500005</v>
      </c>
      <c r="FQ184" s="934">
        <f t="shared" si="1097"/>
        <v>130.04763566850008</v>
      </c>
      <c r="FS184" s="934">
        <f>FS56</f>
        <v>74.084999999999994</v>
      </c>
      <c r="FT184" s="934">
        <f t="shared" ref="FT184:GD184" si="1098">FT56</f>
        <v>58.212000000000003</v>
      </c>
      <c r="FU184" s="934">
        <f t="shared" si="1098"/>
        <v>52.866000000000007</v>
      </c>
      <c r="FV184" s="934">
        <f t="shared" si="1098"/>
        <v>48.633750000000013</v>
      </c>
      <c r="FW184" s="934">
        <f t="shared" si="1098"/>
        <v>49.821750000000016</v>
      </c>
      <c r="FX184" s="934">
        <f t="shared" si="1098"/>
        <v>51.569595000000014</v>
      </c>
      <c r="FY184" s="934">
        <f t="shared" si="1098"/>
        <v>47.436840000000011</v>
      </c>
      <c r="FZ184" s="934">
        <f t="shared" si="1098"/>
        <v>46.64622600000002</v>
      </c>
      <c r="GA184" s="934">
        <f t="shared" si="1098"/>
        <v>45.223120800000025</v>
      </c>
      <c r="GB184" s="934">
        <f t="shared" si="1098"/>
        <v>42.17925690000002</v>
      </c>
      <c r="GC184" s="934">
        <f t="shared" si="1098"/>
        <v>46.397182590000028</v>
      </c>
      <c r="GD184" s="934">
        <f t="shared" si="1098"/>
        <v>51.036900849000034</v>
      </c>
      <c r="GF184" s="934">
        <f>GF56</f>
        <v>32.010000000000005</v>
      </c>
      <c r="GG184" s="934">
        <f t="shared" ref="GG184:GQ184" si="1099">GG56</f>
        <v>28.809000000000008</v>
      </c>
      <c r="GH184" s="934">
        <f t="shared" si="1099"/>
        <v>28.809000000000008</v>
      </c>
      <c r="GI184" s="934">
        <f t="shared" si="1099"/>
        <v>28.809000000000008</v>
      </c>
      <c r="GJ184" s="934">
        <f t="shared" si="1099"/>
        <v>31.689900000000009</v>
      </c>
      <c r="GK184" s="934">
        <f t="shared" si="1099"/>
        <v>34.858890000000009</v>
      </c>
      <c r="GL184" s="934">
        <f t="shared" si="1099"/>
        <v>34.858890000000009</v>
      </c>
      <c r="GM184" s="934">
        <f t="shared" si="1099"/>
        <v>38.344779000000003</v>
      </c>
      <c r="GN184" s="934">
        <f t="shared" si="1099"/>
        <v>42.17925690000002</v>
      </c>
      <c r="GO184" s="934">
        <f t="shared" si="1099"/>
        <v>42.17925690000002</v>
      </c>
      <c r="GP184" s="934">
        <f t="shared" si="1099"/>
        <v>46.397182590000028</v>
      </c>
      <c r="GQ184" s="934">
        <f t="shared" si="1099"/>
        <v>51.036900849000034</v>
      </c>
      <c r="GS184" s="934">
        <f>GS56</f>
        <v>45.870000000000005</v>
      </c>
      <c r="GT184" s="934">
        <f t="shared" ref="GT184:HD184" si="1100">GT56</f>
        <v>41.283000000000001</v>
      </c>
      <c r="GU184" s="934">
        <f t="shared" si="1100"/>
        <v>41.283000000000001</v>
      </c>
      <c r="GV184" s="934">
        <f t="shared" si="1100"/>
        <v>41.283000000000001</v>
      </c>
      <c r="GW184" s="934">
        <f t="shared" si="1100"/>
        <v>45.411300000000011</v>
      </c>
      <c r="GX184" s="934">
        <f t="shared" si="1100"/>
        <v>49.952430000000007</v>
      </c>
      <c r="GY184" s="934">
        <f t="shared" si="1100"/>
        <v>49.952430000000007</v>
      </c>
      <c r="GZ184" s="934">
        <f t="shared" si="1100"/>
        <v>54.947673000000009</v>
      </c>
      <c r="HA184" s="934">
        <f t="shared" si="1100"/>
        <v>60.442440300000023</v>
      </c>
      <c r="HB184" s="934">
        <f t="shared" si="1100"/>
        <v>60.442440300000023</v>
      </c>
      <c r="HC184" s="934">
        <f t="shared" si="1100"/>
        <v>66.486684330000031</v>
      </c>
      <c r="HD184" s="934">
        <f t="shared" si="1100"/>
        <v>73.135352763000043</v>
      </c>
    </row>
    <row r="185" spans="2:212">
      <c r="ER185" s="595" t="s">
        <v>629</v>
      </c>
      <c r="ES185" s="934">
        <f>ES103</f>
        <v>130.76650000000001</v>
      </c>
      <c r="ET185" s="934">
        <f t="shared" ref="ET185:FD185" si="1101">ET103</f>
        <v>103.65938999999999</v>
      </c>
      <c r="EU185" s="934">
        <f t="shared" si="1101"/>
        <v>96.052139999999994</v>
      </c>
      <c r="EV185" s="934">
        <f t="shared" si="1101"/>
        <v>89.931667500000003</v>
      </c>
      <c r="EW185" s="934">
        <f t="shared" si="1101"/>
        <v>82.757223449999998</v>
      </c>
      <c r="EX185" s="934">
        <f t="shared" si="1101"/>
        <v>84.626618249250029</v>
      </c>
      <c r="EY185" s="934">
        <f t="shared" si="1101"/>
        <v>87.705000999000006</v>
      </c>
      <c r="EZ185" s="934">
        <f t="shared" si="1101"/>
        <v>89.33305599900001</v>
      </c>
      <c r="FA185" s="934">
        <f t="shared" si="1101"/>
        <v>90.710640999000006</v>
      </c>
      <c r="FB185" s="934">
        <f t="shared" si="1101"/>
        <v>92.902253499000011</v>
      </c>
      <c r="FC185" s="934">
        <f t="shared" si="1101"/>
        <v>94.373764749000003</v>
      </c>
      <c r="FD185" s="934">
        <f t="shared" si="1101"/>
        <v>94.248529749000014</v>
      </c>
      <c r="FF185" s="934">
        <f>FF103</f>
        <v>87.440249999999992</v>
      </c>
      <c r="FG185" s="934">
        <f t="shared" ref="FG185:FQ185" si="1102">FG103</f>
        <v>81.018764999999988</v>
      </c>
      <c r="FH185" s="934">
        <f t="shared" si="1102"/>
        <v>82.338390000000004</v>
      </c>
      <c r="FI185" s="934">
        <f t="shared" si="1102"/>
        <v>76.96829249999999</v>
      </c>
      <c r="FJ185" s="934">
        <f t="shared" si="1102"/>
        <v>75.499285950000001</v>
      </c>
      <c r="FK185" s="934">
        <f t="shared" si="1102"/>
        <v>83.02987199925002</v>
      </c>
      <c r="FL185" s="934">
        <f t="shared" si="1102"/>
        <v>87.705000999000006</v>
      </c>
      <c r="FM185" s="934">
        <f t="shared" si="1102"/>
        <v>89.33305599900001</v>
      </c>
      <c r="FN185" s="934">
        <f t="shared" si="1102"/>
        <v>90.710640999000006</v>
      </c>
      <c r="FO185" s="934">
        <f t="shared" si="1102"/>
        <v>92.902253499000011</v>
      </c>
      <c r="FP185" s="934">
        <f t="shared" si="1102"/>
        <v>94.373764749000003</v>
      </c>
      <c r="FQ185" s="934">
        <f t="shared" si="1102"/>
        <v>94.248529749000014</v>
      </c>
      <c r="FS185" s="934">
        <f>FS103</f>
        <v>87.440249999999992</v>
      </c>
      <c r="FT185" s="934">
        <f t="shared" ref="FT185:GD185" si="1103">FT103</f>
        <v>81.018764999999988</v>
      </c>
      <c r="FU185" s="934">
        <f t="shared" si="1103"/>
        <v>82.338390000000004</v>
      </c>
      <c r="FV185" s="934">
        <f t="shared" si="1103"/>
        <v>76.96829249999999</v>
      </c>
      <c r="FW185" s="934">
        <f t="shared" si="1103"/>
        <v>75.499285950000001</v>
      </c>
      <c r="FX185" s="934">
        <f t="shared" si="1103"/>
        <v>76.350982999500005</v>
      </c>
      <c r="FY185" s="934">
        <f t="shared" si="1103"/>
        <v>70.590172999500012</v>
      </c>
      <c r="FZ185" s="934">
        <f t="shared" si="1103"/>
        <v>65.330302999500006</v>
      </c>
      <c r="GA185" s="934">
        <f t="shared" si="1103"/>
        <v>60.94707799950001</v>
      </c>
      <c r="GB185" s="934">
        <f t="shared" si="1103"/>
        <v>57.878820499500009</v>
      </c>
      <c r="GC185" s="934">
        <f t="shared" si="1103"/>
        <v>54.967106749500005</v>
      </c>
      <c r="GD185" s="934">
        <f t="shared" si="1103"/>
        <v>51.773614249500007</v>
      </c>
      <c r="GF185" s="934">
        <f>GF103</f>
        <v>45.919499999999999</v>
      </c>
      <c r="GG185" s="934">
        <f t="shared" ref="GG185:GQ185" si="1104">GG103</f>
        <v>41.169195000000002</v>
      </c>
      <c r="GH185" s="934">
        <f t="shared" si="1104"/>
        <v>41.169195000000002</v>
      </c>
      <c r="GI185" s="934">
        <f t="shared" si="1104"/>
        <v>41.169195000000002</v>
      </c>
      <c r="GJ185" s="934">
        <f t="shared" si="1104"/>
        <v>45.442885950000004</v>
      </c>
      <c r="GK185" s="934">
        <f t="shared" si="1104"/>
        <v>50.176867999500004</v>
      </c>
      <c r="GL185" s="934">
        <f t="shared" si="1104"/>
        <v>50.176867999500004</v>
      </c>
      <c r="GM185" s="934">
        <f t="shared" si="1104"/>
        <v>50.176867999500004</v>
      </c>
      <c r="GN185" s="934">
        <f t="shared" si="1104"/>
        <v>50.176867999500004</v>
      </c>
      <c r="GO185" s="934">
        <f t="shared" si="1104"/>
        <v>50.176867999500004</v>
      </c>
      <c r="GP185" s="934">
        <f t="shared" si="1104"/>
        <v>50.176867999500004</v>
      </c>
      <c r="GQ185" s="934">
        <f t="shared" si="1104"/>
        <v>50.176867999500004</v>
      </c>
      <c r="GS185" s="934">
        <f>GS103</f>
        <v>45.919499999999999</v>
      </c>
      <c r="GT185" s="934">
        <f t="shared" ref="GT185:HD185" si="1105">GT103</f>
        <v>41.169195000000002</v>
      </c>
      <c r="GU185" s="934">
        <f t="shared" si="1105"/>
        <v>41.169195000000002</v>
      </c>
      <c r="GV185" s="934">
        <f t="shared" si="1105"/>
        <v>41.169195000000002</v>
      </c>
      <c r="GW185" s="934">
        <f t="shared" si="1105"/>
        <v>45.442885950000004</v>
      </c>
      <c r="GX185" s="934">
        <f t="shared" si="1105"/>
        <v>50.176867999500004</v>
      </c>
      <c r="GY185" s="934">
        <f t="shared" si="1105"/>
        <v>50.176867999500004</v>
      </c>
      <c r="GZ185" s="934">
        <f t="shared" si="1105"/>
        <v>50.176867999500004</v>
      </c>
      <c r="HA185" s="934">
        <f t="shared" si="1105"/>
        <v>50.176867999500004</v>
      </c>
      <c r="HB185" s="934">
        <f t="shared" si="1105"/>
        <v>50.176867999500004</v>
      </c>
      <c r="HC185" s="934">
        <f t="shared" si="1105"/>
        <v>50.176867999500004</v>
      </c>
      <c r="HD185" s="934">
        <f t="shared" si="1105"/>
        <v>50.176867999500004</v>
      </c>
    </row>
    <row r="186" spans="2:212">
      <c r="ER186" s="603" t="s">
        <v>1116</v>
      </c>
      <c r="ES186" s="1490">
        <f>ES149</f>
        <v>140.03550000000001</v>
      </c>
      <c r="ET186" s="1490">
        <f t="shared" ref="ET186:FD186" si="1106">ET149</f>
        <v>106.96518</v>
      </c>
      <c r="EU186" s="1490">
        <f t="shared" si="1106"/>
        <v>88.283429999999996</v>
      </c>
      <c r="EV186" s="1490">
        <f t="shared" si="1106"/>
        <v>72.992339999999999</v>
      </c>
      <c r="EW186" s="1490">
        <f t="shared" si="1106"/>
        <v>63.642150000000008</v>
      </c>
      <c r="EX186" s="1490">
        <f t="shared" si="1106"/>
        <v>63.157312944000005</v>
      </c>
      <c r="EY186" s="1490">
        <f t="shared" si="1106"/>
        <v>62.444775888000017</v>
      </c>
      <c r="EZ186" s="1490">
        <f t="shared" si="1106"/>
        <v>59.94007588800001</v>
      </c>
      <c r="FA186" s="1490">
        <f t="shared" si="1106"/>
        <v>58.68772588800001</v>
      </c>
      <c r="FB186" s="1490">
        <f t="shared" si="1106"/>
        <v>58.68772588800001</v>
      </c>
      <c r="FC186" s="1490">
        <f t="shared" si="1106"/>
        <v>58.812960888000006</v>
      </c>
      <c r="FD186" s="1490">
        <f t="shared" si="1106"/>
        <v>60.127928388000001</v>
      </c>
      <c r="FF186" s="1490">
        <f>FF149</f>
        <v>59.938000000000002</v>
      </c>
      <c r="FG186" s="1490">
        <f t="shared" ref="FG186:FQ186" si="1107">FG149</f>
        <v>59.820930000000004</v>
      </c>
      <c r="FH186" s="1490">
        <f t="shared" si="1107"/>
        <v>62.460180000000008</v>
      </c>
      <c r="FI186" s="1490">
        <f t="shared" si="1107"/>
        <v>57.053339999999992</v>
      </c>
      <c r="FJ186" s="1490">
        <f t="shared" si="1107"/>
        <v>53.9649</v>
      </c>
      <c r="FK186" s="1490">
        <f t="shared" si="1107"/>
        <v>59.963820444000007</v>
      </c>
      <c r="FL186" s="1490">
        <f t="shared" si="1107"/>
        <v>62.444775888000017</v>
      </c>
      <c r="FM186" s="1490">
        <f t="shared" si="1107"/>
        <v>59.94007588800001</v>
      </c>
      <c r="FN186" s="1490">
        <f t="shared" si="1107"/>
        <v>58.68772588800001</v>
      </c>
      <c r="FO186" s="1490">
        <f t="shared" si="1107"/>
        <v>58.68772588800001</v>
      </c>
      <c r="FP186" s="1490">
        <f t="shared" si="1107"/>
        <v>58.812960888000006</v>
      </c>
      <c r="FQ186" s="1490">
        <f t="shared" si="1107"/>
        <v>60.127928388000001</v>
      </c>
      <c r="FS186" s="1490">
        <f>FS149</f>
        <v>59.938000000000002</v>
      </c>
      <c r="FT186" s="1490">
        <f t="shared" ref="FT186:GD186" si="1108">FT149</f>
        <v>59.820930000000004</v>
      </c>
      <c r="FU186" s="1490">
        <f t="shared" si="1108"/>
        <v>62.460180000000008</v>
      </c>
      <c r="FV186" s="1490">
        <f t="shared" si="1108"/>
        <v>57.053339999999992</v>
      </c>
      <c r="FW186" s="1490">
        <f t="shared" si="1108"/>
        <v>53.9649</v>
      </c>
      <c r="FX186" s="1490">
        <f t="shared" si="1108"/>
        <v>53.099640000000008</v>
      </c>
      <c r="FY186" s="1490">
        <f t="shared" si="1108"/>
        <v>45.585540000000002</v>
      </c>
      <c r="FZ186" s="1490">
        <f t="shared" si="1108"/>
        <v>36.819090000000003</v>
      </c>
      <c r="GA186" s="1490">
        <f t="shared" si="1108"/>
        <v>28.052640000000004</v>
      </c>
      <c r="GB186" s="1490">
        <f t="shared" si="1108"/>
        <v>19.286190000000001</v>
      </c>
      <c r="GC186" s="1490">
        <f t="shared" si="1108"/>
        <v>10.644975000000001</v>
      </c>
      <c r="GD186" s="1490">
        <f t="shared" si="1108"/>
        <v>3.1934925000000001</v>
      </c>
      <c r="GF186" s="1490">
        <f>GF149</f>
        <v>0</v>
      </c>
      <c r="GG186" s="1490">
        <f t="shared" ref="GG186:GQ186" si="1109">GG149</f>
        <v>0</v>
      </c>
      <c r="GH186" s="1490">
        <f t="shared" si="1109"/>
        <v>0</v>
      </c>
      <c r="GI186" s="1490">
        <f t="shared" si="1109"/>
        <v>0</v>
      </c>
      <c r="GJ186" s="1490">
        <f t="shared" si="1109"/>
        <v>0</v>
      </c>
      <c r="GK186" s="1490">
        <f t="shared" si="1109"/>
        <v>0</v>
      </c>
      <c r="GL186" s="1490">
        <f t="shared" si="1109"/>
        <v>0</v>
      </c>
      <c r="GM186" s="1490">
        <f t="shared" si="1109"/>
        <v>0</v>
      </c>
      <c r="GN186" s="1490">
        <f t="shared" si="1109"/>
        <v>0</v>
      </c>
      <c r="GO186" s="1490">
        <f t="shared" si="1109"/>
        <v>0</v>
      </c>
      <c r="GP186" s="1490">
        <f t="shared" si="1109"/>
        <v>0</v>
      </c>
      <c r="GQ186" s="1490">
        <f t="shared" si="1109"/>
        <v>0</v>
      </c>
      <c r="GS186" s="1490">
        <f>GS149</f>
        <v>0</v>
      </c>
      <c r="GT186" s="1490">
        <f t="shared" ref="GT186:HD186" si="1110">GT149</f>
        <v>0</v>
      </c>
      <c r="GU186" s="1490">
        <f t="shared" si="1110"/>
        <v>0</v>
      </c>
      <c r="GV186" s="1490">
        <f t="shared" si="1110"/>
        <v>0</v>
      </c>
      <c r="GW186" s="1490">
        <f t="shared" si="1110"/>
        <v>0</v>
      </c>
      <c r="GX186" s="1490">
        <f t="shared" si="1110"/>
        <v>0</v>
      </c>
      <c r="GY186" s="1490">
        <f t="shared" si="1110"/>
        <v>0</v>
      </c>
      <c r="GZ186" s="1490">
        <f t="shared" si="1110"/>
        <v>0</v>
      </c>
      <c r="HA186" s="1490">
        <f t="shared" si="1110"/>
        <v>0</v>
      </c>
      <c r="HB186" s="1490">
        <f t="shared" si="1110"/>
        <v>0</v>
      </c>
      <c r="HC186" s="1490">
        <f t="shared" si="1110"/>
        <v>0</v>
      </c>
      <c r="HD186" s="1490">
        <f t="shared" si="1110"/>
        <v>0</v>
      </c>
    </row>
    <row r="187" spans="2:212">
      <c r="ES187" s="934">
        <f>SUM(ES183:ES186)</f>
        <v>873.33799999999997</v>
      </c>
      <c r="ET187" s="934">
        <f t="shared" ref="ET187:FD187" si="1111">SUM(ET183:ET186)</f>
        <v>704.60982000000013</v>
      </c>
      <c r="EU187" s="934">
        <f t="shared" si="1111"/>
        <v>698.22972000000004</v>
      </c>
      <c r="EV187" s="934">
        <f t="shared" si="1111"/>
        <v>735.2380575000002</v>
      </c>
      <c r="EW187" s="934">
        <f t="shared" si="1111"/>
        <v>795.18201345000011</v>
      </c>
      <c r="EX187" s="934">
        <f t="shared" si="1111"/>
        <v>868.08120119325008</v>
      </c>
      <c r="EY187" s="934">
        <f t="shared" si="1111"/>
        <v>876.17300888700026</v>
      </c>
      <c r="EZ187" s="934">
        <f t="shared" si="1111"/>
        <v>952.64895953700045</v>
      </c>
      <c r="FA187" s="934">
        <f t="shared" si="1111"/>
        <v>1059.2165338920004</v>
      </c>
      <c r="FB187" s="934">
        <f t="shared" si="1111"/>
        <v>1111.3202670570004</v>
      </c>
      <c r="FC187" s="934">
        <f t="shared" si="1111"/>
        <v>1255.9010705505004</v>
      </c>
      <c r="FD187" s="934">
        <f t="shared" si="1111"/>
        <v>1380.9282316335009</v>
      </c>
      <c r="FF187" s="934">
        <f>SUM(FF183:FF186)</f>
        <v>855.28325000000007</v>
      </c>
      <c r="FG187" s="934">
        <f t="shared" ref="FG187" si="1112">SUM(FG183:FG186)</f>
        <v>690.98269500000004</v>
      </c>
      <c r="FH187" s="934">
        <f t="shared" ref="FH187" si="1113">SUM(FH183:FH186)</f>
        <v>693.70407000000012</v>
      </c>
      <c r="FI187" s="934">
        <f t="shared" ref="FI187" si="1114">SUM(FI183:FI186)</f>
        <v>702.70238250000011</v>
      </c>
      <c r="FJ187" s="934">
        <f t="shared" ref="FJ187" si="1115">SUM(FJ183:FJ186)</f>
        <v>729.80810595000003</v>
      </c>
      <c r="FK187" s="934">
        <f t="shared" ref="FK187" si="1116">SUM(FK183:FK186)</f>
        <v>785.85870644325018</v>
      </c>
      <c r="FL187" s="934">
        <f t="shared" ref="FL187" si="1117">SUM(FL183:FL186)</f>
        <v>773.06975588700027</v>
      </c>
      <c r="FM187" s="934">
        <f t="shared" ref="FM187" si="1118">SUM(FM183:FM186)</f>
        <v>804.17165033700019</v>
      </c>
      <c r="FN187" s="934">
        <f t="shared" ref="FN187" si="1119">SUM(FN183:FN186)</f>
        <v>860.5826725320004</v>
      </c>
      <c r="FO187" s="934">
        <f t="shared" ref="FO187" si="1120">SUM(FO183:FO186)</f>
        <v>883.34935553700041</v>
      </c>
      <c r="FP187" s="934">
        <f t="shared" ref="FP187" si="1121">SUM(FP183:FP186)</f>
        <v>977.35853452050037</v>
      </c>
      <c r="FQ187" s="934">
        <f t="shared" ref="FQ187" si="1122">SUM(FQ183:FQ186)</f>
        <v>1054.9585274481005</v>
      </c>
      <c r="FS187" s="934">
        <f>SUM(FS183:FS186)</f>
        <v>671.84725000000003</v>
      </c>
      <c r="FT187" s="934">
        <f t="shared" ref="FT187" si="1123">SUM(FT183:FT186)</f>
        <v>562.32229499999994</v>
      </c>
      <c r="FU187" s="934">
        <f t="shared" ref="FU187" si="1124">SUM(FU183:FU186)</f>
        <v>531.48266999999998</v>
      </c>
      <c r="FV187" s="934">
        <f t="shared" ref="FV187" si="1125">SUM(FV183:FV186)</f>
        <v>492.06998249999998</v>
      </c>
      <c r="FW187" s="934">
        <f t="shared" ref="FW187" si="1126">SUM(FW183:FW186)</f>
        <v>495.01970595000006</v>
      </c>
      <c r="FX187" s="934">
        <f t="shared" ref="FX187" si="1127">SUM(FX183:FX186)</f>
        <v>504.80659849950007</v>
      </c>
      <c r="FY187" s="934">
        <f t="shared" ref="FY187" si="1128">SUM(FY183:FY186)</f>
        <v>463.26723799950008</v>
      </c>
      <c r="FZ187" s="934">
        <f t="shared" ref="FZ187" si="1129">SUM(FZ183:FZ186)</f>
        <v>451.31088919950014</v>
      </c>
      <c r="GA187" s="934">
        <f t="shared" ref="GA187" si="1130">SUM(GA183:GA186)</f>
        <v>446.66097354450017</v>
      </c>
      <c r="GB187" s="934">
        <f t="shared" ref="GB187" si="1131">SUM(GB183:GB186)</f>
        <v>425.00618131950023</v>
      </c>
      <c r="GC187" s="934">
        <f t="shared" ref="GC187" si="1132">SUM(GC183:GC186)</f>
        <v>448.23736965150016</v>
      </c>
      <c r="GD187" s="934">
        <f t="shared" ref="GD187" si="1133">SUM(GD183:GD186)</f>
        <v>475.85492344170029</v>
      </c>
      <c r="GF187" s="934">
        <f>SUM(GF183:GF186)</f>
        <v>309.89750000000004</v>
      </c>
      <c r="GG187" s="934">
        <f t="shared" ref="GG187" si="1134">SUM(GG183:GG186)</f>
        <v>278.74939500000005</v>
      </c>
      <c r="GH187" s="934">
        <f t="shared" ref="GH187" si="1135">SUM(GH183:GH186)</f>
        <v>278.74939500000005</v>
      </c>
      <c r="GI187" s="934">
        <f t="shared" ref="GI187" si="1136">SUM(GI183:GI186)</f>
        <v>278.74939500000005</v>
      </c>
      <c r="GJ187" s="934">
        <f t="shared" ref="GJ187" si="1137">SUM(GJ183:GJ186)</f>
        <v>306.7811059500001</v>
      </c>
      <c r="GK187" s="934">
        <f t="shared" ref="GK187" si="1138">SUM(GK183:GK186)</f>
        <v>337.64890999950006</v>
      </c>
      <c r="GL187" s="934">
        <f t="shared" ref="GL187" si="1139">SUM(GL183:GL186)</f>
        <v>337.64890999950006</v>
      </c>
      <c r="GM187" s="934">
        <f t="shared" ref="GM187" si="1140">SUM(GM183:GM186)</f>
        <v>366.39611419950012</v>
      </c>
      <c r="GN187" s="934">
        <f t="shared" ref="GN187" si="1141">SUM(GN183:GN186)</f>
        <v>398.01803881950025</v>
      </c>
      <c r="GO187" s="934">
        <f t="shared" ref="GO187" si="1142">SUM(GO183:GO186)</f>
        <v>398.01803881950025</v>
      </c>
      <c r="GP187" s="934">
        <f t="shared" ref="GP187" si="1143">SUM(GP183:GP186)</f>
        <v>432.80215590150021</v>
      </c>
      <c r="GQ187" s="934">
        <f t="shared" ref="GQ187" si="1144">SUM(GQ183:GQ186)</f>
        <v>471.06468469170034</v>
      </c>
      <c r="GS187" s="934">
        <f>SUM(GS183:GS186)</f>
        <v>323.75750000000005</v>
      </c>
      <c r="GT187" s="934">
        <f t="shared" ref="GT187" si="1145">SUM(GT183:GT186)</f>
        <v>291.22339500000004</v>
      </c>
      <c r="GU187" s="934">
        <f t="shared" ref="GU187" si="1146">SUM(GU183:GU186)</f>
        <v>291.22339500000004</v>
      </c>
      <c r="GV187" s="934">
        <f t="shared" ref="GV187" si="1147">SUM(GV183:GV186)</f>
        <v>291.22339500000004</v>
      </c>
      <c r="GW187" s="934">
        <f t="shared" ref="GW187" si="1148">SUM(GW183:GW186)</f>
        <v>320.50250595000011</v>
      </c>
      <c r="GX187" s="934">
        <f t="shared" ref="GX187" si="1149">SUM(GX183:GX186)</f>
        <v>352.74244999950008</v>
      </c>
      <c r="GY187" s="934">
        <f t="shared" ref="GY187" si="1150">SUM(GY183:GY186)</f>
        <v>352.74244999950008</v>
      </c>
      <c r="GZ187" s="934">
        <f t="shared" ref="GZ187" si="1151">SUM(GZ183:GZ186)</f>
        <v>382.99900819950011</v>
      </c>
      <c r="HA187" s="934">
        <f t="shared" ref="HA187" si="1152">SUM(HA183:HA186)</f>
        <v>416.28122221950025</v>
      </c>
      <c r="HB187" s="934">
        <f t="shared" ref="HB187" si="1153">SUM(HB183:HB186)</f>
        <v>416.28122221950025</v>
      </c>
      <c r="HC187" s="934">
        <f t="shared" ref="HC187" si="1154">SUM(HC183:HC186)</f>
        <v>452.89165764150027</v>
      </c>
      <c r="HD187" s="934">
        <f t="shared" ref="HD187" si="1155">SUM(HD183:HD186)</f>
        <v>493.16313660570029</v>
      </c>
    </row>
    <row r="188" spans="2:212">
      <c r="ES188" s="934"/>
      <c r="ET188" s="934"/>
      <c r="EU188" s="934"/>
      <c r="EV188" s="934"/>
      <c r="EW188" s="934"/>
      <c r="EX188" s="934"/>
      <c r="EY188" s="934"/>
      <c r="EZ188" s="934"/>
      <c r="FA188" s="934"/>
      <c r="FB188" s="934"/>
      <c r="FC188" s="934"/>
      <c r="FD188" s="934">
        <f>SUM(ES187:FD187)</f>
        <v>11310.866883700253</v>
      </c>
      <c r="FF188" s="934"/>
      <c r="FG188" s="934"/>
      <c r="FH188" s="934"/>
      <c r="FI188" s="934"/>
      <c r="FJ188" s="934"/>
      <c r="FK188" s="934"/>
      <c r="FL188" s="934"/>
      <c r="FM188" s="934"/>
      <c r="FN188" s="934"/>
      <c r="FO188" s="934"/>
      <c r="FP188" s="934"/>
      <c r="FQ188" s="934">
        <f>SUM(FF187:FQ187)</f>
        <v>9811.8297061548546</v>
      </c>
      <c r="FS188" s="934"/>
      <c r="FT188" s="934"/>
      <c r="FU188" s="934"/>
      <c r="FV188" s="934"/>
      <c r="FW188" s="934"/>
      <c r="FX188" s="934"/>
      <c r="FY188" s="934"/>
      <c r="FZ188" s="934"/>
      <c r="GA188" s="934"/>
      <c r="GB188" s="934"/>
      <c r="GC188" s="934"/>
      <c r="GD188" s="934">
        <f>SUM(FS187:GD187)</f>
        <v>5967.8860771057025</v>
      </c>
      <c r="GF188" s="934"/>
      <c r="GG188" s="934"/>
      <c r="GH188" s="934"/>
      <c r="GI188" s="934"/>
      <c r="GJ188" s="934"/>
      <c r="GK188" s="934"/>
      <c r="GL188" s="934"/>
      <c r="GM188" s="934"/>
      <c r="GN188" s="934"/>
      <c r="GO188" s="934"/>
      <c r="GP188" s="934"/>
      <c r="GQ188" s="934">
        <f>SUM(GF187:GQ187)</f>
        <v>4194.5236433807022</v>
      </c>
      <c r="GS188" s="934"/>
      <c r="GT188" s="934"/>
      <c r="GU188" s="934"/>
      <c r="GV188" s="934"/>
      <c r="GW188" s="934"/>
      <c r="GX188" s="934"/>
      <c r="GY188" s="934"/>
      <c r="GZ188" s="934"/>
      <c r="HA188" s="934"/>
      <c r="HB188" s="934"/>
      <c r="HC188" s="934"/>
      <c r="HD188" s="934">
        <f>SUM(GS187:HD187)</f>
        <v>4385.0313378347018</v>
      </c>
    </row>
  </sheetData>
  <mergeCells count="24">
    <mergeCell ref="N15:N23"/>
    <mergeCell ref="AA15:AA23"/>
    <mergeCell ref="DK15:DK23"/>
    <mergeCell ref="N26:N34"/>
    <mergeCell ref="AA26:AA34"/>
    <mergeCell ref="DK26:DK34"/>
    <mergeCell ref="N58:N66"/>
    <mergeCell ref="AA58:AA66"/>
    <mergeCell ref="DK58:DK66"/>
    <mergeCell ref="N69:N77"/>
    <mergeCell ref="AA69:AA77"/>
    <mergeCell ref="DK69:DK77"/>
    <mergeCell ref="N105:N117"/>
    <mergeCell ref="AA105:AA117"/>
    <mergeCell ref="DK105:DK117"/>
    <mergeCell ref="N119:N131"/>
    <mergeCell ref="AA119:AA131"/>
    <mergeCell ref="DK119:DK131"/>
    <mergeCell ref="N151:N163"/>
    <mergeCell ref="AA151:AA163"/>
    <mergeCell ref="DK151:DK163"/>
    <mergeCell ref="N165:N177"/>
    <mergeCell ref="AA165:AA177"/>
    <mergeCell ref="DK165:DK177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8"/>
  <sheetViews>
    <sheetView showGridLines="0" topLeftCell="B28" workbookViewId="0">
      <selection activeCell="D37" sqref="D37"/>
    </sheetView>
  </sheetViews>
  <sheetFormatPr defaultRowHeight="15"/>
  <cols>
    <col min="3" max="3" width="65.42578125" customWidth="1"/>
    <col min="4" max="4" width="81.5703125" bestFit="1" customWidth="1"/>
  </cols>
  <sheetData>
    <row r="2" spans="3:4" s="664" customFormat="1" ht="18" customHeight="1">
      <c r="C2" s="674" t="s">
        <v>576</v>
      </c>
      <c r="D2" s="674" t="s">
        <v>577</v>
      </c>
    </row>
    <row r="3" spans="3:4" s="664" customFormat="1" ht="18" customHeight="1">
      <c r="C3" s="672" t="s">
        <v>26</v>
      </c>
      <c r="D3" s="666" t="s">
        <v>578</v>
      </c>
    </row>
    <row r="4" spans="3:4" s="664" customFormat="1" ht="18" customHeight="1">
      <c r="C4" s="673" t="s">
        <v>27</v>
      </c>
      <c r="D4" s="667" t="s">
        <v>579</v>
      </c>
    </row>
    <row r="5" spans="3:4" s="664" customFormat="1" ht="18" customHeight="1">
      <c r="C5" s="670" t="s">
        <v>351</v>
      </c>
      <c r="D5" s="668" t="s">
        <v>580</v>
      </c>
    </row>
    <row r="6" spans="3:4" s="664" customFormat="1" ht="18" customHeight="1">
      <c r="C6" s="671" t="s">
        <v>29</v>
      </c>
      <c r="D6" s="669"/>
    </row>
    <row r="7" spans="3:4" s="664" customFormat="1" ht="18" customHeight="1">
      <c r="C7" s="673" t="s">
        <v>352</v>
      </c>
      <c r="D7" s="667"/>
    </row>
    <row r="8" spans="3:4" s="664" customFormat="1" ht="18" customHeight="1">
      <c r="C8" s="670" t="s">
        <v>527</v>
      </c>
      <c r="D8" s="668" t="s">
        <v>582</v>
      </c>
    </row>
    <row r="9" spans="3:4" s="664" customFormat="1" ht="18" customHeight="1">
      <c r="C9" s="670" t="s">
        <v>528</v>
      </c>
      <c r="D9" s="668" t="s">
        <v>585</v>
      </c>
    </row>
    <row r="10" spans="3:4" s="664" customFormat="1" ht="18" customHeight="1">
      <c r="C10" s="670" t="s">
        <v>529</v>
      </c>
      <c r="D10" s="668" t="s">
        <v>588</v>
      </c>
    </row>
    <row r="11" spans="3:4" s="664" customFormat="1" ht="18" customHeight="1">
      <c r="C11" s="671" t="s">
        <v>581</v>
      </c>
      <c r="D11" s="669"/>
    </row>
    <row r="12" spans="3:4" s="664" customFormat="1" ht="18" customHeight="1">
      <c r="C12" s="673" t="s">
        <v>183</v>
      </c>
      <c r="D12" s="667" t="s">
        <v>586</v>
      </c>
    </row>
    <row r="13" spans="3:4" s="664" customFormat="1" ht="18" customHeight="1">
      <c r="C13" s="670" t="s">
        <v>182</v>
      </c>
      <c r="D13" s="668" t="s">
        <v>583</v>
      </c>
    </row>
    <row r="14" spans="3:4" s="664" customFormat="1" ht="18" customHeight="1">
      <c r="C14" s="671" t="s">
        <v>184</v>
      </c>
      <c r="D14" s="669" t="s">
        <v>587</v>
      </c>
    </row>
    <row r="15" spans="3:4" s="664" customFormat="1" ht="18" customHeight="1">
      <c r="C15" s="672" t="s">
        <v>356</v>
      </c>
      <c r="D15" s="666" t="s">
        <v>589</v>
      </c>
    </row>
    <row r="19" spans="3:4" s="664" customFormat="1" ht="18" customHeight="1">
      <c r="C19" s="674" t="s">
        <v>576</v>
      </c>
      <c r="D19" s="674" t="s">
        <v>577</v>
      </c>
    </row>
    <row r="20" spans="3:4" s="664" customFormat="1" ht="18" customHeight="1">
      <c r="C20" s="665" t="s">
        <v>386</v>
      </c>
      <c r="D20" s="687" t="s">
        <v>590</v>
      </c>
    </row>
    <row r="21" spans="3:4" s="664" customFormat="1" ht="18" customHeight="1">
      <c r="C21" s="677" t="s">
        <v>542</v>
      </c>
      <c r="D21" s="679" t="s">
        <v>591</v>
      </c>
    </row>
    <row r="22" spans="3:4" s="664" customFormat="1" ht="18" customHeight="1">
      <c r="C22" s="685" t="s">
        <v>592</v>
      </c>
      <c r="D22" s="688" t="s">
        <v>593</v>
      </c>
    </row>
    <row r="23" spans="3:4" s="664" customFormat="1" ht="36" customHeight="1">
      <c r="C23" s="683" t="s">
        <v>537</v>
      </c>
      <c r="D23" s="680"/>
    </row>
    <row r="24" spans="3:4" s="664" customFormat="1" ht="18" customHeight="1">
      <c r="C24" s="684" t="s">
        <v>538</v>
      </c>
      <c r="D24" s="681"/>
    </row>
    <row r="25" spans="3:4" s="664" customFormat="1" ht="18" customHeight="1">
      <c r="C25" s="665" t="s">
        <v>543</v>
      </c>
      <c r="D25" s="687" t="s">
        <v>594</v>
      </c>
    </row>
    <row r="26" spans="3:4" s="664" customFormat="1" ht="18" customHeight="1">
      <c r="C26" s="677" t="s">
        <v>544</v>
      </c>
      <c r="D26" s="677"/>
    </row>
    <row r="27" spans="3:4" s="664" customFormat="1" ht="18" customHeight="1">
      <c r="C27" s="685" t="s">
        <v>387</v>
      </c>
      <c r="D27" s="680"/>
    </row>
    <row r="28" spans="3:4" s="664" customFormat="1" ht="18" customHeight="1">
      <c r="C28" s="685" t="s">
        <v>353</v>
      </c>
      <c r="D28" s="680"/>
    </row>
    <row r="29" spans="3:4" s="664" customFormat="1" ht="18" customHeight="1">
      <c r="C29" s="684" t="s">
        <v>536</v>
      </c>
      <c r="D29" s="681"/>
    </row>
    <row r="30" spans="3:4" s="664" customFormat="1" ht="45.75" customHeight="1">
      <c r="C30" s="682" t="s">
        <v>545</v>
      </c>
      <c r="D30" s="689" t="s">
        <v>596</v>
      </c>
    </row>
    <row r="31" spans="3:4" s="664" customFormat="1" ht="18" customHeight="1">
      <c r="C31" s="677" t="s">
        <v>541</v>
      </c>
      <c r="D31" s="690"/>
    </row>
    <row r="32" spans="3:4" s="664" customFormat="1" ht="18" customHeight="1">
      <c r="C32" s="685" t="s">
        <v>595</v>
      </c>
      <c r="D32" s="691" t="s">
        <v>597</v>
      </c>
    </row>
    <row r="33" spans="3:4" s="664" customFormat="1" ht="33.75" customHeight="1">
      <c r="C33" s="683" t="s">
        <v>539</v>
      </c>
      <c r="D33" s="691" t="s">
        <v>598</v>
      </c>
    </row>
    <row r="34" spans="3:4" s="664" customFormat="1" ht="37.5" customHeight="1">
      <c r="C34" s="683" t="s">
        <v>540</v>
      </c>
      <c r="D34" s="680"/>
    </row>
    <row r="35" spans="3:4" s="664" customFormat="1" ht="21.75" customHeight="1">
      <c r="C35" s="686" t="s">
        <v>599</v>
      </c>
      <c r="D35" s="681"/>
    </row>
    <row r="36" spans="3:4" s="664" customFormat="1" ht="18" customHeight="1">
      <c r="C36" s="677" t="s">
        <v>548</v>
      </c>
      <c r="D36" s="677"/>
    </row>
    <row r="37" spans="3:4" s="664" customFormat="1" ht="18" customHeight="1">
      <c r="C37" s="685" t="s">
        <v>595</v>
      </c>
      <c r="D37" s="691" t="s">
        <v>601</v>
      </c>
    </row>
    <row r="38" spans="3:4" s="664" customFormat="1" ht="35.25" customHeight="1">
      <c r="C38" s="686" t="s">
        <v>600</v>
      </c>
      <c r="D38" s="67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0"/>
  <sheetViews>
    <sheetView showGridLines="0" workbookViewId="0">
      <selection activeCell="B18" sqref="B18:B20"/>
    </sheetView>
  </sheetViews>
  <sheetFormatPr defaultRowHeight="20.100000000000001" customHeight="1"/>
  <cols>
    <col min="1" max="1" width="9" style="67"/>
    <col min="2" max="2" width="41.42578125" style="67" customWidth="1"/>
    <col min="3" max="3" width="77.28515625" style="67" customWidth="1"/>
    <col min="4" max="5" width="9" style="67"/>
  </cols>
  <sheetData>
    <row r="1" spans="2:3" ht="15"/>
    <row r="2" spans="2:3" ht="18">
      <c r="B2" s="1395" t="s">
        <v>1407</v>
      </c>
    </row>
    <row r="3" spans="2:3" ht="15.75" thickBot="1"/>
    <row r="4" spans="2:3" ht="20.100000000000001" customHeight="1" thickBot="1">
      <c r="B4" s="1387" t="s">
        <v>1383</v>
      </c>
      <c r="C4" s="1387" t="s">
        <v>1384</v>
      </c>
    </row>
    <row r="5" spans="2:3" ht="20.100000000000001" customHeight="1" thickTop="1">
      <c r="B5" s="1834" t="s">
        <v>1385</v>
      </c>
      <c r="C5" s="1388" t="s">
        <v>1391</v>
      </c>
    </row>
    <row r="6" spans="2:3" ht="20.100000000000001" customHeight="1" thickBot="1">
      <c r="B6" s="1835"/>
      <c r="C6" s="1389" t="s">
        <v>1392</v>
      </c>
    </row>
    <row r="7" spans="2:3" ht="20.100000000000001" customHeight="1">
      <c r="B7" s="1831" t="s">
        <v>1386</v>
      </c>
      <c r="C7" s="1390" t="s">
        <v>1393</v>
      </c>
    </row>
    <row r="8" spans="2:3" ht="20.100000000000001" customHeight="1">
      <c r="B8" s="1832"/>
      <c r="C8" s="1391" t="s">
        <v>1394</v>
      </c>
    </row>
    <row r="9" spans="2:3" ht="20.100000000000001" customHeight="1" thickBot="1">
      <c r="B9" s="1833"/>
      <c r="C9" s="1392" t="s">
        <v>1395</v>
      </c>
    </row>
    <row r="10" spans="2:3" ht="20.100000000000001" customHeight="1">
      <c r="B10" s="1836" t="s">
        <v>1387</v>
      </c>
      <c r="C10" s="1393" t="s">
        <v>1396</v>
      </c>
    </row>
    <row r="11" spans="2:3" ht="20.100000000000001" customHeight="1">
      <c r="B11" s="1837"/>
      <c r="C11" s="1394" t="s">
        <v>1397</v>
      </c>
    </row>
    <row r="12" spans="2:3" ht="20.100000000000001" customHeight="1" thickBot="1">
      <c r="B12" s="1835"/>
      <c r="C12" s="1389" t="s">
        <v>1398</v>
      </c>
    </row>
    <row r="13" spans="2:3" ht="20.100000000000001" customHeight="1">
      <c r="B13" s="1831" t="s">
        <v>1388</v>
      </c>
      <c r="C13" s="1390" t="s">
        <v>1399</v>
      </c>
    </row>
    <row r="14" spans="2:3" ht="20.100000000000001" customHeight="1">
      <c r="B14" s="1832"/>
      <c r="C14" s="1391" t="s">
        <v>1400</v>
      </c>
    </row>
    <row r="15" spans="2:3" ht="20.100000000000001" customHeight="1" thickBot="1">
      <c r="B15" s="1833"/>
      <c r="C15" s="1392" t="s">
        <v>1401</v>
      </c>
    </row>
    <row r="16" spans="2:3" ht="20.100000000000001" customHeight="1">
      <c r="B16" s="1836" t="s">
        <v>1389</v>
      </c>
      <c r="C16" s="1393" t="s">
        <v>1402</v>
      </c>
    </row>
    <row r="17" spans="2:3" ht="20.100000000000001" customHeight="1" thickBot="1">
      <c r="B17" s="1835"/>
      <c r="C17" s="1389" t="s">
        <v>1403</v>
      </c>
    </row>
    <row r="18" spans="2:3" ht="20.100000000000001" customHeight="1">
      <c r="B18" s="1831" t="s">
        <v>1390</v>
      </c>
      <c r="C18" s="1390" t="s">
        <v>1404</v>
      </c>
    </row>
    <row r="19" spans="2:3" ht="20.100000000000001" customHeight="1">
      <c r="B19" s="1832"/>
      <c r="C19" s="1391" t="s">
        <v>1405</v>
      </c>
    </row>
    <row r="20" spans="2:3" ht="20.100000000000001" customHeight="1" thickBot="1">
      <c r="B20" s="1833"/>
      <c r="C20" s="1392" t="s">
        <v>1406</v>
      </c>
    </row>
  </sheetData>
  <mergeCells count="6">
    <mergeCell ref="B18:B20"/>
    <mergeCell ref="B5:B6"/>
    <mergeCell ref="B7:B9"/>
    <mergeCell ref="B10:B12"/>
    <mergeCell ref="B13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AK72"/>
  <sheetViews>
    <sheetView showGridLines="0" tabSelected="1" zoomScale="80" zoomScaleNormal="80"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F3" sqref="F3"/>
    </sheetView>
  </sheetViews>
  <sheetFormatPr defaultRowHeight="15"/>
  <cols>
    <col min="1" max="1" width="2.140625" customWidth="1"/>
    <col min="2" max="2" width="35.28515625" customWidth="1"/>
    <col min="3" max="4" width="9.7109375" style="442" hidden="1" customWidth="1"/>
    <col min="5" max="5" width="9.5703125" style="442" hidden="1" customWidth="1"/>
    <col min="6" max="6" width="11.140625" style="442" bestFit="1" customWidth="1"/>
    <col min="7" max="7" width="11.28515625" style="442" hidden="1" customWidth="1"/>
    <col min="8" max="11" width="12.5703125" style="442" hidden="1" customWidth="1"/>
    <col min="12" max="12" width="3.42578125" customWidth="1"/>
    <col min="13" max="14" width="9.140625" style="583" hidden="1" customWidth="1"/>
    <col min="15" max="15" width="10.42578125" style="583" hidden="1" customWidth="1"/>
    <col min="16" max="16" width="10.42578125" style="583" customWidth="1"/>
    <col min="17" max="21" width="10.42578125" style="583" hidden="1" customWidth="1"/>
    <col min="24" max="24" width="12.28515625" style="442" bestFit="1" customWidth="1"/>
    <col min="25" max="25" width="10.85546875" style="583" bestFit="1" customWidth="1"/>
    <col min="28" max="28" width="12.28515625" style="442" bestFit="1" customWidth="1"/>
    <col min="29" max="29" width="10.85546875" style="583" bestFit="1" customWidth="1"/>
    <col min="31" max="31" width="12.28515625" style="442" bestFit="1" customWidth="1"/>
    <col min="32" max="32" width="10.85546875" style="583" bestFit="1" customWidth="1"/>
    <col min="34" max="34" width="9.5703125" style="141" bestFit="1" customWidth="1"/>
    <col min="35" max="35" width="9.140625" style="141"/>
  </cols>
  <sheetData>
    <row r="2" spans="2:35">
      <c r="C2" s="1114" t="s">
        <v>760</v>
      </c>
      <c r="M2" s="1122" t="s">
        <v>761</v>
      </c>
      <c r="X2" s="1705" t="s">
        <v>1494</v>
      </c>
      <c r="AB2" s="1705" t="s">
        <v>1497</v>
      </c>
      <c r="AE2" s="1705" t="s">
        <v>1562</v>
      </c>
    </row>
    <row r="3" spans="2:35" ht="30.75" thickBot="1">
      <c r="C3" s="1115" t="s">
        <v>726</v>
      </c>
      <c r="D3" s="1115" t="s">
        <v>727</v>
      </c>
      <c r="E3" s="1124">
        <v>2016</v>
      </c>
      <c r="F3" s="1124">
        <v>2017</v>
      </c>
      <c r="G3" s="1124">
        <v>2018</v>
      </c>
      <c r="H3" s="1124">
        <v>2019</v>
      </c>
      <c r="I3" s="1124">
        <v>2020</v>
      </c>
      <c r="J3" s="1124">
        <v>2021</v>
      </c>
      <c r="K3" s="1124">
        <v>2022</v>
      </c>
      <c r="M3" s="1123" t="s">
        <v>726</v>
      </c>
      <c r="N3" s="1123" t="s">
        <v>727</v>
      </c>
      <c r="O3" s="1125">
        <v>2016</v>
      </c>
      <c r="P3" s="1125">
        <v>2017</v>
      </c>
      <c r="Q3" s="1125">
        <v>2018</v>
      </c>
      <c r="R3" s="1125">
        <v>2019</v>
      </c>
      <c r="S3" s="1125">
        <v>2020</v>
      </c>
      <c r="T3" s="1125">
        <v>2021</v>
      </c>
      <c r="U3" s="1125">
        <v>2022</v>
      </c>
      <c r="X3" s="1704">
        <v>2017</v>
      </c>
      <c r="Y3" s="1704">
        <v>2017</v>
      </c>
      <c r="AB3" s="1706" t="s">
        <v>1495</v>
      </c>
      <c r="AC3" s="1706" t="s">
        <v>1496</v>
      </c>
      <c r="AE3" s="1829" t="s">
        <v>1495</v>
      </c>
      <c r="AF3" s="1829" t="s">
        <v>1496</v>
      </c>
    </row>
    <row r="5" spans="2:35" s="1126" customFormat="1">
      <c r="B5" s="1126" t="s">
        <v>499</v>
      </c>
      <c r="C5" s="1127">
        <v>121827.155</v>
      </c>
      <c r="D5" s="1127">
        <v>319929.83399999997</v>
      </c>
      <c r="E5" s="1127">
        <v>434569.95832999999</v>
      </c>
      <c r="F5" s="1127">
        <f>'Sale Plan &amp; KPIs'!N12</f>
        <v>729999.68200000003</v>
      </c>
      <c r="G5" s="1590">
        <v>980067.35800000001</v>
      </c>
      <c r="H5" s="1590">
        <v>1372094.301</v>
      </c>
      <c r="I5" s="1590">
        <v>1783722.591</v>
      </c>
      <c r="J5" s="1590">
        <v>2318839.3689999999</v>
      </c>
      <c r="K5" s="1590">
        <v>3014491.179</v>
      </c>
      <c r="M5" s="1128"/>
      <c r="N5" s="1128"/>
      <c r="O5" s="1128"/>
      <c r="P5" s="1128"/>
      <c r="Q5" s="1128"/>
      <c r="R5" s="1128"/>
      <c r="S5" s="1128"/>
      <c r="T5" s="1128"/>
      <c r="U5" s="1128"/>
      <c r="X5" s="1127">
        <v>700156.68629347836</v>
      </c>
      <c r="Y5" s="1128"/>
      <c r="AB5" s="1127">
        <v>286408.68200000003</v>
      </c>
      <c r="AC5" s="1128"/>
      <c r="AE5" s="1127">
        <f>F5-AB5</f>
        <v>443591</v>
      </c>
      <c r="AF5" s="1128"/>
      <c r="AH5" s="7"/>
      <c r="AI5" s="7"/>
    </row>
    <row r="6" spans="2:35" s="1126" customFormat="1">
      <c r="B6" s="1126" t="s">
        <v>206</v>
      </c>
      <c r="C6" s="1127">
        <v>116699.148</v>
      </c>
      <c r="D6" s="1127">
        <v>312309.09950000001</v>
      </c>
      <c r="E6" s="1127">
        <v>428323.51582999999</v>
      </c>
      <c r="F6" s="1828">
        <f>'Sale Plan &amp; KPIs'!N15</f>
        <v>721081.58529999992</v>
      </c>
      <c r="G6" s="1127">
        <v>966153.14998061094</v>
      </c>
      <c r="H6" s="1127">
        <v>1351788.1862255593</v>
      </c>
      <c r="I6" s="1127">
        <v>1762533.0784256798</v>
      </c>
      <c r="J6" s="1127">
        <v>2290631.0416128035</v>
      </c>
      <c r="K6" s="1127">
        <v>2977820.3540966678</v>
      </c>
      <c r="M6" s="1128"/>
      <c r="N6" s="1128"/>
      <c r="O6" s="1128"/>
      <c r="P6" s="1128"/>
      <c r="Q6" s="1594"/>
      <c r="R6" s="1594"/>
      <c r="S6" s="1594"/>
      <c r="T6" s="1594"/>
      <c r="U6" s="1594"/>
      <c r="X6" s="1127">
        <v>686153.55256760889</v>
      </c>
      <c r="Y6" s="1128"/>
      <c r="AB6" s="1127">
        <v>292070.06744000001</v>
      </c>
      <c r="AC6" s="1128"/>
      <c r="AE6" s="1127">
        <f>F6-AB6</f>
        <v>429011.51785999991</v>
      </c>
      <c r="AF6" s="1128"/>
      <c r="AH6" s="7"/>
      <c r="AI6" s="7"/>
    </row>
    <row r="7" spans="2:35" s="1252" customFormat="1">
      <c r="B7" s="1252" t="s">
        <v>1203</v>
      </c>
      <c r="C7" s="1253"/>
      <c r="D7" s="1253"/>
      <c r="E7" s="1254">
        <f>'GA Cost Projection'!C6</f>
        <v>0.10689622786680239</v>
      </c>
      <c r="F7" s="1254">
        <f>'GA Cost Projection'!D6</f>
        <v>0.61842576018506712</v>
      </c>
      <c r="G7" s="1254">
        <f>'GA Cost Projection'!E6</f>
        <v>0.85610776491493668</v>
      </c>
      <c r="H7" s="1254">
        <f>'GA Cost Projection'!F6</f>
        <v>0.85991821890981623</v>
      </c>
      <c r="I7" s="1254">
        <f>'GA Cost Projection'!G6</f>
        <v>0.91478013993915797</v>
      </c>
      <c r="J7" s="1254">
        <f>'GA Cost Projection'!H6</f>
        <v>0.92974809987159523</v>
      </c>
      <c r="K7" s="1254">
        <f>'GA Cost Projection'!I6</f>
        <v>0.95777370447542065</v>
      </c>
      <c r="M7" s="1255"/>
      <c r="N7" s="1255"/>
      <c r="O7" s="1255"/>
      <c r="P7" s="1255"/>
      <c r="Q7" s="1595"/>
      <c r="R7" s="1595"/>
      <c r="S7" s="1595"/>
      <c r="T7" s="1595"/>
      <c r="U7" s="1595"/>
      <c r="X7" s="1254">
        <v>0.61842576018506712</v>
      </c>
      <c r="Y7" s="1255"/>
      <c r="AB7" s="1254">
        <v>0.63318018062036252</v>
      </c>
      <c r="AC7" s="1255"/>
      <c r="AE7" s="1254">
        <v>0.63318018062036252</v>
      </c>
      <c r="AF7" s="1255"/>
      <c r="AH7" s="1900"/>
      <c r="AI7" s="1900"/>
    </row>
    <row r="8" spans="2:35" s="1126" customFormat="1">
      <c r="C8" s="1127"/>
      <c r="D8" s="1127"/>
      <c r="E8" s="1127"/>
      <c r="F8" s="1127"/>
      <c r="G8" s="1127"/>
      <c r="H8" s="1127"/>
      <c r="I8" s="1127"/>
      <c r="J8" s="1127"/>
      <c r="K8" s="1127"/>
      <c r="M8" s="1128"/>
      <c r="N8" s="1128"/>
      <c r="O8" s="1128"/>
      <c r="P8" s="1128"/>
      <c r="Q8" s="1127"/>
      <c r="R8" s="1128"/>
      <c r="S8" s="1128"/>
      <c r="T8" s="1128"/>
      <c r="U8" s="1128"/>
      <c r="X8" s="1127"/>
      <c r="Y8" s="1128"/>
      <c r="AB8" s="1127"/>
      <c r="AC8" s="1128"/>
      <c r="AE8" s="1127"/>
      <c r="AF8" s="1128"/>
      <c r="AH8" s="7"/>
      <c r="AI8" s="7"/>
    </row>
    <row r="9" spans="2:35" s="1126" customFormat="1">
      <c r="B9" s="1126" t="s">
        <v>1484</v>
      </c>
      <c r="C9" s="1127">
        <f>C11-C72</f>
        <v>108371.23842452624</v>
      </c>
      <c r="D9" s="1127">
        <f t="shared" ref="D9:K9" si="0">D11-D72</f>
        <v>314761.5980192796</v>
      </c>
      <c r="E9" s="1127">
        <f t="shared" si="0"/>
        <v>427599.37121665542</v>
      </c>
      <c r="F9" s="1127">
        <f t="shared" si="0"/>
        <v>760078.52337206434</v>
      </c>
      <c r="G9" s="1127">
        <f t="shared" si="0"/>
        <v>883851.21306407056</v>
      </c>
      <c r="H9" s="1127">
        <f t="shared" si="0"/>
        <v>1069889.0869578107</v>
      </c>
      <c r="I9" s="1127">
        <f t="shared" si="0"/>
        <v>1298202.1011589477</v>
      </c>
      <c r="J9" s="1127">
        <f t="shared" si="0"/>
        <v>1579173.9588275289</v>
      </c>
      <c r="K9" s="1127">
        <f t="shared" si="0"/>
        <v>1940929.1809833762</v>
      </c>
      <c r="M9" s="1128">
        <f>C9/C$6</f>
        <v>0.92863778598046176</v>
      </c>
      <c r="N9" s="1128">
        <f>D9/D$6</f>
        <v>1.0078527923880731</v>
      </c>
      <c r="O9" s="1128">
        <f t="shared" ref="O9" si="1">E9/E$6</f>
        <v>0.99830935125767883</v>
      </c>
      <c r="P9" s="1128">
        <f t="shared" ref="P9" si="2">F9/F$6</f>
        <v>1.0540811731530213</v>
      </c>
      <c r="Q9" s="1128">
        <f t="shared" ref="Q9" si="3">G9/G$6</f>
        <v>0.91481481282942356</v>
      </c>
      <c r="R9" s="1128">
        <f t="shared" ref="R9" si="4">H9/H$6</f>
        <v>0.79146207805317292</v>
      </c>
      <c r="S9" s="1128">
        <f t="shared" ref="S9" si="5">I9/I$6</f>
        <v>0.73655474444685076</v>
      </c>
      <c r="T9" s="1128">
        <f t="shared" ref="T9" si="6">J9/J$6</f>
        <v>0.68940563981690084</v>
      </c>
      <c r="U9" s="1128">
        <f t="shared" ref="U9" si="7">K9/K$6</f>
        <v>0.65179525632336666</v>
      </c>
      <c r="X9" s="1127">
        <v>687984.16387190216</v>
      </c>
      <c r="Y9" s="1128">
        <v>1.0026679324146075</v>
      </c>
      <c r="AB9" s="1127"/>
      <c r="AC9" s="1128"/>
      <c r="AE9" s="1127"/>
      <c r="AF9" s="1128"/>
      <c r="AH9" s="7"/>
      <c r="AI9" s="7"/>
    </row>
    <row r="10" spans="2:35" s="1126" customFormat="1">
      <c r="C10" s="1127"/>
      <c r="D10" s="1127"/>
      <c r="E10" s="1127"/>
      <c r="F10" s="1127"/>
      <c r="G10" s="1127"/>
      <c r="H10" s="1127"/>
      <c r="I10" s="1127"/>
      <c r="J10" s="1127"/>
      <c r="K10" s="1127"/>
      <c r="M10" s="1128"/>
      <c r="N10" s="1128"/>
      <c r="O10" s="1128"/>
      <c r="P10" s="1128"/>
      <c r="Q10" s="1127"/>
      <c r="R10" s="1128"/>
      <c r="S10" s="1128"/>
      <c r="T10" s="1128"/>
      <c r="U10" s="1128"/>
      <c r="X10" s="1127"/>
      <c r="Y10" s="1128"/>
      <c r="AB10" s="1127"/>
      <c r="AC10" s="1128"/>
      <c r="AE10" s="1127"/>
      <c r="AF10" s="1128"/>
      <c r="AH10" s="7"/>
      <c r="AI10" s="7"/>
    </row>
    <row r="11" spans="2:35" s="1126" customFormat="1">
      <c r="B11" s="1126" t="s">
        <v>759</v>
      </c>
      <c r="C11" s="1127">
        <f>C18+C20+C25+C35+C40+C49+C58</f>
        <v>108371.23842452624</v>
      </c>
      <c r="D11" s="1127">
        <f t="shared" ref="D11:K11" si="8">D18+D20+D25+D35+D40+D49+D58</f>
        <v>314761.5980192796</v>
      </c>
      <c r="E11" s="1127">
        <f t="shared" si="8"/>
        <v>427599.37121665542</v>
      </c>
      <c r="F11" s="1127">
        <f t="shared" si="8"/>
        <v>767014.70351836435</v>
      </c>
      <c r="G11" s="1127">
        <f t="shared" si="8"/>
        <v>936823.74170687725</v>
      </c>
      <c r="H11" s="1127">
        <f t="shared" si="8"/>
        <v>1228585.0710474933</v>
      </c>
      <c r="I11" s="1127">
        <f t="shared" si="8"/>
        <v>1530453.562254875</v>
      </c>
      <c r="J11" s="1127">
        <f t="shared" si="8"/>
        <v>1909559.6112658789</v>
      </c>
      <c r="K11" s="1127">
        <f t="shared" si="8"/>
        <v>2391605.9463532399</v>
      </c>
      <c r="M11" s="1128">
        <f>M18+M20+M25+M35+M40+M49+M58</f>
        <v>0.92863778598046176</v>
      </c>
      <c r="N11" s="1128">
        <f t="shared" ref="N11:U11" si="9">N18+N20+N25+N35+N40+N49+N58</f>
        <v>1.0078527923880731</v>
      </c>
      <c r="O11" s="1128">
        <f t="shared" si="9"/>
        <v>0.99830935125767872</v>
      </c>
      <c r="P11" s="1128">
        <f>P18+P20+P25+P35+P40+P49+P58</f>
        <v>1.0637003068096025</v>
      </c>
      <c r="Q11" s="1128">
        <f t="shared" si="9"/>
        <v>0.96964310650508967</v>
      </c>
      <c r="R11" s="1128">
        <f t="shared" si="9"/>
        <v>0.9088591567573383</v>
      </c>
      <c r="S11" s="1128">
        <f t="shared" si="9"/>
        <v>0.86832615001013114</v>
      </c>
      <c r="T11" s="1128">
        <f t="shared" si="9"/>
        <v>0.83363910493476201</v>
      </c>
      <c r="U11" s="1128">
        <f t="shared" si="9"/>
        <v>0.80313976733453485</v>
      </c>
      <c r="X11" s="1127">
        <v>681962.04387448507</v>
      </c>
      <c r="Y11" s="1128">
        <v>0.99389129637609663</v>
      </c>
      <c r="AB11" s="1127">
        <v>304626.41253834625</v>
      </c>
      <c r="AC11" s="1128">
        <v>1.0429908658850351</v>
      </c>
      <c r="AE11" s="1127">
        <f t="shared" ref="AE11" si="10">AE18+AE20+AE25+AE35+AE40+AE49+AE58</f>
        <v>462388.29098001827</v>
      </c>
      <c r="AF11" s="1128">
        <f>AF18+AF20+AF25+AF35+AF40+AF49+AF58</f>
        <v>1.0777992471775788</v>
      </c>
      <c r="AH11" s="1901"/>
      <c r="AI11" s="1901"/>
    </row>
    <row r="12" spans="2:35" s="1126" customFormat="1">
      <c r="B12" s="1126" t="s">
        <v>1204</v>
      </c>
      <c r="C12" s="1127">
        <f>C18+C20+C25+C35+C40+C49</f>
        <v>105529.13901799999</v>
      </c>
      <c r="D12" s="1127">
        <f t="shared" ref="D12:K12" si="11">D18+D20+D25+D35+D40+D49</f>
        <v>307237.09797727957</v>
      </c>
      <c r="E12" s="1127">
        <f t="shared" si="11"/>
        <v>412674.7747351554</v>
      </c>
      <c r="F12" s="1127">
        <f>F18+F20+F25+F35+F40+F49</f>
        <v>637230.37180371326</v>
      </c>
      <c r="G12" s="1127">
        <f t="shared" si="11"/>
        <v>736198.4977753812</v>
      </c>
      <c r="H12" s="1127">
        <f t="shared" si="11"/>
        <v>979354.62176020746</v>
      </c>
      <c r="I12" s="1127">
        <f t="shared" si="11"/>
        <v>1211103.8097599219</v>
      </c>
      <c r="J12" s="1127">
        <f t="shared" si="11"/>
        <v>1507150.3486066153</v>
      </c>
      <c r="K12" s="1127">
        <f t="shared" si="11"/>
        <v>1862905.5630322422</v>
      </c>
      <c r="M12" s="1128">
        <f>M18+M20+M25+M35+M40+M49</f>
        <v>0.90428371437638932</v>
      </c>
      <c r="N12" s="1128">
        <f t="shared" ref="N12:U12" si="12">N18+N20+N25+N35+N40+N49</f>
        <v>0.98375967421109212</v>
      </c>
      <c r="O12" s="1128">
        <f t="shared" si="12"/>
        <v>0.96346513670975853</v>
      </c>
      <c r="P12" s="1128">
        <f>P18+P20+P25+P35+P40+P49</f>
        <v>0.88371466529491116</v>
      </c>
      <c r="Q12" s="1128">
        <f t="shared" si="12"/>
        <v>0.76198944006978142</v>
      </c>
      <c r="R12" s="1128">
        <f t="shared" si="12"/>
        <v>0.72448822362824883</v>
      </c>
      <c r="S12" s="1128">
        <f t="shared" si="12"/>
        <v>0.68713820159431993</v>
      </c>
      <c r="T12" s="1128">
        <f t="shared" si="12"/>
        <v>0.65796294611700124</v>
      </c>
      <c r="U12" s="1128">
        <f t="shared" si="12"/>
        <v>0.62559366970186536</v>
      </c>
      <c r="X12" s="1127">
        <v>571968.43629853788</v>
      </c>
      <c r="Y12" s="1128">
        <v>0.83358664275396277</v>
      </c>
      <c r="AB12" s="1127">
        <v>253610.70547934624</v>
      </c>
      <c r="AC12" s="1128">
        <v>0.86832145348631284</v>
      </c>
      <c r="AE12" s="1127">
        <f>AE18+AE20+AE25+AE35+AE40+AE49</f>
        <v>383619.66632436716</v>
      </c>
      <c r="AF12" s="1128">
        <f>AF18+AF20+AF25+AF35+AF40+AF49</f>
        <v>0.8941943289493558</v>
      </c>
      <c r="AH12" s="1901"/>
      <c r="AI12" s="1901"/>
    </row>
    <row r="13" spans="2:35" s="1126" customFormat="1">
      <c r="B13" s="1126" t="s">
        <v>1237</v>
      </c>
      <c r="C13" s="1127">
        <f>C18+C20+C25+C35+C41+C49</f>
        <v>93969.139017999987</v>
      </c>
      <c r="D13" s="1127">
        <f t="shared" ref="D13:K13" si="13">D18+D20+D25+D35+D41+D49</f>
        <v>269975.13000872405</v>
      </c>
      <c r="E13" s="1127">
        <f t="shared" si="13"/>
        <v>351835.93712756061</v>
      </c>
      <c r="F13" s="1127">
        <f t="shared" si="13"/>
        <v>597108.11176211271</v>
      </c>
      <c r="G13" s="1127">
        <f t="shared" si="13"/>
        <v>722341.88089168095</v>
      </c>
      <c r="H13" s="1127">
        <f t="shared" si="13"/>
        <v>969309.0420540527</v>
      </c>
      <c r="I13" s="1127">
        <f t="shared" si="13"/>
        <v>1205135.9236828163</v>
      </c>
      <c r="J13" s="1127">
        <f t="shared" si="13"/>
        <v>1502955.8249632346</v>
      </c>
      <c r="K13" s="1127">
        <f t="shared" si="13"/>
        <v>1858520.5316944076</v>
      </c>
      <c r="M13" s="1128">
        <f>M18+M20+M25+M35+M41+M49</f>
        <v>0.80522557900765468</v>
      </c>
      <c r="N13" s="1128">
        <f t="shared" ref="N13:U13" si="14">N18+N20+N25+N35+N41+N49</f>
        <v>0.86444849170564764</v>
      </c>
      <c r="O13" s="1128">
        <f t="shared" si="14"/>
        <v>0.82142568438199626</v>
      </c>
      <c r="P13" s="1128">
        <f t="shared" si="14"/>
        <v>0.82807288930238165</v>
      </c>
      <c r="Q13" s="1128">
        <f t="shared" si="14"/>
        <v>0.74764738996729163</v>
      </c>
      <c r="R13" s="1128">
        <f t="shared" si="14"/>
        <v>0.71705689688008123</v>
      </c>
      <c r="S13" s="1128">
        <f t="shared" si="14"/>
        <v>0.68375223048821376</v>
      </c>
      <c r="T13" s="1128">
        <f t="shared" si="14"/>
        <v>0.65613178100695912</v>
      </c>
      <c r="U13" s="1128">
        <f t="shared" si="14"/>
        <v>0.62412110560584722</v>
      </c>
      <c r="X13" s="1127">
        <v>535156.37734428258</v>
      </c>
      <c r="Y13" s="1128">
        <v>0.77993675809403018</v>
      </c>
      <c r="AB13" s="1127">
        <v>229658.20547934624</v>
      </c>
      <c r="AC13" s="1128">
        <v>0.78631202263314759</v>
      </c>
      <c r="AE13" s="1127">
        <f t="shared" ref="AE13:AF13" si="15">AE18+AE20+AE25+AE35+AE41+AE49</f>
        <v>367449.90628276649</v>
      </c>
      <c r="AF13" s="1128">
        <f t="shared" si="15"/>
        <v>0.85650359252750208</v>
      </c>
      <c r="AH13" s="1901"/>
      <c r="AI13" s="1901"/>
    </row>
    <row r="14" spans="2:35" s="1126" customFormat="1">
      <c r="B14" s="1126" t="s">
        <v>1238</v>
      </c>
      <c r="C14" s="1127">
        <f>C18+C20+C25+C35+C41</f>
        <v>66787.704243</v>
      </c>
      <c r="D14" s="1127">
        <f t="shared" ref="D14:K14" si="16">D18+D20+D25+D35+D41</f>
        <v>197883.44426972407</v>
      </c>
      <c r="E14" s="1127">
        <f t="shared" si="16"/>
        <v>264584.99569134234</v>
      </c>
      <c r="F14" s="1127">
        <f t="shared" si="16"/>
        <v>488988.6986781194</v>
      </c>
      <c r="G14" s="1127">
        <f t="shared" si="16"/>
        <v>578799.66956067435</v>
      </c>
      <c r="H14" s="1127">
        <f t="shared" si="16"/>
        <v>788480.00823590788</v>
      </c>
      <c r="I14" s="1127">
        <f t="shared" si="16"/>
        <v>994332.3658402483</v>
      </c>
      <c r="J14" s="1127">
        <f t="shared" si="16"/>
        <v>1259407.4462180822</v>
      </c>
      <c r="K14" s="1127">
        <f t="shared" si="16"/>
        <v>1612559.0219076409</v>
      </c>
      <c r="M14" s="1128">
        <f>M18+M20+M25+M35+M41</f>
        <v>0.57230669964274283</v>
      </c>
      <c r="N14" s="1128">
        <f t="shared" ref="N14:U14" si="17">N18+N20+N25+N35+N41</f>
        <v>0.63361408484905213</v>
      </c>
      <c r="O14" s="1128">
        <f t="shared" si="17"/>
        <v>0.61772231949168788</v>
      </c>
      <c r="P14" s="1128">
        <f t="shared" si="17"/>
        <v>0.67813227885257921</v>
      </c>
      <c r="Q14" s="1128">
        <f t="shared" si="17"/>
        <v>0.59907652277725321</v>
      </c>
      <c r="R14" s="1128">
        <f t="shared" si="17"/>
        <v>0.58328665412995573</v>
      </c>
      <c r="S14" s="1128">
        <f t="shared" si="17"/>
        <v>0.56414961966467059</v>
      </c>
      <c r="T14" s="1128">
        <f t="shared" si="17"/>
        <v>0.54980807617596505</v>
      </c>
      <c r="U14" s="1128">
        <f t="shared" si="17"/>
        <v>0.54152327211048845</v>
      </c>
      <c r="X14" s="1127">
        <v>428642.810597701</v>
      </c>
      <c r="Y14" s="1128">
        <v>0.6247039150255882</v>
      </c>
      <c r="AB14" s="1127">
        <v>183920.87217700001</v>
      </c>
      <c r="AC14" s="1128">
        <v>0.6297148961174629</v>
      </c>
      <c r="AE14" s="1127">
        <f t="shared" ref="AE14:AF14" si="18">AE18+AE20+AE25+AE35+AE41</f>
        <v>305067.82650111942</v>
      </c>
      <c r="AF14" s="1128">
        <f t="shared" si="18"/>
        <v>0.71109472310408406</v>
      </c>
      <c r="AH14" s="1901"/>
      <c r="AI14" s="1901"/>
    </row>
    <row r="15" spans="2:35" s="1126" customFormat="1">
      <c r="C15" s="1127"/>
      <c r="D15" s="1127"/>
      <c r="E15" s="1127"/>
      <c r="F15" s="1127"/>
      <c r="G15" s="1127"/>
      <c r="H15" s="1127"/>
      <c r="I15" s="1127"/>
      <c r="J15" s="1127"/>
      <c r="K15" s="1127"/>
      <c r="M15" s="1128"/>
      <c r="N15" s="1128"/>
      <c r="O15" s="1128"/>
      <c r="P15" s="1128"/>
      <c r="Q15" s="1128"/>
      <c r="R15" s="1128"/>
      <c r="S15" s="1128"/>
      <c r="T15" s="1128"/>
      <c r="U15" s="1128"/>
      <c r="X15" s="1127"/>
      <c r="Y15" s="1128"/>
      <c r="AB15" s="1127"/>
      <c r="AC15" s="1128"/>
      <c r="AE15" s="1127"/>
      <c r="AF15" s="1128"/>
      <c r="AH15" s="1901"/>
      <c r="AI15" s="1901"/>
    </row>
    <row r="16" spans="2:35" s="1126" customFormat="1">
      <c r="C16" s="1127"/>
      <c r="D16" s="1127"/>
      <c r="E16" s="1127"/>
      <c r="F16" s="1127"/>
      <c r="G16" s="1127"/>
      <c r="H16" s="1127"/>
      <c r="I16" s="1127"/>
      <c r="J16" s="1127"/>
      <c r="K16" s="1127"/>
      <c r="M16" s="1128"/>
      <c r="N16" s="1128"/>
      <c r="O16" s="1128"/>
      <c r="P16" s="1128"/>
      <c r="Q16" s="1128"/>
      <c r="R16" s="1128"/>
      <c r="S16" s="1128"/>
      <c r="T16" s="1128"/>
      <c r="U16" s="1128"/>
      <c r="X16" s="1127"/>
      <c r="Y16" s="1128"/>
      <c r="AB16" s="1127"/>
      <c r="AC16" s="1128"/>
      <c r="AE16" s="1127"/>
      <c r="AF16" s="1128"/>
      <c r="AH16" s="1901"/>
      <c r="AI16" s="1901"/>
    </row>
    <row r="17" spans="2:35">
      <c r="AH17" s="1901"/>
      <c r="AI17" s="1901"/>
    </row>
    <row r="18" spans="2:35" s="1126" customFormat="1">
      <c r="B18" s="1827" t="s">
        <v>728</v>
      </c>
      <c r="C18" s="1127">
        <v>34879.911</v>
      </c>
      <c r="D18" s="1127">
        <v>99342.799446000005</v>
      </c>
      <c r="E18" s="1127">
        <v>134174.375505</v>
      </c>
      <c r="F18" s="1127">
        <f>AB18+AE18</f>
        <v>231670.69651449996</v>
      </c>
      <c r="G18" s="1127">
        <f>'Long term projection'!J31</f>
        <v>301352.16735766613</v>
      </c>
      <c r="H18" s="1127">
        <f>'Long term projection'!K31</f>
        <v>420937.84090831759</v>
      </c>
      <c r="I18" s="1127">
        <f>'Long term projection'!L31</f>
        <v>542783.81664517662</v>
      </c>
      <c r="J18" s="1127">
        <f>'Long term projection'!M31</f>
        <v>705502.83938576467</v>
      </c>
      <c r="K18" s="1127">
        <f>'Long term projection'!N31</f>
        <v>917153.6912014971</v>
      </c>
      <c r="M18" s="1128">
        <f>C18/C$6</f>
        <v>0.29888745203178346</v>
      </c>
      <c r="N18" s="1128">
        <f>D18/D$6</f>
        <v>0.31809127433381107</v>
      </c>
      <c r="O18" s="1128">
        <f t="shared" ref="O18:U18" si="19">E18/E$6</f>
        <v>0.31325474914679519</v>
      </c>
      <c r="P18" s="1128">
        <f t="shared" si="19"/>
        <v>0.3212822255308535</v>
      </c>
      <c r="Q18" s="1128">
        <f t="shared" si="19"/>
        <v>0.31190931516780107</v>
      </c>
      <c r="R18" s="1128">
        <f t="shared" si="19"/>
        <v>0.31139334194335083</v>
      </c>
      <c r="S18" s="1128">
        <f t="shared" si="19"/>
        <v>0.30795666946006994</v>
      </c>
      <c r="T18" s="1128">
        <f t="shared" si="19"/>
        <v>0.30799497019346656</v>
      </c>
      <c r="U18" s="1128">
        <f t="shared" si="19"/>
        <v>0.30799497019346517</v>
      </c>
      <c r="X18" s="1127">
        <v>217279.47454649099</v>
      </c>
      <c r="Y18" s="1128">
        <v>0.31666304682592422</v>
      </c>
      <c r="AB18" s="1127">
        <v>92241.953209999992</v>
      </c>
      <c r="AC18" s="1128">
        <v>0.31582131650292877</v>
      </c>
      <c r="AE18" s="1828">
        <f>'2017 Scheme &amp; cost projection'!R22*'Cost projection summary'!AE6</f>
        <v>139428.74330449998</v>
      </c>
      <c r="AF18" s="1128">
        <f>AE18/$AE$6</f>
        <v>0.32500000000000001</v>
      </c>
      <c r="AH18" s="1901"/>
      <c r="AI18" s="1901"/>
    </row>
    <row r="19" spans="2:35">
      <c r="AH19" s="1901"/>
      <c r="AI19" s="1901"/>
    </row>
    <row r="20" spans="2:35" s="1126" customFormat="1">
      <c r="B20" s="1126" t="s">
        <v>729</v>
      </c>
      <c r="C20" s="1127">
        <f>SUM(C21:C23)</f>
        <v>9763.7780840000014</v>
      </c>
      <c r="D20" s="1127">
        <f t="shared" ref="D20:K20" si="20">SUM(D21:D23)</f>
        <v>29740.268093999999</v>
      </c>
      <c r="E20" s="1127">
        <f t="shared" si="20"/>
        <v>41439.199822999995</v>
      </c>
      <c r="F20" s="1127">
        <f t="shared" si="20"/>
        <v>49910.602061377867</v>
      </c>
      <c r="G20" s="1127">
        <f t="shared" si="20"/>
        <v>57273.16756066071</v>
      </c>
      <c r="H20" s="1127">
        <f t="shared" si="20"/>
        <v>77499.043385196477</v>
      </c>
      <c r="I20" s="1127">
        <f t="shared" si="20"/>
        <v>95329.447578986204</v>
      </c>
      <c r="J20" s="1127">
        <f t="shared" si="20"/>
        <v>119947.44688965527</v>
      </c>
      <c r="K20" s="1127">
        <f t="shared" si="20"/>
        <v>151737.96553586118</v>
      </c>
      <c r="M20" s="1128">
        <f t="shared" ref="M20:N23" si="21">C20/C$6</f>
        <v>8.3666232798889004E-2</v>
      </c>
      <c r="N20" s="1128">
        <f t="shared" si="21"/>
        <v>9.5227030341458227E-2</v>
      </c>
      <c r="O20" s="1128">
        <f t="shared" ref="O20:O23" si="22">E20/E$6</f>
        <v>9.6747431069012471E-2</v>
      </c>
      <c r="P20" s="1128">
        <f t="shared" ref="P20:P23" si="23">F20/F$6</f>
        <v>6.9216303784283964E-2</v>
      </c>
      <c r="Q20" s="1128">
        <f t="shared" ref="Q20:Q23" si="24">G20/G$6</f>
        <v>5.9279595126104062E-2</v>
      </c>
      <c r="R20" s="1128">
        <f t="shared" ref="R20:R23" si="25">H20/H$6</f>
        <v>5.7330759489464117E-2</v>
      </c>
      <c r="S20" s="1128">
        <f t="shared" ref="S20:S23" si="26">I20/I$6</f>
        <v>5.408661473981291E-2</v>
      </c>
      <c r="T20" s="1128">
        <f t="shared" ref="T20:T23" si="27">J20/J$6</f>
        <v>5.2364368032488479E-2</v>
      </c>
      <c r="U20" s="1128">
        <f t="shared" ref="U20:U23" si="28">K20/K$6</f>
        <v>5.0956050900488728E-2</v>
      </c>
      <c r="X20" s="1127">
        <v>42161.007169136763</v>
      </c>
      <c r="Y20" s="1128">
        <v>6.1445440326540472E-2</v>
      </c>
      <c r="AB20" s="1127">
        <v>19499.6381</v>
      </c>
      <c r="AC20" s="1128">
        <v>6.6763562151078051E-2</v>
      </c>
      <c r="AE20" s="1127">
        <f t="shared" ref="AE20" si="29">SUM(AE21:AE23)</f>
        <v>30410.963961377871</v>
      </c>
      <c r="AF20" s="1128">
        <f>AE20/$AE$6</f>
        <v>7.0886124720087207E-2</v>
      </c>
      <c r="AH20" s="1901"/>
      <c r="AI20" s="1901"/>
    </row>
    <row r="21" spans="2:35">
      <c r="B21" s="885" t="s">
        <v>556</v>
      </c>
      <c r="C21" s="442">
        <v>4858.1800440000006</v>
      </c>
      <c r="D21" s="442">
        <v>14632.381222</v>
      </c>
      <c r="E21" s="442">
        <v>20152.059366999998</v>
      </c>
      <c r="F21" s="442">
        <f>AB21+AE21</f>
        <v>37456.773320652232</v>
      </c>
      <c r="G21" s="442">
        <f>'Long term projection'!J166</f>
        <v>43592.065685364112</v>
      </c>
      <c r="H21" s="442">
        <f>'Long term projection'!K166</f>
        <v>58795.190979107196</v>
      </c>
      <c r="I21" s="442">
        <f>'Long term projection'!L166</f>
        <v>72708.376664911033</v>
      </c>
      <c r="J21" s="442">
        <f>'Long term projection'!M166</f>
        <v>90598.176256932638</v>
      </c>
      <c r="K21" s="442">
        <f>'Long term projection'!N166</f>
        <v>114042.03671902469</v>
      </c>
      <c r="M21" s="583">
        <f t="shared" si="21"/>
        <v>4.1629952979605304E-2</v>
      </c>
      <c r="N21" s="583">
        <f t="shared" si="21"/>
        <v>4.6852241082395996E-2</v>
      </c>
      <c r="O21" s="583">
        <f t="shared" si="22"/>
        <v>4.7048687784394902E-2</v>
      </c>
      <c r="P21" s="583">
        <f t="shared" si="23"/>
        <v>5.194526400929883E-2</v>
      </c>
      <c r="Q21" s="583">
        <f t="shared" si="24"/>
        <v>4.5119208777861908E-2</v>
      </c>
      <c r="R21" s="583">
        <f t="shared" si="25"/>
        <v>4.3494381426186418E-2</v>
      </c>
      <c r="S21" s="583">
        <f t="shared" si="26"/>
        <v>4.1252205450722779E-2</v>
      </c>
      <c r="T21" s="583">
        <f t="shared" si="27"/>
        <v>3.9551623378483357E-2</v>
      </c>
      <c r="U21" s="583">
        <f t="shared" si="28"/>
        <v>3.8297151324838644E-2</v>
      </c>
      <c r="X21" s="442">
        <v>31834.522245987071</v>
      </c>
      <c r="Y21" s="583">
        <v>4.6395624021563768E-2</v>
      </c>
      <c r="AB21" s="442">
        <v>14636.061694999999</v>
      </c>
      <c r="AC21" s="583">
        <v>5.0111474357113592E-2</v>
      </c>
      <c r="AE21" s="442">
        <f>'2017 Scheme &amp; cost projection'!Y234</f>
        <v>22820.711625652235</v>
      </c>
      <c r="AF21" s="583">
        <f t="shared" ref="AF21:AF67" si="30">AE21/$AE$6</f>
        <v>5.3193703841534989E-2</v>
      </c>
      <c r="AH21" s="1901"/>
      <c r="AI21" s="1901"/>
    </row>
    <row r="22" spans="2:35">
      <c r="B22" s="885" t="s">
        <v>730</v>
      </c>
      <c r="C22" s="442">
        <v>3497.2014280000003</v>
      </c>
      <c r="D22" s="442">
        <v>10901.362347999999</v>
      </c>
      <c r="E22" s="442">
        <v>14816.280462999999</v>
      </c>
      <c r="F22" s="442">
        <v>0</v>
      </c>
      <c r="G22" s="442">
        <v>0</v>
      </c>
      <c r="H22" s="442">
        <v>0</v>
      </c>
      <c r="I22" s="442">
        <v>0</v>
      </c>
      <c r="J22" s="442">
        <v>0</v>
      </c>
      <c r="K22" s="442">
        <v>0</v>
      </c>
      <c r="M22" s="583">
        <f t="shared" si="21"/>
        <v>2.9967668898491017E-2</v>
      </c>
      <c r="N22" s="583">
        <f t="shared" si="21"/>
        <v>3.4905682752929199E-2</v>
      </c>
      <c r="O22" s="583">
        <f t="shared" si="22"/>
        <v>3.4591330887563332E-2</v>
      </c>
      <c r="P22" s="583">
        <f t="shared" si="23"/>
        <v>0</v>
      </c>
      <c r="Q22" s="583">
        <f t="shared" si="24"/>
        <v>0</v>
      </c>
      <c r="R22" s="583">
        <f t="shared" si="25"/>
        <v>0</v>
      </c>
      <c r="S22" s="583">
        <f t="shared" si="26"/>
        <v>0</v>
      </c>
      <c r="T22" s="583">
        <f t="shared" si="27"/>
        <v>0</v>
      </c>
      <c r="U22" s="583">
        <f t="shared" si="28"/>
        <v>0</v>
      </c>
      <c r="X22" s="442">
        <v>0</v>
      </c>
      <c r="Y22" s="583">
        <v>0</v>
      </c>
      <c r="AF22" s="583">
        <f t="shared" si="30"/>
        <v>0</v>
      </c>
      <c r="AH22" s="1901"/>
      <c r="AI22" s="1901"/>
    </row>
    <row r="23" spans="2:35">
      <c r="B23" s="885" t="s">
        <v>36</v>
      </c>
      <c r="C23" s="442">
        <v>1408.396612</v>
      </c>
      <c r="D23" s="442">
        <v>4206.5245239999986</v>
      </c>
      <c r="E23" s="442">
        <v>6470.859993</v>
      </c>
      <c r="F23" s="442">
        <f>AB23+AE23</f>
        <v>12453.828740725636</v>
      </c>
      <c r="G23" s="442">
        <f>'Long term projection'!J202</f>
        <v>13681.101875296599</v>
      </c>
      <c r="H23" s="442">
        <f>'Long term projection'!K202</f>
        <v>18703.852406089281</v>
      </c>
      <c r="I23" s="442">
        <f>'Long term projection'!L202</f>
        <v>22621.070914075179</v>
      </c>
      <c r="J23" s="442">
        <f>'Long term projection'!M202</f>
        <v>29349.270632722633</v>
      </c>
      <c r="K23" s="442">
        <f>'Long term projection'!N202</f>
        <v>37695.928816836487</v>
      </c>
      <c r="M23" s="583">
        <f t="shared" si="21"/>
        <v>1.206861092079267E-2</v>
      </c>
      <c r="N23" s="583">
        <f t="shared" si="21"/>
        <v>1.3469106506133031E-2</v>
      </c>
      <c r="O23" s="583">
        <f t="shared" si="22"/>
        <v>1.5107412397054241E-2</v>
      </c>
      <c r="P23" s="583">
        <f t="shared" si="23"/>
        <v>1.7271039774985137E-2</v>
      </c>
      <c r="Q23" s="583">
        <f t="shared" si="24"/>
        <v>1.4160386348242156E-2</v>
      </c>
      <c r="R23" s="583">
        <f t="shared" si="25"/>
        <v>1.3836378063277701E-2</v>
      </c>
      <c r="S23" s="583">
        <f t="shared" si="26"/>
        <v>1.2834409289090137E-2</v>
      </c>
      <c r="T23" s="583">
        <f t="shared" si="27"/>
        <v>1.2812744654005122E-2</v>
      </c>
      <c r="U23" s="583">
        <f t="shared" si="28"/>
        <v>1.2658899575650083E-2</v>
      </c>
      <c r="X23" s="442">
        <v>10326.484923149696</v>
      </c>
      <c r="Y23" s="583">
        <v>1.5049816304976711E-2</v>
      </c>
      <c r="AB23" s="442">
        <v>4863.5764049999998</v>
      </c>
      <c r="AC23" s="583">
        <v>1.6652087793964456E-2</v>
      </c>
      <c r="AE23" s="442">
        <f>'2017 Scheme &amp; cost projection'!Y264</f>
        <v>7590.2523357256359</v>
      </c>
      <c r="AF23" s="583">
        <f t="shared" si="30"/>
        <v>1.7692420878552207E-2</v>
      </c>
      <c r="AH23" s="1901"/>
      <c r="AI23" s="1901"/>
    </row>
    <row r="24" spans="2:35">
      <c r="AH24" s="1901"/>
      <c r="AI24" s="1901"/>
    </row>
    <row r="25" spans="2:35" s="1126" customFormat="1">
      <c r="B25" s="1247" t="s">
        <v>731</v>
      </c>
      <c r="C25" s="1127">
        <f>SUM(C26:C33)</f>
        <v>19023.250990999997</v>
      </c>
      <c r="D25" s="1127">
        <f t="shared" ref="D25:K25" si="31">SUM(D26:D33)</f>
        <v>56028.242899451339</v>
      </c>
      <c r="E25" s="1127">
        <f t="shared" si="31"/>
        <v>63247.116502000012</v>
      </c>
      <c r="F25" s="1127">
        <f t="shared" si="31"/>
        <v>162518.89980418258</v>
      </c>
      <c r="G25" s="1127">
        <f t="shared" si="31"/>
        <v>172465.38849309826</v>
      </c>
      <c r="H25" s="1127">
        <f t="shared" si="31"/>
        <v>226522.06579639326</v>
      </c>
      <c r="I25" s="1127">
        <f t="shared" si="31"/>
        <v>285929.83688020788</v>
      </c>
      <c r="J25" s="1127">
        <f t="shared" si="31"/>
        <v>363835.62498736195</v>
      </c>
      <c r="K25" s="1127">
        <f t="shared" si="31"/>
        <v>459306.16949235147</v>
      </c>
      <c r="M25" s="1128">
        <f t="shared" ref="M25:N33" si="32">C25/C$6</f>
        <v>0.16301105292559631</v>
      </c>
      <c r="N25" s="1128">
        <f t="shared" si="32"/>
        <v>0.17939996941860267</v>
      </c>
      <c r="O25" s="1128">
        <f t="shared" ref="O25:O33" si="33">E25/E$6</f>
        <v>0.14766202219703145</v>
      </c>
      <c r="P25" s="1128">
        <f t="shared" ref="P25:P33" si="34">F25/F$6</f>
        <v>0.22538212473775485</v>
      </c>
      <c r="Q25" s="1128">
        <f t="shared" ref="Q25:Q33" si="35">G25/G$6</f>
        <v>0.17850729824413381</v>
      </c>
      <c r="R25" s="1128">
        <f t="shared" ref="R25:R33" si="36">H25/H$6</f>
        <v>0.16757215968049288</v>
      </c>
      <c r="S25" s="1128">
        <f t="shared" ref="S25:S33" si="37">I25/I$6</f>
        <v>0.16222665003008316</v>
      </c>
      <c r="T25" s="1128">
        <f t="shared" ref="T25:T33" si="38">J25/J$6</f>
        <v>0.15883641598220463</v>
      </c>
      <c r="U25" s="1128">
        <f t="shared" ref="U25:U33" si="39">K25/K$6</f>
        <v>0.15424240379728468</v>
      </c>
      <c r="X25" s="1127">
        <v>127355.6670250825</v>
      </c>
      <c r="Y25" s="1128">
        <v>0.18560811431860033</v>
      </c>
      <c r="AB25" s="1127">
        <v>54784.301049999995</v>
      </c>
      <c r="AC25" s="1128">
        <v>0.1875724600270938</v>
      </c>
      <c r="AE25" s="1127">
        <f t="shared" ref="AE25" si="40">SUM(AE26:AE33)</f>
        <v>107734.59875418256</v>
      </c>
      <c r="AF25" s="1128">
        <f t="shared" si="30"/>
        <v>0.25112285863928668</v>
      </c>
      <c r="AH25" s="1901"/>
      <c r="AI25" s="1901"/>
    </row>
    <row r="26" spans="2:35">
      <c r="B26" s="1740" t="s">
        <v>1501</v>
      </c>
      <c r="C26" s="442">
        <v>3209.8407399999996</v>
      </c>
      <c r="D26" s="442">
        <v>9716.52736</v>
      </c>
      <c r="E26" s="442">
        <v>8757.0588099999986</v>
      </c>
      <c r="F26" s="442">
        <f t="shared" ref="F26:F33" si="41">AB26+AE26</f>
        <v>2266.2385744000003</v>
      </c>
      <c r="G26" s="442">
        <v>0</v>
      </c>
      <c r="H26" s="442">
        <v>0</v>
      </c>
      <c r="I26" s="442">
        <v>0</v>
      </c>
      <c r="J26" s="442">
        <v>0</v>
      </c>
      <c r="K26" s="442">
        <v>0</v>
      </c>
      <c r="M26" s="583">
        <f t="shared" si="32"/>
        <v>2.750526284904839E-2</v>
      </c>
      <c r="N26" s="583">
        <f t="shared" si="32"/>
        <v>3.1111893235118496E-2</v>
      </c>
      <c r="O26" s="583">
        <f t="shared" si="33"/>
        <v>2.0444963879768963E-2</v>
      </c>
      <c r="P26" s="583">
        <f t="shared" si="34"/>
        <v>3.1428324070391436E-3</v>
      </c>
      <c r="Q26" s="583">
        <f t="shared" si="35"/>
        <v>0</v>
      </c>
      <c r="R26" s="583">
        <f t="shared" si="36"/>
        <v>0</v>
      </c>
      <c r="S26" s="583">
        <f t="shared" si="37"/>
        <v>0</v>
      </c>
      <c r="T26" s="583">
        <f t="shared" si="38"/>
        <v>0</v>
      </c>
      <c r="U26" s="583">
        <f t="shared" si="39"/>
        <v>0</v>
      </c>
      <c r="X26" s="442">
        <v>5037.0998253866055</v>
      </c>
      <c r="Y26" s="583">
        <v>7.3410679089798694E-3</v>
      </c>
      <c r="AB26" s="442">
        <v>927.30349999999999</v>
      </c>
      <c r="AC26" s="583">
        <v>3.1749350699571298E-3</v>
      </c>
      <c r="AE26" s="442">
        <f>'2017 Scheme &amp; cost projection'!Y113</f>
        <v>1338.9350744000003</v>
      </c>
      <c r="AF26" s="583">
        <f t="shared" si="30"/>
        <v>3.1209769870023337E-3</v>
      </c>
      <c r="AH26" s="1901"/>
      <c r="AI26" s="1901"/>
    </row>
    <row r="27" spans="2:35">
      <c r="B27" s="1740" t="s">
        <v>1502</v>
      </c>
      <c r="F27" s="442">
        <f t="shared" si="41"/>
        <v>26749.760253039996</v>
      </c>
      <c r="P27" s="583">
        <f t="shared" si="34"/>
        <v>3.7096718039070414E-2</v>
      </c>
      <c r="AB27" s="442">
        <v>8392.4387200000001</v>
      </c>
      <c r="AC27" s="583">
        <v>2.8734333489083264E-2</v>
      </c>
      <c r="AE27" s="442">
        <f>'2017 Scheme &amp; cost projection'!Y130</f>
        <v>18357.321533039998</v>
      </c>
      <c r="AF27" s="583">
        <f t="shared" si="30"/>
        <v>4.2789810456861851E-2</v>
      </c>
      <c r="AH27" s="1901"/>
      <c r="AI27" s="1901"/>
    </row>
    <row r="28" spans="2:35">
      <c r="B28" s="885" t="s">
        <v>733</v>
      </c>
      <c r="C28" s="442">
        <v>11199.023729</v>
      </c>
      <c r="D28" s="442">
        <v>31433.503821000002</v>
      </c>
      <c r="E28" s="442">
        <v>37996.168799000006</v>
      </c>
      <c r="F28" s="442">
        <f t="shared" si="41"/>
        <v>67193.815454633397</v>
      </c>
      <c r="G28" s="442">
        <f>'Long term projection'!K78</f>
        <v>77152.172055785049</v>
      </c>
      <c r="H28" s="442">
        <f>'Long term projection'!L78</f>
        <v>102868.53722917679</v>
      </c>
      <c r="I28" s="442">
        <f>'Long term projection'!M78</f>
        <v>132820.89321731927</v>
      </c>
      <c r="J28" s="442">
        <f>'Long term projection'!N78</f>
        <v>164675.55565632597</v>
      </c>
      <c r="K28" s="442">
        <f>'Long term projection'!O78</f>
        <v>207069.86580509026</v>
      </c>
      <c r="M28" s="583">
        <f t="shared" si="32"/>
        <v>9.5964914233992532E-2</v>
      </c>
      <c r="N28" s="583">
        <f t="shared" si="32"/>
        <v>0.10064869666405606</v>
      </c>
      <c r="O28" s="583">
        <f t="shared" si="33"/>
        <v>8.8709042101906319E-2</v>
      </c>
      <c r="P28" s="583">
        <f t="shared" si="34"/>
        <v>9.3184761370210242E-2</v>
      </c>
      <c r="Q28" s="583">
        <f t="shared" si="35"/>
        <v>7.985501269372601E-2</v>
      </c>
      <c r="R28" s="583">
        <f t="shared" si="36"/>
        <v>7.6098118238778684E-2</v>
      </c>
      <c r="S28" s="583">
        <f t="shared" si="37"/>
        <v>7.5357957727497982E-2</v>
      </c>
      <c r="T28" s="583">
        <f t="shared" si="38"/>
        <v>7.1890912444974142E-2</v>
      </c>
      <c r="U28" s="583">
        <f t="shared" si="39"/>
        <v>6.9537393523494001E-2</v>
      </c>
      <c r="X28" s="442">
        <v>56377.026467544536</v>
      </c>
      <c r="Y28" s="583">
        <v>8.2163862967086401E-2</v>
      </c>
      <c r="AB28" s="442">
        <v>26291.135292999999</v>
      </c>
      <c r="AC28" s="583">
        <v>9.001653446874007E-2</v>
      </c>
      <c r="AE28" s="442">
        <f>'2017 Scheme &amp; cost projection'!Y37</f>
        <v>40902.680161633398</v>
      </c>
      <c r="AF28" s="583">
        <f t="shared" si="30"/>
        <v>9.5341683052391241E-2</v>
      </c>
      <c r="AH28" s="1901"/>
      <c r="AI28" s="1901"/>
    </row>
    <row r="29" spans="2:35">
      <c r="B29" s="885" t="s">
        <v>557</v>
      </c>
      <c r="C29" s="442">
        <v>3256.6338059999998</v>
      </c>
      <c r="D29" s="442">
        <v>10454.396048000001</v>
      </c>
      <c r="E29" s="442">
        <v>12371.622794999999</v>
      </c>
      <c r="F29" s="442">
        <f t="shared" si="41"/>
        <v>28240.357549227461</v>
      </c>
      <c r="G29" s="442">
        <f>Q29*G$6</f>
        <v>28984.594499418326</v>
      </c>
      <c r="H29" s="442">
        <f t="shared" ref="H29:K30" si="42">R29*H$6</f>
        <v>40553.645586766776</v>
      </c>
      <c r="I29" s="442">
        <f t="shared" si="42"/>
        <v>49350.926195919033</v>
      </c>
      <c r="J29" s="442">
        <f t="shared" si="42"/>
        <v>59556.407081932884</v>
      </c>
      <c r="K29" s="442">
        <f t="shared" si="42"/>
        <v>77423.329206513357</v>
      </c>
      <c r="M29" s="583">
        <f t="shared" si="32"/>
        <v>2.7906234636777296E-2</v>
      </c>
      <c r="N29" s="583">
        <f t="shared" si="32"/>
        <v>3.3474516319688598E-2</v>
      </c>
      <c r="O29" s="583">
        <f t="shared" si="33"/>
        <v>2.8883828082673497E-2</v>
      </c>
      <c r="P29" s="583">
        <f t="shared" si="34"/>
        <v>3.9163886756972584E-2</v>
      </c>
      <c r="Q29" s="583">
        <v>0.03</v>
      </c>
      <c r="R29" s="583">
        <v>0.03</v>
      </c>
      <c r="S29" s="583">
        <v>2.8000000000000001E-2</v>
      </c>
      <c r="T29" s="583">
        <v>2.5999999999999999E-2</v>
      </c>
      <c r="U29" s="583">
        <v>2.5999999999999999E-2</v>
      </c>
      <c r="X29" s="442">
        <v>21120.698756170554</v>
      </c>
      <c r="Y29" s="583">
        <v>3.0781300595378706E-2</v>
      </c>
      <c r="AB29" s="442">
        <v>9968.4819069999994</v>
      </c>
      <c r="AC29" s="583">
        <v>3.4130446828646098E-2</v>
      </c>
      <c r="AE29" s="442">
        <f>'2017 Scheme &amp; cost projection'!Y326</f>
        <v>18271.87564222746</v>
      </c>
      <c r="AF29" s="583">
        <f t="shared" si="30"/>
        <v>4.2590641233530131E-2</v>
      </c>
      <c r="AH29" s="1901"/>
      <c r="AI29" s="1901"/>
    </row>
    <row r="30" spans="2:35">
      <c r="B30" s="885" t="s">
        <v>558</v>
      </c>
      <c r="C30" s="442">
        <v>1357.752716</v>
      </c>
      <c r="D30" s="442">
        <v>4423.8156704513403</v>
      </c>
      <c r="E30" s="442">
        <v>4122.2660980000001</v>
      </c>
      <c r="F30" s="442">
        <f t="shared" si="41"/>
        <v>11571.37818030925</v>
      </c>
      <c r="G30" s="442">
        <f>Q30*G$6</f>
        <v>11593.837799767331</v>
      </c>
      <c r="H30" s="442">
        <f t="shared" si="42"/>
        <v>16221.458234706712</v>
      </c>
      <c r="I30" s="442">
        <f t="shared" si="42"/>
        <v>21150.39694110816</v>
      </c>
      <c r="J30" s="442">
        <f t="shared" si="42"/>
        <v>25196.941457740835</v>
      </c>
      <c r="K30" s="442">
        <f t="shared" si="42"/>
        <v>32756.023895063343</v>
      </c>
      <c r="M30" s="583">
        <f t="shared" si="32"/>
        <v>1.1634641205778127E-2</v>
      </c>
      <c r="N30" s="583">
        <f t="shared" si="32"/>
        <v>1.4164863199739527E-2</v>
      </c>
      <c r="O30" s="583">
        <f t="shared" si="33"/>
        <v>9.6241881326826623E-3</v>
      </c>
      <c r="P30" s="583">
        <f t="shared" si="34"/>
        <v>1.6047252372275011E-2</v>
      </c>
      <c r="Q30" s="583">
        <v>1.2E-2</v>
      </c>
      <c r="R30" s="583">
        <v>1.2E-2</v>
      </c>
      <c r="S30" s="583">
        <v>1.2E-2</v>
      </c>
      <c r="T30" s="583">
        <v>1.0999999999999999E-2</v>
      </c>
      <c r="U30" s="583">
        <v>1.0999999999999999E-2</v>
      </c>
      <c r="X30" s="442">
        <v>8239.1044182733749</v>
      </c>
      <c r="Y30" s="583">
        <v>1.2007668527609277E-2</v>
      </c>
      <c r="AB30" s="442">
        <v>3737.2307460000002</v>
      </c>
      <c r="AC30" s="583">
        <v>1.2795665022290379E-2</v>
      </c>
      <c r="AE30" s="442">
        <f>'2017 Scheme &amp; cost projection'!Y415</f>
        <v>7834.1474343092505</v>
      </c>
      <c r="AF30" s="583">
        <f t="shared" si="30"/>
        <v>1.8260925658564211E-2</v>
      </c>
      <c r="AH30" s="1901"/>
      <c r="AI30" s="1901"/>
    </row>
    <row r="31" spans="2:35">
      <c r="B31" s="885" t="s">
        <v>734</v>
      </c>
      <c r="F31" s="442">
        <f t="shared" si="41"/>
        <v>15461.341379802852</v>
      </c>
      <c r="G31" s="442">
        <f>'Long term projection'!K124</f>
        <v>25192.333033946808</v>
      </c>
      <c r="H31" s="442">
        <f>'Long term projection'!L124</f>
        <v>34067.897598975622</v>
      </c>
      <c r="I31" s="442">
        <f>'Long term projection'!M124</f>
        <v>43973.071606488484</v>
      </c>
      <c r="J31" s="442">
        <f>'Long term projection'!N124</f>
        <v>54507.702604896484</v>
      </c>
      <c r="K31" s="442">
        <f>'Long term projection'!O124</f>
        <v>68621.049796760824</v>
      </c>
      <c r="M31" s="583">
        <f t="shared" si="32"/>
        <v>0</v>
      </c>
      <c r="N31" s="583">
        <f t="shared" si="32"/>
        <v>0</v>
      </c>
      <c r="O31" s="583">
        <f t="shared" si="33"/>
        <v>0</v>
      </c>
      <c r="P31" s="583">
        <f t="shared" si="34"/>
        <v>2.1441875226047121E-2</v>
      </c>
      <c r="Q31" s="583">
        <f t="shared" si="35"/>
        <v>2.6074885782292771E-2</v>
      </c>
      <c r="R31" s="583">
        <f t="shared" si="36"/>
        <v>2.5202097448491129E-2</v>
      </c>
      <c r="S31" s="583">
        <f t="shared" si="37"/>
        <v>2.4948792249485537E-2</v>
      </c>
      <c r="T31" s="583">
        <f t="shared" si="38"/>
        <v>2.379593291747165E-2</v>
      </c>
      <c r="U31" s="583">
        <f t="shared" si="39"/>
        <v>2.3044052910161955E-2</v>
      </c>
      <c r="X31" s="442">
        <v>16683.086849006559</v>
      </c>
      <c r="Y31" s="583">
        <v>2.431392621458842E-2</v>
      </c>
      <c r="AB31" s="442">
        <v>4064.6785610000002</v>
      </c>
      <c r="AC31" s="583">
        <v>1.3916792626601518E-2</v>
      </c>
      <c r="AE31" s="442">
        <f>'2017 Scheme &amp; cost projection'!Y163</f>
        <v>11396.662818802852</v>
      </c>
      <c r="AF31" s="583">
        <f t="shared" si="30"/>
        <v>2.6564934376708146E-2</v>
      </c>
      <c r="AH31" s="1901"/>
      <c r="AI31" s="1901"/>
    </row>
    <row r="32" spans="2:35">
      <c r="B32" s="885" t="s">
        <v>735</v>
      </c>
      <c r="F32" s="442">
        <f t="shared" si="41"/>
        <v>9696.8084127696002</v>
      </c>
      <c r="G32" s="442">
        <f>'Long term projection'!K299</f>
        <v>25768.451104180756</v>
      </c>
      <c r="H32" s="442">
        <f>'Long term projection'!L299</f>
        <v>28316.527146767348</v>
      </c>
      <c r="I32" s="442">
        <f>'Long term projection'!M299</f>
        <v>33855.548919372872</v>
      </c>
      <c r="J32" s="442">
        <f>'Long term projection'!N299</f>
        <v>54508.018186465757</v>
      </c>
      <c r="K32" s="442">
        <f>'Long term projection'!O299</f>
        <v>67414.900788923653</v>
      </c>
      <c r="M32" s="583">
        <f t="shared" si="32"/>
        <v>0</v>
      </c>
      <c r="N32" s="583">
        <f t="shared" si="32"/>
        <v>0</v>
      </c>
      <c r="O32" s="583">
        <f t="shared" si="33"/>
        <v>0</v>
      </c>
      <c r="P32" s="583">
        <f t="shared" si="34"/>
        <v>1.3447588470499251E-2</v>
      </c>
      <c r="Q32" s="583">
        <f t="shared" si="35"/>
        <v>2.6671186762365663E-2</v>
      </c>
      <c r="R32" s="583">
        <f t="shared" si="36"/>
        <v>2.094745865906129E-2</v>
      </c>
      <c r="S32" s="583">
        <f t="shared" si="37"/>
        <v>1.9208461579406578E-2</v>
      </c>
      <c r="T32" s="583">
        <f t="shared" si="38"/>
        <v>2.3796070688052569E-2</v>
      </c>
      <c r="U32" s="583">
        <f t="shared" si="39"/>
        <v>2.2639008661546407E-2</v>
      </c>
      <c r="X32" s="442">
        <v>17047.450708700875</v>
      </c>
      <c r="Y32" s="583">
        <v>2.4844950004133566E-2</v>
      </c>
      <c r="AB32" s="442">
        <v>1133.0323229999999</v>
      </c>
      <c r="AC32" s="583">
        <v>3.8793168123356526E-3</v>
      </c>
      <c r="AE32" s="442">
        <f>'2017 Scheme &amp; cost projection'!Y505</f>
        <v>8563.7760897696007</v>
      </c>
      <c r="AF32" s="583">
        <f t="shared" si="30"/>
        <v>1.9961646093996557E-2</v>
      </c>
      <c r="AH32" s="1901"/>
      <c r="AI32" s="1901"/>
    </row>
    <row r="33" spans="2:37">
      <c r="B33" s="885" t="s">
        <v>736</v>
      </c>
      <c r="F33" s="1162">
        <f t="shared" si="41"/>
        <v>1339.1999999999998</v>
      </c>
      <c r="G33" s="442">
        <f>'Long term projection'!J310</f>
        <v>3774</v>
      </c>
      <c r="H33" s="442">
        <f>'Long term projection'!K310</f>
        <v>4494</v>
      </c>
      <c r="I33" s="442">
        <f>'Long term projection'!L310</f>
        <v>4779</v>
      </c>
      <c r="J33" s="442">
        <f>'Long term projection'!M310</f>
        <v>5391.0000000000009</v>
      </c>
      <c r="K33" s="442">
        <f>'Long term projection'!N310</f>
        <v>6021.0000000000009</v>
      </c>
      <c r="M33" s="583">
        <f t="shared" si="32"/>
        <v>0</v>
      </c>
      <c r="N33" s="583">
        <f t="shared" si="32"/>
        <v>0</v>
      </c>
      <c r="O33" s="583">
        <f t="shared" si="33"/>
        <v>0</v>
      </c>
      <c r="P33" s="583">
        <f t="shared" si="34"/>
        <v>1.857210095641032E-3</v>
      </c>
      <c r="Q33" s="583">
        <f t="shared" si="35"/>
        <v>3.9062130057493866E-3</v>
      </c>
      <c r="R33" s="583">
        <f t="shared" si="36"/>
        <v>3.3244853341617615E-3</v>
      </c>
      <c r="S33" s="583">
        <f t="shared" si="37"/>
        <v>2.7114384736930284E-3</v>
      </c>
      <c r="T33" s="583">
        <f t="shared" si="38"/>
        <v>2.3534999317062727E-3</v>
      </c>
      <c r="U33" s="583">
        <f t="shared" si="39"/>
        <v>2.0219487020822959E-3</v>
      </c>
      <c r="X33" s="442">
        <v>2851.2000000000007</v>
      </c>
      <c r="Y33" s="583">
        <v>4.1553381008241049E-3</v>
      </c>
      <c r="AB33" s="442">
        <v>270</v>
      </c>
      <c r="AC33" s="583">
        <v>9.2443570943970873E-4</v>
      </c>
      <c r="AE33" s="442">
        <f>'2017 Scheme &amp; cost projection'!Y584</f>
        <v>1069.1999999999998</v>
      </c>
      <c r="AF33" s="583">
        <f t="shared" si="30"/>
        <v>2.4922407802321841E-3</v>
      </c>
      <c r="AH33" s="1901"/>
      <c r="AI33" s="1901"/>
    </row>
    <row r="34" spans="2:37">
      <c r="AH34" s="1901"/>
      <c r="AI34" s="1901"/>
    </row>
    <row r="35" spans="2:37" s="1126" customFormat="1">
      <c r="B35" s="1247" t="s">
        <v>569</v>
      </c>
      <c r="C35" s="1127">
        <f>SUM(C36:C38)</f>
        <v>1955.122325</v>
      </c>
      <c r="D35" s="1127">
        <f t="shared" ref="D35:K35" si="43">SUM(D36:D38)</f>
        <v>6629.1338302727263</v>
      </c>
      <c r="E35" s="1127">
        <f t="shared" si="43"/>
        <v>12776.903861342276</v>
      </c>
      <c r="F35" s="1127">
        <f t="shared" si="43"/>
        <v>15988.854499499999</v>
      </c>
      <c r="G35" s="1127">
        <f t="shared" si="43"/>
        <v>18963.506699650996</v>
      </c>
      <c r="H35" s="1127">
        <f t="shared" si="43"/>
        <v>26644.737352060067</v>
      </c>
      <c r="I35" s="1127">
        <f t="shared" si="43"/>
        <v>28734.346176385196</v>
      </c>
      <c r="J35" s="1127">
        <f t="shared" si="43"/>
        <v>22906.310416128035</v>
      </c>
      <c r="K35" s="1127">
        <f t="shared" si="43"/>
        <v>29778.203540966679</v>
      </c>
      <c r="M35" s="1128">
        <f t="shared" ref="M35:N37" si="44">C35/C$6</f>
        <v>1.6753526983761698E-2</v>
      </c>
      <c r="N35" s="1128">
        <f t="shared" si="44"/>
        <v>2.1226194948804962E-2</v>
      </c>
      <c r="O35" s="1128">
        <f t="shared" ref="O35:O37" si="45">E35/E$6</f>
        <v>2.9830031247720198E-2</v>
      </c>
      <c r="P35" s="1128">
        <f t="shared" ref="P35:P37" si="46">F35/F$6</f>
        <v>2.217343338874473E-2</v>
      </c>
      <c r="Q35" s="1128">
        <f>G35/G$6</f>
        <v>1.9627847510543812E-2</v>
      </c>
      <c r="R35" s="1128">
        <f t="shared" ref="R35:R37" si="47">H35/H$6</f>
        <v>1.9710733991881571E-2</v>
      </c>
      <c r="S35" s="1128">
        <f t="shared" ref="S35:S37" si="48">I35/I$6</f>
        <v>1.6302869164901649E-2</v>
      </c>
      <c r="T35" s="1128">
        <f t="shared" ref="T35:T37" si="49">J35/J$6</f>
        <v>0.01</v>
      </c>
      <c r="U35" s="1128">
        <f t="shared" ref="U35:U37" si="50">K35/K$6</f>
        <v>0.01</v>
      </c>
      <c r="X35" s="1127">
        <v>20072.632679374768</v>
      </c>
      <c r="Y35" s="1128">
        <v>2.9253849381472012E-2</v>
      </c>
      <c r="AB35" s="1127">
        <v>8814.7798170000005</v>
      </c>
      <c r="AC35" s="1128">
        <v>3.0180360124752673E-2</v>
      </c>
      <c r="AE35" s="1127">
        <f t="shared" ref="AE35" si="51">SUM(AE36:AE38)</f>
        <v>7174.0746825000006</v>
      </c>
      <c r="AF35" s="1128">
        <f t="shared" si="30"/>
        <v>1.6722335843768952E-2</v>
      </c>
      <c r="AH35" s="1901"/>
      <c r="AI35" s="1901"/>
    </row>
    <row r="36" spans="2:37">
      <c r="B36" s="885" t="s">
        <v>737</v>
      </c>
      <c r="C36" s="442">
        <v>1743.122325</v>
      </c>
      <c r="D36" s="442">
        <v>6073.0611029999991</v>
      </c>
      <c r="E36" s="442">
        <v>9387.4081310000001</v>
      </c>
      <c r="F36" s="1162">
        <f t="shared" ref="F36:F37" si="52">AB36+AE36</f>
        <v>12641.4544995</v>
      </c>
      <c r="G36" s="442">
        <f>Q36*G6</f>
        <v>17390.756699650996</v>
      </c>
      <c r="H36" s="442">
        <f t="shared" ref="H36:K36" si="53">R36*H6</f>
        <v>24332.187352060067</v>
      </c>
      <c r="I36" s="442">
        <f t="shared" si="53"/>
        <v>26437.996176385197</v>
      </c>
      <c r="J36" s="442">
        <f t="shared" si="53"/>
        <v>22906.310416128035</v>
      </c>
      <c r="K36" s="442">
        <f t="shared" si="53"/>
        <v>29778.203540966679</v>
      </c>
      <c r="M36" s="583">
        <f t="shared" si="44"/>
        <v>1.4936889899144766E-2</v>
      </c>
      <c r="N36" s="583">
        <f t="shared" si="44"/>
        <v>1.9445674534372633E-2</v>
      </c>
      <c r="O36" s="583">
        <f t="shared" si="45"/>
        <v>2.1916630266748716E-2</v>
      </c>
      <c r="P36" s="583">
        <f t="shared" si="46"/>
        <v>1.7531240233018334E-2</v>
      </c>
      <c r="Q36" s="583">
        <v>1.7999999999999999E-2</v>
      </c>
      <c r="R36" s="583">
        <v>1.7999999999999999E-2</v>
      </c>
      <c r="S36" s="583">
        <v>1.4999999999999999E-2</v>
      </c>
      <c r="T36" s="583">
        <v>0.01</v>
      </c>
      <c r="U36" s="583">
        <v>0.01</v>
      </c>
      <c r="X36" s="442">
        <v>12318.332679374769</v>
      </c>
      <c r="Y36" s="583">
        <v>1.7952734680567007E-2</v>
      </c>
      <c r="AB36" s="442">
        <v>7715.7798169999996</v>
      </c>
      <c r="AC36" s="583">
        <v>2.6417564403736968E-2</v>
      </c>
      <c r="AE36" s="442">
        <f>'2017 Scheme &amp; cost projection'!Y603</f>
        <v>4925.6746825000009</v>
      </c>
      <c r="AF36" s="583">
        <f t="shared" si="30"/>
        <v>1.1481450910852713E-2</v>
      </c>
      <c r="AH36" s="1901"/>
      <c r="AI36" s="1901"/>
    </row>
    <row r="37" spans="2:37">
      <c r="B37" s="1740" t="s">
        <v>738</v>
      </c>
      <c r="C37" s="442">
        <v>211.99999999999997</v>
      </c>
      <c r="D37" s="442">
        <v>556.07272727272732</v>
      </c>
      <c r="E37" s="442">
        <v>3389.4957303422761</v>
      </c>
      <c r="F37" s="442">
        <f t="shared" si="52"/>
        <v>3347.3999999999996</v>
      </c>
      <c r="G37" s="442">
        <f>'Long term projection'!K221</f>
        <v>1572.75</v>
      </c>
      <c r="H37" s="442">
        <f>'Long term projection'!L221</f>
        <v>2312.5500000000002</v>
      </c>
      <c r="I37" s="442">
        <f>'Long term projection'!M221</f>
        <v>2296.35</v>
      </c>
      <c r="J37" s="442">
        <f>'Long term projection'!N221</f>
        <v>0</v>
      </c>
      <c r="K37" s="442">
        <f>'Long term projection'!O221</f>
        <v>0</v>
      </c>
      <c r="M37" s="583">
        <f t="shared" si="44"/>
        <v>1.8166370846169329E-3</v>
      </c>
      <c r="N37" s="583">
        <f t="shared" si="44"/>
        <v>1.7805204144323284E-3</v>
      </c>
      <c r="O37" s="583">
        <f t="shared" si="45"/>
        <v>7.9134009809714821E-3</v>
      </c>
      <c r="P37" s="583">
        <f t="shared" si="46"/>
        <v>4.6421931557263972E-3</v>
      </c>
      <c r="Q37" s="583">
        <f t="shared" ref="Q37" si="54">G37/G$6</f>
        <v>1.6278475105438123E-3</v>
      </c>
      <c r="R37" s="583">
        <f t="shared" si="47"/>
        <v>1.7107339918815713E-3</v>
      </c>
      <c r="S37" s="583">
        <f t="shared" si="48"/>
        <v>1.30286916490165E-3</v>
      </c>
      <c r="T37" s="583">
        <f t="shared" si="49"/>
        <v>0</v>
      </c>
      <c r="U37" s="583">
        <f t="shared" si="50"/>
        <v>0</v>
      </c>
      <c r="X37" s="442">
        <v>7754.2999999999993</v>
      </c>
      <c r="Y37" s="583">
        <v>1.1301114700905003E-2</v>
      </c>
      <c r="AB37" s="442">
        <v>1099</v>
      </c>
      <c r="AC37" s="583">
        <v>3.7627957210157035E-3</v>
      </c>
      <c r="AE37" s="442">
        <f>'2017 Scheme &amp; cost projection'!Y295</f>
        <v>2248.3999999999996</v>
      </c>
      <c r="AF37" s="583">
        <f t="shared" si="30"/>
        <v>5.2408849329162394E-3</v>
      </c>
      <c r="AH37" s="1901"/>
      <c r="AI37" s="1901"/>
    </row>
    <row r="38" spans="2:37">
      <c r="B38" s="885"/>
      <c r="AH38" s="1901"/>
      <c r="AI38" s="1901"/>
    </row>
    <row r="39" spans="2:37">
      <c r="AH39" s="1901"/>
      <c r="AI39" s="1901"/>
    </row>
    <row r="40" spans="2:37" s="1126" customFormat="1">
      <c r="B40" s="1247" t="s">
        <v>740</v>
      </c>
      <c r="C40" s="1127">
        <f>C41+C46+C47</f>
        <v>12725.641842999999</v>
      </c>
      <c r="D40" s="1127">
        <f t="shared" ref="D40:K40" si="55">D41+D46+D47</f>
        <v>43404.967968555524</v>
      </c>
      <c r="E40" s="1127">
        <f t="shared" si="55"/>
        <v>73786.237607594827</v>
      </c>
      <c r="F40" s="1127">
        <f t="shared" si="55"/>
        <v>69021.905840159656</v>
      </c>
      <c r="G40" s="1127">
        <f t="shared" si="55"/>
        <v>42602.056333298598</v>
      </c>
      <c r="H40" s="1127">
        <f t="shared" si="55"/>
        <v>46921.900500095391</v>
      </c>
      <c r="I40" s="1127">
        <f t="shared" si="55"/>
        <v>47522.804636598135</v>
      </c>
      <c r="J40" s="1127">
        <f t="shared" si="55"/>
        <v>51409.74818255318</v>
      </c>
      <c r="K40" s="1127">
        <f t="shared" si="55"/>
        <v>58968.023474799251</v>
      </c>
      <c r="M40" s="1128">
        <f t="shared" ref="M40:N47" si="56">C40/C$6</f>
        <v>0.10904657027144705</v>
      </c>
      <c r="N40" s="1128">
        <f t="shared" si="56"/>
        <v>0.13898079831181967</v>
      </c>
      <c r="O40" s="1128">
        <f t="shared" ref="O40:O47" si="57">E40/E$6</f>
        <v>0.17226753815889087</v>
      </c>
      <c r="P40" s="1128">
        <f t="shared" ref="P40:P47" si="58">F40/F$6</f>
        <v>9.5719967403471648E-2</v>
      </c>
      <c r="Q40" s="1128">
        <f t="shared" ref="Q40:Q47" si="59">G40/G$6</f>
        <v>4.4094516831160308E-2</v>
      </c>
      <c r="R40" s="1128">
        <f t="shared" ref="R40:R47" si="60">H40/H$6</f>
        <v>3.4710985772933814E-2</v>
      </c>
      <c r="S40" s="1128">
        <f t="shared" ref="S40:S47" si="61">I40/I$6</f>
        <v>2.6962787375909108E-2</v>
      </c>
      <c r="T40" s="1128">
        <f t="shared" ref="T40:T47" si="62">J40/J$6</f>
        <v>2.2443487077847442E-2</v>
      </c>
      <c r="U40" s="1128">
        <f t="shared" ref="U40:U47" si="63">K40/K$6</f>
        <v>1.9802411315268012E-2</v>
      </c>
      <c r="X40" s="1127">
        <v>58586.088131871191</v>
      </c>
      <c r="Y40" s="1128">
        <v>8.5383348832983735E-2</v>
      </c>
      <c r="AB40" s="1127">
        <v>32532.7</v>
      </c>
      <c r="AC40" s="1128">
        <v>0.11138662816477486</v>
      </c>
      <c r="AE40" s="1127">
        <f t="shared" ref="AE40" si="64">AE41+AE46+AE47</f>
        <v>36489.205840159666</v>
      </c>
      <c r="AF40" s="1128">
        <f t="shared" si="30"/>
        <v>8.5054140322794902E-2</v>
      </c>
      <c r="AH40" s="1901"/>
      <c r="AI40" s="1901"/>
    </row>
    <row r="41" spans="2:37" s="1250" customFormat="1">
      <c r="B41" s="1248" t="s">
        <v>745</v>
      </c>
      <c r="C41" s="1249">
        <f>SUM(C42:C45)</f>
        <v>1165.6418429999999</v>
      </c>
      <c r="D41" s="1249">
        <f t="shared" ref="D41:K41" si="65">SUM(D42:D45)</f>
        <v>6143</v>
      </c>
      <c r="E41" s="1249">
        <f>SUM(E42:E45)</f>
        <v>12947.4</v>
      </c>
      <c r="F41" s="1249">
        <f>SUM(F42:F45)</f>
        <v>28899.645798559017</v>
      </c>
      <c r="G41" s="1249">
        <f t="shared" si="65"/>
        <v>28745.439449598347</v>
      </c>
      <c r="H41" s="1249">
        <f t="shared" si="65"/>
        <v>36876.320793940533</v>
      </c>
      <c r="I41" s="1249">
        <f t="shared" si="65"/>
        <v>41554.918559492435</v>
      </c>
      <c r="J41" s="1249">
        <f t="shared" si="65"/>
        <v>47215.224539172479</v>
      </c>
      <c r="K41" s="1249">
        <f t="shared" si="65"/>
        <v>54582.992136964553</v>
      </c>
      <c r="M41" s="1251">
        <f t="shared" si="56"/>
        <v>9.9884349027123988E-3</v>
      </c>
      <c r="N41" s="1251">
        <f t="shared" si="56"/>
        <v>1.9669615806375183E-2</v>
      </c>
      <c r="O41" s="1251">
        <f t="shared" si="57"/>
        <v>3.0228085831128577E-2</v>
      </c>
      <c r="P41" s="1251">
        <f t="shared" si="58"/>
        <v>4.0078191410942168E-2</v>
      </c>
      <c r="Q41" s="1251">
        <f t="shared" si="59"/>
        <v>2.9752466728670521E-2</v>
      </c>
      <c r="R41" s="1251">
        <f t="shared" si="60"/>
        <v>2.7279659024766291E-2</v>
      </c>
      <c r="S41" s="1251">
        <f t="shared" si="61"/>
        <v>2.3576816269802944E-2</v>
      </c>
      <c r="T41" s="1251">
        <f t="shared" si="62"/>
        <v>2.0612321967805367E-2</v>
      </c>
      <c r="U41" s="1251">
        <f t="shared" si="63"/>
        <v>1.8329847219249899E-2</v>
      </c>
      <c r="X41" s="1249">
        <v>21774.029177615939</v>
      </c>
      <c r="Y41" s="1251">
        <v>3.1733464173051083E-2</v>
      </c>
      <c r="AB41" s="1249">
        <v>8580.2000000000007</v>
      </c>
      <c r="AC41" s="1251">
        <v>2.9377197311609593E-2</v>
      </c>
      <c r="AE41" s="1249">
        <f>SUM(AE42:AE45)</f>
        <v>20319.445798559016</v>
      </c>
      <c r="AF41" s="1251">
        <f t="shared" si="30"/>
        <v>4.7363403900941181E-2</v>
      </c>
      <c r="AH41" s="1901"/>
      <c r="AI41" s="1901"/>
    </row>
    <row r="42" spans="2:37">
      <c r="B42" s="886" t="s">
        <v>741</v>
      </c>
      <c r="C42" s="442">
        <v>1165.6418429999999</v>
      </c>
      <c r="D42" s="442">
        <v>4055</v>
      </c>
      <c r="E42" s="442">
        <v>8097.4</v>
      </c>
      <c r="F42" s="1162">
        <f t="shared" ref="F42:F45" si="66">AB42+AE42</f>
        <v>6988.8900792588993</v>
      </c>
      <c r="G42" s="442">
        <f>'Long term projection'!J333</f>
        <v>6748.7745253396497</v>
      </c>
      <c r="H42" s="442">
        <f>'Long term projection'!K333</f>
        <v>8214.2681802901388</v>
      </c>
      <c r="I42" s="442">
        <f>'Long term projection'!L333</f>
        <v>9144.3499036789963</v>
      </c>
      <c r="J42" s="442">
        <f>'Long term projection'!M333</f>
        <v>10393.989020543078</v>
      </c>
      <c r="K42" s="442">
        <f>'Long term projection'!N333</f>
        <v>11897.334126774898</v>
      </c>
      <c r="M42" s="583">
        <f t="shared" si="56"/>
        <v>9.9884349027123988E-3</v>
      </c>
      <c r="N42" s="583">
        <f t="shared" si="56"/>
        <v>1.298393164493755E-2</v>
      </c>
      <c r="O42" s="583">
        <f t="shared" si="57"/>
        <v>1.8904869101825889E-2</v>
      </c>
      <c r="P42" s="583">
        <f t="shared" si="58"/>
        <v>9.6922320882057069E-3</v>
      </c>
      <c r="Q42" s="583">
        <f t="shared" si="59"/>
        <v>6.985201596118676E-3</v>
      </c>
      <c r="R42" s="583">
        <f t="shared" si="60"/>
        <v>6.0765941469172642E-3</v>
      </c>
      <c r="S42" s="583">
        <f t="shared" si="61"/>
        <v>5.1881862619264215E-3</v>
      </c>
      <c r="T42" s="583">
        <f t="shared" si="62"/>
        <v>4.5376094323880314E-3</v>
      </c>
      <c r="U42" s="583">
        <f t="shared" si="63"/>
        <v>3.9953162756804364E-3</v>
      </c>
      <c r="X42" s="442">
        <v>5356.5388123632347</v>
      </c>
      <c r="Y42" s="583">
        <v>7.8066182013033268E-3</v>
      </c>
      <c r="AB42" s="442">
        <v>1792.2</v>
      </c>
      <c r="AC42" s="583">
        <v>6.1361988091031341E-3</v>
      </c>
      <c r="AE42" s="442">
        <f>SUM('2017 Scheme &amp; cost projection'!AH723:AM723)</f>
        <v>5196.6900792588995</v>
      </c>
      <c r="AF42" s="583">
        <f t="shared" si="30"/>
        <v>1.2113171471901472E-2</v>
      </c>
      <c r="AH42" s="1901"/>
      <c r="AI42" s="1901"/>
    </row>
    <row r="43" spans="2:37">
      <c r="B43" s="886" t="s">
        <v>742</v>
      </c>
      <c r="F43" s="442">
        <f t="shared" si="66"/>
        <v>12141.003438527123</v>
      </c>
      <c r="G43" s="442">
        <f>'Long term projection'!J338</f>
        <v>12533.438404202207</v>
      </c>
      <c r="H43" s="442">
        <f>'Long term projection'!K338</f>
        <v>16780.576425449854</v>
      </c>
      <c r="I43" s="442">
        <f>'Long term projection'!L338</f>
        <v>18680.600517515668</v>
      </c>
      <c r="J43" s="442">
        <f>'Long term projection'!M338</f>
        <v>21233.434713395149</v>
      </c>
      <c r="K43" s="442">
        <f>'Long term projection'!N338</f>
        <v>24304.554001840152</v>
      </c>
      <c r="M43" s="583">
        <f t="shared" si="56"/>
        <v>0</v>
      </c>
      <c r="N43" s="583">
        <f t="shared" si="56"/>
        <v>0</v>
      </c>
      <c r="O43" s="583">
        <f t="shared" si="57"/>
        <v>0</v>
      </c>
      <c r="P43" s="583">
        <f t="shared" si="58"/>
        <v>1.6837211885636992E-2</v>
      </c>
      <c r="Q43" s="583">
        <f t="shared" si="59"/>
        <v>1.2972517249934683E-2</v>
      </c>
      <c r="R43" s="583">
        <f t="shared" si="60"/>
        <v>1.241361375727384E-2</v>
      </c>
      <c r="S43" s="583">
        <f t="shared" si="61"/>
        <v>1.0598723363649693E-2</v>
      </c>
      <c r="T43" s="583">
        <f t="shared" si="62"/>
        <v>9.2696878404498369E-3</v>
      </c>
      <c r="U43" s="583">
        <f t="shared" si="63"/>
        <v>8.161860391747178E-3</v>
      </c>
      <c r="X43" s="442">
        <v>8887.9502388345954</v>
      </c>
      <c r="Y43" s="583">
        <v>1.2953296249178623E-2</v>
      </c>
      <c r="AB43" s="442">
        <v>3263</v>
      </c>
      <c r="AC43" s="583">
        <v>1.1171976740376925E-2</v>
      </c>
      <c r="AE43" s="442">
        <f>SUM('2017 Scheme &amp; cost projection'!AH737:AM737)*'2017 Scheme &amp; cost projection'!F729</f>
        <v>8878.0034385271229</v>
      </c>
      <c r="AF43" s="583">
        <f t="shared" si="30"/>
        <v>2.069409111161509E-2</v>
      </c>
      <c r="AH43" s="1901"/>
      <c r="AI43" s="1901"/>
    </row>
    <row r="44" spans="2:37">
      <c r="B44" s="886" t="s">
        <v>743</v>
      </c>
      <c r="C44" s="442">
        <v>0</v>
      </c>
      <c r="D44" s="442">
        <v>2088</v>
      </c>
      <c r="E44" s="442">
        <v>4850</v>
      </c>
      <c r="F44" s="442">
        <f t="shared" si="66"/>
        <v>8305.6900792589004</v>
      </c>
      <c r="G44" s="442">
        <f>'Long term projection'!J350</f>
        <v>6748.7745253396497</v>
      </c>
      <c r="H44" s="442">
        <f>'Long term projection'!K350</f>
        <v>8214.2681802901388</v>
      </c>
      <c r="I44" s="442">
        <f>'Long term projection'!L350</f>
        <v>9144.3499036789963</v>
      </c>
      <c r="J44" s="442">
        <f>'Long term projection'!M350</f>
        <v>10393.989020543078</v>
      </c>
      <c r="K44" s="442">
        <f>'Long term projection'!N350</f>
        <v>11897.334126774898</v>
      </c>
      <c r="M44" s="583">
        <f t="shared" si="56"/>
        <v>0</v>
      </c>
      <c r="N44" s="583">
        <f t="shared" si="56"/>
        <v>6.6856841614376331E-3</v>
      </c>
      <c r="O44" s="583">
        <f t="shared" si="57"/>
        <v>1.1323216729302686E-2</v>
      </c>
      <c r="P44" s="583">
        <f t="shared" si="58"/>
        <v>1.1518377737802565E-2</v>
      </c>
      <c r="Q44" s="583">
        <f t="shared" si="59"/>
        <v>6.985201596118676E-3</v>
      </c>
      <c r="R44" s="583">
        <f t="shared" si="60"/>
        <v>6.0765941469172642E-3</v>
      </c>
      <c r="S44" s="583">
        <f t="shared" si="61"/>
        <v>5.1881862619264215E-3</v>
      </c>
      <c r="T44" s="583">
        <f t="shared" si="62"/>
        <v>4.5376094323880314E-3</v>
      </c>
      <c r="U44" s="583">
        <f t="shared" si="63"/>
        <v>3.9953162756804364E-3</v>
      </c>
      <c r="X44" s="442">
        <v>5356.5388123632347</v>
      </c>
      <c r="Y44" s="583">
        <v>7.8066182013033268E-3</v>
      </c>
      <c r="AB44" s="442">
        <v>3109</v>
      </c>
      <c r="AC44" s="583">
        <v>1.0644706002400202E-2</v>
      </c>
      <c r="AE44" s="442">
        <f>AE42</f>
        <v>5196.6900792588995</v>
      </c>
      <c r="AF44" s="583">
        <f t="shared" si="30"/>
        <v>1.2113171471901472E-2</v>
      </c>
      <c r="AH44" s="1901"/>
      <c r="AI44" s="1901"/>
      <c r="AK44" s="658"/>
    </row>
    <row r="45" spans="2:37">
      <c r="B45" s="886" t="s">
        <v>744</v>
      </c>
      <c r="F45" s="442">
        <f t="shared" si="66"/>
        <v>1464.062201514093</v>
      </c>
      <c r="G45" s="442">
        <f>'Long term projection'!J356</f>
        <v>2714.4519947168424</v>
      </c>
      <c r="H45" s="442">
        <f>'Long term projection'!K356</f>
        <v>3667.2080079103998</v>
      </c>
      <c r="I45" s="442">
        <f>'Long term projection'!L356</f>
        <v>4585.6182346187807</v>
      </c>
      <c r="J45" s="442">
        <f>'Long term projection'!M356</f>
        <v>5193.8117846911709</v>
      </c>
      <c r="K45" s="442">
        <f>'Long term projection'!N356</f>
        <v>6483.7698815746035</v>
      </c>
      <c r="M45" s="583">
        <f t="shared" si="56"/>
        <v>0</v>
      </c>
      <c r="N45" s="583">
        <f t="shared" si="56"/>
        <v>0</v>
      </c>
      <c r="O45" s="583">
        <f t="shared" si="57"/>
        <v>0</v>
      </c>
      <c r="P45" s="583">
        <f t="shared" si="58"/>
        <v>2.0303696992969001E-3</v>
      </c>
      <c r="Q45" s="583">
        <f t="shared" si="59"/>
        <v>2.8095462864984881E-3</v>
      </c>
      <c r="R45" s="583">
        <f t="shared" si="60"/>
        <v>2.7128569736579199E-3</v>
      </c>
      <c r="S45" s="583">
        <f t="shared" si="61"/>
        <v>2.6017203823004115E-3</v>
      </c>
      <c r="T45" s="583">
        <f t="shared" si="62"/>
        <v>2.267415262579466E-3</v>
      </c>
      <c r="U45" s="583">
        <f t="shared" si="63"/>
        <v>2.1773542761418453E-3</v>
      </c>
      <c r="X45" s="442">
        <v>2173.0013140548735</v>
      </c>
      <c r="Y45" s="583">
        <v>3.166931521265804E-3</v>
      </c>
      <c r="AB45" s="442">
        <v>416</v>
      </c>
      <c r="AC45" s="583">
        <v>1.4243157597293291E-3</v>
      </c>
      <c r="AE45" s="442">
        <f>SUM('2017 Scheme &amp; cost projection'!AF758:AG758)*'2017 Scheme &amp; cost projection'!F750</f>
        <v>1048.062201514093</v>
      </c>
      <c r="AF45" s="583">
        <f t="shared" si="30"/>
        <v>2.442969845523143E-3</v>
      </c>
      <c r="AH45" s="1901"/>
      <c r="AI45" s="1901"/>
    </row>
    <row r="46" spans="2:37" s="658" customFormat="1">
      <c r="B46" s="889" t="s">
        <v>746</v>
      </c>
      <c r="C46" s="827">
        <v>1143</v>
      </c>
      <c r="D46" s="827">
        <v>15354</v>
      </c>
      <c r="E46" s="827">
        <v>28876.6</v>
      </c>
      <c r="F46" s="827">
        <f>AB46+AE46</f>
        <v>14811.8</v>
      </c>
      <c r="G46" s="827">
        <f>'MDRT Recruitment'!N142</f>
        <v>2545.75</v>
      </c>
      <c r="H46" s="827">
        <f>'MDRT Recruitment'!N143</f>
        <v>233.75</v>
      </c>
      <c r="I46" s="827">
        <v>0</v>
      </c>
      <c r="J46" s="827">
        <v>0</v>
      </c>
      <c r="K46" s="827">
        <v>0</v>
      </c>
      <c r="M46" s="660">
        <f t="shared" si="56"/>
        <v>9.7944159797978981E-3</v>
      </c>
      <c r="N46" s="660">
        <f t="shared" si="56"/>
        <v>4.916283266988191E-2</v>
      </c>
      <c r="O46" s="660">
        <f t="shared" si="57"/>
        <v>6.7417732001109676E-2</v>
      </c>
      <c r="P46" s="660">
        <f t="shared" si="58"/>
        <v>2.0541087585585305E-2</v>
      </c>
      <c r="Q46" s="660">
        <f t="shared" si="59"/>
        <v>2.6349342234728407E-3</v>
      </c>
      <c r="R46" s="660">
        <f t="shared" si="60"/>
        <v>1.7291910255013611E-4</v>
      </c>
      <c r="S46" s="660">
        <f t="shared" si="61"/>
        <v>0</v>
      </c>
      <c r="T46" s="660">
        <f t="shared" si="62"/>
        <v>0</v>
      </c>
      <c r="U46" s="660">
        <f t="shared" si="63"/>
        <v>0</v>
      </c>
      <c r="X46" s="827">
        <v>14809.900000000001</v>
      </c>
      <c r="Y46" s="660">
        <v>2.1583944212750738E-2</v>
      </c>
      <c r="AB46" s="827">
        <v>8438.5</v>
      </c>
      <c r="AC46" s="660">
        <v>2.8892039755951789E-2</v>
      </c>
      <c r="AE46" s="827">
        <f>'MDRT Recruitment'!P141</f>
        <v>6373.3</v>
      </c>
      <c r="AF46" s="660">
        <f t="shared" si="30"/>
        <v>1.4855778305886441E-2</v>
      </c>
      <c r="AH46" s="1901"/>
      <c r="AI46" s="1901"/>
    </row>
    <row r="47" spans="2:37" s="658" customFormat="1">
      <c r="B47" s="889" t="s">
        <v>747</v>
      </c>
      <c r="C47" s="827">
        <v>10417</v>
      </c>
      <c r="D47" s="827">
        <v>21907.967968555524</v>
      </c>
      <c r="E47" s="827">
        <v>31962.237607594827</v>
      </c>
      <c r="F47" s="827">
        <f>AB47+AE47</f>
        <v>25310.460041600651</v>
      </c>
      <c r="G47" s="827">
        <f>'Leader RSP'!FD188</f>
        <v>11310.866883700253</v>
      </c>
      <c r="H47" s="827">
        <f>'Leader RSP'!FQ188</f>
        <v>9811.8297061548546</v>
      </c>
      <c r="I47" s="827">
        <f>'Leader RSP'!GD188</f>
        <v>5967.8860771057025</v>
      </c>
      <c r="J47" s="827">
        <f>'Leader RSP'!GQ188</f>
        <v>4194.5236433807022</v>
      </c>
      <c r="K47" s="827">
        <f>'Leader RSP'!HD188</f>
        <v>4385.0313378347018</v>
      </c>
      <c r="M47" s="660">
        <f t="shared" si="56"/>
        <v>8.9263719388936749E-2</v>
      </c>
      <c r="N47" s="660">
        <f t="shared" si="56"/>
        <v>7.0148349835562576E-2</v>
      </c>
      <c r="O47" s="660">
        <f t="shared" si="57"/>
        <v>7.4621720326652624E-2</v>
      </c>
      <c r="P47" s="660">
        <f t="shared" si="58"/>
        <v>3.5100688406944199E-2</v>
      </c>
      <c r="Q47" s="660">
        <f t="shared" si="59"/>
        <v>1.1707115879016948E-2</v>
      </c>
      <c r="R47" s="660">
        <f t="shared" si="60"/>
        <v>7.258407645617383E-3</v>
      </c>
      <c r="S47" s="660">
        <f t="shared" si="61"/>
        <v>3.3859711061061644E-3</v>
      </c>
      <c r="T47" s="660">
        <f t="shared" si="62"/>
        <v>1.8311651100420751E-3</v>
      </c>
      <c r="U47" s="660">
        <f t="shared" si="63"/>
        <v>1.4725640960181147E-3</v>
      </c>
      <c r="X47" s="827">
        <v>22002.158954255254</v>
      </c>
      <c r="Y47" s="660">
        <v>3.2065940447181918E-2</v>
      </c>
      <c r="AB47" s="827">
        <v>15514</v>
      </c>
      <c r="AC47" s="660">
        <v>5.3117391097213487E-2</v>
      </c>
      <c r="AE47" s="1902">
        <f>'2017 Scheme &amp; cost projection'!Y766</f>
        <v>9796.4600416006524</v>
      </c>
      <c r="AF47" s="660">
        <f t="shared" si="30"/>
        <v>2.2834958115967294E-2</v>
      </c>
      <c r="AH47" s="1901"/>
      <c r="AI47" s="1901"/>
    </row>
    <row r="48" spans="2:37">
      <c r="AH48" s="1901"/>
      <c r="AI48" s="1901"/>
    </row>
    <row r="49" spans="2:35" s="1126" customFormat="1">
      <c r="B49" s="1126" t="s">
        <v>574</v>
      </c>
      <c r="C49" s="1127">
        <f>SUM(C50:C55)</f>
        <v>27181.434774999994</v>
      </c>
      <c r="D49" s="1127">
        <f t="shared" ref="D49:K49" si="67">SUM(D50:D55)</f>
        <v>72091.685738999993</v>
      </c>
      <c r="E49" s="1127">
        <f t="shared" si="67"/>
        <v>87250.941436218272</v>
      </c>
      <c r="F49" s="1127">
        <f t="shared" si="67"/>
        <v>108119.41308399331</v>
      </c>
      <c r="G49" s="1127">
        <f t="shared" si="67"/>
        <v>143542.21133100663</v>
      </c>
      <c r="H49" s="1127">
        <f t="shared" si="67"/>
        <v>180829.03381814488</v>
      </c>
      <c r="I49" s="1127">
        <f t="shared" si="67"/>
        <v>210803.557842568</v>
      </c>
      <c r="J49" s="1127">
        <f t="shared" si="67"/>
        <v>243548.37874515229</v>
      </c>
      <c r="K49" s="1127">
        <f t="shared" si="67"/>
        <v>245961.50978676675</v>
      </c>
      <c r="M49" s="1128">
        <f>C49/C$6</f>
        <v>0.23291887936491185</v>
      </c>
      <c r="N49" s="1128">
        <f>D49/D$6</f>
        <v>0.23083440685659556</v>
      </c>
      <c r="O49" s="1128">
        <f>E49/E$6</f>
        <v>0.20370336489030841</v>
      </c>
      <c r="P49" s="1128">
        <f t="shared" ref="P49:P53" si="68">F49/F$6</f>
        <v>0.14994061044980247</v>
      </c>
      <c r="Q49" s="1128">
        <f t="shared" ref="Q49:Q53" si="69">G49/G$6</f>
        <v>0.14857086719003842</v>
      </c>
      <c r="R49" s="1128">
        <f t="shared" ref="R49:R53" si="70">H49/H$6</f>
        <v>0.13377024275012547</v>
      </c>
      <c r="S49" s="1128">
        <f t="shared" ref="S49:S53" si="71">I49/I$6</f>
        <v>0.11960261082354312</v>
      </c>
      <c r="T49" s="1128">
        <f t="shared" ref="T49:T53" si="72">J49/J$6</f>
        <v>0.10632370483099411</v>
      </c>
      <c r="U49" s="1128">
        <f t="shared" ref="U49:U53" si="73">K49/K$6</f>
        <v>8.2597833495358736E-2</v>
      </c>
      <c r="X49" s="1127">
        <v>106513.56674658161</v>
      </c>
      <c r="Y49" s="1128">
        <v>0.15523284306844201</v>
      </c>
      <c r="AB49" s="1127">
        <f>SUM(AB50:AB55)</f>
        <v>45737.333302346226</v>
      </c>
      <c r="AC49" s="1128">
        <f>SUM(AC50:AC54)</f>
        <v>0.15659712651568464</v>
      </c>
      <c r="AE49" s="1127">
        <f t="shared" ref="AE49" si="74">SUM(AE50:AE55)</f>
        <v>62382.079781647095</v>
      </c>
      <c r="AF49" s="1128">
        <f t="shared" si="30"/>
        <v>0.14540886942341802</v>
      </c>
      <c r="AH49" s="1901"/>
      <c r="AI49" s="1901"/>
    </row>
    <row r="50" spans="2:35">
      <c r="B50" s="887" t="s">
        <v>748</v>
      </c>
      <c r="C50" s="442">
        <v>21025.659742999997</v>
      </c>
      <c r="D50" s="442">
        <v>44009.216317999999</v>
      </c>
      <c r="E50" s="442">
        <f>66081.11419617+437</f>
        <v>66518.114196170005</v>
      </c>
      <c r="F50" s="442">
        <f>F6*8.5%</f>
        <v>61291.934750499997</v>
      </c>
      <c r="G50" s="442">
        <f>G6*12%</f>
        <v>115938.37799767331</v>
      </c>
      <c r="H50" s="832">
        <f>H6*11%</f>
        <v>148696.70048481153</v>
      </c>
      <c r="I50" s="832">
        <f>I6*10%</f>
        <v>176253.307842568</v>
      </c>
      <c r="J50" s="832">
        <f>J6*9%</f>
        <v>206156.7937451523</v>
      </c>
      <c r="K50" s="442">
        <f>K6*7%</f>
        <v>208447.42478676676</v>
      </c>
      <c r="M50" s="583">
        <f t="shared" ref="M50:N53" si="75">C50/C$6</f>
        <v>0.1801697793286374</v>
      </c>
      <c r="N50" s="583">
        <f t="shared" si="75"/>
        <v>0.14091557494949006</v>
      </c>
      <c r="O50" s="583">
        <f t="shared" ref="O50:O53" si="76">E50/E$6</f>
        <v>0.15529876772530696</v>
      </c>
      <c r="P50" s="583">
        <f t="shared" si="68"/>
        <v>8.5000000000000006E-2</v>
      </c>
      <c r="Q50" s="583">
        <f t="shared" si="69"/>
        <v>0.12</v>
      </c>
      <c r="R50" s="583">
        <f t="shared" si="70"/>
        <v>0.11</v>
      </c>
      <c r="S50" s="583">
        <f t="shared" si="71"/>
        <v>0.1</v>
      </c>
      <c r="T50" s="583">
        <f t="shared" si="72"/>
        <v>0.09</v>
      </c>
      <c r="U50" s="583">
        <f t="shared" si="73"/>
        <v>7.0000000000000007E-2</v>
      </c>
      <c r="X50" s="442">
        <v>83710.733413248279</v>
      </c>
      <c r="Y50" s="583">
        <v>0.122</v>
      </c>
      <c r="AB50" s="442">
        <v>37078.821900000003</v>
      </c>
      <c r="AC50" s="583">
        <v>0.12695180380857449</v>
      </c>
      <c r="AE50" s="442">
        <f>F50-AB50</f>
        <v>24213.112850499994</v>
      </c>
      <c r="AF50" s="583">
        <f t="shared" si="30"/>
        <v>5.6439307203872094E-2</v>
      </c>
      <c r="AH50" s="1901"/>
      <c r="AI50" s="1901"/>
    </row>
    <row r="51" spans="2:35">
      <c r="B51" s="887" t="s">
        <v>749</v>
      </c>
      <c r="C51" s="442">
        <v>3949.9999999999995</v>
      </c>
      <c r="D51" s="442">
        <v>14089.6</v>
      </c>
      <c r="E51" s="442">
        <v>12939.562320230092</v>
      </c>
      <c r="F51" s="442">
        <f>'Contest Plan'!H7</f>
        <v>21740</v>
      </c>
      <c r="G51" s="442">
        <f>'Contest Plan'!H13</f>
        <v>26870</v>
      </c>
      <c r="H51" s="442">
        <f>'Contest Plan'!H19</f>
        <v>31258.5</v>
      </c>
      <c r="I51" s="442">
        <f>'Contest Plan'!H24</f>
        <v>33621</v>
      </c>
      <c r="J51" s="442">
        <f>'Contest Plan'!H30</f>
        <v>36343.334999999999</v>
      </c>
      <c r="K51" s="442">
        <f>'Contest Plan'!H35</f>
        <v>36343.334999999999</v>
      </c>
      <c r="M51" s="583">
        <f t="shared" si="75"/>
        <v>3.3847719265268326E-2</v>
      </c>
      <c r="N51" s="583">
        <f t="shared" si="75"/>
        <v>4.5114279483233564E-2</v>
      </c>
      <c r="O51" s="583">
        <f t="shared" si="76"/>
        <v>3.0209787326656509E-2</v>
      </c>
      <c r="P51" s="583">
        <f t="shared" si="68"/>
        <v>3.0149154330373389E-2</v>
      </c>
      <c r="Q51" s="583">
        <f t="shared" si="69"/>
        <v>2.7811325772253846E-2</v>
      </c>
      <c r="R51" s="583">
        <f t="shared" si="70"/>
        <v>2.3123815046260664E-2</v>
      </c>
      <c r="S51" s="583">
        <f t="shared" si="71"/>
        <v>1.9075386675880584E-2</v>
      </c>
      <c r="T51" s="583">
        <f t="shared" si="72"/>
        <v>1.5866079844273451E-2</v>
      </c>
      <c r="U51" s="583">
        <f t="shared" si="73"/>
        <v>1.2204676803287174E-2</v>
      </c>
      <c r="X51" s="442">
        <v>21740</v>
      </c>
      <c r="Y51" s="583">
        <v>3.1683870058893109E-2</v>
      </c>
      <c r="AB51" s="442">
        <v>7765.7258023462218</v>
      </c>
      <c r="AC51" s="583">
        <v>2.6588571264467339E-2</v>
      </c>
      <c r="AE51" s="442">
        <f>F51-AB51</f>
        <v>13974.274197653778</v>
      </c>
      <c r="AF51" s="583">
        <f t="shared" si="30"/>
        <v>3.257319119859628E-2</v>
      </c>
      <c r="AH51" s="1901"/>
      <c r="AI51" s="1901"/>
    </row>
    <row r="52" spans="2:35">
      <c r="B52" s="1830" t="s">
        <v>1563</v>
      </c>
      <c r="F52" s="442">
        <v>24024.645000159991</v>
      </c>
      <c r="P52" s="583">
        <f t="shared" si="68"/>
        <v>3.3317512872228928E-2</v>
      </c>
      <c r="AE52" s="442">
        <f>AE6*5.6%</f>
        <v>24024.645000159991</v>
      </c>
      <c r="AF52" s="583">
        <f t="shared" si="30"/>
        <v>5.5999999999999994E-2</v>
      </c>
      <c r="AH52" s="1901"/>
      <c r="AI52" s="1901"/>
    </row>
    <row r="53" spans="2:35">
      <c r="B53" s="885" t="s">
        <v>750</v>
      </c>
      <c r="C53" s="442">
        <v>1104.2074319999999</v>
      </c>
      <c r="D53" s="442">
        <v>13324.126554999999</v>
      </c>
      <c r="E53" s="442">
        <v>5079</v>
      </c>
      <c r="F53" s="442">
        <v>0</v>
      </c>
      <c r="G53" s="442">
        <v>0</v>
      </c>
      <c r="H53" s="442">
        <v>0</v>
      </c>
      <c r="I53" s="442">
        <v>0</v>
      </c>
      <c r="J53" s="442">
        <v>0</v>
      </c>
      <c r="K53" s="442">
        <v>0</v>
      </c>
      <c r="M53" s="583">
        <f t="shared" si="75"/>
        <v>9.4620008022680679E-3</v>
      </c>
      <c r="N53" s="583">
        <f t="shared" si="75"/>
        <v>4.2663267180916703E-2</v>
      </c>
      <c r="O53" s="583">
        <f t="shared" si="76"/>
        <v>1.185785933363471E-2</v>
      </c>
      <c r="P53" s="583">
        <f t="shared" si="68"/>
        <v>0</v>
      </c>
      <c r="Q53" s="583">
        <f t="shared" si="69"/>
        <v>0</v>
      </c>
      <c r="R53" s="583">
        <f t="shared" si="70"/>
        <v>0</v>
      </c>
      <c r="S53" s="583">
        <f t="shared" si="71"/>
        <v>0</v>
      </c>
      <c r="T53" s="583">
        <f t="shared" si="72"/>
        <v>0</v>
      </c>
      <c r="U53" s="583">
        <f t="shared" si="73"/>
        <v>0</v>
      </c>
      <c r="X53" s="442">
        <v>0</v>
      </c>
      <c r="Y53" s="583">
        <v>0</v>
      </c>
      <c r="AF53" s="583">
        <f t="shared" si="30"/>
        <v>0</v>
      </c>
      <c r="AH53" s="1901"/>
      <c r="AI53" s="1901"/>
    </row>
    <row r="54" spans="2:35">
      <c r="B54" s="885" t="s">
        <v>1232</v>
      </c>
      <c r="C54" s="442">
        <v>1059.5676000000001</v>
      </c>
      <c r="D54" s="442">
        <v>521.74286599999994</v>
      </c>
      <c r="E54" s="442">
        <v>2103.7649198181816</v>
      </c>
      <c r="F54" s="442">
        <f>'2017 Scheme &amp; cost projection'!Q317</f>
        <v>1062.8333333333333</v>
      </c>
      <c r="G54" s="442">
        <f>'Long term projection'!K234</f>
        <v>733.83333333333326</v>
      </c>
      <c r="H54" s="442">
        <f>'Long term projection'!L234</f>
        <v>873.83333333333326</v>
      </c>
      <c r="I54" s="442">
        <f>'Long term projection'!M234</f>
        <v>929.25</v>
      </c>
      <c r="J54" s="442">
        <f>'Long term projection'!N234</f>
        <v>1048.25</v>
      </c>
      <c r="K54" s="442">
        <f>'Long term projection'!O234</f>
        <v>1170.75</v>
      </c>
      <c r="M54" s="583">
        <f t="shared" ref="M54:M55" si="77">C54/C$6</f>
        <v>9.0794801689554755E-3</v>
      </c>
      <c r="N54" s="583">
        <f t="shared" ref="N54:N55" si="78">D54/D$6</f>
        <v>1.6705977086011864E-3</v>
      </c>
      <c r="O54" s="583">
        <f t="shared" ref="O54:O55" si="79">E54/E$6</f>
        <v>4.9116260071351255E-3</v>
      </c>
      <c r="P54" s="583">
        <f t="shared" ref="P54:P55" si="80">F54/F$6</f>
        <v>1.4739432472001769E-3</v>
      </c>
      <c r="Q54" s="583">
        <f t="shared" ref="Q54:Q55" si="81">G54/G$6</f>
        <v>7.5954141778460289E-4</v>
      </c>
      <c r="R54" s="583">
        <f t="shared" ref="R54:R55" si="82">H54/H$6</f>
        <v>6.4642770386478686E-4</v>
      </c>
      <c r="S54" s="583">
        <f t="shared" ref="S54:S55" si="83">I54/I$6</f>
        <v>5.2722414766253332E-4</v>
      </c>
      <c r="T54" s="583">
        <f t="shared" ref="T54:T55" si="84">J54/J$6</f>
        <v>4.5762498672066401E-4</v>
      </c>
      <c r="U54" s="583">
        <f t="shared" ref="U54:U55" si="85">K54/K$6</f>
        <v>3.9315669207155753E-4</v>
      </c>
      <c r="X54" s="442">
        <v>1062.8333333333333</v>
      </c>
      <c r="Y54" s="583">
        <v>1.5489730095489215E-3</v>
      </c>
      <c r="AB54" s="442">
        <v>892.78560000000004</v>
      </c>
      <c r="AC54" s="583">
        <v>3.0567514426428004E-3</v>
      </c>
      <c r="AE54" s="442">
        <f>F54-AB54</f>
        <v>170.04773333333321</v>
      </c>
      <c r="AF54" s="583">
        <f>AE54/$AE$6</f>
        <v>3.9637102094966411E-4</v>
      </c>
      <c r="AH54" s="1901"/>
      <c r="AI54" s="1901"/>
    </row>
    <row r="55" spans="2:35">
      <c r="B55" s="885" t="s">
        <v>1164</v>
      </c>
      <c r="C55" s="442">
        <v>42</v>
      </c>
      <c r="D55" s="442">
        <v>147</v>
      </c>
      <c r="E55" s="442">
        <v>610.5</v>
      </c>
      <c r="F55" s="442">
        <v>0</v>
      </c>
      <c r="G55" s="442">
        <v>0</v>
      </c>
      <c r="H55" s="442">
        <v>0</v>
      </c>
      <c r="I55" s="442">
        <v>0</v>
      </c>
      <c r="J55" s="442">
        <v>0</v>
      </c>
      <c r="K55" s="442">
        <v>0</v>
      </c>
      <c r="M55" s="583">
        <f t="shared" si="77"/>
        <v>3.5989979978259996E-4</v>
      </c>
      <c r="N55" s="583">
        <f t="shared" si="78"/>
        <v>4.7068753435408628E-4</v>
      </c>
      <c r="O55" s="583">
        <f t="shared" si="79"/>
        <v>1.4253244975751113E-3</v>
      </c>
      <c r="P55" s="583">
        <f t="shared" si="80"/>
        <v>0</v>
      </c>
      <c r="Q55" s="583">
        <f t="shared" si="81"/>
        <v>0</v>
      </c>
      <c r="R55" s="583">
        <f t="shared" si="82"/>
        <v>0</v>
      </c>
      <c r="S55" s="583">
        <f t="shared" si="83"/>
        <v>0</v>
      </c>
      <c r="T55" s="583">
        <f t="shared" si="84"/>
        <v>0</v>
      </c>
      <c r="U55" s="583">
        <f t="shared" si="85"/>
        <v>0</v>
      </c>
      <c r="X55" s="442">
        <v>0</v>
      </c>
      <c r="Y55" s="583">
        <v>0</v>
      </c>
      <c r="AH55" s="1901"/>
      <c r="AI55" s="1901"/>
    </row>
    <row r="56" spans="2:35">
      <c r="B56" s="885"/>
      <c r="AH56" s="1901"/>
      <c r="AI56" s="1901"/>
    </row>
    <row r="57" spans="2:35">
      <c r="AH57" s="1901"/>
      <c r="AI57" s="1901"/>
    </row>
    <row r="58" spans="2:35" s="1126" customFormat="1">
      <c r="B58" s="1126" t="s">
        <v>570</v>
      </c>
      <c r="C58" s="1127">
        <f>C59+C63</f>
        <v>2842.0994065262435</v>
      </c>
      <c r="D58" s="1127">
        <f t="shared" ref="D58:K58" si="86">D59+D63</f>
        <v>7524.5000420000033</v>
      </c>
      <c r="E58" s="1127">
        <f>E59+E63</f>
        <v>14924.596481500001</v>
      </c>
      <c r="F58" s="1127">
        <f t="shared" si="86"/>
        <v>129784.33171465113</v>
      </c>
      <c r="G58" s="1127">
        <f t="shared" si="86"/>
        <v>200625.24393149611</v>
      </c>
      <c r="H58" s="1127">
        <f t="shared" si="86"/>
        <v>249230.44928728577</v>
      </c>
      <c r="I58" s="1127">
        <f t="shared" si="86"/>
        <v>319349.75249495305</v>
      </c>
      <c r="J58" s="1127">
        <f t="shared" si="86"/>
        <v>402409.26265926362</v>
      </c>
      <c r="K58" s="1127">
        <f t="shared" si="86"/>
        <v>528700.38332099759</v>
      </c>
      <c r="L58" s="1127"/>
      <c r="M58" s="1128">
        <f t="shared" ref="M58:N61" si="87">C58/C$6</f>
        <v>2.4354071604072408E-2</v>
      </c>
      <c r="N58" s="1128">
        <f t="shared" si="87"/>
        <v>2.4093118176980954E-2</v>
      </c>
      <c r="O58" s="1128">
        <f t="shared" ref="O58:O61" si="88">E58/E$6</f>
        <v>3.4844214547920173E-2</v>
      </c>
      <c r="P58" s="1128">
        <f t="shared" ref="P58:P61" si="89">F58/F$6</f>
        <v>0.17998564151469137</v>
      </c>
      <c r="Q58" s="1128">
        <f t="shared" ref="Q58:Q61" si="90">G58/G$6</f>
        <v>0.20765366643530822</v>
      </c>
      <c r="R58" s="1128">
        <f t="shared" ref="R58:R61" si="91">H58/H$6</f>
        <v>0.18437093312908948</v>
      </c>
      <c r="S58" s="1128">
        <f t="shared" ref="S58:S61" si="92">I58/I$6</f>
        <v>0.18118794841581123</v>
      </c>
      <c r="T58" s="1128">
        <f t="shared" ref="T58:T61" si="93">J58/J$6</f>
        <v>0.17567615881776077</v>
      </c>
      <c r="U58" s="1128">
        <f t="shared" ref="U58:U61" si="94">K58/K$6</f>
        <v>0.17754609763266954</v>
      </c>
      <c r="X58" s="1127">
        <v>109993.6075759472</v>
      </c>
      <c r="Y58" s="1128">
        <v>0.16030465362213392</v>
      </c>
      <c r="AB58" s="1127">
        <v>51015.707059</v>
      </c>
      <c r="AC58" s="1128">
        <v>0.1746694123987223</v>
      </c>
      <c r="AE58" s="1127">
        <f t="shared" ref="AE58" si="95">AE59+AE63</f>
        <v>78768.624655651118</v>
      </c>
      <c r="AF58" s="1128">
        <f t="shared" si="30"/>
        <v>0.183604918228223</v>
      </c>
      <c r="AH58" s="1901"/>
      <c r="AI58" s="1901"/>
    </row>
    <row r="59" spans="2:35" s="658" customFormat="1">
      <c r="B59" s="889" t="s">
        <v>751</v>
      </c>
      <c r="C59" s="827">
        <f>SUM(C60:C61)</f>
        <v>393.02867351856338</v>
      </c>
      <c r="D59" s="827">
        <f t="shared" ref="D59:K59" si="96">SUM(D60:D61)</f>
        <v>2024.0000000000007</v>
      </c>
      <c r="E59" s="827">
        <f t="shared" si="96"/>
        <v>2761.2233000000001</v>
      </c>
      <c r="F59" s="827">
        <f t="shared" si="96"/>
        <v>30388.279634999999</v>
      </c>
      <c r="G59" s="827">
        <f t="shared" si="96"/>
        <v>46643.430429988606</v>
      </c>
      <c r="H59" s="827">
        <f t="shared" si="96"/>
        <v>33579.669417383033</v>
      </c>
      <c r="I59" s="827">
        <f t="shared" si="96"/>
        <v>21764.193978887248</v>
      </c>
      <c r="J59" s="827">
        <f t="shared" si="96"/>
        <v>9596.0193800938268</v>
      </c>
      <c r="K59" s="827">
        <f t="shared" si="96"/>
        <v>3372.1805454729888</v>
      </c>
      <c r="M59" s="660">
        <f t="shared" si="87"/>
        <v>3.3678795454321858E-3</v>
      </c>
      <c r="N59" s="660">
        <f t="shared" si="87"/>
        <v>6.4807589764127272E-3</v>
      </c>
      <c r="O59" s="660">
        <f t="shared" si="88"/>
        <v>6.4465834770928605E-3</v>
      </c>
      <c r="P59" s="660">
        <f t="shared" si="89"/>
        <v>4.2142637191819578E-2</v>
      </c>
      <c r="Q59" s="660">
        <f t="shared" si="90"/>
        <v>4.8277470741491309E-2</v>
      </c>
      <c r="R59" s="660">
        <f t="shared" si="91"/>
        <v>2.4840925345814443E-2</v>
      </c>
      <c r="S59" s="660">
        <f t="shared" si="92"/>
        <v>1.2348247102589043E-2</v>
      </c>
      <c r="T59" s="660">
        <f t="shared" si="93"/>
        <v>4.189247070247243E-3</v>
      </c>
      <c r="U59" s="660">
        <f t="shared" si="94"/>
        <v>1.1324324991041817E-3</v>
      </c>
      <c r="X59" s="827">
        <v>29255.063114906141</v>
      </c>
      <c r="Y59" s="660">
        <v>4.2636320988840973E-2</v>
      </c>
      <c r="AB59" s="827">
        <v>12395.779634999999</v>
      </c>
      <c r="AC59" s="660">
        <v>4.244111607755377E-2</v>
      </c>
      <c r="AE59" s="827">
        <f t="shared" ref="AE59" si="97">SUM(AE60:AE61)</f>
        <v>17992.5</v>
      </c>
      <c r="AF59" s="660">
        <f t="shared" si="30"/>
        <v>4.1939433444002604E-2</v>
      </c>
      <c r="AH59" s="1901"/>
      <c r="AI59" s="1901"/>
    </row>
    <row r="60" spans="2:35">
      <c r="B60" s="888" t="s">
        <v>752</v>
      </c>
      <c r="C60" s="442">
        <v>393.02867351856338</v>
      </c>
      <c r="D60" s="442">
        <v>2024.0000000000007</v>
      </c>
      <c r="E60" s="442">
        <v>0</v>
      </c>
      <c r="F60" s="442">
        <f t="shared" ref="F60:F61" si="98">AB60+AE60</f>
        <v>8345</v>
      </c>
      <c r="G60" s="442">
        <f>'GA Cost Projection'!E22</f>
        <v>30620</v>
      </c>
      <c r="H60" s="442">
        <f>'GA Cost Projection'!F22</f>
        <v>24840</v>
      </c>
      <c r="I60" s="442">
        <f>'GA Cost Projection'!G22</f>
        <v>14575</v>
      </c>
      <c r="J60" s="442">
        <f>'GA Cost Projection'!H22</f>
        <v>5625</v>
      </c>
      <c r="K60" s="442">
        <f>'GA Cost Projection'!I22</f>
        <v>0</v>
      </c>
      <c r="M60" s="583">
        <f t="shared" si="87"/>
        <v>3.3678795454321858E-3</v>
      </c>
      <c r="N60" s="583">
        <f t="shared" si="87"/>
        <v>6.4807589764127272E-3</v>
      </c>
      <c r="O60" s="583">
        <f t="shared" si="88"/>
        <v>0</v>
      </c>
      <c r="P60" s="583">
        <f t="shared" si="89"/>
        <v>1.1572892957082149E-2</v>
      </c>
      <c r="Q60" s="583">
        <f t="shared" si="90"/>
        <v>3.1692697995772713E-2</v>
      </c>
      <c r="R60" s="583">
        <f t="shared" si="91"/>
        <v>1.837565992447222E-2</v>
      </c>
      <c r="S60" s="583">
        <f t="shared" si="92"/>
        <v>8.2693483477873798E-3</v>
      </c>
      <c r="T60" s="583">
        <f t="shared" si="93"/>
        <v>2.4556551875065443E-3</v>
      </c>
      <c r="U60" s="583">
        <f t="shared" si="94"/>
        <v>0</v>
      </c>
      <c r="X60" s="442">
        <v>10740</v>
      </c>
      <c r="Y60" s="583">
        <v>1.5652473064972951E-2</v>
      </c>
      <c r="AB60" s="442">
        <v>2195</v>
      </c>
      <c r="AC60" s="583">
        <v>7.5153199341487439E-3</v>
      </c>
      <c r="AE60" s="442">
        <f>'GA Cost Projection_2017'!L20</f>
        <v>6150</v>
      </c>
      <c r="AF60" s="583">
        <f t="shared" si="30"/>
        <v>1.4335279459809143E-2</v>
      </c>
      <c r="AH60" s="1901"/>
      <c r="AI60" s="1901"/>
    </row>
    <row r="61" spans="2:35">
      <c r="B61" s="888" t="s">
        <v>753</v>
      </c>
      <c r="E61" s="442">
        <v>2761.2233000000001</v>
      </c>
      <c r="F61" s="442">
        <f t="shared" si="98"/>
        <v>22043.279634999999</v>
      </c>
      <c r="G61" s="442">
        <f>'GA Cost Projection'!E23</f>
        <v>16023.430429988608</v>
      </c>
      <c r="H61" s="442">
        <f>'GA Cost Projection'!F23</f>
        <v>8739.6694173830347</v>
      </c>
      <c r="I61" s="442">
        <f>'GA Cost Projection'!G23</f>
        <v>7189.1939788872478</v>
      </c>
      <c r="J61" s="442">
        <f>'GA Cost Projection'!H23</f>
        <v>3971.0193800938264</v>
      </c>
      <c r="K61" s="442">
        <f>'GA Cost Projection'!I23</f>
        <v>3372.1805454729888</v>
      </c>
      <c r="M61" s="583">
        <f t="shared" si="87"/>
        <v>0</v>
      </c>
      <c r="N61" s="583">
        <f t="shared" si="87"/>
        <v>0</v>
      </c>
      <c r="O61" s="583">
        <f t="shared" si="88"/>
        <v>6.4465834770928605E-3</v>
      </c>
      <c r="P61" s="583">
        <f t="shared" si="89"/>
        <v>3.056974423473743E-2</v>
      </c>
      <c r="Q61" s="583">
        <f t="shared" si="90"/>
        <v>1.6584772745718596E-2</v>
      </c>
      <c r="R61" s="583">
        <f t="shared" si="91"/>
        <v>6.4652654213422263E-3</v>
      </c>
      <c r="S61" s="583">
        <f t="shared" si="92"/>
        <v>4.0788987548016631E-3</v>
      </c>
      <c r="T61" s="583">
        <f t="shared" si="93"/>
        <v>1.7335918827406981E-3</v>
      </c>
      <c r="U61" s="583">
        <f t="shared" si="94"/>
        <v>1.1324324991041817E-3</v>
      </c>
      <c r="X61" s="442">
        <v>18515.063114906141</v>
      </c>
      <c r="Y61" s="583">
        <v>2.6983847923868022E-2</v>
      </c>
      <c r="AB61" s="442">
        <v>10200.779634999999</v>
      </c>
      <c r="AC61" s="583">
        <v>3.4925796143405026E-2</v>
      </c>
      <c r="AE61" s="442">
        <f>'GA Cost Projection_2017'!L28</f>
        <v>11842.5</v>
      </c>
      <c r="AF61" s="583">
        <f t="shared" si="30"/>
        <v>2.7604153984193459E-2</v>
      </c>
      <c r="AH61" s="1901"/>
      <c r="AI61" s="1901"/>
    </row>
    <row r="62" spans="2:35">
      <c r="AH62" s="1901"/>
      <c r="AI62" s="1901"/>
    </row>
    <row r="63" spans="2:35" s="658" customFormat="1">
      <c r="B63" s="889" t="s">
        <v>754</v>
      </c>
      <c r="C63" s="827">
        <f>SUM(C64:C68)</f>
        <v>2449.0707330076802</v>
      </c>
      <c r="D63" s="827">
        <f t="shared" ref="D63:K63" si="99">SUM(D64:D68)</f>
        <v>5500.5000420000024</v>
      </c>
      <c r="E63" s="827">
        <f t="shared" si="99"/>
        <v>12163.373181500001</v>
      </c>
      <c r="F63" s="827">
        <f t="shared" si="99"/>
        <v>99396.052079651126</v>
      </c>
      <c r="G63" s="827">
        <f t="shared" si="99"/>
        <v>153981.81350150751</v>
      </c>
      <c r="H63" s="827">
        <f t="shared" si="99"/>
        <v>215650.77986990273</v>
      </c>
      <c r="I63" s="827">
        <f t="shared" si="99"/>
        <v>297585.55851606582</v>
      </c>
      <c r="J63" s="827">
        <f t="shared" si="99"/>
        <v>392813.24327916978</v>
      </c>
      <c r="K63" s="827">
        <f t="shared" si="99"/>
        <v>525328.20277552458</v>
      </c>
      <c r="M63" s="660">
        <f t="shared" ref="M63:N67" si="100">C63/C$6</f>
        <v>2.0986192058640225E-2</v>
      </c>
      <c r="N63" s="660">
        <f t="shared" si="100"/>
        <v>1.7612359200568226E-2</v>
      </c>
      <c r="O63" s="660">
        <f t="shared" ref="O63:O67" si="101">E63/E$6</f>
        <v>2.8397631070827309E-2</v>
      </c>
      <c r="P63" s="660">
        <f t="shared" ref="P63:P67" si="102">F63/F$6</f>
        <v>0.13784300432287178</v>
      </c>
      <c r="Q63" s="660">
        <f t="shared" ref="Q63:Q67" si="103">G63/G$6</f>
        <v>0.15937619569381692</v>
      </c>
      <c r="R63" s="660">
        <f t="shared" ref="R63:R67" si="104">H63/H$6</f>
        <v>0.15953000778327503</v>
      </c>
      <c r="S63" s="660">
        <f>I63/I$6</f>
        <v>0.16883970131322221</v>
      </c>
      <c r="T63" s="660">
        <f t="shared" ref="T63:T67" si="105">J63/J$6</f>
        <v>0.17148691174751352</v>
      </c>
      <c r="U63" s="660">
        <f t="shared" ref="U63:U67" si="106">K63/K$6</f>
        <v>0.17641366513356535</v>
      </c>
      <c r="X63" s="827">
        <v>80738.544461041063</v>
      </c>
      <c r="Y63" s="660">
        <v>0.11766833263329295</v>
      </c>
      <c r="AB63" s="827">
        <v>38619.927424000001</v>
      </c>
      <c r="AC63" s="660">
        <v>0.13222829632116853</v>
      </c>
      <c r="AE63" s="827">
        <f t="shared" ref="AE63" si="107">SUM(AE64:AE68)</f>
        <v>60776.124655651118</v>
      </c>
      <c r="AF63" s="660">
        <f t="shared" si="30"/>
        <v>0.14166548478422042</v>
      </c>
      <c r="AH63" s="1901"/>
      <c r="AI63" s="1901"/>
    </row>
    <row r="64" spans="2:35">
      <c r="B64" s="886" t="s">
        <v>755</v>
      </c>
      <c r="E64" s="442">
        <v>202.73570999999998</v>
      </c>
      <c r="F64" s="442">
        <f t="shared" ref="F64:F67" si="108">AB64+AE64</f>
        <v>1249.27647288</v>
      </c>
      <c r="G64" s="442">
        <f>'GA Cost Projection'!E26</f>
        <v>2418.9312074416334</v>
      </c>
      <c r="H64" s="442">
        <f>'GA Cost Projection'!F26</f>
        <v>3220.3080314923732</v>
      </c>
      <c r="I64" s="442">
        <f>'GA Cost Projection'!G26</f>
        <v>4228.1333173568764</v>
      </c>
      <c r="J64" s="442">
        <f>'GA Cost Projection'!H26</f>
        <v>5640.0918752685866</v>
      </c>
      <c r="K64" s="442">
        <f>'GA Cost Projection'!I26</f>
        <v>7147.8061899473241</v>
      </c>
      <c r="M64" s="583">
        <f t="shared" si="100"/>
        <v>0</v>
      </c>
      <c r="N64" s="583">
        <f t="shared" si="100"/>
        <v>0</v>
      </c>
      <c r="O64" s="583">
        <f t="shared" si="101"/>
        <v>4.7332379032970261E-4</v>
      </c>
      <c r="P64" s="583">
        <f t="shared" si="102"/>
        <v>1.7325036422338384E-3</v>
      </c>
      <c r="Q64" s="583">
        <f t="shared" si="103"/>
        <v>2.503672639777842E-3</v>
      </c>
      <c r="R64" s="583">
        <f t="shared" si="104"/>
        <v>2.3822578598530768E-3</v>
      </c>
      <c r="S64" s="583">
        <f t="shared" ref="S64:S67" si="109">I64/I$6</f>
        <v>2.3988958670401275E-3</v>
      </c>
      <c r="T64" s="583">
        <f t="shared" si="105"/>
        <v>2.4622437104918787E-3</v>
      </c>
      <c r="U64" s="583">
        <f t="shared" si="106"/>
        <v>2.4003483555056953E-3</v>
      </c>
      <c r="X64" s="442">
        <v>1543.8899397568548</v>
      </c>
      <c r="Y64" s="583">
        <v>2.2500647762874193E-3</v>
      </c>
      <c r="AB64" s="442">
        <v>513.54132000000004</v>
      </c>
      <c r="AC64" s="583">
        <v>1.7582812388177945E-3</v>
      </c>
      <c r="AE64" s="442">
        <f>'GA Cost Projection_2017'!L47</f>
        <v>735.73515287999999</v>
      </c>
      <c r="AF64" s="583">
        <f t="shared" si="30"/>
        <v>1.714954312998407E-3</v>
      </c>
      <c r="AH64" s="1901"/>
      <c r="AI64" s="1901"/>
    </row>
    <row r="65" spans="2:35">
      <c r="B65" s="886" t="s">
        <v>756</v>
      </c>
      <c r="C65" s="442">
        <v>2449.0707330076802</v>
      </c>
      <c r="D65" s="442">
        <v>5500.5000420000024</v>
      </c>
      <c r="E65" s="442">
        <f>7017.32921+2630</f>
        <v>9647.3292099999999</v>
      </c>
      <c r="F65" s="442">
        <f t="shared" si="108"/>
        <v>66384.473647827064</v>
      </c>
      <c r="G65" s="442">
        <f>'GA Cost Projection'!E27</f>
        <v>105572.11624339578</v>
      </c>
      <c r="H65" s="442">
        <f>'GA Cost Projection'!F27</f>
        <v>147969.83355760676</v>
      </c>
      <c r="I65" s="442">
        <f>'GA Cost Projection'!G27</f>
        <v>204340.03184138419</v>
      </c>
      <c r="J65" s="442">
        <f>'GA Cost Projection'!H27</f>
        <v>269687.98908843979</v>
      </c>
      <c r="K65" s="442">
        <f>'GA Cost Projection'!I27</f>
        <v>360941.94195410446</v>
      </c>
      <c r="M65" s="583">
        <f t="shared" si="100"/>
        <v>2.0986192058640225E-2</v>
      </c>
      <c r="N65" s="583">
        <f t="shared" si="100"/>
        <v>1.7612359200568226E-2</v>
      </c>
      <c r="O65" s="583">
        <f t="shared" si="101"/>
        <v>2.2523463815208755E-2</v>
      </c>
      <c r="P65" s="583">
        <f t="shared" si="102"/>
        <v>9.206236159838746E-2</v>
      </c>
      <c r="Q65" s="583">
        <f t="shared" si="103"/>
        <v>0.10927058121739233</v>
      </c>
      <c r="R65" s="583">
        <f t="shared" si="104"/>
        <v>0.1094622922920829</v>
      </c>
      <c r="S65" s="583">
        <f t="shared" si="109"/>
        <v>0.11593543085381619</v>
      </c>
      <c r="T65" s="583">
        <f t="shared" si="105"/>
        <v>0.11773523722901964</v>
      </c>
      <c r="U65" s="583">
        <f t="shared" si="106"/>
        <v>0.12121011311429411</v>
      </c>
      <c r="X65" s="442">
        <v>55163.554205540029</v>
      </c>
      <c r="Y65" s="583">
        <v>8.0395348824058716E-2</v>
      </c>
      <c r="AB65" s="442">
        <v>26273.202719999997</v>
      </c>
      <c r="AC65" s="583">
        <v>8.9955136280431419E-2</v>
      </c>
      <c r="AE65" s="442">
        <f>'GA Cost Projection_2017'!L57</f>
        <v>40111.270927827063</v>
      </c>
      <c r="AF65" s="583">
        <f t="shared" si="30"/>
        <v>9.3496955811141286E-2</v>
      </c>
      <c r="AH65" s="1901"/>
      <c r="AI65" s="1901"/>
    </row>
    <row r="66" spans="2:35">
      <c r="B66" s="886" t="s">
        <v>757</v>
      </c>
      <c r="E66" s="442">
        <v>1260.7088800000001</v>
      </c>
      <c r="F66" s="442">
        <f t="shared" si="108"/>
        <v>21804.630911769997</v>
      </c>
      <c r="G66" s="442">
        <f>'GA Cost Projection'!E28</f>
        <v>32483.728074891009</v>
      </c>
      <c r="H66" s="442">
        <f>'GA Cost Projection'!F28</f>
        <v>34146.884667140017</v>
      </c>
      <c r="I66" s="442">
        <f>'GA Cost Projection'!G28</f>
        <v>47155.391963396352</v>
      </c>
      <c r="J66" s="442">
        <f>'GA Cost Projection'!H28</f>
        <v>62235.689789639953</v>
      </c>
      <c r="K66" s="442">
        <f>'GA Cost Projection'!I28</f>
        <v>83294.294297101034</v>
      </c>
      <c r="M66" s="583">
        <f t="shared" si="100"/>
        <v>0</v>
      </c>
      <c r="N66" s="583">
        <f t="shared" si="100"/>
        <v>0</v>
      </c>
      <c r="O66" s="583">
        <f t="shared" si="101"/>
        <v>2.9433566764528771E-3</v>
      </c>
      <c r="P66" s="583">
        <f t="shared" si="102"/>
        <v>3.0238784842492355E-2</v>
      </c>
      <c r="Q66" s="583">
        <f t="shared" si="103"/>
        <v>3.3621717297659177E-2</v>
      </c>
      <c r="R66" s="583">
        <f t="shared" si="104"/>
        <v>2.5260528990480664E-2</v>
      </c>
      <c r="S66" s="583">
        <f t="shared" si="109"/>
        <v>2.6754330197034507E-2</v>
      </c>
      <c r="T66" s="583">
        <f t="shared" si="105"/>
        <v>2.7169670129773765E-2</v>
      </c>
      <c r="U66" s="583">
        <f t="shared" si="106"/>
        <v>2.7971564564837105E-2</v>
      </c>
      <c r="X66" s="442">
        <v>16973.401294012318</v>
      </c>
      <c r="Y66" s="583">
        <v>2.4737030407402685E-2</v>
      </c>
      <c r="AB66" s="442">
        <v>7892.2029760000005</v>
      </c>
      <c r="AC66" s="583">
        <v>2.7021608359854597E-2</v>
      </c>
      <c r="AE66" s="442">
        <f>'GA Cost Projection_2017'!L120</f>
        <v>13912.427935769996</v>
      </c>
      <c r="AF66" s="583">
        <f t="shared" si="30"/>
        <v>3.2429031288409522E-2</v>
      </c>
      <c r="AH66" s="1901"/>
      <c r="AI66" s="1901"/>
    </row>
    <row r="67" spans="2:35">
      <c r="B67" s="886" t="s">
        <v>696</v>
      </c>
      <c r="E67" s="442">
        <v>1052.5993814999999</v>
      </c>
      <c r="F67" s="442">
        <f t="shared" si="108"/>
        <v>9957.6710471740607</v>
      </c>
      <c r="G67" s="442">
        <f>'GA Cost Projection'!E29</f>
        <v>13507.037975779087</v>
      </c>
      <c r="H67" s="442">
        <f>'GA Cost Projection'!F29</f>
        <v>18931.458724616907</v>
      </c>
      <c r="I67" s="442">
        <f>'GA Cost Projection'!G29</f>
        <v>26143.537406129639</v>
      </c>
      <c r="J67" s="442">
        <f>'GA Cost Projection'!H29</f>
        <v>34504.242595941389</v>
      </c>
      <c r="K67" s="442">
        <f>'GA Cost Projection'!I29</f>
        <v>46179.395568671462</v>
      </c>
      <c r="M67" s="583">
        <f t="shared" si="100"/>
        <v>0</v>
      </c>
      <c r="N67" s="583">
        <f t="shared" si="100"/>
        <v>0</v>
      </c>
      <c r="O67" s="583">
        <f t="shared" si="101"/>
        <v>2.457486788835971E-3</v>
      </c>
      <c r="P67" s="583">
        <f t="shared" si="102"/>
        <v>1.3809354239758121E-2</v>
      </c>
      <c r="Q67" s="583">
        <f t="shared" si="103"/>
        <v>1.3980224538987583E-2</v>
      </c>
      <c r="R67" s="583">
        <f t="shared" si="104"/>
        <v>1.4004752310698183E-2</v>
      </c>
      <c r="S67" s="583">
        <f t="shared" si="109"/>
        <v>1.483293432965322E-2</v>
      </c>
      <c r="T67" s="583">
        <f t="shared" si="105"/>
        <v>1.5063203968303599E-2</v>
      </c>
      <c r="U67" s="583">
        <f t="shared" si="106"/>
        <v>1.5507784243982758E-2</v>
      </c>
      <c r="X67" s="442">
        <v>7057.6990217318653</v>
      </c>
      <c r="Y67" s="583">
        <v>1.028588862554413E-2</v>
      </c>
      <c r="AB67" s="442">
        <v>3940.9804080000004</v>
      </c>
      <c r="AC67" s="583">
        <v>1.3493270442064716E-2</v>
      </c>
      <c r="AE67" s="442">
        <f>'GA Cost Projection_2017'!L202</f>
        <v>6016.6906391740604</v>
      </c>
      <c r="AF67" s="583">
        <f t="shared" si="30"/>
        <v>1.4024543371671196E-2</v>
      </c>
      <c r="AH67" s="1901"/>
      <c r="AI67" s="1901"/>
    </row>
    <row r="68" spans="2:35">
      <c r="B68" s="886" t="s">
        <v>758</v>
      </c>
      <c r="F68" s="442">
        <f>'GA Cost Projection'!D30</f>
        <v>0</v>
      </c>
      <c r="G68" s="442">
        <f>'GA Cost Projection'!E30</f>
        <v>0</v>
      </c>
      <c r="H68" s="442">
        <f>'GA Cost Projection'!F30</f>
        <v>11382.294889046674</v>
      </c>
      <c r="I68" s="442">
        <f>'GA Cost Projection'!G30</f>
        <v>15718.463987798785</v>
      </c>
      <c r="J68" s="442">
        <f>'GA Cost Projection'!H30</f>
        <v>20745.229929879984</v>
      </c>
      <c r="K68" s="442">
        <f>'GA Cost Projection'!I30</f>
        <v>27764.764765700344</v>
      </c>
      <c r="M68" s="583">
        <f t="shared" ref="M68" si="110">C68/C$6</f>
        <v>0</v>
      </c>
      <c r="N68" s="583">
        <f t="shared" ref="N68" si="111">D68/D$6</f>
        <v>0</v>
      </c>
      <c r="O68" s="583">
        <f t="shared" ref="O68" si="112">E68/E$6</f>
        <v>0</v>
      </c>
      <c r="P68" s="583">
        <f t="shared" ref="P68" si="113">F68/F$6</f>
        <v>0</v>
      </c>
      <c r="Q68" s="583">
        <f t="shared" ref="Q68" si="114">G68/G$6</f>
        <v>0</v>
      </c>
      <c r="R68" s="583">
        <f t="shared" ref="R68" si="115">H68/H$6</f>
        <v>8.4201763301602235E-3</v>
      </c>
      <c r="S68" s="583">
        <f t="shared" ref="S68" si="116">I68/I$6</f>
        <v>8.9181100656781694E-3</v>
      </c>
      <c r="T68" s="583">
        <f t="shared" ref="T68" si="117">J68/J$6</f>
        <v>9.0565567099245882E-3</v>
      </c>
      <c r="U68" s="583">
        <f t="shared" ref="U68" si="118">K68/K$6</f>
        <v>9.3238548549457005E-3</v>
      </c>
      <c r="X68" s="442">
        <v>0</v>
      </c>
      <c r="Y68" s="583">
        <v>0</v>
      </c>
    </row>
    <row r="70" spans="2:35">
      <c r="B70" s="1591" t="s">
        <v>1481</v>
      </c>
      <c r="C70" s="903"/>
      <c r="D70" s="903"/>
      <c r="E70" s="903"/>
      <c r="F70" s="903">
        <v>260585.08799999999</v>
      </c>
      <c r="G70" s="903">
        <v>305470.28999999998</v>
      </c>
      <c r="H70" s="903">
        <v>342817.43300000002</v>
      </c>
      <c r="I70" s="903">
        <v>421648.31099999999</v>
      </c>
      <c r="J70" s="903">
        <v>519438.46399999998</v>
      </c>
      <c r="K70" s="903">
        <v>654094.58600000001</v>
      </c>
      <c r="L70" s="902"/>
      <c r="M70" s="1592"/>
      <c r="N70" s="1592"/>
      <c r="O70" s="1592"/>
      <c r="P70" s="1592">
        <f>F70/F6</f>
        <v>0.36138086634341904</v>
      </c>
      <c r="Q70" s="1592">
        <f t="shared" ref="Q70:U70" si="119">G70/G6</f>
        <v>0.31617170632433406</v>
      </c>
      <c r="R70" s="1592">
        <f t="shared" si="119"/>
        <v>0.25360292129583495</v>
      </c>
      <c r="S70" s="1592">
        <f t="shared" si="119"/>
        <v>0.23922859443671968</v>
      </c>
      <c r="T70" s="1592">
        <f t="shared" si="119"/>
        <v>0.22676653488213891</v>
      </c>
      <c r="U70" s="1592">
        <f t="shared" si="119"/>
        <v>0.21965548898883186</v>
      </c>
      <c r="X70" s="442">
        <v>260585.08799999999</v>
      </c>
      <c r="Y70" s="583">
        <v>0.37977663603851081</v>
      </c>
    </row>
    <row r="71" spans="2:35">
      <c r="B71" s="1591" t="s">
        <v>1482</v>
      </c>
      <c r="C71" s="903"/>
      <c r="D71" s="903"/>
      <c r="E71" s="903"/>
      <c r="F71" s="903">
        <f>P71*F$6</f>
        <v>267521.26814629999</v>
      </c>
      <c r="G71" s="903">
        <f t="shared" ref="G71:K72" si="120">Q71*G$6</f>
        <v>358442.81864280667</v>
      </c>
      <c r="H71" s="903">
        <f t="shared" si="120"/>
        <v>501513.41708968248</v>
      </c>
      <c r="I71" s="903">
        <f t="shared" si="120"/>
        <v>653899.77209592715</v>
      </c>
      <c r="J71" s="903">
        <f t="shared" si="120"/>
        <v>849824.11643835006</v>
      </c>
      <c r="K71" s="903">
        <f t="shared" si="120"/>
        <v>1104771.3513698638</v>
      </c>
      <c r="L71" s="902"/>
      <c r="M71" s="1592"/>
      <c r="N71" s="1592"/>
      <c r="O71" s="1592"/>
      <c r="P71" s="1592">
        <v>0.371</v>
      </c>
      <c r="Q71" s="1592">
        <v>0.371</v>
      </c>
      <c r="R71" s="1592">
        <v>0.371</v>
      </c>
      <c r="S71" s="1592">
        <v>0.371</v>
      </c>
      <c r="T71" s="1592">
        <v>0.371</v>
      </c>
      <c r="U71" s="1592">
        <v>0.371</v>
      </c>
      <c r="X71" s="442">
        <v>254562.9680025829</v>
      </c>
      <c r="Y71" s="583">
        <v>0.371</v>
      </c>
    </row>
    <row r="72" spans="2:35">
      <c r="B72" s="1593" t="s">
        <v>1483</v>
      </c>
      <c r="C72" s="903"/>
      <c r="D72" s="903"/>
      <c r="E72" s="903"/>
      <c r="F72" s="903">
        <f>P72*F$6</f>
        <v>6936.180146299982</v>
      </c>
      <c r="G72" s="903">
        <f t="shared" si="120"/>
        <v>52972.528642806654</v>
      </c>
      <c r="H72" s="903">
        <f t="shared" si="120"/>
        <v>158695.98408968252</v>
      </c>
      <c r="I72" s="903">
        <f t="shared" si="120"/>
        <v>232251.46109592722</v>
      </c>
      <c r="J72" s="903">
        <f t="shared" si="120"/>
        <v>330385.65243835008</v>
      </c>
      <c r="K72" s="903">
        <f t="shared" si="120"/>
        <v>450676.76536986377</v>
      </c>
      <c r="L72" s="902"/>
      <c r="M72" s="1592"/>
      <c r="N72" s="1592"/>
      <c r="O72" s="1592"/>
      <c r="P72" s="1592">
        <f>P71-P70</f>
        <v>9.6191336565809582E-3</v>
      </c>
      <c r="Q72" s="1592">
        <f t="shared" ref="Q72:U72" si="121">Q71-Q70</f>
        <v>5.482829367566594E-2</v>
      </c>
      <c r="R72" s="1592">
        <f t="shared" si="121"/>
        <v>0.11739707870416505</v>
      </c>
      <c r="S72" s="1592">
        <f t="shared" si="121"/>
        <v>0.13177140556328032</v>
      </c>
      <c r="T72" s="1592">
        <f t="shared" si="121"/>
        <v>0.14423346511786109</v>
      </c>
      <c r="U72" s="1592">
        <f t="shared" si="121"/>
        <v>0.15134451101116814</v>
      </c>
      <c r="X72" s="442">
        <v>-6022.1199974170977</v>
      </c>
      <c r="Y72" s="583">
        <v>-8.77663603851081E-3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82"/>
  <sheetViews>
    <sheetView showGridLines="0" topLeftCell="A7" zoomScale="90" zoomScaleNormal="90" workbookViewId="0">
      <selection activeCell="D36" sqref="D36"/>
    </sheetView>
  </sheetViews>
  <sheetFormatPr defaultRowHeight="15"/>
  <cols>
    <col min="1" max="1" width="3.42578125" customWidth="1"/>
    <col min="2" max="2" width="30.28515625" customWidth="1"/>
    <col min="3" max="5" width="12" customWidth="1"/>
    <col min="6" max="7" width="12.140625" bestFit="1" customWidth="1"/>
    <col min="8" max="9" width="13" customWidth="1"/>
    <col min="10" max="10" width="8.140625" customWidth="1"/>
    <col min="11" max="13" width="9" bestFit="1" customWidth="1"/>
  </cols>
  <sheetData>
    <row r="1" spans="2:16" ht="15.75">
      <c r="B1" s="1167" t="s">
        <v>1165</v>
      </c>
      <c r="C1" s="1168" t="s">
        <v>1166</v>
      </c>
    </row>
    <row r="2" spans="2:16" s="943" customFormat="1" ht="12.75">
      <c r="B2" s="958" t="s">
        <v>499</v>
      </c>
      <c r="C2" s="1169">
        <f>[1]Summary!F22</f>
        <v>471477.18758582999</v>
      </c>
      <c r="D2" s="1169">
        <f>[1]Summary!G22</f>
        <v>700156.68629347836</v>
      </c>
      <c r="E2" s="1169">
        <f>[1]Summary!H22</f>
        <v>967946.52085075621</v>
      </c>
      <c r="F2" s="1169">
        <f>[1]Summary!I22</f>
        <v>1350661.7683017454</v>
      </c>
      <c r="G2" s="1169">
        <f>[1]Summary!J22</f>
        <v>1753344.6854463178</v>
      </c>
      <c r="H2" s="1169">
        <f>[1]Summary!K22</f>
        <v>2276810.457820653</v>
      </c>
      <c r="I2" s="1169">
        <f>[1]Summary!L22</f>
        <v>2958046.6122296471</v>
      </c>
    </row>
    <row r="3" spans="2:16" s="943" customFormat="1" ht="12.75">
      <c r="B3" s="958" t="s">
        <v>206</v>
      </c>
      <c r="C3" s="1169"/>
      <c r="D3" s="1170">
        <f>D2*98%</f>
        <v>686153.55256760877</v>
      </c>
      <c r="E3" s="1170">
        <f t="shared" ref="E3:I3" si="0">E2*98%</f>
        <v>948587.5904337411</v>
      </c>
      <c r="F3" s="1170">
        <f t="shared" si="0"/>
        <v>1323648.5329357104</v>
      </c>
      <c r="G3" s="1170">
        <f t="shared" si="0"/>
        <v>1718277.7917373914</v>
      </c>
      <c r="H3" s="1170">
        <f t="shared" si="0"/>
        <v>2231274.2486642399</v>
      </c>
      <c r="I3" s="1170">
        <f t="shared" si="0"/>
        <v>2898885.6799850543</v>
      </c>
    </row>
    <row r="4" spans="2:16" s="943" customFormat="1" ht="12.75">
      <c r="B4" s="958" t="s">
        <v>1167</v>
      </c>
      <c r="C4" s="1171"/>
      <c r="D4" s="1171">
        <f>D2/C2-1</f>
        <v>0.48502770596089229</v>
      </c>
      <c r="E4" s="1171">
        <f t="shared" ref="E4:I4" si="1">E2/D2-1</f>
        <v>0.38247129506813105</v>
      </c>
      <c r="F4" s="1171">
        <f t="shared" si="1"/>
        <v>0.39538883523710555</v>
      </c>
      <c r="G4" s="1171">
        <f t="shared" si="1"/>
        <v>0.29813749570396575</v>
      </c>
      <c r="H4" s="1171">
        <f t="shared" si="1"/>
        <v>0.29855269002117857</v>
      </c>
      <c r="I4" s="1171">
        <f t="shared" si="1"/>
        <v>0.29920635337430257</v>
      </c>
    </row>
    <row r="5" spans="2:16" s="943" customFormat="1" ht="12.75">
      <c r="C5" s="1168"/>
    </row>
    <row r="6" spans="2:16">
      <c r="B6" s="1172" t="s">
        <v>1168</v>
      </c>
      <c r="C6" s="1173">
        <f>C9/C2</f>
        <v>0.10689622786680239</v>
      </c>
      <c r="D6" s="1173">
        <f>D9/D2</f>
        <v>0.61842576018506712</v>
      </c>
      <c r="E6" s="1173">
        <f t="shared" ref="E6:I6" si="2">E9/E2</f>
        <v>0.85610776491493668</v>
      </c>
      <c r="F6" s="1173">
        <f t="shared" si="2"/>
        <v>0.85991821890981623</v>
      </c>
      <c r="G6" s="1173">
        <f t="shared" si="2"/>
        <v>0.91478013993915797</v>
      </c>
      <c r="H6" s="1173">
        <f t="shared" si="2"/>
        <v>0.92974809987159523</v>
      </c>
      <c r="I6" s="1173">
        <f t="shared" si="2"/>
        <v>0.95777370447542065</v>
      </c>
    </row>
    <row r="7" spans="2:16">
      <c r="B7" s="1174" t="s">
        <v>1169</v>
      </c>
      <c r="C7" s="1175">
        <v>2016</v>
      </c>
      <c r="D7" s="1175">
        <v>2017</v>
      </c>
      <c r="E7" s="1175">
        <v>2018</v>
      </c>
      <c r="F7" s="1175">
        <v>2019</v>
      </c>
      <c r="G7" s="1175">
        <v>2020</v>
      </c>
      <c r="H7" s="1175">
        <v>2021</v>
      </c>
      <c r="I7" s="1176">
        <v>2022</v>
      </c>
      <c r="J7" s="1175">
        <v>2016</v>
      </c>
      <c r="K7" s="1175">
        <v>2017</v>
      </c>
      <c r="L7" s="1175">
        <v>2018</v>
      </c>
      <c r="M7" s="1175">
        <v>2019</v>
      </c>
      <c r="N7" s="1175">
        <v>2020</v>
      </c>
      <c r="O7" s="1175">
        <v>2021</v>
      </c>
      <c r="P7" s="1175">
        <v>2</v>
      </c>
    </row>
    <row r="8" spans="2:16" ht="6.75" customHeight="1">
      <c r="B8" s="959"/>
      <c r="C8" s="951"/>
      <c r="D8" s="951"/>
      <c r="E8" s="951"/>
      <c r="F8" s="951"/>
      <c r="G8" s="951"/>
      <c r="H8" s="951"/>
      <c r="I8" s="1177"/>
      <c r="J8" s="951"/>
      <c r="K8" s="951"/>
      <c r="L8" s="951"/>
      <c r="M8" s="951"/>
      <c r="N8" s="951"/>
      <c r="O8" s="951"/>
    </row>
    <row r="9" spans="2:16" s="1182" customFormat="1">
      <c r="B9" s="1178" t="s">
        <v>1170</v>
      </c>
      <c r="C9" s="1179">
        <f>SUM('[2]GA summary_monthly'!C95:N95)</f>
        <v>50399.132878174016</v>
      </c>
      <c r="D9" s="1180">
        <f>SUM('[2]GA summary_monthly'!O95:Z95)</f>
        <v>432994.93096970191</v>
      </c>
      <c r="E9" s="1180">
        <f>SUM('[2]GA summary_monthly'!AA95:AL95)</f>
        <v>828666.53252273006</v>
      </c>
      <c r="F9" s="1180">
        <f>SUM('[2]GA summary_monthly'!AM95:AX95)</f>
        <v>1161458.6621476198</v>
      </c>
      <c r="G9" s="1180">
        <f>SUM('[2]GA summary_monthly'!AY95:BJ95)</f>
        <v>1603924.8967141614</v>
      </c>
      <c r="H9" s="1180">
        <f>SUM('[2]GA summary_monthly'!BK95:BV95)</f>
        <v>2116860.1969265291</v>
      </c>
      <c r="I9" s="1181">
        <f>SUM('[2]GA summary_monthly'!BW95:CH95)</f>
        <v>2833139.2618061574</v>
      </c>
    </row>
    <row r="10" spans="2:16">
      <c r="B10" s="12"/>
      <c r="C10" s="754"/>
      <c r="D10" s="1183"/>
      <c r="E10" s="1183"/>
      <c r="F10" s="1183"/>
      <c r="G10" s="1183"/>
      <c r="H10" s="1183"/>
      <c r="I10" s="1184"/>
    </row>
    <row r="11" spans="2:16" s="1182" customFormat="1">
      <c r="B11" s="1178" t="s">
        <v>1171</v>
      </c>
      <c r="C11" s="1180">
        <f>SUM('[2]GA summary_monthly'!C183:N183)</f>
        <v>49391.150220610522</v>
      </c>
      <c r="D11" s="1180">
        <f>SUM('[2]GA summary_monthly'!O183:Z183)</f>
        <v>424335.03235030791</v>
      </c>
      <c r="E11" s="1180">
        <f>SUM('[2]GA summary_monthly'!AA183:AL183)</f>
        <v>812093.20187227521</v>
      </c>
      <c r="F11" s="1180">
        <f>SUM('[2]GA summary_monthly'!AM183:AX183)</f>
        <v>1138229.4889046673</v>
      </c>
      <c r="G11" s="1180">
        <f>SUM('[2]GA summary_monthly'!AY183:BJ183)</f>
        <v>1571846.3987798784</v>
      </c>
      <c r="H11" s="1180">
        <f>SUM('[2]GA summary_monthly'!BK183:BV183)</f>
        <v>2074522.9929879985</v>
      </c>
      <c r="I11" s="1181">
        <f>SUM('[2]GA summary_monthly'!BW183:CH183)</f>
        <v>2776476.4765700344</v>
      </c>
    </row>
    <row r="12" spans="2:16">
      <c r="B12" s="12"/>
      <c r="C12" s="754"/>
      <c r="D12" s="754"/>
      <c r="E12" s="754"/>
      <c r="F12" s="754"/>
      <c r="G12" s="754"/>
      <c r="H12" s="754"/>
      <c r="I12" s="1185"/>
    </row>
    <row r="13" spans="2:16" s="1182" customFormat="1" ht="12.75">
      <c r="B13" s="1186" t="s">
        <v>1172</v>
      </c>
      <c r="C13" s="1187">
        <f>SUM(C14:C16)</f>
        <v>20</v>
      </c>
      <c r="D13" s="1187">
        <f t="shared" ref="D13:F13" si="3">SUM(D14:D16)</f>
        <v>30</v>
      </c>
      <c r="E13" s="1187">
        <f t="shared" si="3"/>
        <v>18</v>
      </c>
      <c r="F13" s="1187">
        <f t="shared" si="3"/>
        <v>15</v>
      </c>
      <c r="G13" s="1187">
        <f>SUM(G14:G16)</f>
        <v>8</v>
      </c>
      <c r="H13" s="1187">
        <f>SUM(H14:H16)</f>
        <v>6</v>
      </c>
      <c r="I13" s="1188">
        <f>SUM(I14:I16)</f>
        <v>5</v>
      </c>
    </row>
    <row r="14" spans="2:16">
      <c r="B14" s="1189" t="s">
        <v>1173</v>
      </c>
      <c r="C14" s="1190">
        <f>SUM('[2]GA summary_monthly'!C5:N5)</f>
        <v>10</v>
      </c>
      <c r="D14" s="1190">
        <f>SUM('[2]GA summary_monthly'!O5:Z5)</f>
        <v>15</v>
      </c>
      <c r="E14" s="1190">
        <f>SUM('[2]GA summary_monthly'!AA5:AL5)</f>
        <v>8</v>
      </c>
      <c r="F14" s="1190">
        <f>SUM('[2]GA summary_monthly'!AM5:AX5)</f>
        <v>2</v>
      </c>
      <c r="G14" s="1190">
        <f>SUM('[2]GA summary_monthly'!AY5:BJ5)</f>
        <v>3</v>
      </c>
      <c r="H14" s="1190">
        <f>SUM('[2]GA summary_monthly'!BK5:BV5)</f>
        <v>4</v>
      </c>
      <c r="I14" s="1191">
        <f>SUM('[2]GA summary_monthly'!BW5:CH5)</f>
        <v>3</v>
      </c>
    </row>
    <row r="15" spans="2:16">
      <c r="B15" s="1189" t="s">
        <v>1174</v>
      </c>
      <c r="C15" s="1190">
        <f>SUM('[2]GA summary_monthly'!C6:N6)</f>
        <v>7</v>
      </c>
      <c r="D15" s="1190">
        <f>SUM('[2]GA summary_monthly'!O6:Z6)</f>
        <v>12</v>
      </c>
      <c r="E15" s="1190">
        <f>SUM('[2]GA summary_monthly'!AA6:AL6)</f>
        <v>10</v>
      </c>
      <c r="F15" s="1190">
        <f>SUM('[2]GA summary_monthly'!AM6:AX6)</f>
        <v>7</v>
      </c>
      <c r="G15" s="1190">
        <f>SUM('[2]GA summary_monthly'!AY6:BJ6)</f>
        <v>5</v>
      </c>
      <c r="H15" s="1190">
        <f>SUM('[2]GA summary_monthly'!BK6:BV6)</f>
        <v>2</v>
      </c>
      <c r="I15" s="1191">
        <f>SUM('[2]GA summary_monthly'!BW6:CH6)</f>
        <v>2</v>
      </c>
    </row>
    <row r="16" spans="2:16">
      <c r="B16" s="1189" t="s">
        <v>1175</v>
      </c>
      <c r="C16" s="1190">
        <f>SUM('[2]GA summary_monthly'!C7:N7)</f>
        <v>3</v>
      </c>
      <c r="D16" s="1190">
        <f>SUM('[2]GA summary_monthly'!O7:Z7)</f>
        <v>3</v>
      </c>
      <c r="E16" s="1190">
        <f>SUM('[2]GA summary_monthly'!AA7:AL7)</f>
        <v>0</v>
      </c>
      <c r="F16" s="1190">
        <f>SUM('[2]GA summary_monthly'!AM7:AX7)</f>
        <v>6</v>
      </c>
      <c r="G16" s="1190">
        <f>SUM('[2]GA summary_monthly'!AY7:BJ7)</f>
        <v>0</v>
      </c>
      <c r="H16" s="1190">
        <f>SUM('[2]GA summary_monthly'!BK7:BV7)</f>
        <v>0</v>
      </c>
      <c r="I16" s="1191">
        <f>SUM('[2]GA summary_monthly'!BW7:CH7)</f>
        <v>0</v>
      </c>
    </row>
    <row r="17" spans="2:16" s="1182" customFormat="1">
      <c r="B17" s="959" t="s">
        <v>1176</v>
      </c>
      <c r="C17" s="1192">
        <f>C13</f>
        <v>20</v>
      </c>
      <c r="D17" s="1192">
        <f>C17+D13</f>
        <v>50</v>
      </c>
      <c r="E17" s="1192">
        <f>D17+E13</f>
        <v>68</v>
      </c>
      <c r="F17" s="1192">
        <f t="shared" ref="F17:I17" si="4">E17+F13</f>
        <v>83</v>
      </c>
      <c r="G17" s="1192">
        <f t="shared" si="4"/>
        <v>91</v>
      </c>
      <c r="H17" s="1192">
        <f t="shared" si="4"/>
        <v>97</v>
      </c>
      <c r="I17" s="1193">
        <f t="shared" si="4"/>
        <v>102</v>
      </c>
    </row>
    <row r="18" spans="2:16">
      <c r="B18" s="12"/>
      <c r="C18" s="12"/>
      <c r="D18" s="12"/>
      <c r="E18" s="12"/>
      <c r="F18" s="12"/>
      <c r="G18" s="12"/>
      <c r="H18" s="12"/>
      <c r="I18" s="546"/>
    </row>
    <row r="19" spans="2:16" ht="15.75" thickBot="1">
      <c r="B19" s="1194" t="s">
        <v>1177</v>
      </c>
      <c r="C19" s="1195">
        <f>C21+C25</f>
        <v>12032.030330806472</v>
      </c>
      <c r="D19" s="1195">
        <f t="shared" ref="D19:P19" si="5">D21+D25</f>
        <v>109993.6075759472</v>
      </c>
      <c r="E19" s="1195">
        <f t="shared" si="5"/>
        <v>200625.24393149611</v>
      </c>
      <c r="F19" s="1195">
        <f t="shared" si="5"/>
        <v>249230.44928728577</v>
      </c>
      <c r="G19" s="1195">
        <f t="shared" si="5"/>
        <v>319349.75249495305</v>
      </c>
      <c r="H19" s="1195">
        <f t="shared" si="5"/>
        <v>402409.26265926362</v>
      </c>
      <c r="I19" s="1196">
        <f t="shared" si="5"/>
        <v>528700.38332099759</v>
      </c>
      <c r="J19" s="1197">
        <f t="shared" si="5"/>
        <v>0.24360700807865787</v>
      </c>
      <c r="K19" s="1197">
        <f t="shared" si="5"/>
        <v>0.25921406245134732</v>
      </c>
      <c r="L19" s="1197">
        <f t="shared" si="5"/>
        <v>0.24704706734270895</v>
      </c>
      <c r="M19" s="1197">
        <f t="shared" si="5"/>
        <v>0.218963268582264</v>
      </c>
      <c r="N19" s="1197">
        <f t="shared" si="5"/>
        <v>0.20316854925700337</v>
      </c>
      <c r="O19" s="1197">
        <f t="shared" si="5"/>
        <v>0.19397676671670017</v>
      </c>
      <c r="P19" s="1197">
        <f t="shared" si="5"/>
        <v>0.19042134438471323</v>
      </c>
    </row>
    <row r="20" spans="2:16" ht="15.75" thickTop="1">
      <c r="B20" s="1186"/>
      <c r="C20" s="1198">
        <f>C19/C9</f>
        <v>0.23873486791708465</v>
      </c>
      <c r="D20" s="1198">
        <f t="shared" ref="D20:G20" si="6">D19/D9</f>
        <v>0.25402978120232039</v>
      </c>
      <c r="E20" s="1198">
        <f t="shared" si="6"/>
        <v>0.24210612599585471</v>
      </c>
      <c r="F20" s="1198">
        <f t="shared" si="6"/>
        <v>0.21458400321061871</v>
      </c>
      <c r="G20" s="1198">
        <f t="shared" si="6"/>
        <v>0.1991051782718633</v>
      </c>
      <c r="H20" s="1198">
        <f>H19/H9</f>
        <v>0.19009723138236617</v>
      </c>
      <c r="I20" s="1198"/>
      <c r="J20" s="1199"/>
      <c r="K20" s="1199"/>
      <c r="L20" s="1199"/>
      <c r="M20" s="1199"/>
      <c r="N20" s="1199"/>
      <c r="O20" s="1199"/>
    </row>
    <row r="21" spans="2:16" ht="16.5">
      <c r="B21" s="1186" t="s">
        <v>751</v>
      </c>
      <c r="C21" s="1180">
        <f>SUM(C22:C23)</f>
        <v>2469.5575110305263</v>
      </c>
      <c r="D21" s="1180">
        <f t="shared" ref="D21:P21" si="7">SUM(D22:D23)</f>
        <v>29255.063114906141</v>
      </c>
      <c r="E21" s="1180">
        <f t="shared" si="7"/>
        <v>46643.430429988606</v>
      </c>
      <c r="F21" s="1180">
        <f t="shared" si="7"/>
        <v>33579.669417383033</v>
      </c>
      <c r="G21" s="1180">
        <f t="shared" si="7"/>
        <v>21764.193978887248</v>
      </c>
      <c r="H21" s="1180">
        <f t="shared" si="7"/>
        <v>9596.0193800938268</v>
      </c>
      <c r="I21" s="1181">
        <f t="shared" si="7"/>
        <v>3372.1805454729888</v>
      </c>
      <c r="J21" s="1200">
        <f t="shared" si="7"/>
        <v>0.05</v>
      </c>
      <c r="K21" s="1200">
        <f t="shared" si="7"/>
        <v>6.8943313383455815E-2</v>
      </c>
      <c r="L21" s="1200">
        <f t="shared" si="7"/>
        <v>5.7436055766077715E-2</v>
      </c>
      <c r="M21" s="1200">
        <f t="shared" si="7"/>
        <v>2.9501668815220362E-2</v>
      </c>
      <c r="N21" s="1200">
        <f t="shared" si="7"/>
        <v>1.3846260039009772E-2</v>
      </c>
      <c r="O21" s="1200">
        <f t="shared" si="7"/>
        <v>4.6256510111138309E-3</v>
      </c>
      <c r="P21" s="1200">
        <f t="shared" si="7"/>
        <v>1.214553976570645E-3</v>
      </c>
    </row>
    <row r="22" spans="2:16">
      <c r="B22" s="1201" t="s">
        <v>752</v>
      </c>
      <c r="C22" s="1202">
        <f>SUM('[2]GA summary_monthly'!C887:N887)</f>
        <v>0</v>
      </c>
      <c r="D22" s="1202">
        <f>SUM('[2]GA summary_monthly'!O887:Z887)</f>
        <v>10740</v>
      </c>
      <c r="E22" s="1202">
        <f>SUM('[2]GA summary_monthly'!AA887:AL887)</f>
        <v>30620</v>
      </c>
      <c r="F22" s="1202">
        <f>SUM('[2]GA summary_monthly'!AM887:AX887)</f>
        <v>24840</v>
      </c>
      <c r="G22" s="1202">
        <f>SUM('[2]GA summary_monthly'!AY887:BJ887)</f>
        <v>14575</v>
      </c>
      <c r="H22" s="1202">
        <f>SUM('[2]GA summary_monthly'!BK887:BV887)</f>
        <v>5625</v>
      </c>
      <c r="I22" s="1203">
        <f>SUM('[2]GA summary_monthly'!BW887:CH887)</f>
        <v>0</v>
      </c>
      <c r="J22" s="583">
        <f t="shared" ref="J22:P23" si="8">C22/C$11</f>
        <v>0</v>
      </c>
      <c r="K22" s="583">
        <f t="shared" si="8"/>
        <v>2.5310189310821834E-2</v>
      </c>
      <c r="L22" s="583">
        <f t="shared" si="8"/>
        <v>3.770503179857411E-2</v>
      </c>
      <c r="M22" s="583">
        <f t="shared" si="8"/>
        <v>2.1823367117209242E-2</v>
      </c>
      <c r="N22" s="583">
        <f t="shared" si="8"/>
        <v>9.2725345245652634E-3</v>
      </c>
      <c r="O22" s="583">
        <f t="shared" si="8"/>
        <v>2.711466693313503E-3</v>
      </c>
      <c r="P22" s="583">
        <f t="shared" si="8"/>
        <v>0</v>
      </c>
    </row>
    <row r="23" spans="2:16">
      <c r="B23" s="1201" t="s">
        <v>753</v>
      </c>
      <c r="C23" s="1202">
        <f>SUM('[2]GA summary_monthly'!C975:N975)</f>
        <v>2469.5575110305263</v>
      </c>
      <c r="D23" s="1202">
        <f>SUM('[2]GA summary_monthly'!O975:Z975)</f>
        <v>18515.063114906141</v>
      </c>
      <c r="E23" s="1202">
        <f>SUM('[2]GA summary_monthly'!AA975:AL975)</f>
        <v>16023.430429988608</v>
      </c>
      <c r="F23" s="1202">
        <f>SUM('[2]GA summary_monthly'!AM975:AX975)</f>
        <v>8739.6694173830347</v>
      </c>
      <c r="G23" s="1202">
        <f>SUM('[2]GA summary_monthly'!AY975:BJ975)</f>
        <v>7189.1939788872478</v>
      </c>
      <c r="H23" s="1202">
        <f>SUM('[2]GA summary_monthly'!BK975:BV975)</f>
        <v>3971.0193800938264</v>
      </c>
      <c r="I23" s="1203">
        <f>SUM('[2]GA summary_monthly'!BW975:CH975)</f>
        <v>3372.1805454729888</v>
      </c>
      <c r="J23" s="583">
        <f t="shared" si="8"/>
        <v>0.05</v>
      </c>
      <c r="K23" s="583">
        <f t="shared" si="8"/>
        <v>4.3633124072633984E-2</v>
      </c>
      <c r="L23" s="583">
        <f t="shared" si="8"/>
        <v>1.9731023967503609E-2</v>
      </c>
      <c r="M23" s="583">
        <f t="shared" si="8"/>
        <v>7.6783016980111187E-3</v>
      </c>
      <c r="N23" s="583">
        <f t="shared" si="8"/>
        <v>4.5737255144445085E-3</v>
      </c>
      <c r="O23" s="583">
        <f t="shared" si="8"/>
        <v>1.9141843178003279E-3</v>
      </c>
      <c r="P23" s="583">
        <f t="shared" si="8"/>
        <v>1.214553976570645E-3</v>
      </c>
    </row>
    <row r="24" spans="2:16">
      <c r="B24" s="1201"/>
      <c r="C24" s="1202"/>
      <c r="D24" s="1202"/>
      <c r="E24" s="1202"/>
      <c r="F24" s="1202"/>
      <c r="G24" s="1202"/>
      <c r="H24" s="1202"/>
      <c r="I24" s="1203"/>
      <c r="J24" s="583"/>
      <c r="K24" s="583"/>
      <c r="L24" s="583"/>
      <c r="M24" s="583"/>
      <c r="N24" s="583"/>
      <c r="O24" s="583"/>
    </row>
    <row r="25" spans="2:16" ht="16.5">
      <c r="B25" s="1204" t="s">
        <v>754</v>
      </c>
      <c r="C25" s="1205">
        <f>SUM(C26:C30)</f>
        <v>9562.4728197759468</v>
      </c>
      <c r="D25" s="1205">
        <f t="shared" ref="D25:P25" si="9">SUM(D26:D30)</f>
        <v>80738.544461041063</v>
      </c>
      <c r="E25" s="1205">
        <f t="shared" si="9"/>
        <v>153981.81350150751</v>
      </c>
      <c r="F25" s="1205">
        <f t="shared" si="9"/>
        <v>215650.77986990273</v>
      </c>
      <c r="G25" s="1205">
        <f t="shared" si="9"/>
        <v>297585.55851606582</v>
      </c>
      <c r="H25" s="1205">
        <f t="shared" si="9"/>
        <v>392813.24327916978</v>
      </c>
      <c r="I25" s="1206">
        <f t="shared" si="9"/>
        <v>525328.20277552458</v>
      </c>
      <c r="J25" s="1207">
        <f t="shared" si="9"/>
        <v>0.19360700807865788</v>
      </c>
      <c r="K25" s="1207">
        <f t="shared" si="9"/>
        <v>0.19027074906789151</v>
      </c>
      <c r="L25" s="1207">
        <f t="shared" si="9"/>
        <v>0.18961101157663124</v>
      </c>
      <c r="M25" s="1207">
        <f t="shared" si="9"/>
        <v>0.18946159976704363</v>
      </c>
      <c r="N25" s="1207">
        <f t="shared" si="9"/>
        <v>0.1893222892179936</v>
      </c>
      <c r="O25" s="1207">
        <f t="shared" si="9"/>
        <v>0.18935111570558633</v>
      </c>
      <c r="P25" s="1207">
        <f t="shared" si="9"/>
        <v>0.18920679040814259</v>
      </c>
    </row>
    <row r="26" spans="2:16">
      <c r="B26" s="1201" t="s">
        <v>755</v>
      </c>
      <c r="C26" s="1202">
        <f>SUM('[2]GA summary_monthly (HCM HN)'!C183:N183)*1%</f>
        <v>272.27221888520467</v>
      </c>
      <c r="D26" s="1202">
        <f>SUM('[2]GA summary_monthly (HCM HN)'!O183:Z183)*1%</f>
        <v>1543.8899397568548</v>
      </c>
      <c r="E26" s="1202">
        <f>SUM('[2]GA summary_monthly (HCM HN)'!AA183:AL183)*1%</f>
        <v>2418.9312074416334</v>
      </c>
      <c r="F26" s="1202">
        <f>SUM('[2]GA summary_monthly (HCM HN)'!AM183:AX183)*1%</f>
        <v>3220.3080314923732</v>
      </c>
      <c r="G26" s="1202">
        <f>SUM('[2]GA summary_monthly (HCM HN)'!AY183:BJ183)*1%</f>
        <v>4228.1333173568764</v>
      </c>
      <c r="H26" s="1202">
        <f>SUM('[2]GA summary_monthly (HCM HN)'!BK183:BV183)*1%</f>
        <v>5640.0918752685866</v>
      </c>
      <c r="I26" s="1203">
        <f>SUM('[2]GA summary_monthly (HCM HN)'!BW183:CH183)*1%</f>
        <v>7147.8061899473241</v>
      </c>
      <c r="J26" s="1208">
        <f t="shared" ref="J26:P26" si="10">C26/C$11</f>
        <v>5.5125709295911008E-3</v>
      </c>
      <c r="K26" s="1208">
        <f t="shared" si="10"/>
        <v>3.6383749208863418E-3</v>
      </c>
      <c r="L26" s="1208">
        <f t="shared" si="10"/>
        <v>2.9786374296260631E-3</v>
      </c>
      <c r="M26" s="1208">
        <f t="shared" si="10"/>
        <v>2.8292256200384658E-3</v>
      </c>
      <c r="N26" s="1208">
        <f t="shared" si="10"/>
        <v>2.689915070988425E-3</v>
      </c>
      <c r="O26" s="1208">
        <f t="shared" si="10"/>
        <v>2.7187415585811325E-3</v>
      </c>
      <c r="P26" s="1208">
        <f t="shared" si="10"/>
        <v>2.5744162611373834E-3</v>
      </c>
    </row>
    <row r="27" spans="2:16">
      <c r="B27" s="1201" t="s">
        <v>756</v>
      </c>
      <c r="C27" s="1202">
        <f>SUM('[2]GA summary_monthly'!C1063:N1063)</f>
        <v>6484.8714514798212</v>
      </c>
      <c r="D27" s="1202">
        <f t="shared" ref="D27:I27" si="11">K27*D11</f>
        <v>55163.554205540029</v>
      </c>
      <c r="E27" s="1202">
        <f t="shared" si="11"/>
        <v>105572.11624339578</v>
      </c>
      <c r="F27" s="1202">
        <f t="shared" si="11"/>
        <v>147969.83355760676</v>
      </c>
      <c r="G27" s="1202">
        <f t="shared" si="11"/>
        <v>204340.03184138419</v>
      </c>
      <c r="H27" s="1202">
        <f t="shared" si="11"/>
        <v>269687.98908843979</v>
      </c>
      <c r="I27" s="1203">
        <f t="shared" si="11"/>
        <v>360941.94195410446</v>
      </c>
      <c r="J27" s="1208">
        <f>C27/C$11</f>
        <v>0.13129622255230933</v>
      </c>
      <c r="K27" s="1208">
        <v>0.13</v>
      </c>
      <c r="L27" s="1208">
        <v>0.13</v>
      </c>
      <c r="M27" s="1208">
        <v>0.13</v>
      </c>
      <c r="N27" s="1208">
        <v>0.13</v>
      </c>
      <c r="O27" s="1208">
        <v>0.13</v>
      </c>
      <c r="P27" s="1208">
        <v>0.13</v>
      </c>
    </row>
    <row r="28" spans="2:16">
      <c r="B28" s="1201" t="s">
        <v>757</v>
      </c>
      <c r="C28" s="1202">
        <f>C11*4%</f>
        <v>1975.646008824421</v>
      </c>
      <c r="D28" s="1202">
        <f>D11*4%</f>
        <v>16973.401294012318</v>
      </c>
      <c r="E28" s="1209">
        <f>E11*4%</f>
        <v>32483.728074891009</v>
      </c>
      <c r="F28" s="1202">
        <f>F11*3%</f>
        <v>34146.884667140017</v>
      </c>
      <c r="G28" s="1202">
        <f>G11*3%</f>
        <v>47155.391963396352</v>
      </c>
      <c r="H28" s="1202">
        <f>H11*3%</f>
        <v>62235.689789639953</v>
      </c>
      <c r="I28" s="1203">
        <f>I11*3%</f>
        <v>83294.294297101034</v>
      </c>
      <c r="J28" s="1208">
        <f>C28/C$11</f>
        <v>0.04</v>
      </c>
      <c r="K28" s="1208">
        <f t="shared" ref="K28:P29" si="12">D28/D$11</f>
        <v>0.04</v>
      </c>
      <c r="L28" s="1208">
        <f t="shared" si="12"/>
        <v>0.04</v>
      </c>
      <c r="M28" s="1208">
        <f t="shared" si="12"/>
        <v>0.03</v>
      </c>
      <c r="N28" s="1208">
        <f t="shared" si="12"/>
        <v>0.03</v>
      </c>
      <c r="O28" s="1208">
        <f t="shared" si="12"/>
        <v>0.03</v>
      </c>
      <c r="P28" s="1208">
        <f t="shared" si="12"/>
        <v>3.0000000000000002E-2</v>
      </c>
    </row>
    <row r="29" spans="2:16">
      <c r="B29" s="1201" t="s">
        <v>696</v>
      </c>
      <c r="C29" s="1202">
        <f>C43</f>
        <v>829.68314058649935</v>
      </c>
      <c r="D29" s="1202">
        <f>D44</f>
        <v>7057.6990217318653</v>
      </c>
      <c r="E29" s="1202">
        <f>E45</f>
        <v>13507.037975779087</v>
      </c>
      <c r="F29" s="1202">
        <f>F46</f>
        <v>18931.458724616907</v>
      </c>
      <c r="G29" s="1202">
        <f>G47</f>
        <v>26143.537406129639</v>
      </c>
      <c r="H29" s="1202">
        <f>H48</f>
        <v>34504.242595941389</v>
      </c>
      <c r="I29" s="1203">
        <f>I49</f>
        <v>46179.395568671462</v>
      </c>
      <c r="J29" s="1208">
        <f>C29/C$11</f>
        <v>1.6798214596757444E-2</v>
      </c>
      <c r="K29" s="1208">
        <f t="shared" si="12"/>
        <v>1.6632374147005174E-2</v>
      </c>
      <c r="L29" s="1208">
        <f t="shared" si="12"/>
        <v>1.6632374147005177E-2</v>
      </c>
      <c r="M29" s="1208">
        <f t="shared" si="12"/>
        <v>1.6632374147005177E-2</v>
      </c>
      <c r="N29" s="1208">
        <f t="shared" si="12"/>
        <v>1.6632374147005177E-2</v>
      </c>
      <c r="O29" s="1208">
        <f t="shared" si="12"/>
        <v>1.6632374147005177E-2</v>
      </c>
      <c r="P29" s="1208">
        <f t="shared" si="12"/>
        <v>1.6632374147005177E-2</v>
      </c>
    </row>
    <row r="30" spans="2:16">
      <c r="B30" s="1201" t="s">
        <v>758</v>
      </c>
      <c r="C30" s="1202"/>
      <c r="D30" s="1202"/>
      <c r="E30" s="1202"/>
      <c r="F30" s="1202">
        <f>M30*F11</f>
        <v>11382.294889046674</v>
      </c>
      <c r="G30" s="1202">
        <f>N30*G11</f>
        <v>15718.463987798785</v>
      </c>
      <c r="H30" s="1202">
        <f>O30*H11</f>
        <v>20745.229929879984</v>
      </c>
      <c r="I30" s="1203">
        <f>P30*I11</f>
        <v>27764.764765700344</v>
      </c>
      <c r="J30" s="1210"/>
      <c r="K30" s="1210"/>
      <c r="L30" s="1210"/>
      <c r="M30" s="1210">
        <v>0.01</v>
      </c>
      <c r="N30" s="1210">
        <v>0.01</v>
      </c>
      <c r="O30" s="1210">
        <v>0.01</v>
      </c>
      <c r="P30" s="1210">
        <v>0.01</v>
      </c>
    </row>
    <row r="31" spans="2:16">
      <c r="B31" s="1201"/>
      <c r="C31" s="1202"/>
      <c r="D31" s="1202"/>
      <c r="E31" s="1202"/>
      <c r="F31" s="1202"/>
      <c r="G31" s="1202"/>
      <c r="H31" s="1202"/>
      <c r="I31" s="1203"/>
    </row>
    <row r="32" spans="2:16">
      <c r="B32" s="943"/>
      <c r="C32" s="711"/>
      <c r="D32" s="711"/>
      <c r="E32" s="711"/>
      <c r="F32" s="711"/>
      <c r="G32" s="711"/>
      <c r="H32" s="711"/>
      <c r="I32" s="711"/>
      <c r="J32" s="693"/>
      <c r="K32" s="693"/>
      <c r="L32" s="693"/>
      <c r="M32" s="693"/>
      <c r="N32" s="693"/>
      <c r="O32" s="693"/>
    </row>
    <row r="33" spans="2:17">
      <c r="D33" s="1211"/>
      <c r="J33" s="929" t="s">
        <v>410</v>
      </c>
      <c r="K33" s="929" t="s">
        <v>411</v>
      </c>
      <c r="L33" s="929" t="s">
        <v>412</v>
      </c>
    </row>
    <row r="34" spans="2:17">
      <c r="D34" s="1211"/>
      <c r="J34" s="1212">
        <v>0.25</v>
      </c>
      <c r="K34" s="1212">
        <v>0.25</v>
      </c>
      <c r="L34" s="1212">
        <v>0.5</v>
      </c>
      <c r="M34" s="1212"/>
    </row>
    <row r="35" spans="2:17">
      <c r="B35" s="943" t="s">
        <v>696</v>
      </c>
      <c r="C35" s="832">
        <f t="shared" ref="C35:G35" si="13">C27*15%</f>
        <v>972.73071772197318</v>
      </c>
      <c r="D35" s="832">
        <f t="shared" si="13"/>
        <v>8274.5331308310033</v>
      </c>
      <c r="E35" s="832">
        <f t="shared" si="13"/>
        <v>15835.817436509366</v>
      </c>
      <c r="F35" s="832">
        <f t="shared" si="13"/>
        <v>22195.475033641014</v>
      </c>
      <c r="G35" s="832">
        <f t="shared" si="13"/>
        <v>30651.004776207628</v>
      </c>
      <c r="H35" s="832">
        <f>H27*15%</f>
        <v>40453.198363265969</v>
      </c>
      <c r="I35" s="832">
        <f>I27*15%</f>
        <v>54141.291293115668</v>
      </c>
    </row>
    <row r="36" spans="2:17">
      <c r="B36" s="943" t="s">
        <v>1178</v>
      </c>
      <c r="C36" s="1109">
        <v>2016</v>
      </c>
      <c r="D36" s="1109">
        <v>2017</v>
      </c>
      <c r="E36" s="1109">
        <v>2018</v>
      </c>
      <c r="F36" s="1109">
        <v>2019</v>
      </c>
      <c r="G36" s="1109">
        <v>2020</v>
      </c>
      <c r="H36" s="1109">
        <v>2021</v>
      </c>
      <c r="I36" s="1109">
        <v>2022</v>
      </c>
      <c r="J36" s="1109">
        <v>2022</v>
      </c>
      <c r="K36" s="1109">
        <v>2023</v>
      </c>
      <c r="L36" s="1109">
        <v>2024</v>
      </c>
      <c r="M36" s="1109">
        <v>2025</v>
      </c>
      <c r="N36" s="1109">
        <v>2026</v>
      </c>
      <c r="O36" s="1109">
        <v>2025</v>
      </c>
      <c r="P36" s="897"/>
      <c r="Q36" s="897"/>
    </row>
    <row r="37" spans="2:17">
      <c r="B37">
        <v>2016</v>
      </c>
      <c r="D37" s="1211"/>
      <c r="E37" s="442">
        <f>$C$35*J34</f>
        <v>243.18267943049329</v>
      </c>
      <c r="F37" s="442">
        <f>$C$35*K34</f>
        <v>243.18267943049329</v>
      </c>
      <c r="G37" s="442">
        <f>$C$35*L34</f>
        <v>486.36535886098659</v>
      </c>
      <c r="H37" s="442">
        <f>$C$35*M34</f>
        <v>0</v>
      </c>
      <c r="I37" s="442"/>
      <c r="J37" s="442"/>
      <c r="K37" s="442"/>
      <c r="L37" s="442"/>
      <c r="M37" s="442"/>
      <c r="N37" s="442"/>
      <c r="O37" s="442"/>
    </row>
    <row r="38" spans="2:17">
      <c r="B38">
        <v>2017</v>
      </c>
      <c r="D38" s="1211"/>
      <c r="E38" s="442"/>
      <c r="F38" s="442">
        <f>$D$35*J34</f>
        <v>2068.6332827077508</v>
      </c>
      <c r="G38" s="442">
        <f>$D$35*K34</f>
        <v>2068.6332827077508</v>
      </c>
      <c r="H38" s="442">
        <f>$D$35*L34</f>
        <v>4137.2665654155016</v>
      </c>
      <c r="I38" s="442">
        <f>$D$35*M34</f>
        <v>0</v>
      </c>
      <c r="J38" s="442"/>
      <c r="K38" s="442"/>
      <c r="L38" s="442"/>
      <c r="M38" s="442"/>
      <c r="N38" s="442"/>
      <c r="O38" s="442"/>
    </row>
    <row r="39" spans="2:17">
      <c r="B39">
        <v>2018</v>
      </c>
      <c r="D39" s="1211"/>
      <c r="E39" s="442"/>
      <c r="F39" s="442"/>
      <c r="G39" s="442">
        <f>$E$35*J34</f>
        <v>3958.9543591273414</v>
      </c>
      <c r="H39" s="442">
        <f>$E$35*K34</f>
        <v>3958.9543591273414</v>
      </c>
      <c r="I39" s="442">
        <f>$E$35*L34</f>
        <v>7917.9087182546828</v>
      </c>
      <c r="J39" s="442"/>
      <c r="K39" s="442"/>
      <c r="L39" s="442"/>
      <c r="M39" s="442"/>
      <c r="N39" s="442"/>
      <c r="O39" s="442"/>
    </row>
    <row r="40" spans="2:17">
      <c r="B40" s="943">
        <v>2019</v>
      </c>
      <c r="C40" s="442"/>
      <c r="D40" s="1211"/>
      <c r="E40" s="442"/>
      <c r="F40" s="442"/>
      <c r="G40" s="442"/>
      <c r="H40" s="442">
        <f>$F$35*J34</f>
        <v>5548.8687584102536</v>
      </c>
      <c r="I40" s="442">
        <f t="shared" ref="I40:J40" si="14">$F$35*K34</f>
        <v>5548.8687584102536</v>
      </c>
      <c r="J40" s="442">
        <f t="shared" si="14"/>
        <v>11097.737516820507</v>
      </c>
      <c r="K40" s="442"/>
      <c r="L40" s="442"/>
      <c r="M40" s="442"/>
    </row>
    <row r="41" spans="2:17">
      <c r="B41">
        <v>2020</v>
      </c>
      <c r="D41" s="1211"/>
      <c r="E41" s="442"/>
      <c r="F41" s="442"/>
      <c r="G41" s="442"/>
      <c r="H41" s="442"/>
      <c r="I41" s="442">
        <f>$G$35*J34</f>
        <v>7662.7511940519071</v>
      </c>
      <c r="J41" s="442">
        <f t="shared" ref="J41:K41" si="15">$G$35*K34</f>
        <v>7662.7511940519071</v>
      </c>
      <c r="K41" s="442">
        <f t="shared" si="15"/>
        <v>15325.502388103814</v>
      </c>
      <c r="L41" s="442"/>
      <c r="M41" s="442"/>
    </row>
    <row r="42" spans="2:17">
      <c r="B42">
        <v>2021</v>
      </c>
      <c r="D42" s="1211"/>
      <c r="E42" s="442"/>
      <c r="F42" s="442"/>
      <c r="G42" s="442"/>
      <c r="H42" s="442"/>
      <c r="I42" s="442"/>
      <c r="J42" s="442">
        <f>$H$35*J34</f>
        <v>10113.299590816492</v>
      </c>
      <c r="K42" s="442">
        <f t="shared" ref="K42:L42" si="16">$H$35*K34</f>
        <v>10113.299590816492</v>
      </c>
      <c r="L42" s="442">
        <f t="shared" si="16"/>
        <v>20226.599181632984</v>
      </c>
      <c r="M42" s="442"/>
      <c r="N42" s="442"/>
    </row>
    <row r="43" spans="2:17">
      <c r="B43" s="1213" t="s">
        <v>1179</v>
      </c>
      <c r="C43" s="442">
        <f>E37/((1+6%)^1.5)+F37/((1+6%)^2.5)+G37/((1+6%)^3.5)</f>
        <v>829.68314058649935</v>
      </c>
      <c r="D43" s="1211"/>
      <c r="K43" s="572">
        <f>$I$35*J34</f>
        <v>13535.322823278917</v>
      </c>
      <c r="L43" s="572">
        <f t="shared" ref="L43:M43" si="17">$I$35*K34</f>
        <v>13535.322823278917</v>
      </c>
      <c r="M43" s="572">
        <f t="shared" si="17"/>
        <v>27070.645646557834</v>
      </c>
    </row>
    <row r="44" spans="2:17">
      <c r="D44" s="442">
        <f>F38/((1+6%)^1.5)+G38/((1+6%)^2.5)+H38/((1+6%)^3.5)</f>
        <v>7057.6990217318653</v>
      </c>
    </row>
    <row r="45" spans="2:17">
      <c r="D45" s="1211"/>
      <c r="E45" s="442">
        <f>G39/((1+6%)^1.5)+H39/((1+6%)^2.5)+I39/((1+6%)^3.5)</f>
        <v>13507.037975779087</v>
      </c>
    </row>
    <row r="46" spans="2:17">
      <c r="D46" s="1211"/>
      <c r="F46" s="442">
        <f>H40/((1+6%)^1.5)+I40/((1+6%)^2.5)+J40/((1+6%)^3.5)</f>
        <v>18931.458724616907</v>
      </c>
      <c r="G46" s="442"/>
    </row>
    <row r="47" spans="2:17">
      <c r="D47" s="1211"/>
      <c r="G47" s="442">
        <f>I41/((1+6%)^1.5)+J41/((1+6%)^2.5)+K41/((1+6%)^3.5)</f>
        <v>26143.537406129639</v>
      </c>
      <c r="H47" s="442"/>
      <c r="I47" s="442"/>
    </row>
    <row r="48" spans="2:17">
      <c r="D48" s="1211"/>
      <c r="H48" s="442">
        <f>J42/((1+6%)^1.5)+K42/((1+6%)^2.5)+L42/((1+6%)^3.5)</f>
        <v>34504.242595941389</v>
      </c>
      <c r="I48" s="442"/>
    </row>
    <row r="49" spans="2:15">
      <c r="D49" s="1211"/>
      <c r="I49" s="442">
        <f>K43/((1+6%)^1.5)+L43/((1+6%)^2.5)+M43/((1+6%)^3.5)</f>
        <v>46179.395568671462</v>
      </c>
    </row>
    <row r="50" spans="2:15" ht="5.25" customHeight="1">
      <c r="B50" s="1140"/>
      <c r="C50" s="1140"/>
      <c r="D50" s="1214"/>
      <c r="E50" s="1140"/>
      <c r="F50" s="1140"/>
      <c r="G50" s="1140"/>
      <c r="H50" s="1140"/>
      <c r="I50" s="1140"/>
      <c r="J50" s="1140"/>
      <c r="K50" s="1140"/>
      <c r="L50" s="1140"/>
      <c r="M50" s="1140"/>
      <c r="N50" s="1140"/>
      <c r="O50" s="1140"/>
    </row>
    <row r="51" spans="2:15">
      <c r="D51" s="1211"/>
    </row>
    <row r="52" spans="2:15">
      <c r="B52" s="1215" t="s">
        <v>1180</v>
      </c>
      <c r="C52" s="1216">
        <v>2016</v>
      </c>
      <c r="D52" s="1216">
        <v>2017</v>
      </c>
      <c r="E52" s="1216">
        <v>2018</v>
      </c>
      <c r="F52" s="1216">
        <v>2019</v>
      </c>
      <c r="G52" s="1216">
        <v>2020</v>
      </c>
      <c r="H52" s="1217">
        <v>2021</v>
      </c>
      <c r="I52" s="1218"/>
    </row>
    <row r="53" spans="2:15">
      <c r="B53" s="1219"/>
      <c r="C53" s="1220"/>
      <c r="D53" s="1220"/>
      <c r="E53" s="1220"/>
      <c r="F53" s="1220"/>
      <c r="G53" s="1220"/>
      <c r="H53" s="1221"/>
      <c r="I53" s="1220"/>
    </row>
    <row r="54" spans="2:15">
      <c r="B54" s="1222" t="s">
        <v>1181</v>
      </c>
      <c r="C54" s="1223">
        <f>SUM('[2]GA summary_monthly'!C447:N447)</f>
        <v>346</v>
      </c>
      <c r="D54" s="1223">
        <f>SUM('[2]GA summary_monthly'!O447:Z447)</f>
        <v>778</v>
      </c>
      <c r="E54" s="1223">
        <f>SUM('[2]GA summary_monthly'!AA447:AL447)</f>
        <v>538</v>
      </c>
      <c r="F54" s="1223">
        <f>SUM('[2]GA summary_monthly'!AM447:AX447)</f>
        <v>338</v>
      </c>
      <c r="G54" s="1223">
        <f>SUM('[2]GA summary_monthly'!AY447:BJ447)</f>
        <v>258</v>
      </c>
      <c r="H54" s="1224">
        <f>SUM('[2]GA summary_monthly'!BK447:BV447)</f>
        <v>166</v>
      </c>
      <c r="I54" s="1223"/>
    </row>
    <row r="55" spans="2:15">
      <c r="B55" s="1222" t="s">
        <v>1182</v>
      </c>
      <c r="C55" s="1223">
        <f>SUM('[2]GA summary_monthly'!C623:N623)</f>
        <v>463.06496293654175</v>
      </c>
      <c r="D55" s="1223">
        <f>SUM('[2]GA summary_monthly'!O623:Z623)</f>
        <v>4634.2360167894185</v>
      </c>
      <c r="E55" s="1223">
        <f>SUM('[2]GA summary_monthly'!AA623:AL623)</f>
        <v>9569.2641270309123</v>
      </c>
      <c r="F55" s="1223">
        <f>SUM('[2]GA summary_monthly'!AM623:AX623)</f>
        <v>13227.548275184316</v>
      </c>
      <c r="G55" s="1223">
        <f>SUM('[2]GA summary_monthly'!AY623:BJ623)</f>
        <v>18391.427685592702</v>
      </c>
      <c r="H55" s="1224">
        <f>SUM('[2]GA summary_monthly'!BK623:BV623)</f>
        <v>25337.391142204273</v>
      </c>
      <c r="I55" s="1223"/>
    </row>
    <row r="56" spans="2:15">
      <c r="B56" s="1225" t="s">
        <v>1183</v>
      </c>
      <c r="C56" s="1223">
        <f>+'[2]GA summary_monthly'!N359</f>
        <v>2774.545596205131</v>
      </c>
      <c r="D56" s="1223">
        <f>+'[2]GA summary_monthly'!Z359</f>
        <v>6988.6782999325487</v>
      </c>
      <c r="E56" s="1223">
        <f>+'[2]GA summary_monthly'!AL359</f>
        <v>9993.3300772222883</v>
      </c>
      <c r="F56" s="1223">
        <f>+'[2]GA summary_monthly'!AX359</f>
        <v>12768.535256297051</v>
      </c>
      <c r="G56" s="1223">
        <f>+'[2]GA summary_monthly'!BJ359</f>
        <v>15893.400296880107</v>
      </c>
      <c r="H56" s="1224">
        <f>+'[2]GA summary_monthly'!BV359</f>
        <v>19971.916655751833</v>
      </c>
      <c r="I56" s="1223"/>
    </row>
    <row r="57" spans="2:15">
      <c r="B57" s="1225" t="s">
        <v>617</v>
      </c>
      <c r="C57" s="1223">
        <f>+'[2]GA summary_monthly'!N535</f>
        <v>333.57661504677264</v>
      </c>
      <c r="D57" s="1223">
        <f>+'[2]GA summary_monthly'!Z535</f>
        <v>928.19206199125608</v>
      </c>
      <c r="E57" s="1223">
        <f>+'[2]GA summary_monthly'!AL535</f>
        <v>1313.0919225028858</v>
      </c>
      <c r="F57" s="1223">
        <f>+'[2]GA summary_monthly'!AX535</f>
        <v>1848.3377213334559</v>
      </c>
      <c r="G57" s="1223">
        <f>+'[2]GA summary_monthly'!BJ535</f>
        <v>2347.3530375256296</v>
      </c>
      <c r="H57" s="1224">
        <f>+'[2]GA summary_monthly'!BV535</f>
        <v>3057.7683841156686</v>
      </c>
      <c r="I57" s="1223"/>
    </row>
    <row r="58" spans="2:15">
      <c r="B58" s="1225" t="s">
        <v>1184</v>
      </c>
      <c r="C58" s="1223">
        <f>AVERAGE('[2]GA summary_monthly'!C535:N535)</f>
        <v>66.901373106839614</v>
      </c>
      <c r="D58" s="1223">
        <f>AVERAGE('[2]GA summary_monthly'!O535:Z535)</f>
        <v>625.94600460343736</v>
      </c>
      <c r="E58" s="1223">
        <f>AVERAGE('[2]GA summary_monthly'!AA535:AL535)</f>
        <v>1148.0044875290823</v>
      </c>
      <c r="F58" s="1223">
        <f>AVERAGE('[2]GA summary_monthly'!AM535:AX535)</f>
        <v>1652.1461303787707</v>
      </c>
      <c r="G58" s="1223">
        <f>AVERAGE('[2]GA summary_monthly'!AY535:BJ535)</f>
        <v>2113.3812149849073</v>
      </c>
      <c r="H58" s="1224">
        <f>AVERAGE('[2]GA summary_monthly'!BK535:BV535)</f>
        <v>2681.0810631720492</v>
      </c>
      <c r="I58" s="1223"/>
    </row>
    <row r="59" spans="2:15">
      <c r="B59" s="1225" t="s">
        <v>1185</v>
      </c>
      <c r="C59" s="1226">
        <f t="shared" ref="C59:F59" si="18">+C62/C64</f>
        <v>7.719051414253089</v>
      </c>
      <c r="D59" s="1226">
        <f t="shared" si="18"/>
        <v>7.7556560497466993</v>
      </c>
      <c r="E59" s="1226">
        <f t="shared" si="18"/>
        <v>8.0668422607565962</v>
      </c>
      <c r="F59" s="1226">
        <f t="shared" si="18"/>
        <v>8.5951083698882034</v>
      </c>
      <c r="G59" s="1226">
        <f>+G62/G64</f>
        <v>9.2427951387905676</v>
      </c>
      <c r="H59" s="1227">
        <f>+H62/H64</f>
        <v>9.8576019999160138</v>
      </c>
      <c r="I59" s="1226"/>
    </row>
    <row r="60" spans="2:15">
      <c r="B60" s="850"/>
      <c r="C60" s="12"/>
      <c r="D60" s="12"/>
      <c r="E60" s="12"/>
      <c r="F60" s="12"/>
      <c r="G60" s="12"/>
      <c r="H60" s="546"/>
      <c r="I60" s="12"/>
    </row>
    <row r="61" spans="2:15">
      <c r="B61" s="998" t="s">
        <v>1186</v>
      </c>
      <c r="C61" s="12"/>
      <c r="D61" s="12"/>
      <c r="E61" s="12"/>
      <c r="F61" s="12"/>
      <c r="G61" s="12"/>
      <c r="H61" s="546"/>
      <c r="I61" s="12"/>
    </row>
    <row r="62" spans="2:15" s="1232" customFormat="1" ht="12.75">
      <c r="B62" s="1228" t="s">
        <v>499</v>
      </c>
      <c r="C62" s="1229">
        <f>SUM('[2]GA summary_monthly'!C95:N95)</f>
        <v>50399.132878174016</v>
      </c>
      <c r="D62" s="1230">
        <f>SUM('[2]GA summary_monthly'!O95:Z95)</f>
        <v>432994.93096970191</v>
      </c>
      <c r="E62" s="1230">
        <f>SUM('[2]GA summary_monthly'!AA95:AL95)</f>
        <v>828666.53252273006</v>
      </c>
      <c r="F62" s="1230">
        <f>SUM('[2]GA summary_monthly'!AM95:AX95)</f>
        <v>1161458.6621476198</v>
      </c>
      <c r="G62" s="1230">
        <f>SUM('[2]GA summary_monthly'!AY95:BJ95)</f>
        <v>1603924.8967141614</v>
      </c>
      <c r="H62" s="1231">
        <f>SUM('[2]GA summary_monthly'!BK95:BV95)</f>
        <v>2116860.1969265291</v>
      </c>
      <c r="I62" s="1230"/>
    </row>
    <row r="63" spans="2:15" s="1232" customFormat="1" ht="12.75">
      <c r="B63" s="1228" t="s">
        <v>1187</v>
      </c>
      <c r="C63" s="1230">
        <f>SUM('[2]GA summary_monthly'!C271:N271)</f>
        <v>2850.6296876795259</v>
      </c>
      <c r="D63" s="1230">
        <f>SUM('[2]GA summary_monthly'!O271:Z271)</f>
        <v>24356.126414426701</v>
      </c>
      <c r="E63" s="1230">
        <f>SUM('[2]GA summary_monthly'!AA271:AL271)</f>
        <v>45491.783231234593</v>
      </c>
      <c r="F63" s="1230">
        <f>SUM('[2]GA summary_monthly'!AM271:AX271)</f>
        <v>61511.864811588821</v>
      </c>
      <c r="G63" s="1230">
        <f>SUM('[2]GA summary_monthly'!AY271:BJ271)</f>
        <v>81775.372869207858</v>
      </c>
      <c r="H63" s="1231">
        <f>SUM('[2]GA summary_monthly'!BK271:BV271)</f>
        <v>103509.68780443916</v>
      </c>
      <c r="I63" s="1230"/>
    </row>
    <row r="64" spans="2:15" s="1232" customFormat="1" ht="12.75">
      <c r="B64" s="1228" t="s">
        <v>1188</v>
      </c>
      <c r="C64" s="1230">
        <f>SUM('[2]GA summary_monthly'!C711:N711)</f>
        <v>6529.1873539166909</v>
      </c>
      <c r="D64" s="1230">
        <f>SUM('[2]GA summary_monthly'!O711:Z711)</f>
        <v>55829.568535835671</v>
      </c>
      <c r="E64" s="1230">
        <f>SUM('[2]GA summary_monthly'!AA711:AL711)</f>
        <v>102725.01999376008</v>
      </c>
      <c r="F64" s="1230">
        <f>SUM('[2]GA summary_monthly'!AM711:AX711)</f>
        <v>135130.19407837052</v>
      </c>
      <c r="G64" s="1230">
        <f>SUM('[2]GA summary_monthly'!AY711:BJ711)</f>
        <v>173532.45123682759</v>
      </c>
      <c r="H64" s="1231">
        <f>SUM('[2]GA summary_monthly'!BK711:BV711)</f>
        <v>214743.93031333224</v>
      </c>
      <c r="I64" s="1230"/>
    </row>
    <row r="65" spans="2:9" s="1232" customFormat="1" ht="12.75">
      <c r="B65" s="1228" t="s">
        <v>781</v>
      </c>
      <c r="C65" s="1230">
        <f>SUM('[2]GA summary_monthly'!C799:N799)</f>
        <v>1697.5887120183397</v>
      </c>
      <c r="D65" s="1230">
        <f>SUM('[2]GA summary_monthly'!O799:Z799)</f>
        <v>14515.687819317276</v>
      </c>
      <c r="E65" s="1230">
        <f>SUM('[2]GA summary_monthly'!AA799:AL799)</f>
        <v>26738.304812748356</v>
      </c>
      <c r="F65" s="1230">
        <f>SUM('[2]GA summary_monthly'!AM799:AX799)</f>
        <v>35521.206216417027</v>
      </c>
      <c r="G65" s="1230">
        <f>SUM('[2]GA summary_monthly'!AY799:BJ799)</f>
        <v>46140.080128054047</v>
      </c>
      <c r="H65" s="1231">
        <f>SUM('[2]GA summary_monthly'!BK799:BV799)</f>
        <v>57546.002685619264</v>
      </c>
      <c r="I65" s="1230"/>
    </row>
    <row r="66" spans="2:9" s="1232" customFormat="1" ht="12.75">
      <c r="B66" s="1228" t="s">
        <v>1189</v>
      </c>
      <c r="C66" s="1233">
        <f t="shared" ref="C66:G66" si="19">+C65/C64</f>
        <v>0.26</v>
      </c>
      <c r="D66" s="1233">
        <f t="shared" si="19"/>
        <v>0.26</v>
      </c>
      <c r="E66" s="1233">
        <f t="shared" si="19"/>
        <v>0.26029009110314649</v>
      </c>
      <c r="F66" s="1233">
        <f t="shared" si="19"/>
        <v>0.26286653740625904</v>
      </c>
      <c r="G66" s="1233">
        <f t="shared" si="19"/>
        <v>0.26588733000195214</v>
      </c>
      <c r="H66" s="1234">
        <f>+H65/H64</f>
        <v>0.26797499049986678</v>
      </c>
      <c r="I66" s="1233"/>
    </row>
    <row r="67" spans="2:9" s="1232" customFormat="1" ht="12.75">
      <c r="B67" s="1228" t="s">
        <v>1190</v>
      </c>
      <c r="C67" s="1235">
        <f t="shared" ref="C67:H67" si="20">+C62/C63</f>
        <v>17.68</v>
      </c>
      <c r="D67" s="1235">
        <f t="shared" si="20"/>
        <v>17.777659862745207</v>
      </c>
      <c r="E67" s="1235">
        <f t="shared" si="20"/>
        <v>18.215740814349278</v>
      </c>
      <c r="F67" s="1235">
        <f t="shared" si="20"/>
        <v>18.881863941292856</v>
      </c>
      <c r="G67" s="1235">
        <f t="shared" si="20"/>
        <v>19.613788851559146</v>
      </c>
      <c r="H67" s="1236">
        <f t="shared" si="20"/>
        <v>20.450841286720067</v>
      </c>
      <c r="I67" s="1235"/>
    </row>
    <row r="68" spans="2:9" s="1232" customFormat="1" ht="12.75">
      <c r="B68" s="1228" t="s">
        <v>1191</v>
      </c>
      <c r="C68" s="1235">
        <f t="shared" ref="C68:G68" si="21">+C63/C65</f>
        <v>1.67922281027086</v>
      </c>
      <c r="D68" s="1235">
        <f t="shared" si="21"/>
        <v>1.6779174860741979</v>
      </c>
      <c r="E68" s="1235">
        <f t="shared" si="21"/>
        <v>1.7013712555758174</v>
      </c>
      <c r="F68" s="1235">
        <f t="shared" si="21"/>
        <v>1.7316941445293474</v>
      </c>
      <c r="G68" s="1235">
        <f t="shared" si="21"/>
        <v>1.7723283670564516</v>
      </c>
      <c r="H68" s="1236">
        <f>+H63/H65</f>
        <v>1.7987294160104403</v>
      </c>
      <c r="I68" s="1235"/>
    </row>
    <row r="69" spans="2:9" s="1232" customFormat="1" ht="12.75">
      <c r="B69" s="1228" t="s">
        <v>1192</v>
      </c>
      <c r="C69" s="1237">
        <f t="shared" ref="C69:H69" si="22">C55/(C58 * 12)</f>
        <v>0.57680052171355789</v>
      </c>
      <c r="D69" s="1237">
        <f t="shared" si="22"/>
        <v>0.61696429387246676</v>
      </c>
      <c r="E69" s="1237">
        <f t="shared" si="22"/>
        <v>0.69463027881445849</v>
      </c>
      <c r="F69" s="1237">
        <f t="shared" si="22"/>
        <v>0.66719018937264396</v>
      </c>
      <c r="G69" s="1237">
        <f t="shared" si="22"/>
        <v>0.72519759470386747</v>
      </c>
      <c r="H69" s="1238">
        <f t="shared" si="22"/>
        <v>0.78753652429749788</v>
      </c>
      <c r="I69" s="1237"/>
    </row>
    <row r="70" spans="2:9">
      <c r="B70" s="850"/>
      <c r="C70" s="1239"/>
      <c r="D70" s="12"/>
      <c r="E70" s="12"/>
      <c r="F70" s="12"/>
      <c r="G70" s="12"/>
      <c r="H70" s="546"/>
      <c r="I70" s="12"/>
    </row>
    <row r="71" spans="2:9">
      <c r="B71" s="1240" t="s">
        <v>1193</v>
      </c>
      <c r="C71" s="1241"/>
      <c r="D71" s="1242">
        <f>D64/C64-1</f>
        <v>7.5507683436813853</v>
      </c>
      <c r="E71" s="1242">
        <f t="shared" ref="E71:G71" si="23">E64/D64-1</f>
        <v>0.83997517243614994</v>
      </c>
      <c r="F71" s="1242">
        <f t="shared" si="23"/>
        <v>0.31545551499117597</v>
      </c>
      <c r="G71" s="1242">
        <f t="shared" si="23"/>
        <v>0.28418709393834796</v>
      </c>
      <c r="H71" s="1243">
        <f>H64/G64-1</f>
        <v>0.23748571971856425</v>
      </c>
      <c r="I71" s="1242"/>
    </row>
    <row r="72" spans="2:9">
      <c r="B72" s="1240" t="s">
        <v>1194</v>
      </c>
      <c r="C72" s="1241"/>
      <c r="D72" s="1242">
        <f>D67/C67-1</f>
        <v>5.5237478928285011E-3</v>
      </c>
      <c r="E72" s="1242">
        <f t="shared" ref="E72:H74" si="24">E67/D67-1</f>
        <v>2.4642216972668773E-2</v>
      </c>
      <c r="F72" s="1242">
        <f t="shared" si="24"/>
        <v>3.6568544410713555E-2</v>
      </c>
      <c r="G72" s="1242">
        <f t="shared" si="24"/>
        <v>3.8763382287997583E-2</v>
      </c>
      <c r="H72" s="1243">
        <f t="shared" si="24"/>
        <v>4.2676733266371558E-2</v>
      </c>
      <c r="I72" s="1242"/>
    </row>
    <row r="73" spans="2:9">
      <c r="B73" s="1240" t="s">
        <v>1195</v>
      </c>
      <c r="C73" s="1241"/>
      <c r="D73" s="1242">
        <f>D68/C68-1</f>
        <v>-7.7733829523884967E-4</v>
      </c>
      <c r="E73" s="1242">
        <f t="shared" si="24"/>
        <v>1.3977903976967188E-2</v>
      </c>
      <c r="F73" s="1242">
        <f t="shared" si="24"/>
        <v>1.7822617405903962E-2</v>
      </c>
      <c r="G73" s="1242">
        <f t="shared" si="24"/>
        <v>2.3465011217756349E-2</v>
      </c>
      <c r="H73" s="1243">
        <f t="shared" si="24"/>
        <v>1.4896251419727946E-2</v>
      </c>
      <c r="I73" s="1242"/>
    </row>
    <row r="74" spans="2:9">
      <c r="B74" s="1240" t="s">
        <v>1196</v>
      </c>
      <c r="C74" s="1241"/>
      <c r="D74" s="1242">
        <f>D69/C69-1</f>
        <v>6.9631996932995932E-2</v>
      </c>
      <c r="E74" s="1242">
        <f t="shared" si="24"/>
        <v>0.12588408391433781</v>
      </c>
      <c r="F74" s="1242">
        <f t="shared" si="24"/>
        <v>-3.9503157692243329E-2</v>
      </c>
      <c r="G74" s="1242">
        <f t="shared" si="24"/>
        <v>8.6942833175900791E-2</v>
      </c>
      <c r="H74" s="1243">
        <f t="shared" si="24"/>
        <v>8.5961302200797229E-2</v>
      </c>
      <c r="I74" s="1242"/>
    </row>
    <row r="75" spans="2:9">
      <c r="B75" s="850"/>
      <c r="C75" s="12"/>
      <c r="D75" s="12"/>
      <c r="E75" s="12"/>
      <c r="F75" s="12"/>
      <c r="G75" s="12"/>
      <c r="H75" s="546"/>
      <c r="I75" s="12"/>
    </row>
    <row r="76" spans="2:9">
      <c r="B76" s="1244" t="s">
        <v>1197</v>
      </c>
      <c r="C76" s="703"/>
      <c r="D76" s="1245">
        <f>D58/C58-1</f>
        <v>8.3562504853797126</v>
      </c>
      <c r="E76" s="1245">
        <f t="shared" ref="E76:H76" si="25">E58/D58-1</f>
        <v>0.83403117694854623</v>
      </c>
      <c r="F76" s="1245">
        <f t="shared" si="25"/>
        <v>0.43914605589633382</v>
      </c>
      <c r="G76" s="1245">
        <f t="shared" si="25"/>
        <v>0.27917329836943283</v>
      </c>
      <c r="H76" s="1246">
        <f t="shared" si="25"/>
        <v>0.26862160227500476</v>
      </c>
      <c r="I76" s="1242"/>
    </row>
    <row r="78" spans="2:9">
      <c r="C78" s="718">
        <f>C56/C57</f>
        <v>8.3175662533061452</v>
      </c>
      <c r="D78" s="718">
        <f t="shared" ref="D78:H78" si="26">D56/D57</f>
        <v>7.5293450419514416</v>
      </c>
      <c r="E78" s="718">
        <f t="shared" si="26"/>
        <v>7.6105335094697653</v>
      </c>
      <c r="F78" s="718">
        <f t="shared" si="26"/>
        <v>6.9081180938542879</v>
      </c>
      <c r="G78" s="718">
        <f t="shared" si="26"/>
        <v>6.7707754405930833</v>
      </c>
      <c r="H78" s="718">
        <f t="shared" si="26"/>
        <v>6.531533506429354</v>
      </c>
      <c r="I78" s="718"/>
    </row>
    <row r="79" spans="2:9">
      <c r="B79" s="943" t="s">
        <v>1175</v>
      </c>
      <c r="C79" s="718">
        <f>'[2]Small GA Plan'!H18</f>
        <v>5.3015746897568858</v>
      </c>
      <c r="D79" s="718">
        <f>'[2]Small GA Plan'!H34</f>
        <v>6.3593043115962056</v>
      </c>
      <c r="E79" s="718">
        <f>'[2]Small GA Plan'!H50</f>
        <v>7.8463329943630438</v>
      </c>
      <c r="F79" s="718">
        <f>'[2]Small GA Plan'!H66</f>
        <v>7.3197844674227008</v>
      </c>
      <c r="G79" s="718">
        <f>'[2]Small GA Plan'!H82</f>
        <v>7.4278511342739035</v>
      </c>
      <c r="H79" s="718">
        <f>'[2]Small GA Plan'!H98</f>
        <v>7.28539842780883</v>
      </c>
      <c r="I79" s="718"/>
    </row>
    <row r="80" spans="2:9">
      <c r="B80" s="943" t="s">
        <v>1198</v>
      </c>
      <c r="C80" s="718"/>
      <c r="D80" s="718"/>
      <c r="E80" s="718"/>
      <c r="F80" s="718"/>
      <c r="G80" s="718"/>
      <c r="H80" s="718"/>
      <c r="I80" s="718"/>
    </row>
    <row r="81" spans="2:9">
      <c r="B81" s="943" t="s">
        <v>1173</v>
      </c>
      <c r="C81" s="718"/>
      <c r="D81" s="718"/>
      <c r="E81" s="718"/>
      <c r="F81" s="718"/>
      <c r="G81" s="718"/>
      <c r="H81" s="718"/>
      <c r="I81" s="718"/>
    </row>
    <row r="82" spans="2:9">
      <c r="C82" s="718"/>
      <c r="D82" s="718"/>
      <c r="E82" s="718"/>
      <c r="F82" s="718"/>
      <c r="G82" s="718"/>
      <c r="H82" s="718"/>
      <c r="I82" s="7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07"/>
  <sheetViews>
    <sheetView topLeftCell="A172" workbookViewId="0">
      <selection activeCell="L202" sqref="L202"/>
    </sheetView>
  </sheetViews>
  <sheetFormatPr defaultRowHeight="12.75"/>
  <cols>
    <col min="1" max="1" width="3.42578125" style="67" customWidth="1"/>
    <col min="2" max="2" width="34.5703125" style="67" customWidth="1"/>
    <col min="3" max="3" width="11" style="67" bestFit="1" customWidth="1"/>
    <col min="4" max="6" width="10.28515625" style="67" bestFit="1" customWidth="1"/>
    <col min="7" max="7" width="11" style="67" bestFit="1" customWidth="1"/>
    <col min="8" max="8" width="11.5703125" style="67" bestFit="1" customWidth="1"/>
    <col min="9" max="9" width="11.7109375" style="67" bestFit="1" customWidth="1"/>
    <col min="10" max="14" width="11" style="67" bestFit="1" customWidth="1"/>
    <col min="15" max="15" width="11" style="67" customWidth="1"/>
    <col min="16" max="16" width="9.28515625" style="67" bestFit="1" customWidth="1"/>
    <col min="17" max="17" width="11.42578125" style="67" bestFit="1" customWidth="1"/>
    <col min="18" max="18" width="11" style="67" bestFit="1" customWidth="1"/>
    <col min="19" max="25" width="9.140625" style="67"/>
    <col min="26" max="26" width="11.42578125" style="67" bestFit="1" customWidth="1"/>
    <col min="27" max="27" width="9.140625" style="67"/>
    <col min="28" max="28" width="10.42578125" style="67" bestFit="1" customWidth="1"/>
    <col min="29" max="35" width="9.140625" style="67"/>
    <col min="36" max="36" width="10.42578125" style="67" bestFit="1" customWidth="1"/>
    <col min="37" max="16384" width="9.140625" style="67"/>
  </cols>
  <sheetData>
    <row r="3" spans="1:16">
      <c r="B3" s="1750" t="s">
        <v>1521</v>
      </c>
      <c r="C3" s="1271"/>
      <c r="D3" s="1271"/>
      <c r="E3" s="1271"/>
      <c r="F3" s="1271"/>
      <c r="G3" s="1271"/>
      <c r="H3" s="1271"/>
      <c r="I3" s="1271"/>
      <c r="J3" s="1271"/>
      <c r="K3" s="1271"/>
      <c r="L3" s="1271"/>
      <c r="M3" s="1271"/>
      <c r="N3" s="1271"/>
      <c r="O3" s="1751"/>
    </row>
    <row r="4" spans="1:16">
      <c r="A4" s="1750"/>
      <c r="C4" s="1271"/>
      <c r="D4" s="1271"/>
      <c r="E4" s="1271"/>
      <c r="F4" s="1271"/>
      <c r="G4" s="1271"/>
      <c r="H4" s="1271"/>
      <c r="I4" s="1271"/>
      <c r="J4" s="1271"/>
      <c r="K4" s="1271"/>
      <c r="L4" s="1271"/>
      <c r="M4" s="1271"/>
      <c r="N4" s="1271"/>
      <c r="O4" s="1751"/>
    </row>
    <row r="5" spans="1:16" ht="26.25" customHeight="1">
      <c r="A5" s="1752" t="s">
        <v>1522</v>
      </c>
      <c r="B5" s="1753"/>
      <c r="C5" s="1754" t="s">
        <v>479</v>
      </c>
      <c r="D5" s="1754" t="s">
        <v>480</v>
      </c>
      <c r="E5" s="1754" t="s">
        <v>481</v>
      </c>
      <c r="F5" s="1754" t="s">
        <v>482</v>
      </c>
      <c r="G5" s="1754" t="s">
        <v>483</v>
      </c>
      <c r="H5" s="1754" t="s">
        <v>484</v>
      </c>
      <c r="I5" s="1754" t="s">
        <v>485</v>
      </c>
      <c r="J5" s="1754" t="s">
        <v>486</v>
      </c>
      <c r="K5" s="1754" t="s">
        <v>487</v>
      </c>
      <c r="L5" s="1754" t="s">
        <v>488</v>
      </c>
      <c r="M5" s="1754" t="s">
        <v>489</v>
      </c>
      <c r="N5" s="1754" t="s">
        <v>490</v>
      </c>
      <c r="O5" s="1754" t="s">
        <v>1523</v>
      </c>
      <c r="P5" s="1755" t="s">
        <v>1168</v>
      </c>
    </row>
    <row r="6" spans="1:16">
      <c r="A6" s="1756"/>
      <c r="B6" s="1746" t="s">
        <v>1524</v>
      </c>
      <c r="C6" s="1757">
        <f>'Sale Plan &amp; KPIs'!B15</f>
        <v>27131.55</v>
      </c>
      <c r="D6" s="1757">
        <f>'Sale Plan &amp; KPIs'!C15</f>
        <v>40723.482300000003</v>
      </c>
      <c r="E6" s="1757">
        <f>'Sale Plan &amp; KPIs'!D15</f>
        <v>56762.074000000001</v>
      </c>
      <c r="F6" s="1757">
        <f>'Sale Plan &amp; KPIs'!E15</f>
        <v>49965.190999999999</v>
      </c>
      <c r="G6" s="1757">
        <f>'Sale Plan &amp; KPIs'!F15</f>
        <v>53646.534</v>
      </c>
      <c r="H6" s="1757">
        <f>'Sale Plan &amp; KPIs'!G15</f>
        <v>58133.574000000001</v>
      </c>
      <c r="I6" s="1758">
        <f>'Sale Plan &amp; KPIs'!H15</f>
        <v>58800</v>
      </c>
      <c r="J6" s="1758">
        <f>'Sale Plan &amp; KPIs'!I15</f>
        <v>65660</v>
      </c>
      <c r="K6" s="1758">
        <f>'Sale Plan &amp; KPIs'!J15</f>
        <v>73500</v>
      </c>
      <c r="L6" s="1758">
        <f>'Sale Plan &amp; KPIs'!K15</f>
        <v>69580</v>
      </c>
      <c r="M6" s="1758">
        <f>'Sale Plan &amp; KPIs'!L15</f>
        <v>78400</v>
      </c>
      <c r="N6" s="1758">
        <f>'Sale Plan &amp; KPIs'!M15</f>
        <v>88779.18</v>
      </c>
      <c r="O6" s="1747">
        <f>SUM(C6:N6)</f>
        <v>721081.58529999992</v>
      </c>
      <c r="P6" s="1748"/>
    </row>
    <row r="7" spans="1:16">
      <c r="A7" s="1756"/>
      <c r="B7" s="1746" t="s">
        <v>1525</v>
      </c>
      <c r="C7" s="1757">
        <v>15775.877</v>
      </c>
      <c r="D7" s="1757">
        <v>23717.207999999999</v>
      </c>
      <c r="E7" s="1757">
        <v>33116.618000000002</v>
      </c>
      <c r="F7" s="1757">
        <v>30010.798000000039</v>
      </c>
      <c r="G7" s="1757">
        <v>36507.057000000037</v>
      </c>
      <c r="H7" s="1757">
        <v>42356.354999999901</v>
      </c>
      <c r="I7" s="1758">
        <f>I6*I8</f>
        <v>37632</v>
      </c>
      <c r="J7" s="1758">
        <f t="shared" ref="J7:N7" si="0">J6*J8</f>
        <v>42022.400000000001</v>
      </c>
      <c r="K7" s="1758">
        <f t="shared" si="0"/>
        <v>47407.5</v>
      </c>
      <c r="L7" s="1758">
        <f t="shared" si="0"/>
        <v>45574.9</v>
      </c>
      <c r="M7" s="1758">
        <f t="shared" si="0"/>
        <v>51744</v>
      </c>
      <c r="N7" s="1758">
        <f t="shared" si="0"/>
        <v>58594.258799999996</v>
      </c>
      <c r="O7" s="1747">
        <f t="shared" ref="O7" si="1">SUM(C7:N7)</f>
        <v>464458.9718</v>
      </c>
      <c r="P7" s="1748">
        <f>O7/O6</f>
        <v>0.6441143155899145</v>
      </c>
    </row>
    <row r="8" spans="1:16">
      <c r="A8" s="1756"/>
      <c r="B8" s="1746"/>
      <c r="C8" s="1638">
        <f>C7/C6</f>
        <v>0.58145874452436375</v>
      </c>
      <c r="D8" s="1638">
        <f t="shared" ref="D8:H8" si="2">D7/D6</f>
        <v>0.58239636348584067</v>
      </c>
      <c r="E8" s="1638">
        <f t="shared" si="2"/>
        <v>0.58342861115328526</v>
      </c>
      <c r="F8" s="1638">
        <f t="shared" si="2"/>
        <v>0.60063410945432072</v>
      </c>
      <c r="G8" s="1638">
        <f t="shared" si="2"/>
        <v>0.68051100934125652</v>
      </c>
      <c r="H8" s="1638">
        <f t="shared" si="2"/>
        <v>0.7286040077288195</v>
      </c>
      <c r="I8" s="1748">
        <v>0.64</v>
      </c>
      <c r="J8" s="1748">
        <v>0.64</v>
      </c>
      <c r="K8" s="1748">
        <v>0.64500000000000002</v>
      </c>
      <c r="L8" s="1748">
        <v>0.65500000000000003</v>
      </c>
      <c r="M8" s="1748">
        <v>0.66</v>
      </c>
      <c r="N8" s="1748">
        <v>0.66</v>
      </c>
      <c r="O8" s="1748"/>
      <c r="P8" s="1748"/>
    </row>
    <row r="9" spans="1:16">
      <c r="A9" s="1756"/>
      <c r="B9" s="1746"/>
      <c r="C9" s="1758"/>
      <c r="D9" s="1758"/>
      <c r="E9" s="1758"/>
      <c r="F9" s="1758"/>
      <c r="G9" s="1758"/>
      <c r="H9" s="1758"/>
      <c r="I9" s="1758"/>
      <c r="J9" s="1758"/>
      <c r="K9" s="1758"/>
      <c r="L9" s="1758"/>
      <c r="M9" s="1758"/>
      <c r="N9" s="1758"/>
      <c r="O9" s="1747"/>
      <c r="P9" s="1748"/>
    </row>
    <row r="10" spans="1:16">
      <c r="A10" s="1756"/>
      <c r="B10" s="1746" t="s">
        <v>1176</v>
      </c>
      <c r="C10" s="499">
        <f>SUM(C11:C15)</f>
        <v>20</v>
      </c>
      <c r="D10" s="499">
        <f t="shared" ref="D10:I10" si="3">SUM(D11:D15)</f>
        <v>20</v>
      </c>
      <c r="E10" s="499">
        <f t="shared" si="3"/>
        <v>21</v>
      </c>
      <c r="F10" s="499">
        <f t="shared" si="3"/>
        <v>23</v>
      </c>
      <c r="G10" s="499">
        <f t="shared" si="3"/>
        <v>24</v>
      </c>
      <c r="H10" s="499">
        <f t="shared" si="3"/>
        <v>27</v>
      </c>
      <c r="I10" s="499">
        <f t="shared" si="3"/>
        <v>32</v>
      </c>
      <c r="J10" s="499">
        <f>I10+J15</f>
        <v>38</v>
      </c>
      <c r="K10" s="499">
        <f t="shared" ref="K10:N10" si="4">J10+K15</f>
        <v>43</v>
      </c>
      <c r="L10" s="499">
        <f t="shared" si="4"/>
        <v>49</v>
      </c>
      <c r="M10" s="499">
        <f t="shared" si="4"/>
        <v>55</v>
      </c>
      <c r="N10" s="499">
        <f t="shared" si="4"/>
        <v>60</v>
      </c>
      <c r="O10" s="1747"/>
      <c r="P10" s="1748"/>
    </row>
    <row r="11" spans="1:16">
      <c r="A11" s="1756"/>
      <c r="B11" s="1461" t="s">
        <v>1528</v>
      </c>
      <c r="C11" s="1758">
        <v>2</v>
      </c>
      <c r="D11" s="1758">
        <v>2</v>
      </c>
      <c r="E11" s="1758">
        <v>2</v>
      </c>
      <c r="F11" s="1758">
        <v>2</v>
      </c>
      <c r="G11" s="1758">
        <v>3</v>
      </c>
      <c r="H11" s="1758">
        <v>2</v>
      </c>
      <c r="I11" s="1758">
        <v>2</v>
      </c>
      <c r="J11" s="1758">
        <v>2</v>
      </c>
      <c r="K11" s="1758">
        <v>2</v>
      </c>
      <c r="L11" s="1758">
        <v>2</v>
      </c>
      <c r="M11" s="1758">
        <v>2</v>
      </c>
      <c r="N11" s="1758">
        <v>2</v>
      </c>
      <c r="O11" s="1823"/>
      <c r="P11" s="1824"/>
    </row>
    <row r="12" spans="1:16">
      <c r="A12" s="1750"/>
      <c r="B12" s="1461" t="s">
        <v>1526</v>
      </c>
      <c r="C12" s="499">
        <v>1</v>
      </c>
      <c r="D12" s="499">
        <v>6</v>
      </c>
      <c r="E12" s="499">
        <v>12</v>
      </c>
      <c r="F12" s="499">
        <v>9</v>
      </c>
      <c r="G12" s="499">
        <v>9</v>
      </c>
      <c r="H12" s="499">
        <v>10</v>
      </c>
      <c r="I12" s="499">
        <v>10</v>
      </c>
      <c r="J12" s="499">
        <v>10</v>
      </c>
      <c r="K12" s="499">
        <v>10</v>
      </c>
      <c r="L12" s="499">
        <v>10</v>
      </c>
      <c r="M12" s="499">
        <v>10</v>
      </c>
      <c r="N12" s="499">
        <v>10</v>
      </c>
      <c r="O12" s="1823"/>
      <c r="P12" s="1824"/>
    </row>
    <row r="13" spans="1:16">
      <c r="A13" s="1750"/>
      <c r="B13" s="1461" t="s">
        <v>1527</v>
      </c>
      <c r="C13" s="499">
        <v>7</v>
      </c>
      <c r="D13" s="499">
        <v>7</v>
      </c>
      <c r="E13" s="499">
        <v>4</v>
      </c>
      <c r="F13" s="499">
        <v>8</v>
      </c>
      <c r="G13" s="499">
        <v>11</v>
      </c>
      <c r="H13" s="499">
        <v>10</v>
      </c>
      <c r="I13" s="499">
        <v>10</v>
      </c>
      <c r="J13" s="499">
        <v>10</v>
      </c>
      <c r="K13" s="499">
        <v>10</v>
      </c>
      <c r="L13" s="499">
        <v>10</v>
      </c>
      <c r="M13" s="499">
        <v>10</v>
      </c>
      <c r="N13" s="499">
        <v>10</v>
      </c>
      <c r="O13" s="1823"/>
      <c r="P13" s="1824"/>
    </row>
    <row r="14" spans="1:16">
      <c r="A14" s="1750"/>
      <c r="B14" s="1461" t="s">
        <v>1559</v>
      </c>
      <c r="C14" s="499">
        <v>10</v>
      </c>
      <c r="D14" s="499">
        <v>5</v>
      </c>
      <c r="E14" s="499">
        <v>3</v>
      </c>
      <c r="F14" s="499">
        <v>4</v>
      </c>
      <c r="G14" s="499">
        <v>1</v>
      </c>
      <c r="H14" s="499">
        <v>5</v>
      </c>
      <c r="I14" s="499">
        <v>5</v>
      </c>
      <c r="J14" s="499">
        <v>5</v>
      </c>
      <c r="K14" s="499">
        <v>5</v>
      </c>
      <c r="L14" s="499">
        <v>5</v>
      </c>
      <c r="M14" s="499">
        <v>5</v>
      </c>
      <c r="N14" s="499">
        <v>5</v>
      </c>
      <c r="O14" s="1823"/>
      <c r="P14" s="1824"/>
    </row>
    <row r="15" spans="1:16">
      <c r="A15" s="1750"/>
      <c r="B15" s="1461" t="s">
        <v>1531</v>
      </c>
      <c r="C15" s="499"/>
      <c r="D15" s="499"/>
      <c r="E15" s="499"/>
      <c r="F15" s="499"/>
      <c r="G15" s="499"/>
      <c r="H15" s="499"/>
      <c r="I15" s="499">
        <v>5</v>
      </c>
      <c r="J15" s="499">
        <v>6</v>
      </c>
      <c r="K15" s="499">
        <v>5</v>
      </c>
      <c r="L15" s="499">
        <v>6</v>
      </c>
      <c r="M15" s="499">
        <v>6</v>
      </c>
      <c r="N15" s="499">
        <v>5</v>
      </c>
      <c r="O15" s="1823"/>
      <c r="P15" s="1824"/>
    </row>
    <row r="16" spans="1:16">
      <c r="A16" s="1750"/>
      <c r="B16" s="1461"/>
      <c r="C16" s="499"/>
      <c r="D16" s="499"/>
      <c r="E16" s="499"/>
      <c r="F16" s="499"/>
      <c r="G16" s="499"/>
      <c r="H16" s="499"/>
      <c r="I16" s="499"/>
      <c r="J16" s="499"/>
      <c r="K16" s="499"/>
      <c r="L16" s="499"/>
      <c r="M16" s="499"/>
      <c r="N16" s="499"/>
      <c r="O16" s="1823"/>
      <c r="P16" s="1824"/>
    </row>
    <row r="17" spans="1:18">
      <c r="A17" s="1750"/>
      <c r="B17" s="1461"/>
      <c r="C17" s="499"/>
      <c r="D17" s="499"/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1823"/>
      <c r="P17" s="1824"/>
    </row>
    <row r="20" spans="1:18" s="45" customFormat="1">
      <c r="B20" s="46" t="s">
        <v>752</v>
      </c>
      <c r="E20" s="1759" t="s">
        <v>460</v>
      </c>
      <c r="F20" s="1759"/>
      <c r="G20" s="1760">
        <f>O24</f>
        <v>8345</v>
      </c>
      <c r="H20" s="1761">
        <f>G20/O6</f>
        <v>1.1572892957082149E-2</v>
      </c>
      <c r="K20" s="1762" t="s">
        <v>1530</v>
      </c>
      <c r="L20" s="1760">
        <f>SUM(I24:N24)</f>
        <v>6150</v>
      </c>
      <c r="O20" s="1759"/>
      <c r="P20" s="1759"/>
      <c r="Q20" s="1760"/>
      <c r="R20" s="1761"/>
    </row>
    <row r="23" spans="1:18">
      <c r="C23" s="1763" t="s">
        <v>479</v>
      </c>
      <c r="D23" s="1764" t="s">
        <v>480</v>
      </c>
      <c r="E23" s="1764" t="s">
        <v>481</v>
      </c>
      <c r="F23" s="1764" t="s">
        <v>482</v>
      </c>
      <c r="G23" s="1764" t="s">
        <v>483</v>
      </c>
      <c r="H23" s="1764" t="s">
        <v>484</v>
      </c>
      <c r="I23" s="1764" t="s">
        <v>485</v>
      </c>
      <c r="J23" s="1764" t="s">
        <v>486</v>
      </c>
      <c r="K23" s="1764" t="s">
        <v>487</v>
      </c>
      <c r="L23" s="1764" t="s">
        <v>488</v>
      </c>
      <c r="M23" s="1764" t="s">
        <v>489</v>
      </c>
      <c r="N23" s="1764" t="s">
        <v>490</v>
      </c>
    </row>
    <row r="24" spans="1:18">
      <c r="B24" s="1765" t="s">
        <v>466</v>
      </c>
      <c r="C24" s="1770">
        <v>60</v>
      </c>
      <c r="D24" s="1771">
        <v>60</v>
      </c>
      <c r="E24" s="1771">
        <v>260</v>
      </c>
      <c r="F24" s="1771">
        <v>305</v>
      </c>
      <c r="G24" s="1771">
        <v>605</v>
      </c>
      <c r="H24" s="1771">
        <v>905</v>
      </c>
      <c r="I24" s="1707">
        <v>905</v>
      </c>
      <c r="J24" s="1707">
        <v>905</v>
      </c>
      <c r="K24" s="1707">
        <v>905</v>
      </c>
      <c r="L24" s="1707">
        <v>1085</v>
      </c>
      <c r="M24" s="1707">
        <v>1145</v>
      </c>
      <c r="N24" s="1707">
        <v>1205</v>
      </c>
      <c r="O24" s="1772">
        <f>SUM(C24:N24)</f>
        <v>8345</v>
      </c>
    </row>
    <row r="25" spans="1:18">
      <c r="B25" s="1765" t="s">
        <v>1039</v>
      </c>
      <c r="C25" s="1822">
        <f t="shared" ref="C25:O25" si="5">C24/C6</f>
        <v>2.2114475582854648E-3</v>
      </c>
      <c r="D25" s="1822">
        <f t="shared" si="5"/>
        <v>1.4733514083592992E-3</v>
      </c>
      <c r="E25" s="1822">
        <f t="shared" si="5"/>
        <v>4.5805232557217697E-3</v>
      </c>
      <c r="F25" s="1822">
        <f t="shared" si="5"/>
        <v>6.1042496565258805E-3</v>
      </c>
      <c r="G25" s="1822">
        <f t="shared" si="5"/>
        <v>1.1277522607518317E-2</v>
      </c>
      <c r="H25" s="1822">
        <f t="shared" si="5"/>
        <v>1.5567596102039073E-2</v>
      </c>
      <c r="I25" s="1822">
        <f t="shared" si="5"/>
        <v>1.5391156462585034E-2</v>
      </c>
      <c r="J25" s="1822">
        <f t="shared" si="5"/>
        <v>1.3783125190374657E-2</v>
      </c>
      <c r="K25" s="1822">
        <f t="shared" si="5"/>
        <v>1.2312925170068028E-2</v>
      </c>
      <c r="L25" s="1822">
        <f t="shared" si="5"/>
        <v>1.5593561368209255E-2</v>
      </c>
      <c r="M25" s="1822">
        <f t="shared" si="5"/>
        <v>1.4604591836734694E-2</v>
      </c>
      <c r="N25" s="1822">
        <f t="shared" si="5"/>
        <v>1.3573002138564471E-2</v>
      </c>
      <c r="O25" s="1822">
        <f t="shared" si="5"/>
        <v>1.1572892957082149E-2</v>
      </c>
    </row>
    <row r="28" spans="1:18" s="45" customFormat="1">
      <c r="B28" s="46" t="s">
        <v>753</v>
      </c>
      <c r="E28" s="1759" t="s">
        <v>460</v>
      </c>
      <c r="F28" s="1759"/>
      <c r="G28" s="1760">
        <f>O32</f>
        <v>22043.279634999999</v>
      </c>
      <c r="H28" s="1761">
        <f>G28/O6</f>
        <v>3.056974423473743E-2</v>
      </c>
      <c r="K28" s="1762" t="s">
        <v>1530</v>
      </c>
      <c r="L28" s="1760">
        <f>SUM(I32:N32)</f>
        <v>11842.5</v>
      </c>
      <c r="O28" s="1759"/>
      <c r="P28" s="1759"/>
      <c r="Q28" s="1760"/>
      <c r="R28" s="1761"/>
    </row>
    <row r="31" spans="1:18">
      <c r="C31" s="1763" t="s">
        <v>479</v>
      </c>
      <c r="D31" s="1764" t="s">
        <v>480</v>
      </c>
      <c r="E31" s="1764" t="s">
        <v>481</v>
      </c>
      <c r="F31" s="1764" t="s">
        <v>482</v>
      </c>
      <c r="G31" s="1764" t="s">
        <v>483</v>
      </c>
      <c r="H31" s="1764" t="s">
        <v>484</v>
      </c>
      <c r="I31" s="1764" t="s">
        <v>485</v>
      </c>
      <c r="J31" s="1764" t="s">
        <v>486</v>
      </c>
      <c r="K31" s="1764" t="s">
        <v>487</v>
      </c>
      <c r="L31" s="1764" t="s">
        <v>488</v>
      </c>
      <c r="M31" s="1764" t="s">
        <v>489</v>
      </c>
      <c r="N31" s="1764" t="s">
        <v>490</v>
      </c>
    </row>
    <row r="32" spans="1:18">
      <c r="B32" s="1765" t="s">
        <v>466</v>
      </c>
      <c r="C32" s="1770">
        <v>1446.490227</v>
      </c>
      <c r="D32" s="1771">
        <v>1354.2185770000001</v>
      </c>
      <c r="E32" s="1771">
        <v>1727.3967769999999</v>
      </c>
      <c r="F32" s="1771">
        <v>1584.075777</v>
      </c>
      <c r="G32" s="1771">
        <v>1904.3154500000001</v>
      </c>
      <c r="H32" s="1771">
        <v>2184.282827</v>
      </c>
      <c r="I32" s="1707">
        <f>I43</f>
        <v>1712.5</v>
      </c>
      <c r="J32" s="1707">
        <f t="shared" ref="J32:N32" si="6">J43</f>
        <v>1987.5</v>
      </c>
      <c r="K32" s="1707">
        <f t="shared" si="6"/>
        <v>1950</v>
      </c>
      <c r="L32" s="1707">
        <f t="shared" si="6"/>
        <v>2060</v>
      </c>
      <c r="M32" s="1707">
        <f t="shared" si="6"/>
        <v>2052.5</v>
      </c>
      <c r="N32" s="1707">
        <f t="shared" si="6"/>
        <v>2080</v>
      </c>
      <c r="O32" s="1772">
        <f>SUM(C32:N32)</f>
        <v>22043.279634999999</v>
      </c>
    </row>
    <row r="33" spans="2:18">
      <c r="B33" s="1765" t="s">
        <v>1039</v>
      </c>
      <c r="C33" s="1822">
        <f t="shared" ref="C33:O33" si="7">C32/C6</f>
        <v>5.3313954676382294E-2</v>
      </c>
      <c r="D33" s="1822">
        <f t="shared" si="7"/>
        <v>3.325399746082127E-2</v>
      </c>
      <c r="E33" s="1822">
        <f t="shared" si="7"/>
        <v>3.0432235034258966E-2</v>
      </c>
      <c r="F33" s="1822">
        <f t="shared" si="7"/>
        <v>3.1703586943158092E-2</v>
      </c>
      <c r="G33" s="1822">
        <f t="shared" si="7"/>
        <v>3.5497455436729615E-2</v>
      </c>
      <c r="H33" s="1822">
        <f t="shared" si="7"/>
        <v>3.7573516931885181E-2</v>
      </c>
      <c r="I33" s="1822">
        <f t="shared" si="7"/>
        <v>2.9124149659863947E-2</v>
      </c>
      <c r="J33" s="1822">
        <f t="shared" si="7"/>
        <v>3.0269570514773074E-2</v>
      </c>
      <c r="K33" s="1822">
        <f t="shared" si="7"/>
        <v>2.6530612244897958E-2</v>
      </c>
      <c r="L33" s="1822">
        <f t="shared" si="7"/>
        <v>2.960620868065536E-2</v>
      </c>
      <c r="M33" s="1822">
        <f t="shared" si="7"/>
        <v>2.6179846938775512E-2</v>
      </c>
      <c r="N33" s="1822">
        <f t="shared" si="7"/>
        <v>2.3428916554534523E-2</v>
      </c>
      <c r="O33" s="1822">
        <f t="shared" si="7"/>
        <v>3.056974423473743E-2</v>
      </c>
    </row>
    <row r="35" spans="2:18">
      <c r="C35" s="499"/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</row>
    <row r="36" spans="2:18">
      <c r="B36" s="1765" t="s">
        <v>1558</v>
      </c>
      <c r="C36" s="499">
        <f>SUM(C37:C41)</f>
        <v>20</v>
      </c>
      <c r="D36" s="499">
        <f t="shared" ref="D36:N36" si="8">SUM(D37:D41)</f>
        <v>20</v>
      </c>
      <c r="E36" s="499">
        <f t="shared" si="8"/>
        <v>21</v>
      </c>
      <c r="F36" s="499">
        <f t="shared" si="8"/>
        <v>23</v>
      </c>
      <c r="G36" s="499">
        <f t="shared" si="8"/>
        <v>24</v>
      </c>
      <c r="H36" s="499">
        <f t="shared" si="8"/>
        <v>27</v>
      </c>
      <c r="I36" s="499">
        <f t="shared" si="8"/>
        <v>32</v>
      </c>
      <c r="J36" s="499">
        <f t="shared" si="8"/>
        <v>38</v>
      </c>
      <c r="K36" s="499">
        <f t="shared" si="8"/>
        <v>41</v>
      </c>
      <c r="L36" s="499">
        <f t="shared" si="8"/>
        <v>45</v>
      </c>
      <c r="M36" s="499">
        <f t="shared" si="8"/>
        <v>47</v>
      </c>
      <c r="N36" s="499">
        <f t="shared" si="8"/>
        <v>48</v>
      </c>
      <c r="P36" s="1792" t="s">
        <v>1561</v>
      </c>
    </row>
    <row r="37" spans="2:18">
      <c r="B37" s="74" t="s">
        <v>1532</v>
      </c>
      <c r="C37" s="499">
        <v>2</v>
      </c>
      <c r="D37" s="499">
        <v>2</v>
      </c>
      <c r="E37" s="499">
        <v>3</v>
      </c>
      <c r="F37" s="499">
        <v>2</v>
      </c>
      <c r="G37" s="499">
        <v>3</v>
      </c>
      <c r="H37" s="499">
        <v>3</v>
      </c>
      <c r="I37" s="499">
        <v>3</v>
      </c>
      <c r="J37" s="499">
        <v>3</v>
      </c>
      <c r="K37" s="499">
        <v>2</v>
      </c>
      <c r="L37" s="499">
        <v>2</v>
      </c>
      <c r="M37" s="499">
        <v>1</v>
      </c>
      <c r="N37" s="499">
        <v>1</v>
      </c>
      <c r="P37" s="1792">
        <v>3500</v>
      </c>
    </row>
    <row r="38" spans="2:18">
      <c r="B38" s="74" t="s">
        <v>1533</v>
      </c>
      <c r="C38" s="499">
        <v>0</v>
      </c>
      <c r="D38" s="499">
        <v>0</v>
      </c>
      <c r="E38" s="499">
        <v>1</v>
      </c>
      <c r="F38" s="499">
        <v>1</v>
      </c>
      <c r="G38" s="499">
        <v>1</v>
      </c>
      <c r="H38" s="499">
        <v>1</v>
      </c>
      <c r="I38" s="499">
        <v>1</v>
      </c>
      <c r="J38" s="499">
        <v>2</v>
      </c>
      <c r="K38" s="499">
        <v>2</v>
      </c>
      <c r="L38" s="499">
        <v>2</v>
      </c>
      <c r="M38" s="499">
        <v>2</v>
      </c>
      <c r="N38" s="499">
        <v>2</v>
      </c>
      <c r="P38" s="1792">
        <v>2200</v>
      </c>
    </row>
    <row r="39" spans="2:18">
      <c r="B39" s="74" t="s">
        <v>1534</v>
      </c>
      <c r="C39" s="499">
        <v>1</v>
      </c>
      <c r="D39" s="499">
        <v>0</v>
      </c>
      <c r="E39" s="499">
        <v>1</v>
      </c>
      <c r="F39" s="499">
        <v>2</v>
      </c>
      <c r="G39" s="499">
        <v>0</v>
      </c>
      <c r="H39" s="499">
        <v>3</v>
      </c>
      <c r="I39" s="499">
        <v>2</v>
      </c>
      <c r="J39" s="499">
        <v>2</v>
      </c>
      <c r="K39" s="499">
        <v>2</v>
      </c>
      <c r="L39" s="499">
        <v>2</v>
      </c>
      <c r="M39" s="499">
        <v>3</v>
      </c>
      <c r="N39" s="499">
        <v>3</v>
      </c>
      <c r="P39" s="1792">
        <v>1700</v>
      </c>
    </row>
    <row r="40" spans="2:18">
      <c r="B40" s="74" t="s">
        <v>1535</v>
      </c>
      <c r="C40" s="499">
        <v>0</v>
      </c>
      <c r="D40" s="499">
        <v>6</v>
      </c>
      <c r="E40" s="499">
        <v>8</v>
      </c>
      <c r="F40" s="499">
        <v>5</v>
      </c>
      <c r="G40" s="499">
        <v>8</v>
      </c>
      <c r="H40" s="499">
        <v>5</v>
      </c>
      <c r="I40" s="499">
        <v>7</v>
      </c>
      <c r="J40" s="499">
        <v>8</v>
      </c>
      <c r="K40" s="499">
        <v>9</v>
      </c>
      <c r="L40" s="499">
        <v>9</v>
      </c>
      <c r="M40" s="499">
        <v>10</v>
      </c>
      <c r="N40" s="499">
        <v>10</v>
      </c>
      <c r="P40" s="1792">
        <v>1100</v>
      </c>
    </row>
    <row r="41" spans="2:18">
      <c r="B41" s="74" t="s">
        <v>1536</v>
      </c>
      <c r="C41" s="499">
        <v>17</v>
      </c>
      <c r="D41" s="499">
        <v>12</v>
      </c>
      <c r="E41" s="499">
        <v>8</v>
      </c>
      <c r="F41" s="499">
        <v>13</v>
      </c>
      <c r="G41" s="499">
        <v>12</v>
      </c>
      <c r="H41" s="499">
        <v>15</v>
      </c>
      <c r="I41" s="499">
        <v>19</v>
      </c>
      <c r="J41" s="499">
        <v>23</v>
      </c>
      <c r="K41" s="499">
        <v>26</v>
      </c>
      <c r="L41" s="499">
        <v>30</v>
      </c>
      <c r="M41" s="499">
        <v>31</v>
      </c>
      <c r="N41" s="499">
        <v>32</v>
      </c>
      <c r="P41" s="1792">
        <v>550</v>
      </c>
    </row>
    <row r="42" spans="2:18">
      <c r="B42" s="1765" t="s">
        <v>1560</v>
      </c>
      <c r="C42" s="499">
        <f>SUMPRODUCT(C37:C41,$P$37:$P$41)</f>
        <v>18050</v>
      </c>
      <c r="D42" s="499">
        <f t="shared" ref="D42:N42" si="9">SUMPRODUCT(D37:D41,$P$37:$P$41)</f>
        <v>20200</v>
      </c>
      <c r="E42" s="499">
        <f t="shared" si="9"/>
        <v>27600</v>
      </c>
      <c r="F42" s="499">
        <f t="shared" si="9"/>
        <v>25250</v>
      </c>
      <c r="G42" s="499">
        <f t="shared" si="9"/>
        <v>28100</v>
      </c>
      <c r="H42" s="499">
        <f t="shared" si="9"/>
        <v>31550</v>
      </c>
      <c r="I42" s="499">
        <f t="shared" si="9"/>
        <v>34250</v>
      </c>
      <c r="J42" s="499">
        <f t="shared" si="9"/>
        <v>39750</v>
      </c>
      <c r="K42" s="499">
        <f t="shared" si="9"/>
        <v>39000</v>
      </c>
      <c r="L42" s="499">
        <f t="shared" si="9"/>
        <v>41200</v>
      </c>
      <c r="M42" s="499">
        <f t="shared" si="9"/>
        <v>41050</v>
      </c>
      <c r="N42" s="499">
        <f t="shared" si="9"/>
        <v>41600</v>
      </c>
    </row>
    <row r="43" spans="2:18">
      <c r="B43" s="1765" t="s">
        <v>466</v>
      </c>
      <c r="C43" s="499"/>
      <c r="D43" s="499"/>
      <c r="E43" s="499"/>
      <c r="F43" s="499"/>
      <c r="G43" s="499"/>
      <c r="H43" s="499"/>
      <c r="I43" s="1825">
        <f>I42*5%</f>
        <v>1712.5</v>
      </c>
      <c r="J43" s="1825">
        <f t="shared" ref="J43:N43" si="10">J42*5%</f>
        <v>1987.5</v>
      </c>
      <c r="K43" s="1825">
        <f t="shared" si="10"/>
        <v>1950</v>
      </c>
      <c r="L43" s="1825">
        <f t="shared" si="10"/>
        <v>2060</v>
      </c>
      <c r="M43" s="1825">
        <f t="shared" si="10"/>
        <v>2052.5</v>
      </c>
      <c r="N43" s="1825">
        <f t="shared" si="10"/>
        <v>2080</v>
      </c>
    </row>
    <row r="47" spans="2:18" s="45" customFormat="1">
      <c r="B47" s="46" t="s">
        <v>755</v>
      </c>
      <c r="E47" s="1759" t="s">
        <v>460</v>
      </c>
      <c r="F47" s="1759"/>
      <c r="G47" s="1760">
        <f>O54</f>
        <v>1249.27647288</v>
      </c>
      <c r="H47" s="1761">
        <f>G47/O6</f>
        <v>1.7325036422338384E-3</v>
      </c>
      <c r="K47" s="1762" t="s">
        <v>1530</v>
      </c>
      <c r="L47" s="1760">
        <f>SUM(I54:N54)</f>
        <v>735.73515287999999</v>
      </c>
      <c r="O47" s="1759"/>
      <c r="P47" s="1759"/>
      <c r="Q47" s="1760"/>
      <c r="R47" s="1761"/>
    </row>
    <row r="50" spans="2:18">
      <c r="C50" s="1763" t="s">
        <v>479</v>
      </c>
      <c r="D50" s="1764" t="s">
        <v>480</v>
      </c>
      <c r="E50" s="1764" t="s">
        <v>481</v>
      </c>
      <c r="F50" s="1764" t="s">
        <v>482</v>
      </c>
      <c r="G50" s="1764" t="s">
        <v>483</v>
      </c>
      <c r="H50" s="1764" t="s">
        <v>484</v>
      </c>
      <c r="I50" s="1764" t="s">
        <v>485</v>
      </c>
      <c r="J50" s="1764" t="s">
        <v>486</v>
      </c>
      <c r="K50" s="1764" t="s">
        <v>487</v>
      </c>
      <c r="L50" s="1764" t="s">
        <v>488</v>
      </c>
      <c r="M50" s="1764" t="s">
        <v>489</v>
      </c>
      <c r="N50" s="1764" t="s">
        <v>490</v>
      </c>
    </row>
    <row r="51" spans="2:18">
      <c r="B51" s="1765" t="s">
        <v>1529</v>
      </c>
      <c r="C51" s="1766">
        <v>6</v>
      </c>
      <c r="D51" s="1670">
        <v>6</v>
      </c>
      <c r="E51" s="1670">
        <v>7</v>
      </c>
      <c r="F51" s="1670">
        <v>7</v>
      </c>
      <c r="G51" s="1670">
        <v>7</v>
      </c>
      <c r="H51" s="1670">
        <v>8</v>
      </c>
      <c r="I51" s="67">
        <f>8+2</f>
        <v>10</v>
      </c>
      <c r="J51" s="67">
        <f>I51+1</f>
        <v>11</v>
      </c>
      <c r="K51" s="67">
        <f>J51+1</f>
        <v>12</v>
      </c>
      <c r="L51" s="67">
        <f>K51</f>
        <v>12</v>
      </c>
      <c r="M51" s="67">
        <f>L51+2</f>
        <v>14</v>
      </c>
      <c r="N51" s="67">
        <f>M51</f>
        <v>14</v>
      </c>
    </row>
    <row r="52" spans="2:18">
      <c r="B52" s="1765" t="s">
        <v>206</v>
      </c>
      <c r="C52" s="1631">
        <v>4078.32</v>
      </c>
      <c r="D52" s="1614">
        <v>5878.183</v>
      </c>
      <c r="E52" s="1614">
        <v>8085.7619999999997</v>
      </c>
      <c r="F52" s="1614">
        <v>8255.1090000000004</v>
      </c>
      <c r="G52" s="1614">
        <v>14822.335999999999</v>
      </c>
      <c r="H52" s="1614">
        <v>10737.004000000001</v>
      </c>
      <c r="I52" s="1720">
        <f t="shared" ref="I52:N52" si="11">I53*I7</f>
        <v>9784.32</v>
      </c>
      <c r="J52" s="1720">
        <f t="shared" si="11"/>
        <v>10925.824000000001</v>
      </c>
      <c r="K52" s="1720">
        <f t="shared" si="11"/>
        <v>12325.95</v>
      </c>
      <c r="L52" s="1720">
        <f t="shared" si="11"/>
        <v>11849.474</v>
      </c>
      <c r="M52" s="1720">
        <f t="shared" si="11"/>
        <v>13453.44</v>
      </c>
      <c r="N52" s="1720">
        <f t="shared" si="11"/>
        <v>15234.507287999999</v>
      </c>
    </row>
    <row r="53" spans="2:18">
      <c r="B53" s="1765" t="s">
        <v>655</v>
      </c>
      <c r="C53" s="1767">
        <f t="shared" ref="C53:H53" si="12">C52/C7</f>
        <v>0.25851621434421679</v>
      </c>
      <c r="D53" s="1768">
        <f t="shared" si="12"/>
        <v>0.24784464512011703</v>
      </c>
      <c r="E53" s="1768">
        <f t="shared" si="12"/>
        <v>0.24416025815196465</v>
      </c>
      <c r="F53" s="1768">
        <f t="shared" si="12"/>
        <v>0.27507129267272368</v>
      </c>
      <c r="G53" s="1768">
        <f t="shared" si="12"/>
        <v>0.40601289772549959</v>
      </c>
      <c r="H53" s="1768">
        <f t="shared" si="12"/>
        <v>0.25349216191997698</v>
      </c>
      <c r="I53" s="1769">
        <v>0.26</v>
      </c>
      <c r="J53" s="1769">
        <v>0.26</v>
      </c>
      <c r="K53" s="1769">
        <v>0.26</v>
      </c>
      <c r="L53" s="1769">
        <v>0.26</v>
      </c>
      <c r="M53" s="1769">
        <v>0.26</v>
      </c>
      <c r="N53" s="1769">
        <v>0.26</v>
      </c>
    </row>
    <row r="54" spans="2:18">
      <c r="B54" s="1765" t="s">
        <v>466</v>
      </c>
      <c r="C54" s="1770">
        <v>35.757379999999998</v>
      </c>
      <c r="D54" s="1771">
        <v>58.781829999999999</v>
      </c>
      <c r="E54" s="1771">
        <v>80.857619999999997</v>
      </c>
      <c r="F54" s="1771">
        <v>82.551090000000002</v>
      </c>
      <c r="G54" s="1771">
        <v>148.22336000000001</v>
      </c>
      <c r="H54" s="1771">
        <v>107.37004</v>
      </c>
      <c r="I54" s="1707">
        <f t="shared" ref="I54:N54" si="13">I52*1%</f>
        <v>97.843199999999996</v>
      </c>
      <c r="J54" s="1707">
        <f t="shared" si="13"/>
        <v>109.25824</v>
      </c>
      <c r="K54" s="1707">
        <f t="shared" si="13"/>
        <v>123.25950000000002</v>
      </c>
      <c r="L54" s="1707">
        <f t="shared" si="13"/>
        <v>118.49474000000001</v>
      </c>
      <c r="M54" s="1707">
        <f t="shared" si="13"/>
        <v>134.53440000000001</v>
      </c>
      <c r="N54" s="1707">
        <f t="shared" si="13"/>
        <v>152.34507288</v>
      </c>
      <c r="O54" s="1772">
        <f>SUM(C54:N54)</f>
        <v>1249.27647288</v>
      </c>
    </row>
    <row r="57" spans="2:18" s="45" customFormat="1">
      <c r="B57" s="46" t="s">
        <v>756</v>
      </c>
      <c r="E57" s="1759" t="s">
        <v>460</v>
      </c>
      <c r="F57" s="1759"/>
      <c r="G57" s="1760">
        <f>O61</f>
        <v>66384.473647827064</v>
      </c>
      <c r="H57" s="1761">
        <f>G57/O6</f>
        <v>9.206236159838746E-2</v>
      </c>
      <c r="K57" s="1762" t="s">
        <v>1530</v>
      </c>
      <c r="L57" s="1760">
        <f>SUM(I61:N61)</f>
        <v>40111.270927827063</v>
      </c>
      <c r="O57" s="1759"/>
      <c r="P57" s="1759"/>
      <c r="Q57" s="1760"/>
      <c r="R57" s="1761"/>
    </row>
    <row r="60" spans="2:18">
      <c r="C60" s="1763" t="s">
        <v>479</v>
      </c>
      <c r="D60" s="1764" t="s">
        <v>480</v>
      </c>
      <c r="E60" s="1764" t="s">
        <v>481</v>
      </c>
      <c r="F60" s="1764" t="s">
        <v>482</v>
      </c>
      <c r="G60" s="1764" t="s">
        <v>483</v>
      </c>
      <c r="H60" s="1764" t="s">
        <v>484</v>
      </c>
      <c r="I60" s="1764" t="s">
        <v>485</v>
      </c>
      <c r="J60" s="1764" t="s">
        <v>486</v>
      </c>
      <c r="K60" s="1764" t="s">
        <v>487</v>
      </c>
      <c r="L60" s="1764" t="s">
        <v>488</v>
      </c>
      <c r="M60" s="1764" t="s">
        <v>489</v>
      </c>
      <c r="N60" s="1764" t="s">
        <v>490</v>
      </c>
    </row>
    <row r="61" spans="2:18">
      <c r="B61" s="1765" t="s">
        <v>466</v>
      </c>
      <c r="C61" s="1770">
        <v>2171.0254300000001</v>
      </c>
      <c r="D61" s="1771">
        <v>3476.5124999999998</v>
      </c>
      <c r="E61" s="1771">
        <v>4890.0126600000003</v>
      </c>
      <c r="F61" s="1771">
        <v>4303.22588</v>
      </c>
      <c r="G61" s="1771">
        <v>5150.9380199999996</v>
      </c>
      <c r="H61" s="1771">
        <v>6281.4882299999999</v>
      </c>
      <c r="I61" s="1707">
        <f>I117</f>
        <v>5551.7158458737795</v>
      </c>
      <c r="J61" s="1707">
        <f t="shared" ref="J61:N61" si="14">J117</f>
        <v>6059.5226708586679</v>
      </c>
      <c r="K61" s="1707">
        <f t="shared" si="14"/>
        <v>6911.7685475201006</v>
      </c>
      <c r="L61" s="1707">
        <f t="shared" si="14"/>
        <v>6276.1112801885993</v>
      </c>
      <c r="M61" s="1707">
        <f t="shared" si="14"/>
        <v>7177.1554644072949</v>
      </c>
      <c r="N61" s="1707">
        <f t="shared" si="14"/>
        <v>8134.9971189786265</v>
      </c>
      <c r="O61" s="1772">
        <f>SUM(C61:N61)</f>
        <v>66384.473647827064</v>
      </c>
    </row>
    <row r="62" spans="2:18">
      <c r="B62" s="1765" t="s">
        <v>1039</v>
      </c>
      <c r="C62" s="1796">
        <f t="shared" ref="C62:O62" si="15">C61/C6</f>
        <v>8.0018481435819189E-2</v>
      </c>
      <c r="D62" s="1796">
        <f t="shared" si="15"/>
        <v>8.5368743134228472E-2</v>
      </c>
      <c r="E62" s="1796">
        <f t="shared" si="15"/>
        <v>8.6149295038091808E-2</v>
      </c>
      <c r="F62" s="1796">
        <f t="shared" si="15"/>
        <v>8.6124475737518941E-2</v>
      </c>
      <c r="G62" s="1796">
        <f t="shared" si="15"/>
        <v>9.6016231356158069E-2</v>
      </c>
      <c r="H62" s="1796">
        <f t="shared" si="15"/>
        <v>0.10805267589431194</v>
      </c>
      <c r="I62" s="1796">
        <f t="shared" si="15"/>
        <v>9.4416936154315984E-2</v>
      </c>
      <c r="J62" s="1796">
        <f t="shared" si="15"/>
        <v>9.228636416172202E-2</v>
      </c>
      <c r="K62" s="1796">
        <f t="shared" si="15"/>
        <v>9.4037667313198653E-2</v>
      </c>
      <c r="L62" s="1796">
        <f t="shared" si="15"/>
        <v>9.0199932167125602E-2</v>
      </c>
      <c r="M62" s="1796">
        <f t="shared" si="15"/>
        <v>9.1545350311317539E-2</v>
      </c>
      <c r="N62" s="1796">
        <f t="shared" si="15"/>
        <v>9.163181186150432E-2</v>
      </c>
      <c r="O62" s="1796">
        <f t="shared" si="15"/>
        <v>9.206236159838746E-2</v>
      </c>
    </row>
    <row r="63" spans="2:18">
      <c r="B63" s="1765"/>
      <c r="C63" s="1795"/>
      <c r="D63" s="1771"/>
      <c r="E63" s="1771"/>
      <c r="F63" s="1771"/>
      <c r="G63" s="1771"/>
      <c r="H63" s="1771"/>
      <c r="I63" s="1707"/>
      <c r="J63" s="1707"/>
      <c r="K63" s="1707"/>
      <c r="L63" s="1707"/>
      <c r="M63" s="1707"/>
      <c r="N63" s="1707"/>
      <c r="O63" s="1797"/>
    </row>
    <row r="65" spans="2:14">
      <c r="B65" s="1773" t="s">
        <v>1538</v>
      </c>
    </row>
    <row r="66" spans="2:14">
      <c r="B66" s="1774" t="s">
        <v>1537</v>
      </c>
      <c r="C66" s="107" t="s">
        <v>479</v>
      </c>
      <c r="D66" s="117" t="s">
        <v>480</v>
      </c>
      <c r="E66" s="117" t="s">
        <v>481</v>
      </c>
      <c r="F66" s="117" t="s">
        <v>482</v>
      </c>
      <c r="G66" s="117" t="s">
        <v>483</v>
      </c>
      <c r="H66" s="117" t="s">
        <v>484</v>
      </c>
      <c r="I66" s="117" t="s">
        <v>485</v>
      </c>
      <c r="J66" s="117" t="s">
        <v>486</v>
      </c>
      <c r="K66" s="117" t="s">
        <v>487</v>
      </c>
      <c r="L66" s="117" t="s">
        <v>488</v>
      </c>
      <c r="M66" s="117" t="s">
        <v>489</v>
      </c>
      <c r="N66" s="117" t="s">
        <v>490</v>
      </c>
    </row>
    <row r="67" spans="2:14">
      <c r="B67" s="74" t="s">
        <v>1532</v>
      </c>
      <c r="C67" s="1766">
        <v>2</v>
      </c>
      <c r="D67" s="1670">
        <v>2</v>
      </c>
      <c r="E67" s="1670">
        <v>3</v>
      </c>
      <c r="F67" s="1670">
        <v>2</v>
      </c>
      <c r="G67" s="1670">
        <v>3</v>
      </c>
      <c r="H67" s="1670">
        <v>3</v>
      </c>
      <c r="I67" s="1788">
        <f>I76*I$72</f>
        <v>2.88</v>
      </c>
      <c r="J67" s="1788">
        <f t="shared" ref="J67:N67" si="16">J76*J$72</f>
        <v>3.04</v>
      </c>
      <c r="K67" s="1788">
        <f t="shared" si="16"/>
        <v>3.44</v>
      </c>
      <c r="L67" s="1788">
        <f t="shared" si="16"/>
        <v>3.43</v>
      </c>
      <c r="M67" s="1788">
        <f t="shared" si="16"/>
        <v>3.8500000000000005</v>
      </c>
      <c r="N67" s="1788">
        <f t="shared" si="16"/>
        <v>4.2</v>
      </c>
    </row>
    <row r="68" spans="2:14">
      <c r="B68" s="74" t="s">
        <v>1533</v>
      </c>
      <c r="C68" s="1766">
        <v>0</v>
      </c>
      <c r="D68" s="1670">
        <v>0</v>
      </c>
      <c r="E68" s="1670">
        <v>1</v>
      </c>
      <c r="F68" s="1670">
        <v>1</v>
      </c>
      <c r="G68" s="1670">
        <v>1</v>
      </c>
      <c r="H68" s="1670">
        <v>1</v>
      </c>
      <c r="I68" s="1788">
        <f t="shared" ref="I68:N68" si="17">I77*I$72</f>
        <v>1.3333333333333333</v>
      </c>
      <c r="J68" s="1788">
        <f t="shared" si="17"/>
        <v>1.5833333333333333</v>
      </c>
      <c r="K68" s="1788">
        <f t="shared" si="17"/>
        <v>1.72</v>
      </c>
      <c r="L68" s="1788">
        <f t="shared" si="17"/>
        <v>2.0416666666666665</v>
      </c>
      <c r="M68" s="1788">
        <f t="shared" si="17"/>
        <v>2.2000000000000002</v>
      </c>
      <c r="N68" s="1788">
        <f t="shared" si="17"/>
        <v>2.4</v>
      </c>
    </row>
    <row r="69" spans="2:14">
      <c r="B69" s="74" t="s">
        <v>1534</v>
      </c>
      <c r="C69" s="1766">
        <v>1</v>
      </c>
      <c r="D69" s="1670">
        <v>0</v>
      </c>
      <c r="E69" s="1670">
        <v>1</v>
      </c>
      <c r="F69" s="1670">
        <v>2</v>
      </c>
      <c r="G69" s="1670">
        <v>0</v>
      </c>
      <c r="H69" s="1670">
        <v>3</v>
      </c>
      <c r="I69" s="1788">
        <f t="shared" ref="I69:N69" si="18">I78*I$72</f>
        <v>1.6</v>
      </c>
      <c r="J69" s="1788">
        <f t="shared" si="18"/>
        <v>1.9000000000000001</v>
      </c>
      <c r="K69" s="1788">
        <f t="shared" si="18"/>
        <v>2.15</v>
      </c>
      <c r="L69" s="1788">
        <f t="shared" si="18"/>
        <v>2.4500000000000002</v>
      </c>
      <c r="M69" s="1788">
        <f t="shared" si="18"/>
        <v>2.75</v>
      </c>
      <c r="N69" s="1788">
        <f t="shared" si="18"/>
        <v>3</v>
      </c>
    </row>
    <row r="70" spans="2:14">
      <c r="B70" s="74" t="s">
        <v>1535</v>
      </c>
      <c r="C70" s="1766">
        <v>0</v>
      </c>
      <c r="D70" s="1670">
        <v>6</v>
      </c>
      <c r="E70" s="1670">
        <v>8</v>
      </c>
      <c r="F70" s="1670">
        <v>5</v>
      </c>
      <c r="G70" s="1670">
        <v>8</v>
      </c>
      <c r="H70" s="1670">
        <v>5</v>
      </c>
      <c r="I70" s="1788">
        <f t="shared" ref="I70:N70" si="19">I79*I$72</f>
        <v>7.04</v>
      </c>
      <c r="J70" s="1788">
        <f t="shared" si="19"/>
        <v>8.36</v>
      </c>
      <c r="K70" s="1788">
        <f t="shared" si="19"/>
        <v>9.4600000000000009</v>
      </c>
      <c r="L70" s="1788">
        <f t="shared" si="19"/>
        <v>9.8000000000000007</v>
      </c>
      <c r="M70" s="1788">
        <f t="shared" si="19"/>
        <v>11.549999999999999</v>
      </c>
      <c r="N70" s="1788">
        <f t="shared" si="19"/>
        <v>13.2</v>
      </c>
    </row>
    <row r="71" spans="2:14">
      <c r="B71" s="74" t="s">
        <v>1536</v>
      </c>
      <c r="C71" s="1779">
        <v>17</v>
      </c>
      <c r="D71" s="1780">
        <v>12</v>
      </c>
      <c r="E71" s="1780">
        <v>8</v>
      </c>
      <c r="F71" s="1780">
        <v>13</v>
      </c>
      <c r="G71" s="1780">
        <v>12</v>
      </c>
      <c r="H71" s="1780">
        <v>15</v>
      </c>
      <c r="I71" s="1789">
        <f t="shared" ref="I71:N71" si="20">I80*I$72</f>
        <v>19.146666666666668</v>
      </c>
      <c r="J71" s="1789">
        <f t="shared" si="20"/>
        <v>23.116666666666664</v>
      </c>
      <c r="K71" s="1789">
        <f t="shared" si="20"/>
        <v>26.23</v>
      </c>
      <c r="L71" s="1789">
        <f t="shared" si="20"/>
        <v>31.278333333333332</v>
      </c>
      <c r="M71" s="1789">
        <f t="shared" si="20"/>
        <v>34.65</v>
      </c>
      <c r="N71" s="1789">
        <f t="shared" si="20"/>
        <v>37.200000000000003</v>
      </c>
    </row>
    <row r="72" spans="2:14">
      <c r="C72" s="549">
        <f>SUM(C67:C71)</f>
        <v>20</v>
      </c>
      <c r="D72" s="67">
        <f t="shared" ref="D72:H72" si="21">SUM(D67:D71)</f>
        <v>20</v>
      </c>
      <c r="E72" s="67">
        <f t="shared" si="21"/>
        <v>21</v>
      </c>
      <c r="F72" s="67">
        <f t="shared" si="21"/>
        <v>23</v>
      </c>
      <c r="G72" s="67">
        <f t="shared" si="21"/>
        <v>24</v>
      </c>
      <c r="H72" s="67">
        <f t="shared" si="21"/>
        <v>27</v>
      </c>
      <c r="I72" s="725">
        <f t="shared" ref="I72:N72" si="22">I10</f>
        <v>32</v>
      </c>
      <c r="J72" s="725">
        <f t="shared" si="22"/>
        <v>38</v>
      </c>
      <c r="K72" s="725">
        <f t="shared" si="22"/>
        <v>43</v>
      </c>
      <c r="L72" s="725">
        <f t="shared" si="22"/>
        <v>49</v>
      </c>
      <c r="M72" s="725">
        <f t="shared" si="22"/>
        <v>55</v>
      </c>
      <c r="N72" s="725">
        <f t="shared" si="22"/>
        <v>60</v>
      </c>
    </row>
    <row r="74" spans="2:14">
      <c r="B74" s="1773" t="s">
        <v>1541</v>
      </c>
    </row>
    <row r="75" spans="2:14">
      <c r="B75" s="1774" t="s">
        <v>1537</v>
      </c>
      <c r="C75" s="107" t="s">
        <v>479</v>
      </c>
      <c r="D75" s="117" t="s">
        <v>480</v>
      </c>
      <c r="E75" s="117" t="s">
        <v>481</v>
      </c>
      <c r="F75" s="117" t="s">
        <v>482</v>
      </c>
      <c r="G75" s="117" t="s">
        <v>483</v>
      </c>
      <c r="H75" s="117" t="s">
        <v>484</v>
      </c>
      <c r="I75" s="117" t="s">
        <v>485</v>
      </c>
      <c r="J75" s="117" t="s">
        <v>486</v>
      </c>
      <c r="K75" s="117" t="s">
        <v>487</v>
      </c>
      <c r="L75" s="117" t="s">
        <v>488</v>
      </c>
      <c r="M75" s="117" t="s">
        <v>489</v>
      </c>
      <c r="N75" s="117" t="s">
        <v>490</v>
      </c>
    </row>
    <row r="76" spans="2:14">
      <c r="B76" s="74" t="s">
        <v>1532</v>
      </c>
      <c r="C76" s="1627">
        <f>C67/C$72</f>
        <v>0.1</v>
      </c>
      <c r="D76" s="1656">
        <f t="shared" ref="D76:H76" si="23">D67/D$72</f>
        <v>0.1</v>
      </c>
      <c r="E76" s="1656">
        <f t="shared" si="23"/>
        <v>0.14285714285714285</v>
      </c>
      <c r="F76" s="1656">
        <f t="shared" si="23"/>
        <v>8.6956521739130432E-2</v>
      </c>
      <c r="G76" s="1656">
        <f t="shared" si="23"/>
        <v>0.125</v>
      </c>
      <c r="H76" s="1656">
        <f t="shared" si="23"/>
        <v>0.1111111111111111</v>
      </c>
      <c r="I76" s="131">
        <v>0.09</v>
      </c>
      <c r="J76" s="131">
        <v>0.08</v>
      </c>
      <c r="K76" s="131">
        <v>0.08</v>
      </c>
      <c r="L76" s="131">
        <v>7.0000000000000007E-2</v>
      </c>
      <c r="M76" s="131">
        <v>7.0000000000000007E-2</v>
      </c>
      <c r="N76" s="131">
        <v>7.0000000000000007E-2</v>
      </c>
    </row>
    <row r="77" spans="2:14">
      <c r="B77" s="74" t="s">
        <v>1533</v>
      </c>
      <c r="C77" s="1627">
        <f t="shared" ref="C77:H77" si="24">C68/C$72</f>
        <v>0</v>
      </c>
      <c r="D77" s="1656">
        <f t="shared" si="24"/>
        <v>0</v>
      </c>
      <c r="E77" s="1656">
        <f t="shared" si="24"/>
        <v>4.7619047619047616E-2</v>
      </c>
      <c r="F77" s="1656">
        <f t="shared" si="24"/>
        <v>4.3478260869565216E-2</v>
      </c>
      <c r="G77" s="1656">
        <f t="shared" si="24"/>
        <v>4.1666666666666664E-2</v>
      </c>
      <c r="H77" s="1656">
        <f t="shared" si="24"/>
        <v>3.7037037037037035E-2</v>
      </c>
      <c r="I77" s="131">
        <v>4.1666666666666664E-2</v>
      </c>
      <c r="J77" s="131">
        <v>4.1666666666666664E-2</v>
      </c>
      <c r="K77" s="131">
        <v>0.04</v>
      </c>
      <c r="L77" s="131">
        <v>4.1666666666666664E-2</v>
      </c>
      <c r="M77" s="131">
        <v>0.04</v>
      </c>
      <c r="N77" s="131">
        <v>0.04</v>
      </c>
    </row>
    <row r="78" spans="2:14">
      <c r="B78" s="74" t="s">
        <v>1534</v>
      </c>
      <c r="C78" s="1627">
        <f t="shared" ref="C78:H78" si="25">C69/C$72</f>
        <v>0.05</v>
      </c>
      <c r="D78" s="1656">
        <f t="shared" si="25"/>
        <v>0</v>
      </c>
      <c r="E78" s="1656">
        <f t="shared" si="25"/>
        <v>4.7619047619047616E-2</v>
      </c>
      <c r="F78" s="1656">
        <f t="shared" si="25"/>
        <v>8.6956521739130432E-2</v>
      </c>
      <c r="G78" s="1656">
        <f t="shared" si="25"/>
        <v>0</v>
      </c>
      <c r="H78" s="1656">
        <f t="shared" si="25"/>
        <v>0.1111111111111111</v>
      </c>
      <c r="I78" s="131">
        <v>0.05</v>
      </c>
      <c r="J78" s="131">
        <v>0.05</v>
      </c>
      <c r="K78" s="131">
        <v>0.05</v>
      </c>
      <c r="L78" s="131">
        <v>0.05</v>
      </c>
      <c r="M78" s="131">
        <v>0.05</v>
      </c>
      <c r="N78" s="131">
        <v>0.05</v>
      </c>
    </row>
    <row r="79" spans="2:14">
      <c r="B79" s="74" t="s">
        <v>1535</v>
      </c>
      <c r="C79" s="1627">
        <f t="shared" ref="C79:H79" si="26">C70/C$72</f>
        <v>0</v>
      </c>
      <c r="D79" s="1656">
        <f t="shared" si="26"/>
        <v>0.3</v>
      </c>
      <c r="E79" s="1656">
        <f t="shared" si="26"/>
        <v>0.38095238095238093</v>
      </c>
      <c r="F79" s="1656">
        <f t="shared" si="26"/>
        <v>0.21739130434782608</v>
      </c>
      <c r="G79" s="1656">
        <f t="shared" si="26"/>
        <v>0.33333333333333331</v>
      </c>
      <c r="H79" s="1656">
        <f t="shared" si="26"/>
        <v>0.18518518518518517</v>
      </c>
      <c r="I79" s="131">
        <v>0.22</v>
      </c>
      <c r="J79" s="131">
        <v>0.22</v>
      </c>
      <c r="K79" s="131">
        <v>0.22</v>
      </c>
      <c r="L79" s="131">
        <v>0.2</v>
      </c>
      <c r="M79" s="131">
        <v>0.21</v>
      </c>
      <c r="N79" s="131">
        <v>0.22</v>
      </c>
    </row>
    <row r="80" spans="2:14">
      <c r="B80" s="74" t="s">
        <v>1536</v>
      </c>
      <c r="C80" s="1781">
        <f t="shared" ref="C80:H80" si="27">C71/C$72</f>
        <v>0.85</v>
      </c>
      <c r="D80" s="1657">
        <f t="shared" si="27"/>
        <v>0.6</v>
      </c>
      <c r="E80" s="1657">
        <f t="shared" si="27"/>
        <v>0.38095238095238093</v>
      </c>
      <c r="F80" s="1657">
        <f t="shared" si="27"/>
        <v>0.56521739130434778</v>
      </c>
      <c r="G80" s="1657">
        <f t="shared" si="27"/>
        <v>0.5</v>
      </c>
      <c r="H80" s="1657">
        <f t="shared" si="27"/>
        <v>0.55555555555555558</v>
      </c>
      <c r="I80" s="705">
        <f>I81-SUM(I76:I79)</f>
        <v>0.59833333333333338</v>
      </c>
      <c r="J80" s="705">
        <f t="shared" ref="J80:N80" si="28">J81-SUM(J76:J79)</f>
        <v>0.60833333333333328</v>
      </c>
      <c r="K80" s="705">
        <f t="shared" si="28"/>
        <v>0.61</v>
      </c>
      <c r="L80" s="705">
        <f t="shared" si="28"/>
        <v>0.63833333333333331</v>
      </c>
      <c r="M80" s="705">
        <f t="shared" si="28"/>
        <v>0.63</v>
      </c>
      <c r="N80" s="705">
        <f t="shared" si="28"/>
        <v>0.62</v>
      </c>
    </row>
    <row r="81" spans="2:14">
      <c r="C81" s="551">
        <f>SUM(C76:C80)</f>
        <v>1</v>
      </c>
      <c r="D81" s="131">
        <f t="shared" ref="D81" si="29">SUM(D76:D80)</f>
        <v>1</v>
      </c>
      <c r="E81" s="131">
        <f t="shared" ref="E81" si="30">SUM(E76:E80)</f>
        <v>1</v>
      </c>
      <c r="F81" s="131">
        <f t="shared" ref="F81" si="31">SUM(F76:F80)</f>
        <v>1</v>
      </c>
      <c r="G81" s="131">
        <f t="shared" ref="G81" si="32">SUM(G76:G80)</f>
        <v>1</v>
      </c>
      <c r="H81" s="131">
        <f t="shared" ref="H81" si="33">SUM(H76:H80)</f>
        <v>1</v>
      </c>
      <c r="I81" s="131">
        <v>1</v>
      </c>
      <c r="J81" s="131">
        <v>1</v>
      </c>
      <c r="K81" s="131">
        <v>1</v>
      </c>
      <c r="L81" s="131">
        <v>1</v>
      </c>
      <c r="M81" s="131">
        <v>1</v>
      </c>
      <c r="N81" s="131">
        <v>1</v>
      </c>
    </row>
    <row r="83" spans="2:14">
      <c r="B83" s="1773" t="s">
        <v>206</v>
      </c>
    </row>
    <row r="84" spans="2:14">
      <c r="B84" s="1774" t="s">
        <v>1537</v>
      </c>
      <c r="C84" s="107" t="s">
        <v>479</v>
      </c>
      <c r="D84" s="117" t="s">
        <v>480</v>
      </c>
      <c r="E84" s="117" t="s">
        <v>481</v>
      </c>
      <c r="F84" s="117" t="s">
        <v>482</v>
      </c>
      <c r="G84" s="117" t="s">
        <v>483</v>
      </c>
      <c r="H84" s="117" t="s">
        <v>484</v>
      </c>
      <c r="I84" s="117" t="s">
        <v>485</v>
      </c>
      <c r="J84" s="117" t="s">
        <v>486</v>
      </c>
      <c r="K84" s="117" t="s">
        <v>487</v>
      </c>
      <c r="L84" s="117" t="s">
        <v>488</v>
      </c>
      <c r="M84" s="117" t="s">
        <v>489</v>
      </c>
      <c r="N84" s="117" t="s">
        <v>490</v>
      </c>
    </row>
    <row r="85" spans="2:14">
      <c r="B85" s="74" t="s">
        <v>1532</v>
      </c>
      <c r="C85" s="1631">
        <v>5950.5969999999998</v>
      </c>
      <c r="D85" s="1614">
        <v>10074.706</v>
      </c>
      <c r="E85" s="1614">
        <v>14504.125</v>
      </c>
      <c r="F85" s="1614">
        <v>10059.244000000001</v>
      </c>
      <c r="G85" s="1614">
        <v>16227.724</v>
      </c>
      <c r="H85" s="1614">
        <v>18985.947</v>
      </c>
      <c r="I85" s="1707">
        <f>I67*I103</f>
        <v>14581.207296</v>
      </c>
      <c r="J85" s="1707">
        <f t="shared" ref="J85:N85" si="34">J67*J103</f>
        <v>13852.146931200003</v>
      </c>
      <c r="K85" s="1707">
        <f t="shared" si="34"/>
        <v>15831.545821632</v>
      </c>
      <c r="L85" s="1707">
        <f t="shared" si="34"/>
        <v>11049.866720272801</v>
      </c>
      <c r="M85" s="1707">
        <f t="shared" si="34"/>
        <v>12650.969857291922</v>
      </c>
      <c r="N85" s="1707">
        <f t="shared" si="34"/>
        <v>14491.110927443475</v>
      </c>
    </row>
    <row r="86" spans="2:14">
      <c r="B86" s="74" t="s">
        <v>1533</v>
      </c>
      <c r="C86" s="1631">
        <v>0</v>
      </c>
      <c r="D86" s="1614">
        <v>0</v>
      </c>
      <c r="E86" s="1614">
        <v>2212.2719999999999</v>
      </c>
      <c r="F86" s="1614">
        <v>2400.6320000000001</v>
      </c>
      <c r="G86" s="1614">
        <v>2047.617</v>
      </c>
      <c r="H86" s="1614">
        <v>2111.3409999999999</v>
      </c>
      <c r="I86" s="1707">
        <f t="shared" ref="I86:N86" si="35">I68*I104</f>
        <v>2815.121333333333</v>
      </c>
      <c r="J86" s="1707">
        <f t="shared" si="35"/>
        <v>3342.9565833333331</v>
      </c>
      <c r="K86" s="1707">
        <f t="shared" si="35"/>
        <v>3667.8215851999998</v>
      </c>
      <c r="L86" s="1707">
        <f t="shared" si="35"/>
        <v>4353.7610870833323</v>
      </c>
      <c r="M86" s="1707">
        <f t="shared" si="35"/>
        <v>4785.2276960399995</v>
      </c>
      <c r="N86" s="1707">
        <f t="shared" si="35"/>
        <v>5324.6533635935984</v>
      </c>
    </row>
    <row r="87" spans="2:14">
      <c r="B87" s="74" t="s">
        <v>1534</v>
      </c>
      <c r="C87" s="1631">
        <v>1960.575</v>
      </c>
      <c r="D87" s="1614">
        <v>0</v>
      </c>
      <c r="E87" s="1614">
        <v>1550.6379999999999</v>
      </c>
      <c r="F87" s="1614">
        <v>4600.5709999999999</v>
      </c>
      <c r="G87" s="1614">
        <v>0</v>
      </c>
      <c r="H87" s="1614">
        <v>5395.1350000000002</v>
      </c>
      <c r="I87" s="1707">
        <f t="shared" ref="I87:N87" si="36">I69*I105</f>
        <v>2589.6648000000005</v>
      </c>
      <c r="J87" s="1707">
        <f t="shared" si="36"/>
        <v>3075.2269500000002</v>
      </c>
      <c r="K87" s="1707">
        <f t="shared" si="36"/>
        <v>3514.6606957499998</v>
      </c>
      <c r="L87" s="1707">
        <f t="shared" si="36"/>
        <v>3804.8245438875001</v>
      </c>
      <c r="M87" s="1707">
        <f t="shared" si="36"/>
        <v>4313.4286410806253</v>
      </c>
      <c r="N87" s="1707">
        <f t="shared" si="36"/>
        <v>4799.6696878933499</v>
      </c>
    </row>
    <row r="88" spans="2:14">
      <c r="B88" s="74" t="s">
        <v>1535</v>
      </c>
      <c r="C88" s="1631">
        <v>0</v>
      </c>
      <c r="D88" s="1614">
        <v>7106.174</v>
      </c>
      <c r="E88" s="1614">
        <v>10016.882</v>
      </c>
      <c r="F88" s="1614">
        <v>4697.3959999999997</v>
      </c>
      <c r="G88" s="1614">
        <v>10239.457</v>
      </c>
      <c r="H88" s="1614">
        <v>5884.31</v>
      </c>
      <c r="I88" s="1707">
        <f t="shared" ref="I88:N88" si="37">I70*I106</f>
        <v>7456.5976320000018</v>
      </c>
      <c r="J88" s="1707">
        <f t="shared" si="37"/>
        <v>8854.7096880000008</v>
      </c>
      <c r="K88" s="1707">
        <f t="shared" si="37"/>
        <v>10220.199129360004</v>
      </c>
      <c r="L88" s="1707">
        <f t="shared" si="37"/>
        <v>10587.521296800003</v>
      </c>
      <c r="M88" s="1707">
        <f t="shared" si="37"/>
        <v>12602.931600798001</v>
      </c>
      <c r="N88" s="1707">
        <f t="shared" si="37"/>
        <v>14691.417408930243</v>
      </c>
    </row>
    <row r="89" spans="2:14">
      <c r="B89" s="74" t="s">
        <v>1536</v>
      </c>
      <c r="C89" s="1635">
        <v>7864.7049999999999</v>
      </c>
      <c r="D89" s="1636">
        <v>6536.3280000000004</v>
      </c>
      <c r="E89" s="1636">
        <v>4832.701</v>
      </c>
      <c r="F89" s="1636">
        <v>8252.9549999999999</v>
      </c>
      <c r="G89" s="1636">
        <v>7992.259</v>
      </c>
      <c r="H89" s="1636">
        <v>9979.6219999999994</v>
      </c>
      <c r="I89" s="1790">
        <f t="shared" ref="I89:N89" si="38">I71*I107</f>
        <v>10190.746447644447</v>
      </c>
      <c r="J89" s="1790">
        <f t="shared" si="38"/>
        <v>12918.953333066667</v>
      </c>
      <c r="K89" s="1790">
        <f t="shared" si="38"/>
        <v>14658.867163360004</v>
      </c>
      <c r="L89" s="1790">
        <f t="shared" si="38"/>
        <v>15732.155550216003</v>
      </c>
      <c r="M89" s="1790">
        <f t="shared" si="38"/>
        <v>17602.292802679203</v>
      </c>
      <c r="N89" s="1790">
        <f t="shared" si="38"/>
        <v>19275.653624959876</v>
      </c>
    </row>
    <row r="90" spans="2:14">
      <c r="C90" s="1775">
        <f>SUM(C85:C89)</f>
        <v>15775.877</v>
      </c>
      <c r="D90" s="499">
        <f t="shared" ref="D90" si="39">SUM(D85:D89)</f>
        <v>23717.208000000002</v>
      </c>
      <c r="E90" s="499">
        <f t="shared" ref="E90" si="40">SUM(E85:E89)</f>
        <v>33116.618000000002</v>
      </c>
      <c r="F90" s="499">
        <f t="shared" ref="F90" si="41">SUM(F85:F89)</f>
        <v>30010.798000000003</v>
      </c>
      <c r="G90" s="499">
        <f t="shared" ref="G90" si="42">SUM(G85:G89)</f>
        <v>36507.057000000001</v>
      </c>
      <c r="H90" s="499">
        <f t="shared" ref="H90" si="43">SUM(H85:H89)</f>
        <v>42356.355000000003</v>
      </c>
      <c r="I90" s="499">
        <f t="shared" ref="I90" si="44">SUM(I85:I89)</f>
        <v>37633.337508977784</v>
      </c>
      <c r="J90" s="499">
        <f t="shared" ref="J90" si="45">SUM(J85:J89)</f>
        <v>42043.993485600004</v>
      </c>
      <c r="K90" s="499">
        <f t="shared" ref="K90" si="46">SUM(K85:K89)</f>
        <v>47893.094395302003</v>
      </c>
      <c r="L90" s="499">
        <f t="shared" ref="L90" si="47">SUM(L85:L89)</f>
        <v>45528.129198259645</v>
      </c>
      <c r="M90" s="499">
        <f t="shared" ref="M90" si="48">SUM(M85:M89)</f>
        <v>51954.850597889745</v>
      </c>
      <c r="N90" s="499">
        <f t="shared" ref="N90" si="49">SUM(N85:N89)</f>
        <v>58582.505012820548</v>
      </c>
    </row>
    <row r="91" spans="2:14">
      <c r="I91" s="499"/>
      <c r="J91" s="499"/>
      <c r="K91" s="499"/>
      <c r="L91" s="499"/>
      <c r="M91" s="499"/>
      <c r="N91" s="499"/>
    </row>
    <row r="92" spans="2:14">
      <c r="B92" s="1773" t="s">
        <v>1540</v>
      </c>
    </row>
    <row r="93" spans="2:14">
      <c r="B93" s="1774" t="s">
        <v>1537</v>
      </c>
      <c r="C93" s="107" t="s">
        <v>479</v>
      </c>
      <c r="D93" s="117" t="s">
        <v>480</v>
      </c>
      <c r="E93" s="117" t="s">
        <v>481</v>
      </c>
      <c r="F93" s="117" t="s">
        <v>482</v>
      </c>
      <c r="G93" s="117" t="s">
        <v>483</v>
      </c>
      <c r="H93" s="117" t="s">
        <v>484</v>
      </c>
      <c r="I93" s="117" t="s">
        <v>485</v>
      </c>
      <c r="J93" s="117" t="s">
        <v>486</v>
      </c>
      <c r="K93" s="117" t="s">
        <v>487</v>
      </c>
      <c r="L93" s="117" t="s">
        <v>488</v>
      </c>
      <c r="M93" s="117" t="s">
        <v>489</v>
      </c>
      <c r="N93" s="117" t="s">
        <v>490</v>
      </c>
    </row>
    <row r="94" spans="2:14">
      <c r="B94" s="74" t="s">
        <v>1532</v>
      </c>
      <c r="C94" s="1782">
        <f t="shared" ref="C94:J94" si="50">C85/C$90</f>
        <v>0.37719595557191526</v>
      </c>
      <c r="D94" s="1638">
        <f t="shared" si="50"/>
        <v>0.42478465424766687</v>
      </c>
      <c r="E94" s="1638">
        <f t="shared" si="50"/>
        <v>0.43797120225259711</v>
      </c>
      <c r="F94" s="1638">
        <f t="shared" si="50"/>
        <v>0.33518748818341981</v>
      </c>
      <c r="G94" s="1638">
        <f t="shared" si="50"/>
        <v>0.4445092355705364</v>
      </c>
      <c r="H94" s="1638">
        <f t="shared" si="50"/>
        <v>0.44824317389917046</v>
      </c>
      <c r="I94" s="474">
        <f t="shared" si="50"/>
        <v>0.38745453529125651</v>
      </c>
      <c r="J94" s="474">
        <f t="shared" si="50"/>
        <v>0.32946791640866224</v>
      </c>
      <c r="K94" s="474">
        <f t="shared" ref="K94:N94" si="51">K85/K$90</f>
        <v>0.33056009475940168</v>
      </c>
      <c r="L94" s="474">
        <f t="shared" si="51"/>
        <v>0.2427041680573862</v>
      </c>
      <c r="M94" s="474">
        <f t="shared" si="51"/>
        <v>0.24349930202293313</v>
      </c>
      <c r="N94" s="474">
        <f t="shared" si="51"/>
        <v>0.24736243225297644</v>
      </c>
    </row>
    <row r="95" spans="2:14">
      <c r="B95" s="74" t="s">
        <v>1533</v>
      </c>
      <c r="C95" s="1782">
        <f t="shared" ref="C95:H98" si="52">C86/C$90</f>
        <v>0</v>
      </c>
      <c r="D95" s="1638">
        <f t="shared" si="52"/>
        <v>0</v>
      </c>
      <c r="E95" s="1638">
        <f t="shared" si="52"/>
        <v>6.6802473610076962E-2</v>
      </c>
      <c r="F95" s="1638">
        <f t="shared" si="52"/>
        <v>7.9992274780563977E-2</v>
      </c>
      <c r="G95" s="1638">
        <f t="shared" si="52"/>
        <v>5.6088251649537235E-2</v>
      </c>
      <c r="H95" s="1638">
        <f t="shared" si="52"/>
        <v>4.9847089061369886E-2</v>
      </c>
      <c r="I95" s="474">
        <f t="shared" ref="I95:J98" si="53">I86/I$90</f>
        <v>7.4803924383846088E-2</v>
      </c>
      <c r="J95" s="474">
        <f t="shared" si="53"/>
        <v>7.9510919543793815E-2</v>
      </c>
      <c r="K95" s="474">
        <f t="shared" ref="K95:N95" si="54">K86/K$90</f>
        <v>7.6583516507126942E-2</v>
      </c>
      <c r="L95" s="474">
        <f t="shared" si="54"/>
        <v>9.562793735987199E-2</v>
      </c>
      <c r="M95" s="474">
        <f t="shared" si="54"/>
        <v>9.2103579184084142E-2</v>
      </c>
      <c r="N95" s="474">
        <f t="shared" si="54"/>
        <v>9.0891527469307079E-2</v>
      </c>
    </row>
    <row r="96" spans="2:14">
      <c r="B96" s="74" t="s">
        <v>1534</v>
      </c>
      <c r="C96" s="1782">
        <f t="shared" si="52"/>
        <v>0.1242767676243926</v>
      </c>
      <c r="D96" s="1638">
        <f t="shared" si="52"/>
        <v>0</v>
      </c>
      <c r="E96" s="1638">
        <f t="shared" si="52"/>
        <v>4.6823561512229293E-2</v>
      </c>
      <c r="F96" s="1638">
        <f t="shared" si="52"/>
        <v>0.153297189898116</v>
      </c>
      <c r="G96" s="1638">
        <f t="shared" si="52"/>
        <v>0</v>
      </c>
      <c r="H96" s="1638">
        <f t="shared" si="52"/>
        <v>0.12737486499959688</v>
      </c>
      <c r="I96" s="474">
        <f t="shared" si="53"/>
        <v>6.8813051709331163E-2</v>
      </c>
      <c r="J96" s="474">
        <f t="shared" si="53"/>
        <v>7.3143074552450879E-2</v>
      </c>
      <c r="K96" s="474">
        <f t="shared" ref="K96:N96" si="55">K87/K$90</f>
        <v>7.3385542114705479E-2</v>
      </c>
      <c r="L96" s="474">
        <f t="shared" si="55"/>
        <v>8.3570851930215989E-2</v>
      </c>
      <c r="M96" s="474">
        <f t="shared" si="55"/>
        <v>8.3022635835581143E-2</v>
      </c>
      <c r="N96" s="474">
        <f t="shared" si="55"/>
        <v>8.1930086240644046E-2</v>
      </c>
    </row>
    <row r="97" spans="2:15">
      <c r="B97" s="74" t="s">
        <v>1535</v>
      </c>
      <c r="C97" s="1782">
        <f t="shared" si="52"/>
        <v>0</v>
      </c>
      <c r="D97" s="1638">
        <f t="shared" si="52"/>
        <v>0.29962101778590461</v>
      </c>
      <c r="E97" s="1638">
        <f t="shared" si="52"/>
        <v>0.30247297595424749</v>
      </c>
      <c r="F97" s="1638">
        <f t="shared" si="52"/>
        <v>0.15652352863126129</v>
      </c>
      <c r="G97" s="1638">
        <f t="shared" si="52"/>
        <v>0.28047884002262907</v>
      </c>
      <c r="H97" s="1638">
        <f t="shared" si="52"/>
        <v>0.13892389937708285</v>
      </c>
      <c r="I97" s="474">
        <f t="shared" si="53"/>
        <v>0.19813809046888708</v>
      </c>
      <c r="J97" s="474">
        <f t="shared" si="53"/>
        <v>0.2106058191411509</v>
      </c>
      <c r="K97" s="474">
        <f t="shared" ref="K97:N97" si="56">K88/K$90</f>
        <v>0.21339609098973855</v>
      </c>
      <c r="L97" s="474">
        <f t="shared" si="56"/>
        <v>0.23254900834371911</v>
      </c>
      <c r="M97" s="474">
        <f t="shared" si="56"/>
        <v>0.24257468659355352</v>
      </c>
      <c r="N97" s="474">
        <f t="shared" si="56"/>
        <v>0.25078165240143085</v>
      </c>
    </row>
    <row r="98" spans="2:15">
      <c r="B98" s="74" t="s">
        <v>1536</v>
      </c>
      <c r="C98" s="1783">
        <f t="shared" si="52"/>
        <v>0.49852727680369208</v>
      </c>
      <c r="D98" s="1639">
        <f t="shared" si="52"/>
        <v>0.27559432796642841</v>
      </c>
      <c r="E98" s="1639">
        <f t="shared" si="52"/>
        <v>0.14592978667084905</v>
      </c>
      <c r="F98" s="1639">
        <f t="shared" si="52"/>
        <v>0.27499951850663884</v>
      </c>
      <c r="G98" s="1639">
        <f t="shared" si="52"/>
        <v>0.21892367275729729</v>
      </c>
      <c r="H98" s="1639">
        <f t="shared" si="52"/>
        <v>0.23561097266277986</v>
      </c>
      <c r="I98" s="478">
        <f t="shared" si="53"/>
        <v>0.2707903981466791</v>
      </c>
      <c r="J98" s="478">
        <f t="shared" si="53"/>
        <v>0.30727227035394217</v>
      </c>
      <c r="K98" s="478">
        <f t="shared" ref="K98:N98" si="57">K89/K$90</f>
        <v>0.30607475562902742</v>
      </c>
      <c r="L98" s="478">
        <f t="shared" si="57"/>
        <v>0.3455480343088066</v>
      </c>
      <c r="M98" s="478">
        <f t="shared" si="57"/>
        <v>0.33879979636384822</v>
      </c>
      <c r="N98" s="478">
        <f t="shared" si="57"/>
        <v>0.32903430163564151</v>
      </c>
    </row>
    <row r="99" spans="2:15">
      <c r="C99" s="1776">
        <f t="shared" ref="C99:H99" si="58">SUM(C94:C98)</f>
        <v>1</v>
      </c>
      <c r="D99" s="1777">
        <f t="shared" si="58"/>
        <v>0.99999999999999978</v>
      </c>
      <c r="E99" s="1777">
        <f t="shared" si="58"/>
        <v>1</v>
      </c>
      <c r="F99" s="1777">
        <f t="shared" si="58"/>
        <v>0.99999999999999989</v>
      </c>
      <c r="G99" s="1777">
        <f t="shared" si="58"/>
        <v>0.99999999999999989</v>
      </c>
      <c r="H99" s="1777">
        <f t="shared" si="58"/>
        <v>0.99999999999999989</v>
      </c>
      <c r="I99" s="1777">
        <f t="shared" ref="I99:N99" si="59">SUM(I94:I98)</f>
        <v>1</v>
      </c>
      <c r="J99" s="1777">
        <f t="shared" si="59"/>
        <v>1</v>
      </c>
      <c r="K99" s="1777">
        <f t="shared" si="59"/>
        <v>1</v>
      </c>
      <c r="L99" s="1777">
        <f t="shared" si="59"/>
        <v>1</v>
      </c>
      <c r="M99" s="1777">
        <f t="shared" si="59"/>
        <v>1.0000000000000002</v>
      </c>
      <c r="N99" s="1777">
        <f t="shared" si="59"/>
        <v>0.99999999999999989</v>
      </c>
    </row>
    <row r="101" spans="2:15">
      <c r="B101" s="1773" t="s">
        <v>1539</v>
      </c>
    </row>
    <row r="102" spans="2:15">
      <c r="B102" s="1774" t="s">
        <v>1537</v>
      </c>
      <c r="C102" s="107" t="s">
        <v>479</v>
      </c>
      <c r="D102" s="117" t="s">
        <v>480</v>
      </c>
      <c r="E102" s="117" t="s">
        <v>481</v>
      </c>
      <c r="F102" s="117" t="s">
        <v>482</v>
      </c>
      <c r="G102" s="117" t="s">
        <v>483</v>
      </c>
      <c r="H102" s="117" t="s">
        <v>484</v>
      </c>
      <c r="I102" s="117" t="s">
        <v>485</v>
      </c>
      <c r="J102" s="117" t="s">
        <v>486</v>
      </c>
      <c r="K102" s="117" t="s">
        <v>487</v>
      </c>
      <c r="L102" s="117" t="s">
        <v>488</v>
      </c>
      <c r="M102" s="117" t="s">
        <v>489</v>
      </c>
      <c r="N102" s="117" t="s">
        <v>490</v>
      </c>
    </row>
    <row r="103" spans="2:15">
      <c r="B103" s="74" t="s">
        <v>1532</v>
      </c>
      <c r="C103" s="1784">
        <f>C85/C67</f>
        <v>2975.2984999999999</v>
      </c>
      <c r="D103" s="1785">
        <f t="shared" ref="D103:H103" si="60">D85/D67</f>
        <v>5037.3530000000001</v>
      </c>
      <c r="E103" s="1785">
        <f t="shared" si="60"/>
        <v>4834.708333333333</v>
      </c>
      <c r="F103" s="1785">
        <f t="shared" si="60"/>
        <v>5029.6220000000003</v>
      </c>
      <c r="G103" s="1785">
        <f t="shared" si="60"/>
        <v>5409.2413333333334</v>
      </c>
      <c r="H103" s="1785">
        <f t="shared" si="60"/>
        <v>6328.6490000000003</v>
      </c>
      <c r="I103" s="499">
        <f>H103*0.8</f>
        <v>5062.9192000000003</v>
      </c>
      <c r="J103" s="499">
        <f>I103*0.9</f>
        <v>4556.6272800000006</v>
      </c>
      <c r="K103" s="499">
        <f>J103*1.01</f>
        <v>4602.1935528000004</v>
      </c>
      <c r="L103" s="499">
        <f>K103*0.7</f>
        <v>3221.5354869600001</v>
      </c>
      <c r="M103" s="499">
        <f>L103*1.02</f>
        <v>3285.9661966992003</v>
      </c>
      <c r="N103" s="499">
        <f t="shared" ref="N103" si="61">M103*1.05</f>
        <v>3450.2645065341603</v>
      </c>
      <c r="O103" s="1707"/>
    </row>
    <row r="104" spans="2:15">
      <c r="B104" s="74" t="s">
        <v>1533</v>
      </c>
      <c r="C104" s="1784"/>
      <c r="D104" s="1785"/>
      <c r="E104" s="1785">
        <f t="shared" ref="E104:H104" si="62">E86/E68</f>
        <v>2212.2719999999999</v>
      </c>
      <c r="F104" s="1785">
        <f t="shared" si="62"/>
        <v>2400.6320000000001</v>
      </c>
      <c r="G104" s="1785">
        <f t="shared" si="62"/>
        <v>2047.617</v>
      </c>
      <c r="H104" s="1785">
        <f t="shared" si="62"/>
        <v>2111.3409999999999</v>
      </c>
      <c r="I104" s="499">
        <f>H104*1</f>
        <v>2111.3409999999999</v>
      </c>
      <c r="J104" s="499">
        <f>I104*1</f>
        <v>2111.3409999999999</v>
      </c>
      <c r="K104" s="499">
        <f>J104*1.01</f>
        <v>2132.4544099999998</v>
      </c>
      <c r="L104" s="499">
        <f>K104*1</f>
        <v>2132.4544099999998</v>
      </c>
      <c r="M104" s="499">
        <f>L104*1.02</f>
        <v>2175.1034981999996</v>
      </c>
      <c r="N104" s="499">
        <f>M104*1.02</f>
        <v>2218.6055681639996</v>
      </c>
    </row>
    <row r="105" spans="2:15">
      <c r="B105" s="74" t="s">
        <v>1534</v>
      </c>
      <c r="C105" s="1784">
        <f t="shared" ref="C105:H105" si="63">C87/C69</f>
        <v>1960.575</v>
      </c>
      <c r="D105" s="1785"/>
      <c r="E105" s="1785">
        <f t="shared" si="63"/>
        <v>1550.6379999999999</v>
      </c>
      <c r="F105" s="1785">
        <f t="shared" si="63"/>
        <v>2300.2855</v>
      </c>
      <c r="G105" s="1785"/>
      <c r="H105" s="1785">
        <f t="shared" si="63"/>
        <v>1798.3783333333333</v>
      </c>
      <c r="I105" s="499">
        <f>H105*0.9</f>
        <v>1618.5405000000001</v>
      </c>
      <c r="J105" s="499">
        <f>I105*1</f>
        <v>1618.5405000000001</v>
      </c>
      <c r="K105" s="499">
        <f>J105*1.01</f>
        <v>1634.725905</v>
      </c>
      <c r="L105" s="499">
        <f>K105*0.95</f>
        <v>1552.98960975</v>
      </c>
      <c r="M105" s="499">
        <f>L105*1.01</f>
        <v>1568.5195058475001</v>
      </c>
      <c r="N105" s="499">
        <f>M105*1.02</f>
        <v>1599.88989596445</v>
      </c>
    </row>
    <row r="106" spans="2:15">
      <c r="B106" s="74" t="s">
        <v>1535</v>
      </c>
      <c r="C106" s="1784"/>
      <c r="D106" s="1785">
        <f t="shared" ref="D106:H106" si="64">D88/D70</f>
        <v>1184.3623333333333</v>
      </c>
      <c r="E106" s="1785">
        <f t="shared" si="64"/>
        <v>1252.11025</v>
      </c>
      <c r="F106" s="1785">
        <f t="shared" si="64"/>
        <v>939.47919999999999</v>
      </c>
      <c r="G106" s="1785">
        <f t="shared" si="64"/>
        <v>1279.932125</v>
      </c>
      <c r="H106" s="1785">
        <f t="shared" si="64"/>
        <v>1176.8620000000001</v>
      </c>
      <c r="I106" s="499">
        <f>H106*0.9</f>
        <v>1059.1758000000002</v>
      </c>
      <c r="J106" s="499">
        <f>I106*1</f>
        <v>1059.1758000000002</v>
      </c>
      <c r="K106" s="499">
        <f t="shared" ref="K106" si="65">J106*1.02</f>
        <v>1080.3593160000003</v>
      </c>
      <c r="L106" s="499">
        <f>K106*1</f>
        <v>1080.3593160000003</v>
      </c>
      <c r="M106" s="499">
        <f>L106*1.01</f>
        <v>1091.1629091600003</v>
      </c>
      <c r="N106" s="499">
        <f>M106*1.02</f>
        <v>1112.9861673432003</v>
      </c>
    </row>
    <row r="107" spans="2:15">
      <c r="B107" s="74" t="s">
        <v>1536</v>
      </c>
      <c r="C107" s="1786">
        <f t="shared" ref="C107:H107" si="66">C89/C71</f>
        <v>462.62970588235294</v>
      </c>
      <c r="D107" s="1787">
        <f t="shared" si="66"/>
        <v>544.69400000000007</v>
      </c>
      <c r="E107" s="1787">
        <f t="shared" si="66"/>
        <v>604.087625</v>
      </c>
      <c r="F107" s="1787">
        <f t="shared" si="66"/>
        <v>634.84269230769235</v>
      </c>
      <c r="G107" s="1787">
        <f t="shared" si="66"/>
        <v>666.0215833333333</v>
      </c>
      <c r="H107" s="1787">
        <f t="shared" si="66"/>
        <v>665.30813333333333</v>
      </c>
      <c r="I107" s="611">
        <f>H107*0.8</f>
        <v>532.24650666666673</v>
      </c>
      <c r="J107" s="611">
        <f>I107*1.05</f>
        <v>558.85883200000012</v>
      </c>
      <c r="K107" s="611">
        <f>J107*1</f>
        <v>558.85883200000012</v>
      </c>
      <c r="L107" s="611">
        <f>K107*0.9</f>
        <v>502.9729488000001</v>
      </c>
      <c r="M107" s="611">
        <f>L107*1.01</f>
        <v>508.00267828800008</v>
      </c>
      <c r="N107" s="611">
        <f>M107*1.02</f>
        <v>518.16273185376008</v>
      </c>
    </row>
    <row r="108" spans="2:15">
      <c r="C108" s="1778">
        <f t="shared" ref="C108:H108" si="67">C90/C72</f>
        <v>788.79385000000002</v>
      </c>
      <c r="D108" s="1688">
        <f t="shared" si="67"/>
        <v>1185.8604</v>
      </c>
      <c r="E108" s="1688">
        <f t="shared" si="67"/>
        <v>1576.9818095238097</v>
      </c>
      <c r="F108" s="1688">
        <f t="shared" si="67"/>
        <v>1304.8173043478262</v>
      </c>
      <c r="G108" s="1688">
        <f t="shared" si="67"/>
        <v>1521.127375</v>
      </c>
      <c r="H108" s="1688">
        <f t="shared" si="67"/>
        <v>1568.7538888888889</v>
      </c>
      <c r="I108" s="725"/>
      <c r="J108" s="725"/>
      <c r="K108" s="725"/>
      <c r="L108" s="725"/>
      <c r="M108" s="725"/>
      <c r="N108" s="725"/>
    </row>
    <row r="110" spans="2:15">
      <c r="B110" s="1773" t="s">
        <v>466</v>
      </c>
    </row>
    <row r="111" spans="2:15">
      <c r="B111" s="1774" t="s">
        <v>1537</v>
      </c>
      <c r="C111" s="107" t="s">
        <v>479</v>
      </c>
      <c r="D111" s="117" t="s">
        <v>480</v>
      </c>
      <c r="E111" s="117" t="s">
        <v>481</v>
      </c>
      <c r="F111" s="117" t="s">
        <v>482</v>
      </c>
      <c r="G111" s="117" t="s">
        <v>483</v>
      </c>
      <c r="H111" s="117" t="s">
        <v>484</v>
      </c>
      <c r="I111" s="117" t="s">
        <v>485</v>
      </c>
      <c r="J111" s="117" t="s">
        <v>486</v>
      </c>
      <c r="K111" s="117" t="s">
        <v>487</v>
      </c>
      <c r="L111" s="117" t="s">
        <v>488</v>
      </c>
      <c r="M111" s="117" t="s">
        <v>489</v>
      </c>
      <c r="N111" s="117" t="s">
        <v>490</v>
      </c>
      <c r="O111" s="1792" t="s">
        <v>70</v>
      </c>
    </row>
    <row r="112" spans="2:15">
      <c r="B112" s="74" t="s">
        <v>1532</v>
      </c>
      <c r="C112" s="1784"/>
      <c r="D112" s="1785"/>
      <c r="E112" s="1785"/>
      <c r="F112" s="1785"/>
      <c r="G112" s="1785"/>
      <c r="H112" s="1785"/>
      <c r="I112" s="1688">
        <f>(1000*$O$116+500*$O$115+500*$O$114+500*$O$113+(I103-2500)*$O$112)*I67</f>
        <v>2513.0414592000002</v>
      </c>
      <c r="J112" s="1688">
        <f t="shared" ref="J112:N112" si="68">(1000*$O$116+500*$O$115+500*$O$114+500*$O$113+(J103-2500)*$O$112)*J67</f>
        <v>2344.8293862400005</v>
      </c>
      <c r="K112" s="1688">
        <f t="shared" si="68"/>
        <v>2684.7091643264002</v>
      </c>
      <c r="L112" s="1688">
        <f t="shared" si="68"/>
        <v>1729.7733440545603</v>
      </c>
      <c r="M112" s="1688">
        <f t="shared" si="68"/>
        <v>1991.1939714583843</v>
      </c>
      <c r="N112" s="1688">
        <f t="shared" si="68"/>
        <v>2310.2221854886948</v>
      </c>
      <c r="O112" s="1793">
        <v>0.2</v>
      </c>
    </row>
    <row r="113" spans="2:18">
      <c r="B113" s="74" t="s">
        <v>1533</v>
      </c>
      <c r="C113" s="1784"/>
      <c r="D113" s="1785"/>
      <c r="E113" s="1785"/>
      <c r="F113" s="1785"/>
      <c r="G113" s="1785"/>
      <c r="H113" s="1785"/>
      <c r="I113" s="1688">
        <f>(1000*$O$116+500*$O$115+500*$O$114+(I104-2000)*$O$113)*I68</f>
        <v>391.90395999999993</v>
      </c>
      <c r="J113" s="1688">
        <f t="shared" ref="J113:N113" si="69">(1000*$O$116+500*$O$115+500*$O$114+(J104-2000)*$O$113)*J68</f>
        <v>465.38595249999992</v>
      </c>
      <c r="K113" s="1688">
        <f t="shared" si="69"/>
        <v>511.72966948399994</v>
      </c>
      <c r="L113" s="1688">
        <f t="shared" si="69"/>
        <v>607.43105147083327</v>
      </c>
      <c r="M113" s="1688">
        <f t="shared" si="69"/>
        <v>670.48870832679995</v>
      </c>
      <c r="N113" s="1688">
        <f t="shared" si="69"/>
        <v>749.19107181091169</v>
      </c>
      <c r="O113" s="1793">
        <v>0.17</v>
      </c>
    </row>
    <row r="114" spans="2:18">
      <c r="B114" s="74" t="s">
        <v>1534</v>
      </c>
      <c r="C114" s="1784"/>
      <c r="D114" s="1785"/>
      <c r="E114" s="1785"/>
      <c r="F114" s="1785"/>
      <c r="G114" s="1785"/>
      <c r="H114" s="1785"/>
      <c r="I114" s="1688">
        <f>(1000*$O$116+500*$O$115+(I105-1500)*$O$114)*I69</f>
        <v>348.44972000000007</v>
      </c>
      <c r="J114" s="1688">
        <f t="shared" ref="J114:N114" si="70">(1000*$O$116+500*$O$115+(J105-1500)*$O$114)*J69</f>
        <v>413.78404250000006</v>
      </c>
      <c r="K114" s="1688">
        <f t="shared" si="70"/>
        <v>473.44910436250001</v>
      </c>
      <c r="L114" s="1688">
        <f t="shared" si="70"/>
        <v>509.47368158312503</v>
      </c>
      <c r="M114" s="1688">
        <f t="shared" si="70"/>
        <v>578.26429616209384</v>
      </c>
      <c r="N114" s="1688">
        <f t="shared" si="70"/>
        <v>644.95045318400253</v>
      </c>
      <c r="O114" s="1793">
        <v>0.15</v>
      </c>
    </row>
    <row r="115" spans="2:18">
      <c r="B115" s="74" t="s">
        <v>1535</v>
      </c>
      <c r="C115" s="1784"/>
      <c r="D115" s="1785"/>
      <c r="E115" s="1785"/>
      <c r="F115" s="1785"/>
      <c r="G115" s="1785"/>
      <c r="H115" s="1785"/>
      <c r="I115" s="1688">
        <f>(1000*$O$116+(I106-1000)*$O$115)*I70</f>
        <v>973.52366848000031</v>
      </c>
      <c r="J115" s="1688">
        <f t="shared" ref="J115:N115" si="71">(1000*$O$116+(J106-1000)*$O$115)*J70</f>
        <v>1156.0593563200002</v>
      </c>
      <c r="K115" s="1688">
        <f t="shared" si="71"/>
        <v>1336.2278781104005</v>
      </c>
      <c r="L115" s="1688">
        <f t="shared" si="71"/>
        <v>1384.2529815520006</v>
      </c>
      <c r="M115" s="1688">
        <f t="shared" si="71"/>
        <v>1648.9104241117204</v>
      </c>
      <c r="N115" s="1688">
        <f t="shared" si="71"/>
        <v>1924.7984372502342</v>
      </c>
      <c r="O115" s="1793">
        <v>0.14000000000000001</v>
      </c>
    </row>
    <row r="116" spans="2:18">
      <c r="B116" s="74" t="s">
        <v>1536</v>
      </c>
      <c r="C116" s="1786"/>
      <c r="D116" s="1787"/>
      <c r="E116" s="1787"/>
      <c r="F116" s="1787"/>
      <c r="G116" s="1787"/>
      <c r="H116" s="1787"/>
      <c r="I116" s="1794">
        <f>I107*$O$116*I71</f>
        <v>1324.797038193778</v>
      </c>
      <c r="J116" s="1794">
        <f t="shared" ref="J116:M116" si="72">J107*$O$116*J71</f>
        <v>1679.4639332986669</v>
      </c>
      <c r="K116" s="1794">
        <f t="shared" si="72"/>
        <v>1905.6527312368007</v>
      </c>
      <c r="L116" s="1794">
        <f t="shared" si="72"/>
        <v>2045.1802215280804</v>
      </c>
      <c r="M116" s="1794">
        <f t="shared" si="72"/>
        <v>2288.2980643482961</v>
      </c>
      <c r="N116" s="1794">
        <f>N107*$O$116*N71</f>
        <v>2505.8349712447839</v>
      </c>
      <c r="O116" s="1793">
        <v>0.13</v>
      </c>
    </row>
    <row r="117" spans="2:18">
      <c r="C117" s="1778"/>
      <c r="D117" s="1688"/>
      <c r="E117" s="1688"/>
      <c r="F117" s="1688"/>
      <c r="G117" s="1688"/>
      <c r="H117" s="1688"/>
      <c r="I117" s="725">
        <f>SUM(I112:I116)</f>
        <v>5551.7158458737795</v>
      </c>
      <c r="J117" s="725">
        <f t="shared" ref="J117:N117" si="73">SUM(J112:J116)</f>
        <v>6059.5226708586679</v>
      </c>
      <c r="K117" s="725">
        <f t="shared" si="73"/>
        <v>6911.7685475201006</v>
      </c>
      <c r="L117" s="725">
        <f t="shared" si="73"/>
        <v>6276.1112801885993</v>
      </c>
      <c r="M117" s="725">
        <f t="shared" si="73"/>
        <v>7177.1554644072949</v>
      </c>
      <c r="N117" s="725">
        <f t="shared" si="73"/>
        <v>8134.9971189786265</v>
      </c>
    </row>
    <row r="120" spans="2:18" s="45" customFormat="1">
      <c r="B120" s="46" t="s">
        <v>757</v>
      </c>
      <c r="E120" s="1759" t="s">
        <v>460</v>
      </c>
      <c r="F120" s="1759"/>
      <c r="G120" s="1760">
        <f>G124</f>
        <v>21804.630911769997</v>
      </c>
      <c r="H120" s="1761">
        <f>G120/O6</f>
        <v>3.0238784842492355E-2</v>
      </c>
      <c r="K120" s="1762" t="s">
        <v>1530</v>
      </c>
      <c r="L120" s="1760">
        <f>E124+F124</f>
        <v>13912.427935769996</v>
      </c>
      <c r="O120" s="1759"/>
      <c r="P120" s="1759"/>
      <c r="Q120" s="1760"/>
      <c r="R120" s="1761"/>
    </row>
    <row r="123" spans="2:18">
      <c r="C123" s="1763" t="s">
        <v>502</v>
      </c>
      <c r="D123" s="1764" t="s">
        <v>503</v>
      </c>
      <c r="E123" s="1764" t="s">
        <v>504</v>
      </c>
      <c r="F123" s="1764" t="s">
        <v>505</v>
      </c>
      <c r="K123" s="1802"/>
      <c r="L123" s="1803" t="s">
        <v>1550</v>
      </c>
      <c r="M123" s="1804" t="s">
        <v>1545</v>
      </c>
      <c r="N123" s="1804" t="s">
        <v>1546</v>
      </c>
      <c r="O123" s="1804" t="s">
        <v>1547</v>
      </c>
      <c r="P123" s="1804" t="s">
        <v>1548</v>
      </c>
      <c r="Q123" s="1804" t="s">
        <v>1549</v>
      </c>
    </row>
    <row r="124" spans="2:18">
      <c r="B124" s="1765" t="s">
        <v>466</v>
      </c>
      <c r="C124" s="1770">
        <v>2699.1115920000002</v>
      </c>
      <c r="D124" s="1771">
        <v>5193.0913840000003</v>
      </c>
      <c r="E124" s="1820">
        <f>AB199</f>
        <v>6346.741904999999</v>
      </c>
      <c r="F124" s="1820">
        <f>AL199</f>
        <v>7565.6860307699981</v>
      </c>
      <c r="G124" s="1772">
        <f>SUM(C124:F124)</f>
        <v>21804.630911769997</v>
      </c>
      <c r="K124" s="1805" t="s">
        <v>1542</v>
      </c>
      <c r="L124" s="1806"/>
      <c r="M124" s="1807">
        <v>0</v>
      </c>
      <c r="N124" s="1812">
        <v>1.4999999999999999E-2</v>
      </c>
      <c r="O124" s="1810">
        <v>0.03</v>
      </c>
      <c r="P124" s="1810">
        <v>0.04</v>
      </c>
      <c r="Q124" s="1810">
        <v>0.05</v>
      </c>
    </row>
    <row r="125" spans="2:18">
      <c r="B125" s="1765" t="s">
        <v>1039</v>
      </c>
      <c r="C125" s="1796">
        <f>C124/SUM(C6:E6)</f>
        <v>2.1659238222898777E-2</v>
      </c>
      <c r="D125" s="1796">
        <f>D124/SUM(F6:H6)</f>
        <v>3.2106598560246259E-2</v>
      </c>
      <c r="E125" s="1796">
        <f>E124/SUM(I6:K6)</f>
        <v>3.2060728960396037E-2</v>
      </c>
      <c r="F125" s="1796">
        <f>F124/SUM(L6:N6)</f>
        <v>3.1955196122786023E-2</v>
      </c>
      <c r="G125" s="1796">
        <f>G124/O6</f>
        <v>3.0238784842492355E-2</v>
      </c>
      <c r="K125" s="1805" t="s">
        <v>1543</v>
      </c>
      <c r="L125" s="1806"/>
      <c r="M125" s="1810">
        <v>0.01</v>
      </c>
      <c r="N125" s="1810">
        <v>0.02</v>
      </c>
      <c r="O125" s="1810">
        <v>0.04</v>
      </c>
      <c r="P125" s="1810">
        <v>0.06</v>
      </c>
      <c r="Q125" s="1810">
        <v>0.08</v>
      </c>
    </row>
    <row r="126" spans="2:18">
      <c r="K126" s="1805" t="s">
        <v>1532</v>
      </c>
      <c r="L126" s="1806"/>
      <c r="M126" s="1810">
        <v>0.02</v>
      </c>
      <c r="N126" s="1810">
        <v>0.04</v>
      </c>
      <c r="O126" s="1810">
        <v>0.06</v>
      </c>
      <c r="P126" s="1810">
        <v>0.08</v>
      </c>
      <c r="Q126" s="1810">
        <v>0.1</v>
      </c>
    </row>
    <row r="127" spans="2:18">
      <c r="K127" s="1808" t="s">
        <v>1544</v>
      </c>
      <c r="L127" s="1809"/>
      <c r="M127" s="1811">
        <v>0.03</v>
      </c>
      <c r="N127" s="1811">
        <v>0.05</v>
      </c>
      <c r="O127" s="1811">
        <v>7.0000000000000007E-2</v>
      </c>
      <c r="P127" s="1811">
        <v>0.09</v>
      </c>
      <c r="Q127" s="1811">
        <v>0.12</v>
      </c>
    </row>
    <row r="131" spans="2:37">
      <c r="B131" s="1773" t="s">
        <v>1538</v>
      </c>
    </row>
    <row r="132" spans="2:37">
      <c r="B132" s="1773"/>
      <c r="C132" s="1798" t="s">
        <v>502</v>
      </c>
      <c r="K132" s="1773"/>
      <c r="L132" s="1798" t="s">
        <v>503</v>
      </c>
      <c r="T132" s="1773"/>
      <c r="U132" s="1798" t="s">
        <v>504</v>
      </c>
      <c r="AD132" s="1773"/>
      <c r="AE132" s="1798" t="s">
        <v>505</v>
      </c>
    </row>
    <row r="133" spans="2:37">
      <c r="B133" s="1774" t="s">
        <v>1537</v>
      </c>
      <c r="C133" s="1799" t="s">
        <v>1167</v>
      </c>
      <c r="I133" s="549"/>
      <c r="K133" s="1774" t="s">
        <v>1537</v>
      </c>
      <c r="L133" s="1799" t="s">
        <v>1167</v>
      </c>
      <c r="R133" s="549"/>
      <c r="T133" s="1774" t="s">
        <v>1537</v>
      </c>
      <c r="U133" s="1799" t="s">
        <v>1167</v>
      </c>
      <c r="AA133" s="1814">
        <f>K10</f>
        <v>43</v>
      </c>
      <c r="AD133" s="1774" t="s">
        <v>1537</v>
      </c>
      <c r="AE133" s="1799" t="s">
        <v>1167</v>
      </c>
      <c r="AK133" s="1814">
        <f>N10</f>
        <v>60</v>
      </c>
    </row>
    <row r="134" spans="2:37">
      <c r="B134" s="1774"/>
      <c r="C134" s="1749" t="s">
        <v>1550</v>
      </c>
      <c r="D134" s="70" t="s">
        <v>1545</v>
      </c>
      <c r="E134" s="70" t="s">
        <v>1546</v>
      </c>
      <c r="F134" s="70" t="s">
        <v>1547</v>
      </c>
      <c r="G134" s="70" t="s">
        <v>1548</v>
      </c>
      <c r="H134" s="70" t="s">
        <v>1549</v>
      </c>
      <c r="I134" s="107"/>
      <c r="J134" s="490"/>
      <c r="K134" s="117"/>
      <c r="L134" s="1749" t="s">
        <v>1550</v>
      </c>
      <c r="M134" s="70" t="s">
        <v>1545</v>
      </c>
      <c r="N134" s="70" t="s">
        <v>1546</v>
      </c>
      <c r="O134" s="70" t="s">
        <v>1547</v>
      </c>
      <c r="P134" s="70" t="s">
        <v>1548</v>
      </c>
      <c r="Q134" s="70" t="s">
        <v>1549</v>
      </c>
      <c r="R134" s="107"/>
      <c r="T134" s="117"/>
      <c r="U134" s="1749" t="s">
        <v>1550</v>
      </c>
      <c r="V134" s="70" t="s">
        <v>1545</v>
      </c>
      <c r="W134" s="70" t="s">
        <v>1546</v>
      </c>
      <c r="X134" s="70" t="s">
        <v>1547</v>
      </c>
      <c r="Y134" s="70" t="s">
        <v>1548</v>
      </c>
      <c r="Z134" s="70" t="s">
        <v>1549</v>
      </c>
      <c r="AA134" s="107"/>
      <c r="AD134" s="117"/>
      <c r="AE134" s="1749" t="s">
        <v>1550</v>
      </c>
      <c r="AF134" s="70" t="s">
        <v>1545</v>
      </c>
      <c r="AG134" s="70" t="s">
        <v>1546</v>
      </c>
      <c r="AH134" s="70" t="s">
        <v>1547</v>
      </c>
      <c r="AI134" s="70" t="s">
        <v>1548</v>
      </c>
      <c r="AJ134" s="70" t="s">
        <v>1549</v>
      </c>
      <c r="AK134" s="107"/>
    </row>
    <row r="135" spans="2:37">
      <c r="B135" s="74" t="s">
        <v>1542</v>
      </c>
      <c r="C135" s="549"/>
      <c r="H135" s="67">
        <v>2</v>
      </c>
      <c r="I135" s="549">
        <f>SUM(C135:H135)</f>
        <v>2</v>
      </c>
      <c r="K135" s="74" t="s">
        <v>1542</v>
      </c>
      <c r="L135" s="549"/>
      <c r="Q135" s="67">
        <v>2</v>
      </c>
      <c r="R135" s="549">
        <f>SUM(L135:Q135)</f>
        <v>2</v>
      </c>
      <c r="T135" s="74" t="s">
        <v>1542</v>
      </c>
      <c r="U135" s="549"/>
      <c r="Z135" s="1788">
        <f>Z145*$AA$133</f>
        <v>2.58</v>
      </c>
      <c r="AA135" s="1816">
        <f>SUM(U135:Z135)</f>
        <v>2.58</v>
      </c>
      <c r="AD135" s="74" t="s">
        <v>1542</v>
      </c>
      <c r="AE135" s="549"/>
      <c r="AJ135" s="1788">
        <f>AJ145*$AK$133</f>
        <v>3</v>
      </c>
      <c r="AK135" s="1816">
        <f>SUM(AE135:AJ135)</f>
        <v>3</v>
      </c>
    </row>
    <row r="136" spans="2:37">
      <c r="B136" s="74" t="s">
        <v>1543</v>
      </c>
      <c r="C136" s="549"/>
      <c r="H136" s="67">
        <v>2</v>
      </c>
      <c r="I136" s="549">
        <f t="shared" ref="I136:I138" si="74">SUM(C136:H136)</f>
        <v>2</v>
      </c>
      <c r="K136" s="74" t="s">
        <v>1543</v>
      </c>
      <c r="L136" s="549"/>
      <c r="Q136" s="67">
        <v>3</v>
      </c>
      <c r="R136" s="549">
        <f t="shared" ref="R136:R138" si="75">SUM(L136:Q136)</f>
        <v>3</v>
      </c>
      <c r="T136" s="74" t="s">
        <v>1543</v>
      </c>
      <c r="U136" s="549"/>
      <c r="Y136" s="1788"/>
      <c r="Z136" s="1788">
        <f t="shared" ref="Z136:Z138" si="76">Z146*$AA$133</f>
        <v>2.15</v>
      </c>
      <c r="AA136" s="1816">
        <f t="shared" ref="AA136:AA138" si="77">SUM(U136:Z136)</f>
        <v>2.15</v>
      </c>
      <c r="AD136" s="74" t="s">
        <v>1543</v>
      </c>
      <c r="AE136" s="549"/>
      <c r="AI136" s="1788">
        <f>AI146*$AK$133</f>
        <v>1.7999999999999998</v>
      </c>
      <c r="AJ136" s="1788">
        <f t="shared" ref="AJ136:AJ138" si="78">AJ146*$AK$133</f>
        <v>2.4</v>
      </c>
      <c r="AK136" s="1816">
        <f t="shared" ref="AK136:AK138" si="79">SUM(AE136:AJ136)</f>
        <v>4.1999999999999993</v>
      </c>
    </row>
    <row r="137" spans="2:37">
      <c r="B137" s="74" t="s">
        <v>1532</v>
      </c>
      <c r="C137" s="549"/>
      <c r="H137" s="67">
        <v>5</v>
      </c>
      <c r="I137" s="549">
        <f t="shared" si="74"/>
        <v>5</v>
      </c>
      <c r="K137" s="74" t="s">
        <v>1532</v>
      </c>
      <c r="L137" s="549">
        <v>1</v>
      </c>
      <c r="N137" s="67">
        <v>1</v>
      </c>
      <c r="P137" s="67">
        <v>1</v>
      </c>
      <c r="Q137" s="67">
        <v>8</v>
      </c>
      <c r="R137" s="549">
        <f t="shared" si="75"/>
        <v>11</v>
      </c>
      <c r="T137" s="74" t="s">
        <v>1532</v>
      </c>
      <c r="U137" s="1816"/>
      <c r="V137" s="1788">
        <f>V147*$AA$133</f>
        <v>2.15</v>
      </c>
      <c r="W137" s="1788">
        <f>W147*$AA$133</f>
        <v>2.15</v>
      </c>
      <c r="X137" s="1788">
        <f>X147*$AA$133</f>
        <v>2.15</v>
      </c>
      <c r="Y137" s="1788">
        <f>Y147*$AA$133</f>
        <v>2.15</v>
      </c>
      <c r="Z137" s="1788">
        <f t="shared" si="76"/>
        <v>4.3</v>
      </c>
      <c r="AA137" s="1816">
        <f t="shared" si="77"/>
        <v>12.899999999999999</v>
      </c>
      <c r="AD137" s="74" t="s">
        <v>1532</v>
      </c>
      <c r="AE137" s="1816">
        <f>AE147*$AK$133</f>
        <v>1.2</v>
      </c>
      <c r="AF137" s="1788">
        <f>AF147*$AK$133</f>
        <v>2.4</v>
      </c>
      <c r="AG137" s="1788">
        <f>AG147*$AK$133</f>
        <v>3</v>
      </c>
      <c r="AH137" s="1788">
        <f>AH147*$AK$133</f>
        <v>3</v>
      </c>
      <c r="AI137" s="1788">
        <f>AI147*$AK$133</f>
        <v>3</v>
      </c>
      <c r="AJ137" s="1788">
        <f t="shared" si="78"/>
        <v>6</v>
      </c>
      <c r="AK137" s="1816">
        <f t="shared" si="79"/>
        <v>18.600000000000001</v>
      </c>
    </row>
    <row r="138" spans="2:37">
      <c r="B138" s="74" t="s">
        <v>1544</v>
      </c>
      <c r="C138" s="107">
        <v>3</v>
      </c>
      <c r="D138" s="117">
        <v>2</v>
      </c>
      <c r="E138" s="117"/>
      <c r="F138" s="117"/>
      <c r="G138" s="117">
        <v>1</v>
      </c>
      <c r="H138" s="117">
        <v>5</v>
      </c>
      <c r="I138" s="107">
        <f t="shared" si="74"/>
        <v>11</v>
      </c>
      <c r="J138" s="539"/>
      <c r="K138" s="71" t="s">
        <v>1544</v>
      </c>
      <c r="L138" s="107">
        <v>5</v>
      </c>
      <c r="M138" s="117"/>
      <c r="N138" s="117">
        <v>1</v>
      </c>
      <c r="O138" s="117"/>
      <c r="P138" s="117"/>
      <c r="Q138" s="117">
        <v>1</v>
      </c>
      <c r="R138" s="107">
        <f t="shared" si="75"/>
        <v>7</v>
      </c>
      <c r="T138" s="71" t="s">
        <v>1544</v>
      </c>
      <c r="U138" s="1817">
        <f t="shared" ref="U138:X138" si="80">U148*$AA$133</f>
        <v>8.6</v>
      </c>
      <c r="V138" s="1789">
        <f t="shared" si="80"/>
        <v>3.0100000000000002</v>
      </c>
      <c r="W138" s="1789">
        <f t="shared" si="80"/>
        <v>4.3</v>
      </c>
      <c r="X138" s="1789">
        <f t="shared" si="80"/>
        <v>2.58</v>
      </c>
      <c r="Y138" s="1789">
        <f>Y148*$AA$133</f>
        <v>2.58</v>
      </c>
      <c r="Z138" s="1815">
        <f t="shared" si="76"/>
        <v>4.3</v>
      </c>
      <c r="AA138" s="1817">
        <f t="shared" si="77"/>
        <v>25.37</v>
      </c>
      <c r="AD138" s="71" t="s">
        <v>1544</v>
      </c>
      <c r="AE138" s="1817">
        <f t="shared" ref="AE138:AH138" si="81">AE148*$AK$133</f>
        <v>9</v>
      </c>
      <c r="AF138" s="1789">
        <f t="shared" si="81"/>
        <v>4.2</v>
      </c>
      <c r="AG138" s="1789">
        <f t="shared" si="81"/>
        <v>6</v>
      </c>
      <c r="AH138" s="1789">
        <f t="shared" si="81"/>
        <v>4.8</v>
      </c>
      <c r="AI138" s="1789">
        <f>AI148*$AK$133</f>
        <v>4.8</v>
      </c>
      <c r="AJ138" s="1789">
        <f t="shared" si="78"/>
        <v>5.3999999999999995</v>
      </c>
      <c r="AK138" s="1817">
        <f t="shared" si="79"/>
        <v>34.200000000000003</v>
      </c>
    </row>
    <row r="139" spans="2:37">
      <c r="C139" s="549">
        <f t="shared" ref="C139:H139" si="82">SUM(C135:C138)</f>
        <v>3</v>
      </c>
      <c r="D139" s="67">
        <f t="shared" si="82"/>
        <v>2</v>
      </c>
      <c r="E139" s="67">
        <f t="shared" si="82"/>
        <v>0</v>
      </c>
      <c r="F139" s="67">
        <f t="shared" si="82"/>
        <v>0</v>
      </c>
      <c r="G139" s="67">
        <f t="shared" si="82"/>
        <v>1</v>
      </c>
      <c r="H139" s="67">
        <f t="shared" si="82"/>
        <v>14</v>
      </c>
      <c r="I139" s="549">
        <f>SUM(I135:I138)</f>
        <v>20</v>
      </c>
      <c r="L139" s="549">
        <f>SUM(L135:L138)</f>
        <v>6</v>
      </c>
      <c r="M139" s="67">
        <f t="shared" ref="M139:Q139" si="83">SUM(M135:M138)</f>
        <v>0</v>
      </c>
      <c r="N139" s="67">
        <f t="shared" si="83"/>
        <v>2</v>
      </c>
      <c r="O139" s="67">
        <f t="shared" si="83"/>
        <v>0</v>
      </c>
      <c r="P139" s="67">
        <f t="shared" si="83"/>
        <v>1</v>
      </c>
      <c r="Q139" s="67">
        <f t="shared" si="83"/>
        <v>14</v>
      </c>
      <c r="R139" s="549">
        <f>SUM(R135:R138)</f>
        <v>23</v>
      </c>
      <c r="U139" s="1816">
        <f>SUM(U135:U138)</f>
        <v>8.6</v>
      </c>
      <c r="V139" s="1788">
        <f t="shared" ref="V139" si="84">SUM(V135:V138)</f>
        <v>5.16</v>
      </c>
      <c r="W139" s="1788">
        <f t="shared" ref="W139" si="85">SUM(W135:W138)</f>
        <v>6.4499999999999993</v>
      </c>
      <c r="X139" s="1788">
        <f t="shared" ref="X139" si="86">SUM(X135:X138)</f>
        <v>4.7300000000000004</v>
      </c>
      <c r="Y139" s="1788">
        <f t="shared" ref="Y139" si="87">SUM(Y135:Y138)</f>
        <v>4.7300000000000004</v>
      </c>
      <c r="Z139" s="1788">
        <f t="shared" ref="Z139" si="88">SUM(Z135:Z138)</f>
        <v>13.330000000000002</v>
      </c>
      <c r="AA139" s="549">
        <f>SUM(AA135:AA138)</f>
        <v>43</v>
      </c>
      <c r="AE139" s="1816">
        <f>SUM(AE135:AE138)</f>
        <v>10.199999999999999</v>
      </c>
      <c r="AF139" s="1788">
        <f t="shared" ref="AF139" si="89">SUM(AF135:AF138)</f>
        <v>6.6</v>
      </c>
      <c r="AG139" s="1788">
        <f t="shared" ref="AG139" si="90">SUM(AG135:AG138)</f>
        <v>9</v>
      </c>
      <c r="AH139" s="1788">
        <f t="shared" ref="AH139" si="91">SUM(AH135:AH138)</f>
        <v>7.8</v>
      </c>
      <c r="AI139" s="1788">
        <f t="shared" ref="AI139" si="92">SUM(AI135:AI138)</f>
        <v>9.6</v>
      </c>
      <c r="AJ139" s="1788">
        <f t="shared" ref="AJ139" si="93">SUM(AJ135:AJ138)</f>
        <v>16.8</v>
      </c>
      <c r="AK139" s="549">
        <f>SUM(AK135:AK138)</f>
        <v>60</v>
      </c>
    </row>
    <row r="141" spans="2:37">
      <c r="B141" s="1773" t="s">
        <v>1541</v>
      </c>
    </row>
    <row r="142" spans="2:37">
      <c r="B142" s="1773"/>
      <c r="C142" s="1798" t="s">
        <v>502</v>
      </c>
      <c r="K142" s="1773"/>
      <c r="L142" s="1798" t="s">
        <v>503</v>
      </c>
      <c r="T142" s="1773"/>
      <c r="U142" s="1798" t="s">
        <v>504</v>
      </c>
      <c r="AD142" s="1773"/>
      <c r="AE142" s="1798" t="s">
        <v>505</v>
      </c>
    </row>
    <row r="143" spans="2:37">
      <c r="B143" s="1774" t="s">
        <v>1537</v>
      </c>
      <c r="C143" s="1799" t="s">
        <v>1167</v>
      </c>
      <c r="I143" s="549"/>
      <c r="K143" s="1774" t="s">
        <v>1537</v>
      </c>
      <c r="L143" s="1799" t="s">
        <v>1167</v>
      </c>
      <c r="R143" s="549"/>
      <c r="T143" s="1774" t="s">
        <v>1537</v>
      </c>
      <c r="U143" s="1799" t="s">
        <v>1167</v>
      </c>
      <c r="AA143" s="549"/>
      <c r="AD143" s="1774" t="s">
        <v>1537</v>
      </c>
      <c r="AE143" s="1799" t="s">
        <v>1167</v>
      </c>
      <c r="AK143" s="549"/>
    </row>
    <row r="144" spans="2:37">
      <c r="B144" s="1774"/>
      <c r="C144" s="1749" t="s">
        <v>1550</v>
      </c>
      <c r="D144" s="70" t="s">
        <v>1545</v>
      </c>
      <c r="E144" s="70" t="s">
        <v>1546</v>
      </c>
      <c r="F144" s="70" t="s">
        <v>1547</v>
      </c>
      <c r="G144" s="70" t="s">
        <v>1548</v>
      </c>
      <c r="H144" s="70" t="s">
        <v>1549</v>
      </c>
      <c r="I144" s="107"/>
      <c r="J144" s="490"/>
      <c r="K144" s="117"/>
      <c r="L144" s="1749" t="s">
        <v>1550</v>
      </c>
      <c r="M144" s="70" t="s">
        <v>1545</v>
      </c>
      <c r="N144" s="70" t="s">
        <v>1546</v>
      </c>
      <c r="O144" s="70" t="s">
        <v>1547</v>
      </c>
      <c r="P144" s="70" t="s">
        <v>1548</v>
      </c>
      <c r="Q144" s="70" t="s">
        <v>1549</v>
      </c>
      <c r="R144" s="107"/>
      <c r="T144" s="117"/>
      <c r="U144" s="1749" t="s">
        <v>1550</v>
      </c>
      <c r="V144" s="70" t="s">
        <v>1545</v>
      </c>
      <c r="W144" s="70" t="s">
        <v>1546</v>
      </c>
      <c r="X144" s="70" t="s">
        <v>1547</v>
      </c>
      <c r="Y144" s="70" t="s">
        <v>1548</v>
      </c>
      <c r="Z144" s="70" t="s">
        <v>1549</v>
      </c>
      <c r="AA144" s="107"/>
      <c r="AD144" s="117"/>
      <c r="AE144" s="1749" t="s">
        <v>1550</v>
      </c>
      <c r="AF144" s="70" t="s">
        <v>1545</v>
      </c>
      <c r="AG144" s="70" t="s">
        <v>1546</v>
      </c>
      <c r="AH144" s="70" t="s">
        <v>1547</v>
      </c>
      <c r="AI144" s="70" t="s">
        <v>1548</v>
      </c>
      <c r="AJ144" s="70" t="s">
        <v>1549</v>
      </c>
      <c r="AK144" s="107"/>
    </row>
    <row r="145" spans="2:37">
      <c r="B145" s="74" t="s">
        <v>1542</v>
      </c>
      <c r="C145" s="1800"/>
      <c r="D145" s="474"/>
      <c r="E145" s="474"/>
      <c r="F145" s="474"/>
      <c r="G145" s="474"/>
      <c r="H145" s="474">
        <f>H135/$I$139</f>
        <v>0.1</v>
      </c>
      <c r="I145" s="1800">
        <f>SUM(C145:H145)</f>
        <v>0.1</v>
      </c>
      <c r="K145" s="74" t="s">
        <v>1542</v>
      </c>
      <c r="L145" s="1800"/>
      <c r="M145" s="474"/>
      <c r="N145" s="474"/>
      <c r="O145" s="474"/>
      <c r="P145" s="474"/>
      <c r="Q145" s="474">
        <f>Q135/$R$139</f>
        <v>8.6956521739130432E-2</v>
      </c>
      <c r="R145" s="1800">
        <f>SUM(L145:Q145)</f>
        <v>8.6956521739130432E-2</v>
      </c>
      <c r="T145" s="74" t="s">
        <v>1542</v>
      </c>
      <c r="U145" s="1800"/>
      <c r="V145" s="474"/>
      <c r="W145" s="474"/>
      <c r="X145" s="474"/>
      <c r="Y145" s="474"/>
      <c r="Z145" s="474">
        <v>0.06</v>
      </c>
      <c r="AA145" s="1800">
        <f>SUM(U145:Z145)</f>
        <v>0.06</v>
      </c>
      <c r="AD145" s="74" t="s">
        <v>1542</v>
      </c>
      <c r="AE145" s="1800"/>
      <c r="AF145" s="474"/>
      <c r="AG145" s="474"/>
      <c r="AH145" s="474"/>
      <c r="AI145" s="474"/>
      <c r="AJ145" s="474">
        <v>0.05</v>
      </c>
      <c r="AK145" s="1800">
        <f>SUM(AE145:AJ145)</f>
        <v>0.05</v>
      </c>
    </row>
    <row r="146" spans="2:37">
      <c r="B146" s="74" t="s">
        <v>1543</v>
      </c>
      <c r="C146" s="1800"/>
      <c r="D146" s="474"/>
      <c r="E146" s="474"/>
      <c r="F146" s="474"/>
      <c r="G146" s="474"/>
      <c r="H146" s="474">
        <f t="shared" ref="H146:H148" si="94">H136/$I$139</f>
        <v>0.1</v>
      </c>
      <c r="I146" s="1800">
        <f t="shared" ref="I146:I148" si="95">SUM(C146:H146)</f>
        <v>0.1</v>
      </c>
      <c r="K146" s="74" t="s">
        <v>1543</v>
      </c>
      <c r="L146" s="1800"/>
      <c r="M146" s="474"/>
      <c r="N146" s="474"/>
      <c r="O146" s="474"/>
      <c r="P146" s="474"/>
      <c r="Q146" s="474">
        <f>Q136/$R$139</f>
        <v>0.13043478260869565</v>
      </c>
      <c r="R146" s="1800">
        <f t="shared" ref="R146:R148" si="96">SUM(L146:Q146)</f>
        <v>0.13043478260869565</v>
      </c>
      <c r="T146" s="74" t="s">
        <v>1543</v>
      </c>
      <c r="U146" s="1800"/>
      <c r="V146" s="474"/>
      <c r="W146" s="474"/>
      <c r="X146" s="474"/>
      <c r="Y146" s="474"/>
      <c r="Z146" s="474">
        <v>0.05</v>
      </c>
      <c r="AA146" s="1800">
        <f t="shared" ref="AA146:AA148" si="97">SUM(U146:Z146)</f>
        <v>0.05</v>
      </c>
      <c r="AD146" s="74" t="s">
        <v>1543</v>
      </c>
      <c r="AE146" s="1800"/>
      <c r="AF146" s="474"/>
      <c r="AG146" s="474"/>
      <c r="AH146" s="474"/>
      <c r="AI146" s="474">
        <v>0.03</v>
      </c>
      <c r="AJ146" s="474">
        <v>0.04</v>
      </c>
      <c r="AK146" s="1800">
        <f t="shared" ref="AK146:AK148" si="98">SUM(AE146:AJ146)</f>
        <v>7.0000000000000007E-2</v>
      </c>
    </row>
    <row r="147" spans="2:37">
      <c r="B147" s="74" t="s">
        <v>1532</v>
      </c>
      <c r="C147" s="1800"/>
      <c r="D147" s="474"/>
      <c r="E147" s="474"/>
      <c r="F147" s="474"/>
      <c r="G147" s="474"/>
      <c r="H147" s="474">
        <f t="shared" si="94"/>
        <v>0.25</v>
      </c>
      <c r="I147" s="1800">
        <f t="shared" si="95"/>
        <v>0.25</v>
      </c>
      <c r="K147" s="74" t="s">
        <v>1532</v>
      </c>
      <c r="L147" s="1800">
        <f t="shared" ref="L147:L148" si="99">L137/$R$139</f>
        <v>4.3478260869565216E-2</v>
      </c>
      <c r="M147" s="474"/>
      <c r="N147" s="474">
        <f t="shared" ref="N147:N148" si="100">N137/$R$139</f>
        <v>4.3478260869565216E-2</v>
      </c>
      <c r="O147" s="474"/>
      <c r="P147" s="474">
        <f>P137/$R$139</f>
        <v>4.3478260869565216E-2</v>
      </c>
      <c r="Q147" s="474">
        <f t="shared" ref="Q147:Q148" si="101">Q137/$R$139</f>
        <v>0.34782608695652173</v>
      </c>
      <c r="R147" s="1800">
        <f t="shared" si="96"/>
        <v>0.47826086956521741</v>
      </c>
      <c r="T147" s="74" t="s">
        <v>1532</v>
      </c>
      <c r="U147" s="1800"/>
      <c r="V147" s="474">
        <v>0.05</v>
      </c>
      <c r="W147" s="474">
        <v>0.05</v>
      </c>
      <c r="X147" s="474">
        <v>0.05</v>
      </c>
      <c r="Y147" s="474">
        <v>0.05</v>
      </c>
      <c r="Z147" s="474">
        <v>0.1</v>
      </c>
      <c r="AA147" s="1800">
        <f t="shared" si="97"/>
        <v>0.30000000000000004</v>
      </c>
      <c r="AD147" s="74" t="s">
        <v>1532</v>
      </c>
      <c r="AE147" s="1800">
        <v>0.02</v>
      </c>
      <c r="AF147" s="474">
        <v>0.04</v>
      </c>
      <c r="AG147" s="474">
        <v>0.05</v>
      </c>
      <c r="AH147" s="474">
        <v>0.05</v>
      </c>
      <c r="AI147" s="474">
        <v>0.05</v>
      </c>
      <c r="AJ147" s="474">
        <v>0.1</v>
      </c>
      <c r="AK147" s="1800">
        <f t="shared" si="98"/>
        <v>0.31000000000000005</v>
      </c>
    </row>
    <row r="148" spans="2:37">
      <c r="B148" s="74" t="s">
        <v>1544</v>
      </c>
      <c r="C148" s="1801">
        <f>C138/$I$139</f>
        <v>0.15</v>
      </c>
      <c r="D148" s="478">
        <f>D138/$I$139</f>
        <v>0.1</v>
      </c>
      <c r="E148" s="478"/>
      <c r="F148" s="478"/>
      <c r="G148" s="478">
        <f>G138/$I$139</f>
        <v>0.05</v>
      </c>
      <c r="H148" s="478">
        <f t="shared" si="94"/>
        <v>0.25</v>
      </c>
      <c r="I148" s="1801">
        <f t="shared" si="95"/>
        <v>0.55000000000000004</v>
      </c>
      <c r="J148" s="539"/>
      <c r="K148" s="71" t="s">
        <v>1544</v>
      </c>
      <c r="L148" s="1801">
        <f t="shared" si="99"/>
        <v>0.21739130434782608</v>
      </c>
      <c r="M148" s="478"/>
      <c r="N148" s="478">
        <f t="shared" si="100"/>
        <v>4.3478260869565216E-2</v>
      </c>
      <c r="O148" s="478"/>
      <c r="P148" s="478"/>
      <c r="Q148" s="478">
        <f t="shared" si="101"/>
        <v>4.3478260869565216E-2</v>
      </c>
      <c r="R148" s="1801">
        <f t="shared" si="96"/>
        <v>0.30434782608695654</v>
      </c>
      <c r="T148" s="71" t="s">
        <v>1544</v>
      </c>
      <c r="U148" s="1801">
        <v>0.2</v>
      </c>
      <c r="V148" s="478">
        <v>7.0000000000000007E-2</v>
      </c>
      <c r="W148" s="478">
        <v>0.1</v>
      </c>
      <c r="X148" s="478">
        <v>0.06</v>
      </c>
      <c r="Y148" s="478">
        <v>0.06</v>
      </c>
      <c r="Z148" s="478">
        <v>0.1</v>
      </c>
      <c r="AA148" s="1801">
        <f t="shared" si="97"/>
        <v>0.59</v>
      </c>
      <c r="AD148" s="71" t="s">
        <v>1544</v>
      </c>
      <c r="AE148" s="1801">
        <v>0.15</v>
      </c>
      <c r="AF148" s="478">
        <v>7.0000000000000007E-2</v>
      </c>
      <c r="AG148" s="478">
        <v>0.1</v>
      </c>
      <c r="AH148" s="478">
        <v>0.08</v>
      </c>
      <c r="AI148" s="478">
        <v>0.08</v>
      </c>
      <c r="AJ148" s="478">
        <v>0.09</v>
      </c>
      <c r="AK148" s="1801">
        <f t="shared" si="98"/>
        <v>0.57000000000000006</v>
      </c>
    </row>
    <row r="149" spans="2:37">
      <c r="C149" s="1800">
        <f>SUM(C145:C148)</f>
        <v>0.15</v>
      </c>
      <c r="D149" s="474">
        <f t="shared" ref="D149" si="102">SUM(D145:D148)</f>
        <v>0.1</v>
      </c>
      <c r="E149" s="474">
        <f t="shared" ref="E149" si="103">SUM(E145:E148)</f>
        <v>0</v>
      </c>
      <c r="F149" s="474">
        <f t="shared" ref="F149" si="104">SUM(F145:F148)</f>
        <v>0</v>
      </c>
      <c r="G149" s="474">
        <f t="shared" ref="G149" si="105">SUM(G145:G148)</f>
        <v>0.05</v>
      </c>
      <c r="H149" s="474">
        <f t="shared" ref="H149" si="106">SUM(H145:H148)</f>
        <v>0.7</v>
      </c>
      <c r="I149" s="1800">
        <f>SUM(I145:I148)</f>
        <v>1</v>
      </c>
      <c r="L149" s="1800">
        <f>SUM(L145:L148)</f>
        <v>0.2608695652173913</v>
      </c>
      <c r="M149" s="474">
        <f t="shared" ref="M149" si="107">SUM(M145:M148)</f>
        <v>0</v>
      </c>
      <c r="N149" s="474">
        <f t="shared" ref="N149" si="108">SUM(N145:N148)</f>
        <v>8.6956521739130432E-2</v>
      </c>
      <c r="O149" s="474">
        <f t="shared" ref="O149" si="109">SUM(O145:O148)</f>
        <v>0</v>
      </c>
      <c r="P149" s="474">
        <f t="shared" ref="P149" si="110">SUM(P145:P148)</f>
        <v>4.3478260869565216E-2</v>
      </c>
      <c r="Q149" s="474">
        <f t="shared" ref="Q149" si="111">SUM(Q145:Q148)</f>
        <v>0.60869565217391297</v>
      </c>
      <c r="R149" s="1800">
        <f>SUM(R145:R148)</f>
        <v>1</v>
      </c>
      <c r="U149" s="1800">
        <f>SUM(U145:U148)</f>
        <v>0.2</v>
      </c>
      <c r="V149" s="474">
        <f t="shared" ref="V149" si="112">SUM(V145:V148)</f>
        <v>0.12000000000000001</v>
      </c>
      <c r="W149" s="474">
        <f t="shared" ref="W149" si="113">SUM(W145:W148)</f>
        <v>0.15000000000000002</v>
      </c>
      <c r="X149" s="474">
        <f t="shared" ref="X149" si="114">SUM(X145:X148)</f>
        <v>0.11</v>
      </c>
      <c r="Y149" s="474">
        <f t="shared" ref="Y149" si="115">SUM(Y145:Y148)</f>
        <v>0.11</v>
      </c>
      <c r="Z149" s="474">
        <f t="shared" ref="Z149" si="116">SUM(Z145:Z148)</f>
        <v>0.31000000000000005</v>
      </c>
      <c r="AA149" s="1800">
        <f>SUM(AA145:AA148)</f>
        <v>1</v>
      </c>
      <c r="AE149" s="1800">
        <f>SUM(AE145:AE148)</f>
        <v>0.16999999999999998</v>
      </c>
      <c r="AF149" s="474">
        <f t="shared" ref="AF149" si="117">SUM(AF145:AF148)</f>
        <v>0.11000000000000001</v>
      </c>
      <c r="AG149" s="474">
        <f t="shared" ref="AG149" si="118">SUM(AG145:AG148)</f>
        <v>0.15000000000000002</v>
      </c>
      <c r="AH149" s="474">
        <f t="shared" ref="AH149" si="119">SUM(AH145:AH148)</f>
        <v>0.13</v>
      </c>
      <c r="AI149" s="474">
        <f t="shared" ref="AI149" si="120">SUM(AI145:AI148)</f>
        <v>0.16</v>
      </c>
      <c r="AJ149" s="474">
        <f t="shared" ref="AJ149" si="121">SUM(AJ145:AJ148)</f>
        <v>0.28000000000000003</v>
      </c>
      <c r="AK149" s="1800">
        <f>SUM(AK145:AK148)</f>
        <v>1</v>
      </c>
    </row>
    <row r="152" spans="2:37">
      <c r="B152" s="1773" t="s">
        <v>206</v>
      </c>
    </row>
    <row r="153" spans="2:37">
      <c r="B153" s="1773"/>
      <c r="C153" s="1798" t="s">
        <v>502</v>
      </c>
      <c r="K153" s="1773"/>
      <c r="L153" s="1798" t="s">
        <v>503</v>
      </c>
      <c r="T153" s="1773"/>
      <c r="U153" s="1798" t="s">
        <v>504</v>
      </c>
      <c r="AD153" s="1773"/>
      <c r="AE153" s="1798" t="s">
        <v>505</v>
      </c>
    </row>
    <row r="154" spans="2:37">
      <c r="B154" s="1774" t="s">
        <v>1537</v>
      </c>
      <c r="C154" s="1799" t="s">
        <v>1167</v>
      </c>
      <c r="I154" s="549"/>
      <c r="K154" s="1774" t="s">
        <v>1537</v>
      </c>
      <c r="L154" s="1799" t="s">
        <v>1167</v>
      </c>
      <c r="R154" s="549"/>
      <c r="T154" s="1774" t="s">
        <v>1537</v>
      </c>
      <c r="U154" s="1799" t="s">
        <v>1167</v>
      </c>
      <c r="AA154" s="1814">
        <f>SUM(I7:K7)</f>
        <v>127061.9</v>
      </c>
      <c r="AD154" s="1774" t="s">
        <v>1537</v>
      </c>
      <c r="AE154" s="1799" t="s">
        <v>1167</v>
      </c>
      <c r="AK154" s="1814">
        <f>SUM(L7:N7)</f>
        <v>155913.15879999998</v>
      </c>
    </row>
    <row r="155" spans="2:37">
      <c r="B155" s="1774"/>
      <c r="C155" s="1749" t="s">
        <v>1550</v>
      </c>
      <c r="D155" s="70" t="s">
        <v>1545</v>
      </c>
      <c r="E155" s="70" t="s">
        <v>1546</v>
      </c>
      <c r="F155" s="70" t="s">
        <v>1547</v>
      </c>
      <c r="G155" s="70" t="s">
        <v>1548</v>
      </c>
      <c r="H155" s="70" t="s">
        <v>1549</v>
      </c>
      <c r="I155" s="107"/>
      <c r="J155" s="490"/>
      <c r="K155" s="117"/>
      <c r="L155" s="1749" t="s">
        <v>1550</v>
      </c>
      <c r="M155" s="70" t="s">
        <v>1545</v>
      </c>
      <c r="N155" s="70" t="s">
        <v>1546</v>
      </c>
      <c r="O155" s="70" t="s">
        <v>1547</v>
      </c>
      <c r="P155" s="70" t="s">
        <v>1548</v>
      </c>
      <c r="Q155" s="70" t="s">
        <v>1549</v>
      </c>
      <c r="R155" s="107"/>
      <c r="T155" s="117"/>
      <c r="U155" s="1749" t="s">
        <v>1550</v>
      </c>
      <c r="V155" s="70" t="s">
        <v>1545</v>
      </c>
      <c r="W155" s="70" t="s">
        <v>1546</v>
      </c>
      <c r="X155" s="70" t="s">
        <v>1547</v>
      </c>
      <c r="Y155" s="70" t="s">
        <v>1548</v>
      </c>
      <c r="Z155" s="70" t="s">
        <v>1549</v>
      </c>
      <c r="AA155" s="107"/>
      <c r="AD155" s="117"/>
      <c r="AE155" s="1749" t="s">
        <v>1550</v>
      </c>
      <c r="AF155" s="70" t="s">
        <v>1545</v>
      </c>
      <c r="AG155" s="70" t="s">
        <v>1546</v>
      </c>
      <c r="AH155" s="70" t="s">
        <v>1547</v>
      </c>
      <c r="AI155" s="70" t="s">
        <v>1548</v>
      </c>
      <c r="AJ155" s="70" t="s">
        <v>1549</v>
      </c>
      <c r="AK155" s="107"/>
    </row>
    <row r="156" spans="2:37">
      <c r="B156" s="74" t="s">
        <v>1542</v>
      </c>
      <c r="C156" s="1775"/>
      <c r="D156" s="499"/>
      <c r="E156" s="499"/>
      <c r="F156" s="499"/>
      <c r="G156" s="499"/>
      <c r="H156" s="499">
        <v>27695.887999999999</v>
      </c>
      <c r="I156" s="1775">
        <f>SUM(C156:H156)</f>
        <v>27695.887999999999</v>
      </c>
      <c r="K156" s="74" t="s">
        <v>1542</v>
      </c>
      <c r="L156" s="1775"/>
      <c r="M156" s="499"/>
      <c r="N156" s="499"/>
      <c r="O156" s="499"/>
      <c r="P156" s="499"/>
      <c r="Q156" s="499">
        <v>36934.269999999997</v>
      </c>
      <c r="R156" s="1775">
        <f>SUM(L156:Q156)</f>
        <v>36934.269999999997</v>
      </c>
      <c r="T156" s="74" t="s">
        <v>1542</v>
      </c>
      <c r="U156" s="1775"/>
      <c r="V156" s="499"/>
      <c r="W156" s="499"/>
      <c r="X156" s="499"/>
      <c r="Y156" s="499"/>
      <c r="Z156" s="499">
        <f>Z166*$AA$154</f>
        <v>38118.57</v>
      </c>
      <c r="AA156" s="1775">
        <f>SUM(U156:Z156)</f>
        <v>38118.57</v>
      </c>
      <c r="AD156" s="74" t="s">
        <v>1542</v>
      </c>
      <c r="AE156" s="1775"/>
      <c r="AF156" s="499"/>
      <c r="AG156" s="499"/>
      <c r="AH156" s="499"/>
      <c r="AI156" s="499"/>
      <c r="AJ156" s="499">
        <f>AJ166*$AK$154</f>
        <v>38978.289699999994</v>
      </c>
      <c r="AK156" s="1775">
        <f>SUM(AE156:AJ156)</f>
        <v>38978.289699999994</v>
      </c>
    </row>
    <row r="157" spans="2:37">
      <c r="B157" s="74" t="s">
        <v>1543</v>
      </c>
      <c r="C157" s="1775"/>
      <c r="D157" s="499"/>
      <c r="E157" s="499"/>
      <c r="F157" s="499"/>
      <c r="G157" s="499"/>
      <c r="H157" s="499">
        <v>10670.29</v>
      </c>
      <c r="I157" s="1775">
        <f t="shared" ref="I157:I159" si="122">SUM(C157:H157)</f>
        <v>10670.29</v>
      </c>
      <c r="K157" s="74" t="s">
        <v>1543</v>
      </c>
      <c r="L157" s="1775"/>
      <c r="M157" s="499"/>
      <c r="N157" s="499"/>
      <c r="O157" s="499"/>
      <c r="P157" s="499"/>
      <c r="Q157" s="499">
        <v>18851.560000000001</v>
      </c>
      <c r="R157" s="1775">
        <f t="shared" ref="R157:R159" si="123">SUM(L157:Q157)</f>
        <v>18851.560000000001</v>
      </c>
      <c r="T157" s="74" t="s">
        <v>1543</v>
      </c>
      <c r="U157" s="1775"/>
      <c r="V157" s="499"/>
      <c r="W157" s="499"/>
      <c r="X157" s="499"/>
      <c r="Y157" s="499"/>
      <c r="Z157" s="499">
        <f t="shared" ref="Z157:Z159" si="124">Z167*$AA$154</f>
        <v>19059.285</v>
      </c>
      <c r="AA157" s="1775">
        <f t="shared" ref="AA157:AA159" si="125">SUM(U157:Z157)</f>
        <v>19059.285</v>
      </c>
      <c r="AD157" s="74" t="s">
        <v>1543</v>
      </c>
      <c r="AE157" s="1775"/>
      <c r="AF157" s="499"/>
      <c r="AG157" s="499"/>
      <c r="AH157" s="499"/>
      <c r="AI157" s="499">
        <f t="shared" ref="AI157:AJ157" si="126">AI167*$AK$154</f>
        <v>9354.7895279999975</v>
      </c>
      <c r="AJ157" s="499">
        <f t="shared" si="126"/>
        <v>23386.973819999996</v>
      </c>
      <c r="AK157" s="1775">
        <f t="shared" ref="AK157:AK159" si="127">SUM(AE157:AJ157)</f>
        <v>32741.763347999993</v>
      </c>
    </row>
    <row r="158" spans="2:37">
      <c r="B158" s="74" t="s">
        <v>1532</v>
      </c>
      <c r="C158" s="1775"/>
      <c r="D158" s="499"/>
      <c r="E158" s="499"/>
      <c r="F158" s="499"/>
      <c r="G158" s="499"/>
      <c r="H158" s="499">
        <v>15469.179</v>
      </c>
      <c r="I158" s="1775">
        <f t="shared" si="122"/>
        <v>15469.179</v>
      </c>
      <c r="K158" s="74" t="s">
        <v>1532</v>
      </c>
      <c r="L158" s="1775">
        <v>3755.9639999999999</v>
      </c>
      <c r="M158" s="499"/>
      <c r="N158" s="499">
        <v>3653.0929999999998</v>
      </c>
      <c r="O158" s="499"/>
      <c r="P158" s="499">
        <v>2967.2170000000001</v>
      </c>
      <c r="Q158" s="499">
        <v>27321.707999999999</v>
      </c>
      <c r="R158" s="1775">
        <f t="shared" si="123"/>
        <v>37697.981999999996</v>
      </c>
      <c r="T158" s="74" t="s">
        <v>1532</v>
      </c>
      <c r="U158" s="1775"/>
      <c r="V158" s="499">
        <f t="shared" ref="V158:Y158" si="128">V168*$AA$154</f>
        <v>5082.4759999999997</v>
      </c>
      <c r="W158" s="499">
        <f t="shared" si="128"/>
        <v>6353.0950000000003</v>
      </c>
      <c r="X158" s="499">
        <f t="shared" si="128"/>
        <v>6353.0950000000003</v>
      </c>
      <c r="Y158" s="499">
        <f t="shared" si="128"/>
        <v>7623.713999999999</v>
      </c>
      <c r="Z158" s="499">
        <f t="shared" si="124"/>
        <v>19059.285</v>
      </c>
      <c r="AA158" s="1775">
        <f t="shared" si="125"/>
        <v>44471.665000000001</v>
      </c>
      <c r="AD158" s="74" t="s">
        <v>1532</v>
      </c>
      <c r="AE158" s="1775">
        <f t="shared" ref="AE158:AH158" si="129">AE168*$AK$154</f>
        <v>3118.2631759999995</v>
      </c>
      <c r="AF158" s="499">
        <f t="shared" si="129"/>
        <v>6236.526351999999</v>
      </c>
      <c r="AG158" s="499">
        <f t="shared" si="129"/>
        <v>7795.6579399999991</v>
      </c>
      <c r="AH158" s="499">
        <f t="shared" si="129"/>
        <v>7795.6579399999991</v>
      </c>
      <c r="AI158" s="499">
        <f t="shared" ref="AI158:AJ158" si="130">AI168*$AK$154</f>
        <v>9354.7895279999975</v>
      </c>
      <c r="AJ158" s="499">
        <f t="shared" si="130"/>
        <v>18709.579055999995</v>
      </c>
      <c r="AK158" s="1775">
        <f t="shared" si="127"/>
        <v>53010.473991999992</v>
      </c>
    </row>
    <row r="159" spans="2:37">
      <c r="B159" s="74" t="s">
        <v>1544</v>
      </c>
      <c r="C159" s="712">
        <v>2969.6689999999999</v>
      </c>
      <c r="D159" s="611">
        <v>2423.556</v>
      </c>
      <c r="E159" s="611"/>
      <c r="F159" s="611"/>
      <c r="G159" s="611">
        <v>1818.155</v>
      </c>
      <c r="H159" s="611">
        <v>11356.032999999999</v>
      </c>
      <c r="I159" s="712">
        <f t="shared" si="122"/>
        <v>18567.413</v>
      </c>
      <c r="J159" s="539"/>
      <c r="K159" s="71" t="s">
        <v>1544</v>
      </c>
      <c r="L159" s="712">
        <v>7868.7240000000002</v>
      </c>
      <c r="M159" s="611"/>
      <c r="N159" s="611">
        <v>2123.6689999999999</v>
      </c>
      <c r="O159" s="611"/>
      <c r="P159" s="611"/>
      <c r="Q159" s="611">
        <v>2241.0100000000002</v>
      </c>
      <c r="R159" s="712">
        <f t="shared" si="123"/>
        <v>12233.403</v>
      </c>
      <c r="T159" s="71" t="s">
        <v>1544</v>
      </c>
      <c r="U159" s="712">
        <f>U169*$AA$154</f>
        <v>3811.8569999999995</v>
      </c>
      <c r="V159" s="611">
        <f t="shared" ref="V159:Y159" si="131">V169*$AA$154</f>
        <v>2541.2379999999998</v>
      </c>
      <c r="W159" s="611">
        <f t="shared" si="131"/>
        <v>2541.2379999999998</v>
      </c>
      <c r="X159" s="611">
        <f t="shared" si="131"/>
        <v>5082.4759999999997</v>
      </c>
      <c r="Y159" s="611">
        <f t="shared" si="131"/>
        <v>5082.4759999999997</v>
      </c>
      <c r="Z159" s="611">
        <f t="shared" si="124"/>
        <v>6353.0950000000003</v>
      </c>
      <c r="AA159" s="712">
        <f t="shared" si="125"/>
        <v>25412.379999999997</v>
      </c>
      <c r="AD159" s="71" t="s">
        <v>1544</v>
      </c>
      <c r="AE159" s="712">
        <f t="shared" ref="AE159:AH159" si="132">AE169*$AK$154</f>
        <v>4677.3947639999988</v>
      </c>
      <c r="AF159" s="611">
        <f t="shared" si="132"/>
        <v>3118.2631759999995</v>
      </c>
      <c r="AG159" s="611">
        <f t="shared" si="132"/>
        <v>3118.2631759999995</v>
      </c>
      <c r="AH159" s="611">
        <f t="shared" si="132"/>
        <v>6236.526351999999</v>
      </c>
      <c r="AI159" s="611">
        <f t="shared" ref="AI159:AJ159" si="133">AI169*$AK$154</f>
        <v>6236.526351999999</v>
      </c>
      <c r="AJ159" s="611">
        <f t="shared" si="133"/>
        <v>7795.6579399999991</v>
      </c>
      <c r="AK159" s="712">
        <f t="shared" si="127"/>
        <v>31182.631759999997</v>
      </c>
    </row>
    <row r="160" spans="2:37">
      <c r="C160" s="1775">
        <f t="shared" ref="C160:H160" si="134">SUM(C156:C159)</f>
        <v>2969.6689999999999</v>
      </c>
      <c r="D160" s="499">
        <f t="shared" si="134"/>
        <v>2423.556</v>
      </c>
      <c r="E160" s="499">
        <f t="shared" si="134"/>
        <v>0</v>
      </c>
      <c r="F160" s="499">
        <f t="shared" si="134"/>
        <v>0</v>
      </c>
      <c r="G160" s="499">
        <f t="shared" si="134"/>
        <v>1818.155</v>
      </c>
      <c r="H160" s="499">
        <f t="shared" si="134"/>
        <v>65191.39</v>
      </c>
      <c r="I160" s="1775">
        <f>SUM(I156:I159)</f>
        <v>72402.77</v>
      </c>
      <c r="L160" s="1775">
        <f>SUM(L156:L159)</f>
        <v>11624.688</v>
      </c>
      <c r="M160" s="499">
        <f t="shared" ref="M160" si="135">SUM(M156:M159)</f>
        <v>0</v>
      </c>
      <c r="N160" s="499">
        <f t="shared" ref="N160" si="136">SUM(N156:N159)</f>
        <v>5776.7619999999997</v>
      </c>
      <c r="O160" s="499">
        <f t="shared" ref="O160" si="137">SUM(O156:O159)</f>
        <v>0</v>
      </c>
      <c r="P160" s="499">
        <f t="shared" ref="P160" si="138">SUM(P156:P159)</f>
        <v>2967.2170000000001</v>
      </c>
      <c r="Q160" s="499">
        <f t="shared" ref="Q160" si="139">SUM(Q156:Q159)</f>
        <v>85348.547999999995</v>
      </c>
      <c r="R160" s="1775">
        <f>SUM(R156:R159)</f>
        <v>105717.21500000001</v>
      </c>
      <c r="U160" s="1775">
        <f>SUM(U156:U159)</f>
        <v>3811.8569999999995</v>
      </c>
      <c r="V160" s="499">
        <f t="shared" ref="V160" si="140">SUM(V156:V159)</f>
        <v>7623.7139999999999</v>
      </c>
      <c r="W160" s="499">
        <f t="shared" ref="W160" si="141">SUM(W156:W159)</f>
        <v>8894.3330000000005</v>
      </c>
      <c r="X160" s="499">
        <f t="shared" ref="X160" si="142">SUM(X156:X159)</f>
        <v>11435.571</v>
      </c>
      <c r="Y160" s="499">
        <f t="shared" ref="Y160" si="143">SUM(Y156:Y159)</f>
        <v>12706.189999999999</v>
      </c>
      <c r="Z160" s="499">
        <f t="shared" ref="Z160" si="144">SUM(Z156:Z159)</f>
        <v>82590.235000000001</v>
      </c>
      <c r="AA160" s="1775">
        <f>SUM(AA156:AA159)</f>
        <v>127061.9</v>
      </c>
      <c r="AE160" s="1775">
        <f>SUM(AE156:AE159)</f>
        <v>7795.6579399999982</v>
      </c>
      <c r="AF160" s="499">
        <f t="shared" ref="AF160" si="145">SUM(AF156:AF159)</f>
        <v>9354.7895279999975</v>
      </c>
      <c r="AG160" s="499">
        <f t="shared" ref="AG160" si="146">SUM(AG156:AG159)</f>
        <v>10913.921115999998</v>
      </c>
      <c r="AH160" s="499">
        <f t="shared" ref="AH160" si="147">SUM(AH156:AH159)</f>
        <v>14032.184291999998</v>
      </c>
      <c r="AI160" s="499">
        <f t="shared" ref="AI160" si="148">SUM(AI156:AI159)</f>
        <v>24946.105407999996</v>
      </c>
      <c r="AJ160" s="499">
        <f t="shared" ref="AJ160" si="149">SUM(AJ156:AJ159)</f>
        <v>88870.500516</v>
      </c>
      <c r="AK160" s="1775">
        <f>SUM(AK156:AK159)</f>
        <v>155913.15879999998</v>
      </c>
    </row>
    <row r="162" spans="2:37">
      <c r="B162" s="1773" t="s">
        <v>1540</v>
      </c>
    </row>
    <row r="163" spans="2:37">
      <c r="B163" s="1773"/>
      <c r="C163" s="1798" t="s">
        <v>502</v>
      </c>
      <c r="K163" s="1773"/>
      <c r="L163" s="1798" t="s">
        <v>503</v>
      </c>
      <c r="T163" s="1773"/>
      <c r="U163" s="1798" t="s">
        <v>504</v>
      </c>
      <c r="AD163" s="1773"/>
      <c r="AE163" s="1798" t="s">
        <v>505</v>
      </c>
    </row>
    <row r="164" spans="2:37">
      <c r="B164" s="1774" t="s">
        <v>1537</v>
      </c>
      <c r="C164" s="1799" t="s">
        <v>1167</v>
      </c>
      <c r="I164" s="549"/>
      <c r="K164" s="1774" t="s">
        <v>1537</v>
      </c>
      <c r="L164" s="1799" t="s">
        <v>1167</v>
      </c>
      <c r="R164" s="549"/>
      <c r="T164" s="1774" t="s">
        <v>1537</v>
      </c>
      <c r="U164" s="1799" t="s">
        <v>1167</v>
      </c>
      <c r="AA164" s="549"/>
      <c r="AD164" s="1774" t="s">
        <v>1537</v>
      </c>
      <c r="AE164" s="1799" t="s">
        <v>1167</v>
      </c>
      <c r="AK164" s="549"/>
    </row>
    <row r="165" spans="2:37">
      <c r="B165" s="1774"/>
      <c r="C165" s="1749" t="s">
        <v>1550</v>
      </c>
      <c r="D165" s="70" t="s">
        <v>1545</v>
      </c>
      <c r="E165" s="70" t="s">
        <v>1546</v>
      </c>
      <c r="F165" s="70" t="s">
        <v>1547</v>
      </c>
      <c r="G165" s="70" t="s">
        <v>1548</v>
      </c>
      <c r="H165" s="70" t="s">
        <v>1549</v>
      </c>
      <c r="I165" s="107"/>
      <c r="J165" s="490"/>
      <c r="K165" s="117"/>
      <c r="L165" s="1749" t="s">
        <v>1550</v>
      </c>
      <c r="M165" s="70" t="s">
        <v>1545</v>
      </c>
      <c r="N165" s="70" t="s">
        <v>1546</v>
      </c>
      <c r="O165" s="70" t="s">
        <v>1547</v>
      </c>
      <c r="P165" s="70" t="s">
        <v>1548</v>
      </c>
      <c r="Q165" s="70" t="s">
        <v>1549</v>
      </c>
      <c r="R165" s="107"/>
      <c r="T165" s="117"/>
      <c r="U165" s="1749" t="s">
        <v>1550</v>
      </c>
      <c r="V165" s="70" t="s">
        <v>1545</v>
      </c>
      <c r="W165" s="70" t="s">
        <v>1546</v>
      </c>
      <c r="X165" s="70" t="s">
        <v>1547</v>
      </c>
      <c r="Y165" s="70" t="s">
        <v>1548</v>
      </c>
      <c r="Z165" s="70" t="s">
        <v>1549</v>
      </c>
      <c r="AA165" s="107"/>
      <c r="AD165" s="117"/>
      <c r="AE165" s="1749" t="s">
        <v>1550</v>
      </c>
      <c r="AF165" s="70" t="s">
        <v>1545</v>
      </c>
      <c r="AG165" s="70" t="s">
        <v>1546</v>
      </c>
      <c r="AH165" s="70" t="s">
        <v>1547</v>
      </c>
      <c r="AI165" s="70" t="s">
        <v>1548</v>
      </c>
      <c r="AJ165" s="70" t="s">
        <v>1549</v>
      </c>
      <c r="AK165" s="107"/>
    </row>
    <row r="166" spans="2:37">
      <c r="B166" s="74" t="s">
        <v>1542</v>
      </c>
      <c r="C166" s="1800"/>
      <c r="D166" s="474"/>
      <c r="E166" s="474"/>
      <c r="F166" s="474"/>
      <c r="G166" s="474"/>
      <c r="H166" s="474">
        <f>H156/$I$160</f>
        <v>0.38252525421334016</v>
      </c>
      <c r="I166" s="1800">
        <f>SUM(C166:H166)</f>
        <v>0.38252525421334016</v>
      </c>
      <c r="K166" s="74" t="s">
        <v>1542</v>
      </c>
      <c r="L166" s="1800"/>
      <c r="M166" s="474"/>
      <c r="N166" s="474"/>
      <c r="O166" s="474"/>
      <c r="P166" s="474"/>
      <c r="Q166" s="474">
        <f>Q156/$R$160</f>
        <v>0.34936854891608704</v>
      </c>
      <c r="R166" s="1800">
        <f>SUM(L166:Q166)</f>
        <v>0.34936854891608704</v>
      </c>
      <c r="T166" s="74" t="s">
        <v>1542</v>
      </c>
      <c r="U166" s="1800"/>
      <c r="V166" s="474"/>
      <c r="W166" s="474"/>
      <c r="X166" s="474"/>
      <c r="Y166" s="474"/>
      <c r="Z166" s="474">
        <v>0.3</v>
      </c>
      <c r="AA166" s="1800">
        <f>SUM(U166:Z166)</f>
        <v>0.3</v>
      </c>
      <c r="AD166" s="74" t="s">
        <v>1542</v>
      </c>
      <c r="AE166" s="1800"/>
      <c r="AF166" s="474"/>
      <c r="AG166" s="474"/>
      <c r="AH166" s="474"/>
      <c r="AI166" s="474"/>
      <c r="AJ166" s="474">
        <v>0.25</v>
      </c>
      <c r="AK166" s="1800">
        <f>SUM(AE166:AJ166)</f>
        <v>0.25</v>
      </c>
    </row>
    <row r="167" spans="2:37">
      <c r="B167" s="74" t="s">
        <v>1543</v>
      </c>
      <c r="C167" s="1800"/>
      <c r="D167" s="474"/>
      <c r="E167" s="474"/>
      <c r="F167" s="474"/>
      <c r="G167" s="474"/>
      <c r="H167" s="474">
        <f t="shared" ref="H167:H169" si="150">H157/$I$160</f>
        <v>0.14737405765000428</v>
      </c>
      <c r="I167" s="1800">
        <f t="shared" ref="I167:I169" si="151">SUM(C167:H167)</f>
        <v>0.14737405765000428</v>
      </c>
      <c r="K167" s="74" t="s">
        <v>1543</v>
      </c>
      <c r="L167" s="1800"/>
      <c r="M167" s="474"/>
      <c r="N167" s="474"/>
      <c r="O167" s="474"/>
      <c r="P167" s="474"/>
      <c r="Q167" s="474">
        <f t="shared" ref="Q167:Q169" si="152">Q157/$R$160</f>
        <v>0.17832062639939955</v>
      </c>
      <c r="R167" s="1800">
        <f t="shared" ref="R167:R169" si="153">SUM(L167:Q167)</f>
        <v>0.17832062639939955</v>
      </c>
      <c r="T167" s="74" t="s">
        <v>1543</v>
      </c>
      <c r="U167" s="1800"/>
      <c r="V167" s="474"/>
      <c r="W167" s="474"/>
      <c r="X167" s="474"/>
      <c r="Y167" s="474"/>
      <c r="Z167" s="474">
        <v>0.15</v>
      </c>
      <c r="AA167" s="1800">
        <f t="shared" ref="AA167:AA169" si="154">SUM(U167:Z167)</f>
        <v>0.15</v>
      </c>
      <c r="AD167" s="74" t="s">
        <v>1543</v>
      </c>
      <c r="AE167" s="1800"/>
      <c r="AF167" s="474"/>
      <c r="AG167" s="474"/>
      <c r="AH167" s="474"/>
      <c r="AI167" s="474">
        <v>0.06</v>
      </c>
      <c r="AJ167" s="474">
        <v>0.15</v>
      </c>
      <c r="AK167" s="1800">
        <f t="shared" ref="AK167:AK169" si="155">SUM(AE167:AJ167)</f>
        <v>0.21</v>
      </c>
    </row>
    <row r="168" spans="2:37">
      <c r="B168" s="74" t="s">
        <v>1532</v>
      </c>
      <c r="C168" s="1800"/>
      <c r="D168" s="474"/>
      <c r="E168" s="474"/>
      <c r="F168" s="474"/>
      <c r="G168" s="474"/>
      <c r="H168" s="474">
        <f t="shared" si="150"/>
        <v>0.21365451901909277</v>
      </c>
      <c r="I168" s="1800">
        <f t="shared" si="151"/>
        <v>0.21365451901909277</v>
      </c>
      <c r="K168" s="74" t="s">
        <v>1532</v>
      </c>
      <c r="L168" s="1800">
        <f t="shared" ref="L168:L169" si="156">L158/$R$160</f>
        <v>3.552840471629904E-2</v>
      </c>
      <c r="M168" s="474"/>
      <c r="N168" s="474">
        <f t="shared" ref="N168:N169" si="157">N158/$R$160</f>
        <v>3.4555327625685181E-2</v>
      </c>
      <c r="O168" s="474"/>
      <c r="P168" s="474">
        <f>P158/$R$160</f>
        <v>2.8067491183909828E-2</v>
      </c>
      <c r="Q168" s="474">
        <f t="shared" si="152"/>
        <v>0.25844142791691965</v>
      </c>
      <c r="R168" s="1800">
        <f t="shared" si="153"/>
        <v>0.35659265144281371</v>
      </c>
      <c r="T168" s="74" t="s">
        <v>1532</v>
      </c>
      <c r="U168" s="1800"/>
      <c r="V168" s="474">
        <v>0.04</v>
      </c>
      <c r="W168" s="474">
        <v>0.05</v>
      </c>
      <c r="X168" s="474">
        <v>0.05</v>
      </c>
      <c r="Y168" s="474">
        <v>0.06</v>
      </c>
      <c r="Z168" s="474">
        <v>0.15</v>
      </c>
      <c r="AA168" s="1800">
        <f t="shared" si="154"/>
        <v>0.35</v>
      </c>
      <c r="AD168" s="74" t="s">
        <v>1532</v>
      </c>
      <c r="AE168" s="1800">
        <v>0.02</v>
      </c>
      <c r="AF168" s="474">
        <v>0.04</v>
      </c>
      <c r="AG168" s="474">
        <v>0.05</v>
      </c>
      <c r="AH168" s="474">
        <v>0.05</v>
      </c>
      <c r="AI168" s="474">
        <v>0.06</v>
      </c>
      <c r="AJ168" s="474">
        <v>0.12</v>
      </c>
      <c r="AK168" s="1800">
        <f t="shared" si="155"/>
        <v>0.33999999999999997</v>
      </c>
    </row>
    <row r="169" spans="2:37">
      <c r="B169" s="74" t="s">
        <v>1544</v>
      </c>
      <c r="C169" s="1801">
        <f t="shared" ref="C169:D169" si="158">C159/$I$160</f>
        <v>4.1015958367338706E-2</v>
      </c>
      <c r="D169" s="478">
        <f t="shared" si="158"/>
        <v>3.3473249711302479E-2</v>
      </c>
      <c r="E169" s="478"/>
      <c r="F169" s="478"/>
      <c r="G169" s="478">
        <f>G159/$I$160</f>
        <v>2.5111677357095592E-2</v>
      </c>
      <c r="H169" s="478">
        <f t="shared" si="150"/>
        <v>0.15684528368182596</v>
      </c>
      <c r="I169" s="1801">
        <f t="shared" si="151"/>
        <v>0.25644616911756274</v>
      </c>
      <c r="J169" s="539"/>
      <c r="K169" s="71" t="s">
        <v>1544</v>
      </c>
      <c r="L169" s="1801">
        <f t="shared" si="156"/>
        <v>7.4431813210365017E-2</v>
      </c>
      <c r="M169" s="478"/>
      <c r="N169" s="478">
        <f t="shared" si="157"/>
        <v>2.0088204177531536E-2</v>
      </c>
      <c r="O169" s="478"/>
      <c r="P169" s="478"/>
      <c r="Q169" s="478">
        <f t="shared" si="152"/>
        <v>2.1198155853802997E-2</v>
      </c>
      <c r="R169" s="1801">
        <f t="shared" si="153"/>
        <v>0.11571817324169956</v>
      </c>
      <c r="T169" s="71" t="s">
        <v>1544</v>
      </c>
      <c r="U169" s="1801">
        <v>0.03</v>
      </c>
      <c r="V169" s="478">
        <v>0.02</v>
      </c>
      <c r="W169" s="478">
        <v>0.02</v>
      </c>
      <c r="X169" s="478">
        <v>0.04</v>
      </c>
      <c r="Y169" s="478">
        <v>0.04</v>
      </c>
      <c r="Z169" s="478">
        <v>0.05</v>
      </c>
      <c r="AA169" s="1801">
        <f t="shared" si="154"/>
        <v>0.2</v>
      </c>
      <c r="AD169" s="71" t="s">
        <v>1544</v>
      </c>
      <c r="AE169" s="1801">
        <v>0.03</v>
      </c>
      <c r="AF169" s="478">
        <v>0.02</v>
      </c>
      <c r="AG169" s="478">
        <v>0.02</v>
      </c>
      <c r="AH169" s="478">
        <v>0.04</v>
      </c>
      <c r="AI169" s="478">
        <v>0.04</v>
      </c>
      <c r="AJ169" s="478">
        <v>0.05</v>
      </c>
      <c r="AK169" s="1801">
        <f t="shared" si="155"/>
        <v>0.2</v>
      </c>
    </row>
    <row r="170" spans="2:37">
      <c r="C170" s="1800">
        <f>SUM(C166:C169)</f>
        <v>4.1015958367338706E-2</v>
      </c>
      <c r="D170" s="474">
        <f t="shared" ref="D170" si="159">SUM(D166:D169)</f>
        <v>3.3473249711302479E-2</v>
      </c>
      <c r="E170" s="474">
        <f t="shared" ref="E170" si="160">SUM(E166:E169)</f>
        <v>0</v>
      </c>
      <c r="F170" s="474">
        <f t="shared" ref="F170" si="161">SUM(F166:F169)</f>
        <v>0</v>
      </c>
      <c r="G170" s="474">
        <f t="shared" ref="G170" si="162">SUM(G166:G169)</f>
        <v>2.5111677357095592E-2</v>
      </c>
      <c r="H170" s="474">
        <f t="shared" ref="H170" si="163">SUM(H166:H169)</f>
        <v>0.90039911456426314</v>
      </c>
      <c r="I170" s="1800">
        <f>SUM(I166:I169)</f>
        <v>1</v>
      </c>
      <c r="L170" s="1800">
        <f>SUM(L166:L169)</f>
        <v>0.10996021792666405</v>
      </c>
      <c r="M170" s="474">
        <f t="shared" ref="M170" si="164">SUM(M166:M169)</f>
        <v>0</v>
      </c>
      <c r="N170" s="474">
        <f t="shared" ref="N170" si="165">SUM(N166:N169)</f>
        <v>5.4643531803216717E-2</v>
      </c>
      <c r="O170" s="474">
        <f t="shared" ref="O170" si="166">SUM(O166:O169)</f>
        <v>0</v>
      </c>
      <c r="P170" s="474">
        <f t="shared" ref="P170" si="167">SUM(P166:P169)</f>
        <v>2.8067491183909828E-2</v>
      </c>
      <c r="Q170" s="474">
        <f t="shared" ref="Q170" si="168">SUM(Q166:Q169)</f>
        <v>0.80732875908620927</v>
      </c>
      <c r="R170" s="1800">
        <f>SUM(R166:R169)</f>
        <v>0.99999999999999989</v>
      </c>
      <c r="U170" s="1800">
        <f>SUM(U166:U169)</f>
        <v>0.03</v>
      </c>
      <c r="V170" s="474">
        <f t="shared" ref="V170" si="169">SUM(V166:V169)</f>
        <v>0.06</v>
      </c>
      <c r="W170" s="474">
        <f t="shared" ref="W170" si="170">SUM(W166:W169)</f>
        <v>7.0000000000000007E-2</v>
      </c>
      <c r="X170" s="474">
        <f t="shared" ref="X170" si="171">SUM(X166:X169)</f>
        <v>0.09</v>
      </c>
      <c r="Y170" s="474">
        <f t="shared" ref="Y170" si="172">SUM(Y166:Y169)</f>
        <v>0.1</v>
      </c>
      <c r="Z170" s="474">
        <f t="shared" ref="Z170" si="173">SUM(Z166:Z169)</f>
        <v>0.65</v>
      </c>
      <c r="AA170" s="1800">
        <f>SUM(AA166:AA169)</f>
        <v>1</v>
      </c>
      <c r="AE170" s="1800">
        <f>SUM(AE166:AE169)</f>
        <v>0.05</v>
      </c>
      <c r="AF170" s="474">
        <f t="shared" ref="AF170" si="174">SUM(AF166:AF169)</f>
        <v>0.06</v>
      </c>
      <c r="AG170" s="474">
        <f t="shared" ref="AG170" si="175">SUM(AG166:AG169)</f>
        <v>7.0000000000000007E-2</v>
      </c>
      <c r="AH170" s="474">
        <f t="shared" ref="AH170" si="176">SUM(AH166:AH169)</f>
        <v>0.09</v>
      </c>
      <c r="AI170" s="474">
        <f t="shared" ref="AI170" si="177">SUM(AI166:AI169)</f>
        <v>0.16</v>
      </c>
      <c r="AJ170" s="474">
        <f t="shared" ref="AJ170" si="178">SUM(AJ166:AJ169)</f>
        <v>0.57000000000000006</v>
      </c>
      <c r="AK170" s="1800">
        <f>SUM(AK166:AK169)</f>
        <v>1</v>
      </c>
    </row>
    <row r="172" spans="2:37">
      <c r="B172" s="1773" t="s">
        <v>1539</v>
      </c>
    </row>
    <row r="173" spans="2:37">
      <c r="B173" s="1773"/>
      <c r="C173" s="1798" t="s">
        <v>502</v>
      </c>
      <c r="K173" s="1773"/>
      <c r="L173" s="1798" t="s">
        <v>503</v>
      </c>
      <c r="T173" s="1773"/>
      <c r="U173" s="1798" t="s">
        <v>504</v>
      </c>
      <c r="AD173" s="1773"/>
      <c r="AE173" s="1798" t="s">
        <v>505</v>
      </c>
    </row>
    <row r="174" spans="2:37">
      <c r="B174" s="1774" t="s">
        <v>1537</v>
      </c>
      <c r="C174" s="1799" t="s">
        <v>1167</v>
      </c>
      <c r="I174" s="549"/>
      <c r="K174" s="1774" t="s">
        <v>1537</v>
      </c>
      <c r="L174" s="1799" t="s">
        <v>1167</v>
      </c>
      <c r="R174" s="549"/>
      <c r="T174" s="1774" t="s">
        <v>1537</v>
      </c>
      <c r="U174" s="1799" t="s">
        <v>1167</v>
      </c>
      <c r="AA174" s="549"/>
      <c r="AD174" s="1774" t="s">
        <v>1537</v>
      </c>
      <c r="AE174" s="1799" t="s">
        <v>1167</v>
      </c>
      <c r="AK174" s="549"/>
    </row>
    <row r="175" spans="2:37">
      <c r="B175" s="1774"/>
      <c r="C175" s="1749" t="s">
        <v>1550</v>
      </c>
      <c r="D175" s="70" t="s">
        <v>1545</v>
      </c>
      <c r="E175" s="70" t="s">
        <v>1546</v>
      </c>
      <c r="F175" s="70" t="s">
        <v>1547</v>
      </c>
      <c r="G175" s="70" t="s">
        <v>1548</v>
      </c>
      <c r="H175" s="70" t="s">
        <v>1549</v>
      </c>
      <c r="I175" s="107"/>
      <c r="J175" s="490"/>
      <c r="K175" s="117"/>
      <c r="L175" s="1749" t="s">
        <v>1550</v>
      </c>
      <c r="M175" s="70" t="s">
        <v>1545</v>
      </c>
      <c r="N175" s="70" t="s">
        <v>1546</v>
      </c>
      <c r="O175" s="70" t="s">
        <v>1547</v>
      </c>
      <c r="P175" s="70" t="s">
        <v>1548</v>
      </c>
      <c r="Q175" s="70" t="s">
        <v>1549</v>
      </c>
      <c r="R175" s="107"/>
      <c r="T175" s="117"/>
      <c r="U175" s="1749" t="s">
        <v>1550</v>
      </c>
      <c r="V175" s="70" t="s">
        <v>1545</v>
      </c>
      <c r="W175" s="70" t="s">
        <v>1546</v>
      </c>
      <c r="X175" s="70" t="s">
        <v>1547</v>
      </c>
      <c r="Y175" s="70" t="s">
        <v>1548</v>
      </c>
      <c r="Z175" s="70" t="s">
        <v>1549</v>
      </c>
      <c r="AA175" s="107"/>
      <c r="AD175" s="117"/>
      <c r="AE175" s="1749" t="s">
        <v>1550</v>
      </c>
      <c r="AF175" s="70" t="s">
        <v>1545</v>
      </c>
      <c r="AG175" s="70" t="s">
        <v>1546</v>
      </c>
      <c r="AH175" s="70" t="s">
        <v>1547</v>
      </c>
      <c r="AI175" s="70" t="s">
        <v>1548</v>
      </c>
      <c r="AJ175" s="70" t="s">
        <v>1549</v>
      </c>
      <c r="AK175" s="107"/>
    </row>
    <row r="176" spans="2:37">
      <c r="B176" s="74" t="s">
        <v>1542</v>
      </c>
      <c r="C176" s="549"/>
      <c r="H176" s="499">
        <f>H156/H135</f>
        <v>13847.944</v>
      </c>
      <c r="I176" s="1775">
        <f>SUM(C176:H176)</f>
        <v>13847.944</v>
      </c>
      <c r="K176" s="74" t="s">
        <v>1542</v>
      </c>
      <c r="L176" s="1775"/>
      <c r="M176" s="499"/>
      <c r="N176" s="499"/>
      <c r="O176" s="499"/>
      <c r="P176" s="499"/>
      <c r="Q176" s="499">
        <f>Q156/Q135</f>
        <v>18467.134999999998</v>
      </c>
      <c r="R176" s="1775"/>
      <c r="T176" s="74" t="s">
        <v>1542</v>
      </c>
      <c r="U176" s="1775"/>
      <c r="V176" s="499"/>
      <c r="W176" s="499"/>
      <c r="X176" s="499"/>
      <c r="Y176" s="499"/>
      <c r="Z176" s="499">
        <f>Z156/Z135</f>
        <v>14774.63953488372</v>
      </c>
      <c r="AA176" s="1775"/>
      <c r="AD176" s="74" t="s">
        <v>1542</v>
      </c>
      <c r="AE176" s="1775"/>
      <c r="AF176" s="499"/>
      <c r="AG176" s="499"/>
      <c r="AH176" s="499"/>
      <c r="AI176" s="499"/>
      <c r="AJ176" s="499">
        <f>AJ156/AJ135</f>
        <v>12992.763233333331</v>
      </c>
      <c r="AK176" s="1775"/>
    </row>
    <row r="177" spans="2:37">
      <c r="B177" s="74" t="s">
        <v>1543</v>
      </c>
      <c r="C177" s="549"/>
      <c r="H177" s="499">
        <f t="shared" ref="H177:H179" si="179">H157/H136</f>
        <v>5335.1450000000004</v>
      </c>
      <c r="I177" s="1775">
        <f t="shared" ref="I177:I179" si="180">SUM(C177:H177)</f>
        <v>5335.1450000000004</v>
      </c>
      <c r="K177" s="74" t="s">
        <v>1543</v>
      </c>
      <c r="L177" s="1775"/>
      <c r="M177" s="499"/>
      <c r="N177" s="499"/>
      <c r="O177" s="499"/>
      <c r="P177" s="499"/>
      <c r="Q177" s="499">
        <f t="shared" ref="Q177:Q179" si="181">Q157/Q136</f>
        <v>6283.8533333333335</v>
      </c>
      <c r="R177" s="1775"/>
      <c r="T177" s="74" t="s">
        <v>1543</v>
      </c>
      <c r="U177" s="1775"/>
      <c r="V177" s="499"/>
      <c r="W177" s="499"/>
      <c r="X177" s="499"/>
      <c r="Y177" s="499"/>
      <c r="Z177" s="499">
        <f t="shared" ref="Z177:Z179" si="182">Z157/Z136</f>
        <v>8864.7837209302324</v>
      </c>
      <c r="AA177" s="1775"/>
      <c r="AD177" s="74" t="s">
        <v>1543</v>
      </c>
      <c r="AE177" s="1775"/>
      <c r="AF177" s="499"/>
      <c r="AG177" s="499"/>
      <c r="AH177" s="499"/>
      <c r="AI177" s="499">
        <f>AI157/AI136</f>
        <v>5197.1052933333322</v>
      </c>
      <c r="AJ177" s="499">
        <f t="shared" ref="AJ177:AJ179" si="183">AJ157/AJ136</f>
        <v>9744.5724249999985</v>
      </c>
      <c r="AK177" s="1775"/>
    </row>
    <row r="178" spans="2:37">
      <c r="B178" s="74" t="s">
        <v>1532</v>
      </c>
      <c r="C178" s="549"/>
      <c r="H178" s="499">
        <f t="shared" si="179"/>
        <v>3093.8357999999998</v>
      </c>
      <c r="I178" s="1775">
        <f t="shared" si="180"/>
        <v>3093.8357999999998</v>
      </c>
      <c r="K178" s="74" t="s">
        <v>1532</v>
      </c>
      <c r="L178" s="1775">
        <f t="shared" ref="L178:L179" si="184">L158/L137</f>
        <v>3755.9639999999999</v>
      </c>
      <c r="M178" s="499"/>
      <c r="N178" s="499">
        <f t="shared" ref="N178:N179" si="185">N158/N137</f>
        <v>3653.0929999999998</v>
      </c>
      <c r="O178" s="499"/>
      <c r="P178" s="499">
        <f>P158/P137</f>
        <v>2967.2170000000001</v>
      </c>
      <c r="Q178" s="499">
        <f t="shared" si="181"/>
        <v>3415.2134999999998</v>
      </c>
      <c r="R178" s="1775"/>
      <c r="T178" s="74" t="s">
        <v>1532</v>
      </c>
      <c r="U178" s="1775"/>
      <c r="V178" s="499">
        <f t="shared" ref="V178:Y178" si="186">V158/V137</f>
        <v>2363.9423255813954</v>
      </c>
      <c r="W178" s="499">
        <f t="shared" si="186"/>
        <v>2954.9279069767445</v>
      </c>
      <c r="X178" s="499">
        <f t="shared" si="186"/>
        <v>2954.9279069767445</v>
      </c>
      <c r="Y178" s="499">
        <f t="shared" si="186"/>
        <v>3545.9134883720926</v>
      </c>
      <c r="Z178" s="499">
        <f t="shared" si="182"/>
        <v>4432.3918604651162</v>
      </c>
      <c r="AA178" s="1775"/>
      <c r="AD178" s="74" t="s">
        <v>1532</v>
      </c>
      <c r="AE178" s="1775">
        <f>AE158/AE137</f>
        <v>2598.5526466666665</v>
      </c>
      <c r="AF178" s="499">
        <f t="shared" ref="AF178:AI178" si="187">AF158/AF137</f>
        <v>2598.5526466666665</v>
      </c>
      <c r="AG178" s="499">
        <f t="shared" si="187"/>
        <v>2598.5526466666665</v>
      </c>
      <c r="AH178" s="499">
        <f t="shared" si="187"/>
        <v>2598.5526466666665</v>
      </c>
      <c r="AI178" s="499">
        <f t="shared" si="187"/>
        <v>3118.263175999999</v>
      </c>
      <c r="AJ178" s="499">
        <f t="shared" si="183"/>
        <v>3118.263175999999</v>
      </c>
      <c r="AK178" s="1775"/>
    </row>
    <row r="179" spans="2:37">
      <c r="B179" s="74" t="s">
        <v>1544</v>
      </c>
      <c r="C179" s="712">
        <f>C159/C138</f>
        <v>989.88966666666659</v>
      </c>
      <c r="D179" s="611">
        <f>D159/D138</f>
        <v>1211.778</v>
      </c>
      <c r="E179" s="611"/>
      <c r="F179" s="611"/>
      <c r="G179" s="611">
        <f>G159/G138</f>
        <v>1818.155</v>
      </c>
      <c r="H179" s="611">
        <f t="shared" si="179"/>
        <v>2271.2066</v>
      </c>
      <c r="I179" s="712">
        <f t="shared" si="180"/>
        <v>6291.0292666666664</v>
      </c>
      <c r="J179" s="539"/>
      <c r="K179" s="71" t="s">
        <v>1544</v>
      </c>
      <c r="L179" s="712">
        <f t="shared" si="184"/>
        <v>1573.7447999999999</v>
      </c>
      <c r="M179" s="611"/>
      <c r="N179" s="611">
        <f t="shared" si="185"/>
        <v>2123.6689999999999</v>
      </c>
      <c r="O179" s="611"/>
      <c r="P179" s="611"/>
      <c r="Q179" s="611">
        <f t="shared" si="181"/>
        <v>2241.0100000000002</v>
      </c>
      <c r="R179" s="712"/>
      <c r="T179" s="71" t="s">
        <v>1544</v>
      </c>
      <c r="U179" s="712">
        <f>U159/U138</f>
        <v>443.23918604651158</v>
      </c>
      <c r="V179" s="611">
        <f t="shared" ref="V179:Y179" si="188">V159/V138</f>
        <v>844.26511627906962</v>
      </c>
      <c r="W179" s="611">
        <f t="shared" si="188"/>
        <v>590.98558139534885</v>
      </c>
      <c r="X179" s="611">
        <f t="shared" si="188"/>
        <v>1969.951937984496</v>
      </c>
      <c r="Y179" s="611">
        <f t="shared" si="188"/>
        <v>1969.951937984496</v>
      </c>
      <c r="Z179" s="611">
        <f t="shared" si="182"/>
        <v>1477.4639534883722</v>
      </c>
      <c r="AA179" s="712"/>
      <c r="AD179" s="71" t="s">
        <v>1544</v>
      </c>
      <c r="AE179" s="712">
        <f>AE159/AE138</f>
        <v>519.71052933333317</v>
      </c>
      <c r="AF179" s="611">
        <f t="shared" ref="AF179:AI179" si="189">AF159/AF138</f>
        <v>742.44361333333313</v>
      </c>
      <c r="AG179" s="611">
        <f t="shared" si="189"/>
        <v>519.71052933333328</v>
      </c>
      <c r="AH179" s="611">
        <f t="shared" si="189"/>
        <v>1299.2763233333333</v>
      </c>
      <c r="AI179" s="611">
        <f t="shared" si="189"/>
        <v>1299.2763233333333</v>
      </c>
      <c r="AJ179" s="611">
        <f t="shared" si="183"/>
        <v>1443.6403592592592</v>
      </c>
      <c r="AK179" s="712"/>
    </row>
    <row r="180" spans="2:37">
      <c r="C180" s="549"/>
      <c r="I180" s="1775"/>
      <c r="L180" s="1775"/>
      <c r="M180" s="499"/>
      <c r="N180" s="499"/>
      <c r="O180" s="499"/>
      <c r="P180" s="499"/>
      <c r="Q180" s="499"/>
      <c r="R180" s="1775"/>
      <c r="U180" s="1775"/>
      <c r="V180" s="499"/>
      <c r="W180" s="499"/>
      <c r="X180" s="499"/>
      <c r="Y180" s="499"/>
      <c r="Z180" s="499"/>
      <c r="AA180" s="1775"/>
      <c r="AE180" s="1775"/>
      <c r="AF180" s="499"/>
      <c r="AG180" s="499"/>
      <c r="AH180" s="499"/>
      <c r="AI180" s="499"/>
      <c r="AJ180" s="499"/>
      <c r="AK180" s="1775"/>
    </row>
    <row r="182" spans="2:37">
      <c r="B182" s="1773" t="s">
        <v>1551</v>
      </c>
    </row>
    <row r="183" spans="2:37">
      <c r="B183" s="1773"/>
      <c r="C183" s="1798" t="s">
        <v>502</v>
      </c>
      <c r="K183" s="1773"/>
      <c r="L183" s="1798" t="s">
        <v>503</v>
      </c>
      <c r="T183" s="1773"/>
      <c r="U183" s="1798" t="s">
        <v>504</v>
      </c>
      <c r="AD183" s="1773"/>
      <c r="AE183" s="1798" t="s">
        <v>505</v>
      </c>
    </row>
    <row r="184" spans="2:37">
      <c r="B184" s="1774" t="s">
        <v>1552</v>
      </c>
      <c r="C184" s="1799" t="s">
        <v>1189</v>
      </c>
      <c r="K184" s="1774" t="s">
        <v>1552</v>
      </c>
      <c r="L184" s="1799" t="s">
        <v>1189</v>
      </c>
      <c r="T184" s="1774" t="s">
        <v>1552</v>
      </c>
      <c r="U184" s="1799" t="s">
        <v>1189</v>
      </c>
      <c r="AD184" s="1774" t="s">
        <v>1552</v>
      </c>
      <c r="AE184" s="1799" t="s">
        <v>1189</v>
      </c>
    </row>
    <row r="185" spans="2:37">
      <c r="B185" s="506"/>
      <c r="C185" s="1749" t="s">
        <v>1553</v>
      </c>
      <c r="D185" s="648" t="s">
        <v>1556</v>
      </c>
      <c r="E185" s="70" t="s">
        <v>1555</v>
      </c>
      <c r="F185" s="107"/>
      <c r="J185" s="490"/>
      <c r="K185" s="117"/>
      <c r="L185" s="1749" t="s">
        <v>1553</v>
      </c>
      <c r="M185" s="648" t="s">
        <v>1556</v>
      </c>
      <c r="N185" s="70" t="s">
        <v>1555</v>
      </c>
      <c r="O185" s="107"/>
      <c r="T185" s="117"/>
      <c r="U185" s="1749" t="s">
        <v>1553</v>
      </c>
      <c r="V185" s="648" t="s">
        <v>1556</v>
      </c>
      <c r="W185" s="70" t="s">
        <v>1555</v>
      </c>
      <c r="X185" s="107"/>
      <c r="AD185" s="117"/>
      <c r="AE185" s="1749" t="s">
        <v>1553</v>
      </c>
      <c r="AF185" s="648" t="s">
        <v>1556</v>
      </c>
      <c r="AG185" s="70" t="s">
        <v>1555</v>
      </c>
      <c r="AH185" s="107"/>
    </row>
    <row r="186" spans="2:37">
      <c r="B186" s="75" t="s">
        <v>1554</v>
      </c>
      <c r="C186" s="1775"/>
      <c r="D186" s="499"/>
      <c r="E186" s="499"/>
      <c r="F186" s="1775">
        <f>SUM(C186:E186)</f>
        <v>0</v>
      </c>
      <c r="I186" s="1813"/>
      <c r="K186" s="74" t="s">
        <v>1554</v>
      </c>
      <c r="L186" s="1775"/>
      <c r="M186" s="499"/>
      <c r="N186" s="499">
        <v>1</v>
      </c>
      <c r="O186" s="1775">
        <f>SUM(L186:N186)</f>
        <v>1</v>
      </c>
      <c r="R186" s="1813">
        <f>N186/$O$189</f>
        <v>4.3478260869565216E-2</v>
      </c>
      <c r="T186" s="74" t="s">
        <v>1554</v>
      </c>
      <c r="U186" s="1775"/>
      <c r="V186" s="499"/>
      <c r="W186" s="499"/>
      <c r="X186" s="1775">
        <f>SUM(U186:W186)</f>
        <v>0</v>
      </c>
      <c r="AA186" s="1813">
        <f>W186/$O$189</f>
        <v>0</v>
      </c>
      <c r="AD186" s="74" t="s">
        <v>1554</v>
      </c>
      <c r="AE186" s="1775"/>
      <c r="AF186" s="499"/>
      <c r="AG186" s="499"/>
      <c r="AH186" s="1775">
        <f>SUM(AE186:AG186)</f>
        <v>0</v>
      </c>
      <c r="AK186" s="1813">
        <f>AG186/$O$189</f>
        <v>0</v>
      </c>
    </row>
    <row r="187" spans="2:37">
      <c r="B187" s="75">
        <v>2</v>
      </c>
      <c r="C187" s="1775">
        <v>1</v>
      </c>
      <c r="D187" s="499"/>
      <c r="E187" s="499">
        <v>1</v>
      </c>
      <c r="F187" s="1775">
        <f t="shared" ref="F187:F188" si="190">SUM(C187:E187)</f>
        <v>2</v>
      </c>
      <c r="G187" s="1813">
        <f t="shared" ref="G187:G189" si="191">C187/$F$189</f>
        <v>0.05</v>
      </c>
      <c r="H187" s="1813"/>
      <c r="I187" s="1813">
        <f t="shared" ref="I187:I189" si="192">E187/$F$189</f>
        <v>0.05</v>
      </c>
      <c r="K187" s="74">
        <v>2</v>
      </c>
      <c r="L187" s="1775"/>
      <c r="M187" s="499">
        <v>1</v>
      </c>
      <c r="N187" s="499">
        <v>1</v>
      </c>
      <c r="O187" s="1775">
        <f t="shared" ref="O187:O188" si="193">SUM(L187:N187)</f>
        <v>2</v>
      </c>
      <c r="Q187" s="1813">
        <f>M187/$O$189</f>
        <v>4.3478260869565216E-2</v>
      </c>
      <c r="R187" s="1813">
        <f t="shared" ref="R187:R188" si="194">N187/$O$189</f>
        <v>4.3478260869565216E-2</v>
      </c>
      <c r="T187" s="74">
        <v>2</v>
      </c>
      <c r="U187" s="1775"/>
      <c r="V187" s="499"/>
      <c r="W187" s="499"/>
      <c r="X187" s="1775">
        <f t="shared" ref="X187:X188" si="195">SUM(U187:W187)</f>
        <v>0</v>
      </c>
      <c r="Z187" s="1813">
        <f>V187/$O$189</f>
        <v>0</v>
      </c>
      <c r="AA187" s="1813">
        <f t="shared" ref="AA187:AA189" si="196">W187/$O$189</f>
        <v>0</v>
      </c>
      <c r="AD187" s="74">
        <v>2</v>
      </c>
      <c r="AE187" s="1775"/>
      <c r="AF187" s="499"/>
      <c r="AG187" s="499"/>
      <c r="AH187" s="1775">
        <f t="shared" ref="AH187:AH188" si="197">SUM(AE187:AG187)</f>
        <v>0</v>
      </c>
      <c r="AJ187" s="1813">
        <f>AF187/$O$189</f>
        <v>0</v>
      </c>
      <c r="AK187" s="1813">
        <f t="shared" ref="AK187:AK189" si="198">AG187/$O$189</f>
        <v>0</v>
      </c>
    </row>
    <row r="188" spans="2:37">
      <c r="B188" s="75" t="s">
        <v>1557</v>
      </c>
      <c r="C188" s="712">
        <v>14</v>
      </c>
      <c r="D188" s="611">
        <v>3</v>
      </c>
      <c r="E188" s="611">
        <v>1</v>
      </c>
      <c r="F188" s="712">
        <f t="shared" si="190"/>
        <v>18</v>
      </c>
      <c r="G188" s="1813">
        <f t="shared" si="191"/>
        <v>0.7</v>
      </c>
      <c r="H188" s="1813">
        <f t="shared" ref="H188:H189" si="199">D188/$F$189</f>
        <v>0.15</v>
      </c>
      <c r="I188" s="1813">
        <f t="shared" si="192"/>
        <v>0.05</v>
      </c>
      <c r="K188" s="71" t="s">
        <v>1557</v>
      </c>
      <c r="L188" s="712">
        <v>15</v>
      </c>
      <c r="M188" s="611">
        <v>4</v>
      </c>
      <c r="N188" s="611">
        <v>1</v>
      </c>
      <c r="O188" s="712">
        <f t="shared" si="193"/>
        <v>20</v>
      </c>
      <c r="P188" s="1813">
        <f t="shared" ref="P188:Q188" si="200">L188/$O$189</f>
        <v>0.65217391304347827</v>
      </c>
      <c r="Q188" s="1813">
        <f t="shared" si="200"/>
        <v>0.17391304347826086</v>
      </c>
      <c r="R188" s="1813">
        <f t="shared" si="194"/>
        <v>4.3478260869565216E-2</v>
      </c>
      <c r="T188" s="71" t="s">
        <v>1557</v>
      </c>
      <c r="U188" s="712"/>
      <c r="V188" s="611"/>
      <c r="W188" s="611"/>
      <c r="X188" s="712">
        <f t="shared" si="195"/>
        <v>0</v>
      </c>
      <c r="Y188" s="1813">
        <f t="shared" ref="Y188:Y189" si="201">U188/$O$189</f>
        <v>0</v>
      </c>
      <c r="Z188" s="1813">
        <f t="shared" ref="Z188:Z189" si="202">V188/$O$189</f>
        <v>0</v>
      </c>
      <c r="AA188" s="1813">
        <f t="shared" si="196"/>
        <v>0</v>
      </c>
      <c r="AD188" s="71" t="s">
        <v>1557</v>
      </c>
      <c r="AE188" s="712"/>
      <c r="AF188" s="611"/>
      <c r="AG188" s="611"/>
      <c r="AH188" s="712">
        <f t="shared" si="197"/>
        <v>0</v>
      </c>
      <c r="AI188" s="1813">
        <f t="shared" ref="AI188:AI189" si="203">AE188/$O$189</f>
        <v>0</v>
      </c>
      <c r="AJ188" s="1813">
        <f t="shared" ref="AJ188:AJ189" si="204">AF188/$O$189</f>
        <v>0</v>
      </c>
      <c r="AK188" s="1813">
        <f t="shared" si="198"/>
        <v>0</v>
      </c>
    </row>
    <row r="189" spans="2:37">
      <c r="C189" s="1775">
        <f>SUM(C186:C188)</f>
        <v>15</v>
      </c>
      <c r="D189" s="1275">
        <f t="shared" ref="D189" si="205">SUM(D186:D188)</f>
        <v>3</v>
      </c>
      <c r="E189" s="557">
        <f t="shared" ref="E189" si="206">SUM(E186:E188)</f>
        <v>2</v>
      </c>
      <c r="F189" s="1775">
        <f t="shared" ref="F189" si="207">SUM(F186:F188)</f>
        <v>20</v>
      </c>
      <c r="G189" s="1813">
        <f t="shared" si="191"/>
        <v>0.75</v>
      </c>
      <c r="H189" s="1813">
        <f t="shared" si="199"/>
        <v>0.15</v>
      </c>
      <c r="I189" s="1813">
        <f t="shared" si="192"/>
        <v>0.1</v>
      </c>
      <c r="J189" s="539"/>
      <c r="L189" s="1775">
        <f>SUM(L186:L188)</f>
        <v>15</v>
      </c>
      <c r="M189" s="1275">
        <f t="shared" ref="M189:O189" si="208">SUM(M186:M188)</f>
        <v>5</v>
      </c>
      <c r="N189" s="557">
        <f t="shared" si="208"/>
        <v>3</v>
      </c>
      <c r="O189" s="1775">
        <f t="shared" si="208"/>
        <v>23</v>
      </c>
      <c r="P189" s="1813">
        <f t="shared" ref="P189" si="209">L189/$O$189</f>
        <v>0.65217391304347827</v>
      </c>
      <c r="Q189" s="1813">
        <f t="shared" ref="Q189:R189" si="210">M189/$O$189</f>
        <v>0.21739130434782608</v>
      </c>
      <c r="R189" s="1813">
        <f t="shared" si="210"/>
        <v>0.13043478260869565</v>
      </c>
      <c r="U189" s="1775">
        <f>SUM(U186:U188)</f>
        <v>0</v>
      </c>
      <c r="V189" s="1275">
        <f t="shared" ref="V189" si="211">SUM(V186:V188)</f>
        <v>0</v>
      </c>
      <c r="W189" s="557">
        <f t="shared" ref="W189" si="212">SUM(W186:W188)</f>
        <v>0</v>
      </c>
      <c r="X189" s="1775">
        <f t="shared" ref="X189" si="213">SUM(X186:X188)</f>
        <v>0</v>
      </c>
      <c r="Y189" s="1813">
        <f t="shared" si="201"/>
        <v>0</v>
      </c>
      <c r="Z189" s="1813">
        <f t="shared" si="202"/>
        <v>0</v>
      </c>
      <c r="AA189" s="1813">
        <f t="shared" si="196"/>
        <v>0</v>
      </c>
      <c r="AE189" s="1775">
        <f>SUM(AE186:AE188)</f>
        <v>0</v>
      </c>
      <c r="AF189" s="1275">
        <f t="shared" ref="AF189" si="214">SUM(AF186:AF188)</f>
        <v>0</v>
      </c>
      <c r="AG189" s="557">
        <f t="shared" ref="AG189" si="215">SUM(AG186:AG188)</f>
        <v>0</v>
      </c>
      <c r="AH189" s="1775">
        <f t="shared" ref="AH189" si="216">SUM(AH186:AH188)</f>
        <v>0</v>
      </c>
      <c r="AI189" s="1813">
        <f t="shared" si="203"/>
        <v>0</v>
      </c>
      <c r="AJ189" s="1813">
        <f t="shared" si="204"/>
        <v>0</v>
      </c>
      <c r="AK189" s="1813">
        <f t="shared" si="198"/>
        <v>0</v>
      </c>
    </row>
    <row r="191" spans="2:37">
      <c r="B191" s="1773" t="s">
        <v>466</v>
      </c>
    </row>
    <row r="192" spans="2:37">
      <c r="B192" s="1773"/>
      <c r="C192" s="1798" t="s">
        <v>502</v>
      </c>
      <c r="K192" s="1773"/>
      <c r="L192" s="1798" t="s">
        <v>503</v>
      </c>
      <c r="T192" s="1773"/>
      <c r="U192" s="1798" t="s">
        <v>504</v>
      </c>
      <c r="AD192" s="1773"/>
      <c r="AE192" s="1798" t="s">
        <v>505</v>
      </c>
    </row>
    <row r="193" spans="2:38">
      <c r="B193" s="1774" t="s">
        <v>1537</v>
      </c>
      <c r="C193" s="1799" t="s">
        <v>1167</v>
      </c>
      <c r="I193" s="549"/>
      <c r="K193" s="1774" t="s">
        <v>1537</v>
      </c>
      <c r="L193" s="1799" t="s">
        <v>1167</v>
      </c>
      <c r="R193" s="549"/>
      <c r="T193" s="1774" t="s">
        <v>1537</v>
      </c>
      <c r="U193" s="1799" t="s">
        <v>1167</v>
      </c>
      <c r="AA193" s="1814">
        <f>SUM(I59:K59)</f>
        <v>0</v>
      </c>
      <c r="AD193" s="1774" t="s">
        <v>1537</v>
      </c>
      <c r="AE193" s="1799" t="s">
        <v>1167</v>
      </c>
      <c r="AK193" s="1814">
        <f>SUM(S59:U59)</f>
        <v>0</v>
      </c>
    </row>
    <row r="194" spans="2:38">
      <c r="B194" s="1774"/>
      <c r="C194" s="1749" t="s">
        <v>1550</v>
      </c>
      <c r="D194" s="70" t="s">
        <v>1545</v>
      </c>
      <c r="E194" s="70" t="s">
        <v>1546</v>
      </c>
      <c r="F194" s="70" t="s">
        <v>1547</v>
      </c>
      <c r="G194" s="70" t="s">
        <v>1548</v>
      </c>
      <c r="H194" s="70" t="s">
        <v>1549</v>
      </c>
      <c r="I194" s="107"/>
      <c r="J194" s="490"/>
      <c r="K194" s="117"/>
      <c r="L194" s="1749" t="s">
        <v>1550</v>
      </c>
      <c r="M194" s="70" t="s">
        <v>1545</v>
      </c>
      <c r="N194" s="70" t="s">
        <v>1546</v>
      </c>
      <c r="O194" s="70" t="s">
        <v>1547</v>
      </c>
      <c r="P194" s="70" t="s">
        <v>1548</v>
      </c>
      <c r="Q194" s="70" t="s">
        <v>1549</v>
      </c>
      <c r="R194" s="107"/>
      <c r="T194" s="117"/>
      <c r="U194" s="1749" t="s">
        <v>1550</v>
      </c>
      <c r="V194" s="70" t="s">
        <v>1545</v>
      </c>
      <c r="W194" s="70" t="s">
        <v>1546</v>
      </c>
      <c r="X194" s="70" t="s">
        <v>1547</v>
      </c>
      <c r="Y194" s="70" t="s">
        <v>1548</v>
      </c>
      <c r="Z194" s="70" t="s">
        <v>1549</v>
      </c>
      <c r="AA194" s="107"/>
      <c r="AD194" s="117"/>
      <c r="AE194" s="1749" t="s">
        <v>1550</v>
      </c>
      <c r="AF194" s="70" t="s">
        <v>1545</v>
      </c>
      <c r="AG194" s="70" t="s">
        <v>1546</v>
      </c>
      <c r="AH194" s="70" t="s">
        <v>1547</v>
      </c>
      <c r="AI194" s="70" t="s">
        <v>1548</v>
      </c>
      <c r="AJ194" s="70" t="s">
        <v>1549</v>
      </c>
      <c r="AK194" s="107"/>
    </row>
    <row r="195" spans="2:38">
      <c r="B195" s="74" t="s">
        <v>1542</v>
      </c>
      <c r="C195" s="1775"/>
      <c r="D195" s="499"/>
      <c r="E195" s="499"/>
      <c r="F195" s="499"/>
      <c r="G195" s="499"/>
      <c r="H195" s="499"/>
      <c r="I195" s="1775">
        <f>SUM(C195:H195)</f>
        <v>0</v>
      </c>
      <c r="K195" s="74" t="s">
        <v>1542</v>
      </c>
      <c r="L195" s="1775"/>
      <c r="M195" s="499"/>
      <c r="N195" s="499"/>
      <c r="O195" s="499"/>
      <c r="P195" s="499"/>
      <c r="Q195" s="499"/>
      <c r="R195" s="1775">
        <f>SUM(L195:Q195)</f>
        <v>0</v>
      </c>
      <c r="T195" s="74" t="s">
        <v>1542</v>
      </c>
      <c r="U195" s="1775"/>
      <c r="V195" s="499"/>
      <c r="W195" s="499"/>
      <c r="X195" s="499"/>
      <c r="Y195" s="499"/>
      <c r="Z195" s="499">
        <f>Z156*Q124</f>
        <v>1905.9285</v>
      </c>
      <c r="AA195" s="1775">
        <f>SUM(U195:Z195)</f>
        <v>1905.9285</v>
      </c>
      <c r="AD195" s="74" t="s">
        <v>1542</v>
      </c>
      <c r="AE195" s="1775"/>
      <c r="AF195" s="499"/>
      <c r="AG195" s="499"/>
      <c r="AH195" s="499"/>
      <c r="AI195" s="499"/>
      <c r="AJ195" s="499">
        <f>AJ156*Q124</f>
        <v>1948.9144849999998</v>
      </c>
      <c r="AK195" s="1775">
        <f>SUM(AE195:AJ195)</f>
        <v>1948.9144849999998</v>
      </c>
    </row>
    <row r="196" spans="2:38">
      <c r="B196" s="74" t="s">
        <v>1543</v>
      </c>
      <c r="C196" s="1775"/>
      <c r="D196" s="499"/>
      <c r="E196" s="499"/>
      <c r="F196" s="499"/>
      <c r="G196" s="499"/>
      <c r="H196" s="499"/>
      <c r="I196" s="1775">
        <f t="shared" ref="I196:I198" si="217">SUM(C196:H196)</f>
        <v>0</v>
      </c>
      <c r="K196" s="74" t="s">
        <v>1543</v>
      </c>
      <c r="L196" s="1775"/>
      <c r="M196" s="499"/>
      <c r="N196" s="499"/>
      <c r="O196" s="499"/>
      <c r="P196" s="499"/>
      <c r="Q196" s="499"/>
      <c r="R196" s="1775">
        <f t="shared" ref="R196:R198" si="218">SUM(L196:Q196)</f>
        <v>0</v>
      </c>
      <c r="T196" s="74" t="s">
        <v>1543</v>
      </c>
      <c r="U196" s="1775"/>
      <c r="V196" s="499"/>
      <c r="W196" s="499"/>
      <c r="X196" s="499"/>
      <c r="Y196" s="499"/>
      <c r="Z196" s="499">
        <f t="shared" ref="Z196:Z197" si="219">Z157*Q125</f>
        <v>1524.7428</v>
      </c>
      <c r="AA196" s="1775">
        <f t="shared" ref="AA196:AA198" si="220">SUM(U196:Z196)</f>
        <v>1524.7428</v>
      </c>
      <c r="AD196" s="74" t="s">
        <v>1543</v>
      </c>
      <c r="AE196" s="1775"/>
      <c r="AF196" s="499"/>
      <c r="AG196" s="499"/>
      <c r="AH196" s="499"/>
      <c r="AI196" s="499">
        <f t="shared" ref="AI196:AI198" si="221">AI157*P125</f>
        <v>561.28737167999986</v>
      </c>
      <c r="AJ196" s="499">
        <f t="shared" ref="AJ196:AJ197" si="222">AJ157*Q125</f>
        <v>1870.9579055999998</v>
      </c>
      <c r="AK196" s="1775">
        <f t="shared" ref="AK196:AK198" si="223">SUM(AE196:AJ196)</f>
        <v>2432.2452772799998</v>
      </c>
    </row>
    <row r="197" spans="2:38">
      <c r="B197" s="74" t="s">
        <v>1532</v>
      </c>
      <c r="C197" s="1775"/>
      <c r="D197" s="499"/>
      <c r="E197" s="499"/>
      <c r="F197" s="499"/>
      <c r="G197" s="499"/>
      <c r="H197" s="499"/>
      <c r="I197" s="1775">
        <f t="shared" si="217"/>
        <v>0</v>
      </c>
      <c r="K197" s="74" t="s">
        <v>1532</v>
      </c>
      <c r="L197" s="1775"/>
      <c r="M197" s="499"/>
      <c r="N197" s="499"/>
      <c r="O197" s="499"/>
      <c r="P197" s="499"/>
      <c r="Q197" s="499"/>
      <c r="R197" s="1775">
        <f t="shared" si="218"/>
        <v>0</v>
      </c>
      <c r="T197" s="74" t="s">
        <v>1532</v>
      </c>
      <c r="U197" s="1775"/>
      <c r="V197" s="499">
        <f t="shared" ref="V197:Y197" si="224">V158*M126</f>
        <v>101.64952</v>
      </c>
      <c r="W197" s="499">
        <f t="shared" si="224"/>
        <v>254.12380000000002</v>
      </c>
      <c r="X197" s="499">
        <f t="shared" si="224"/>
        <v>381.1857</v>
      </c>
      <c r="Y197" s="499">
        <f t="shared" si="224"/>
        <v>609.89711999999997</v>
      </c>
      <c r="Z197" s="499">
        <f t="shared" si="219"/>
        <v>1905.9285</v>
      </c>
      <c r="AA197" s="1775">
        <f t="shared" si="220"/>
        <v>3252.7846399999999</v>
      </c>
      <c r="AD197" s="74" t="s">
        <v>1532</v>
      </c>
      <c r="AE197" s="1775">
        <f t="shared" ref="AE197:AH197" si="225">AE158*L126</f>
        <v>0</v>
      </c>
      <c r="AF197" s="499">
        <f t="shared" si="225"/>
        <v>124.73052703999998</v>
      </c>
      <c r="AG197" s="499">
        <f t="shared" si="225"/>
        <v>311.82631759999998</v>
      </c>
      <c r="AH197" s="499">
        <f t="shared" si="225"/>
        <v>467.73947639999994</v>
      </c>
      <c r="AI197" s="499">
        <f t="shared" si="221"/>
        <v>748.38316223999982</v>
      </c>
      <c r="AJ197" s="499">
        <f t="shared" si="222"/>
        <v>1870.9579055999995</v>
      </c>
      <c r="AK197" s="1775">
        <f t="shared" si="223"/>
        <v>3523.637388879999</v>
      </c>
    </row>
    <row r="198" spans="2:38">
      <c r="B198" s="74" t="s">
        <v>1544</v>
      </c>
      <c r="C198" s="712"/>
      <c r="D198" s="611"/>
      <c r="E198" s="611"/>
      <c r="F198" s="611"/>
      <c r="G198" s="611"/>
      <c r="H198" s="611"/>
      <c r="I198" s="712">
        <f t="shared" si="217"/>
        <v>0</v>
      </c>
      <c r="J198" s="539"/>
      <c r="K198" s="71" t="s">
        <v>1544</v>
      </c>
      <c r="L198" s="712"/>
      <c r="M198" s="611"/>
      <c r="N198" s="611"/>
      <c r="O198" s="611"/>
      <c r="P198" s="611"/>
      <c r="Q198" s="611"/>
      <c r="R198" s="712">
        <f t="shared" si="218"/>
        <v>0</v>
      </c>
      <c r="T198" s="71" t="s">
        <v>1544</v>
      </c>
      <c r="U198" s="712">
        <f>U159*L127</f>
        <v>0</v>
      </c>
      <c r="V198" s="611">
        <f t="shared" ref="V198:Y198" si="226">V159*M127</f>
        <v>76.237139999999997</v>
      </c>
      <c r="W198" s="611">
        <f t="shared" si="226"/>
        <v>127.06189999999999</v>
      </c>
      <c r="X198" s="611">
        <f t="shared" si="226"/>
        <v>355.77332000000001</v>
      </c>
      <c r="Y198" s="611">
        <f t="shared" si="226"/>
        <v>457.42283999999995</v>
      </c>
      <c r="Z198" s="1791">
        <f>Z159*Q127</f>
        <v>762.37139999999999</v>
      </c>
      <c r="AA198" s="712">
        <f t="shared" si="220"/>
        <v>1778.8665999999998</v>
      </c>
      <c r="AD198" s="71" t="s">
        <v>1544</v>
      </c>
      <c r="AE198" s="712">
        <f t="shared" ref="AE198:AH198" si="227">AE159*L127</f>
        <v>0</v>
      </c>
      <c r="AF198" s="611">
        <f t="shared" si="227"/>
        <v>93.547895279999977</v>
      </c>
      <c r="AG198" s="611">
        <f t="shared" si="227"/>
        <v>155.91315879999999</v>
      </c>
      <c r="AH198" s="611">
        <f t="shared" si="227"/>
        <v>436.55684463999995</v>
      </c>
      <c r="AI198" s="611">
        <f t="shared" si="221"/>
        <v>561.28737167999986</v>
      </c>
      <c r="AJ198" s="1821">
        <f>AJ159*Q127</f>
        <v>935.47895279999989</v>
      </c>
      <c r="AK198" s="712">
        <f t="shared" si="223"/>
        <v>2182.7842231999994</v>
      </c>
    </row>
    <row r="199" spans="2:38">
      <c r="C199" s="1775">
        <f t="shared" ref="C199" si="228">SUM(C195:C198)</f>
        <v>0</v>
      </c>
      <c r="D199" s="499">
        <f t="shared" ref="D199" si="229">SUM(D195:D198)</f>
        <v>0</v>
      </c>
      <c r="E199" s="499">
        <f t="shared" ref="E199" si="230">SUM(E195:E198)</f>
        <v>0</v>
      </c>
      <c r="F199" s="499">
        <f t="shared" ref="F199" si="231">SUM(F195:F198)</f>
        <v>0</v>
      </c>
      <c r="G199" s="499">
        <f t="shared" ref="G199" si="232">SUM(G195:G198)</f>
        <v>0</v>
      </c>
      <c r="H199" s="499">
        <f t="shared" ref="H199" si="233">SUM(H195:H198)</f>
        <v>0</v>
      </c>
      <c r="I199" s="1775">
        <f>SUM(I195:I198)</f>
        <v>0</v>
      </c>
      <c r="L199" s="1775">
        <f>SUM(L195:L198)</f>
        <v>0</v>
      </c>
      <c r="M199" s="499">
        <f t="shared" ref="M199" si="234">SUM(M195:M198)</f>
        <v>0</v>
      </c>
      <c r="N199" s="499">
        <f t="shared" ref="N199" si="235">SUM(N195:N198)</f>
        <v>0</v>
      </c>
      <c r="O199" s="499">
        <f t="shared" ref="O199" si="236">SUM(O195:O198)</f>
        <v>0</v>
      </c>
      <c r="P199" s="499">
        <f t="shared" ref="P199" si="237">SUM(P195:P198)</f>
        <v>0</v>
      </c>
      <c r="Q199" s="499">
        <f t="shared" ref="Q199" si="238">SUM(Q195:Q198)</f>
        <v>0</v>
      </c>
      <c r="R199" s="1775">
        <f>SUM(R195:R198)</f>
        <v>0</v>
      </c>
      <c r="U199" s="1775">
        <f>SUM(U195:U198)</f>
        <v>0</v>
      </c>
      <c r="V199" s="499">
        <f t="shared" ref="V199" si="239">SUM(V195:V198)</f>
        <v>177.88666000000001</v>
      </c>
      <c r="W199" s="499">
        <f t="shared" ref="W199" si="240">SUM(W195:W198)</f>
        <v>381.1857</v>
      </c>
      <c r="X199" s="499">
        <f t="shared" ref="X199" si="241">SUM(X195:X198)</f>
        <v>736.95902000000001</v>
      </c>
      <c r="Y199" s="499">
        <f t="shared" ref="Y199" si="242">SUM(Y195:Y198)</f>
        <v>1067.3199599999998</v>
      </c>
      <c r="Z199" s="499">
        <f t="shared" ref="Z199" si="243">SUM(Z195:Z198)</f>
        <v>6098.9712</v>
      </c>
      <c r="AA199" s="1818">
        <f>SUM(AA195:AA198)</f>
        <v>8462.3225399999992</v>
      </c>
      <c r="AB199" s="1772">
        <f>AA199*AA200</f>
        <v>6346.741904999999</v>
      </c>
      <c r="AE199" s="1775">
        <f>SUM(AE195:AE198)</f>
        <v>0</v>
      </c>
      <c r="AF199" s="499">
        <f t="shared" ref="AF199" si="244">SUM(AF195:AF198)</f>
        <v>218.27842231999995</v>
      </c>
      <c r="AG199" s="499">
        <f t="shared" ref="AG199" si="245">SUM(AG195:AG198)</f>
        <v>467.73947639999994</v>
      </c>
      <c r="AH199" s="499">
        <f t="shared" ref="AH199" si="246">SUM(AH195:AH198)</f>
        <v>904.29632103999984</v>
      </c>
      <c r="AI199" s="499">
        <f t="shared" ref="AI199" si="247">SUM(AI195:AI198)</f>
        <v>1870.9579055999998</v>
      </c>
      <c r="AJ199" s="499">
        <f t="shared" ref="AJ199" si="248">SUM(AJ195:AJ198)</f>
        <v>6626.309248999999</v>
      </c>
      <c r="AK199" s="1818">
        <f>SUM(AK195:AK198)</f>
        <v>10087.581374359997</v>
      </c>
      <c r="AL199" s="1772">
        <f>AK199*AK200</f>
        <v>7565.6860307699981</v>
      </c>
    </row>
    <row r="200" spans="2:38">
      <c r="AA200" s="1819">
        <v>0.75</v>
      </c>
      <c r="AK200" s="1819">
        <v>0.75</v>
      </c>
    </row>
    <row r="202" spans="2:38" s="45" customFormat="1">
      <c r="B202" s="46" t="s">
        <v>696</v>
      </c>
      <c r="E202" s="1759" t="s">
        <v>460</v>
      </c>
      <c r="F202" s="1759"/>
      <c r="G202" s="1760">
        <f>O206</f>
        <v>9957.6710471740589</v>
      </c>
      <c r="H202" s="1761">
        <f>G202/O6</f>
        <v>1.3809354239758117E-2</v>
      </c>
      <c r="K202" s="1762" t="s">
        <v>1530</v>
      </c>
      <c r="L202" s="1760">
        <f>SUM(I206:N206)</f>
        <v>6016.6906391740604</v>
      </c>
      <c r="O202" s="1759"/>
      <c r="P202" s="1759"/>
      <c r="Q202" s="1760"/>
      <c r="R202" s="1761"/>
    </row>
    <row r="205" spans="2:38">
      <c r="C205" s="1763" t="s">
        <v>479</v>
      </c>
      <c r="D205" s="1764" t="s">
        <v>480</v>
      </c>
      <c r="E205" s="1764" t="s">
        <v>481</v>
      </c>
      <c r="F205" s="1764" t="s">
        <v>482</v>
      </c>
      <c r="G205" s="1764" t="s">
        <v>483</v>
      </c>
      <c r="H205" s="1764" t="s">
        <v>484</v>
      </c>
      <c r="I205" s="1764" t="s">
        <v>485</v>
      </c>
      <c r="J205" s="1764" t="s">
        <v>486</v>
      </c>
      <c r="K205" s="1764" t="s">
        <v>487</v>
      </c>
      <c r="L205" s="1764" t="s">
        <v>488</v>
      </c>
      <c r="M205" s="1764" t="s">
        <v>489</v>
      </c>
      <c r="N205" s="1764" t="s">
        <v>490</v>
      </c>
    </row>
    <row r="206" spans="2:38">
      <c r="B206" s="1765" t="s">
        <v>466</v>
      </c>
      <c r="C206" s="1770">
        <f>C61*15%</f>
        <v>325.65381450000001</v>
      </c>
      <c r="D206" s="1771">
        <f t="shared" ref="D206:N206" si="249">D61*15%</f>
        <v>521.47687499999995</v>
      </c>
      <c r="E206" s="1771">
        <f t="shared" si="249"/>
        <v>733.50189899999998</v>
      </c>
      <c r="F206" s="1771">
        <f t="shared" si="249"/>
        <v>645.48388199999999</v>
      </c>
      <c r="G206" s="1771">
        <f t="shared" si="249"/>
        <v>772.64070299999992</v>
      </c>
      <c r="H206" s="1771">
        <f t="shared" si="249"/>
        <v>942.22323449999999</v>
      </c>
      <c r="I206" s="1707">
        <f t="shared" si="249"/>
        <v>832.75737688106688</v>
      </c>
      <c r="J206" s="1707">
        <f t="shared" si="249"/>
        <v>908.9284006288002</v>
      </c>
      <c r="K206" s="1707">
        <f t="shared" si="249"/>
        <v>1036.7652821280151</v>
      </c>
      <c r="L206" s="1707">
        <f t="shared" si="249"/>
        <v>941.41669202828984</v>
      </c>
      <c r="M206" s="1707">
        <f t="shared" si="249"/>
        <v>1076.5733196610943</v>
      </c>
      <c r="N206" s="1707">
        <f t="shared" si="249"/>
        <v>1220.249567846794</v>
      </c>
      <c r="O206" s="1772">
        <f>SUM(C206:N206)</f>
        <v>9957.6710471740589</v>
      </c>
    </row>
    <row r="207" spans="2:38">
      <c r="B207" s="1765" t="s">
        <v>1039</v>
      </c>
      <c r="C207" s="1826">
        <f>C206/C6</f>
        <v>1.2002772215372878E-2</v>
      </c>
      <c r="D207" s="1796">
        <f t="shared" ref="D207:O207" si="250">D206/D6</f>
        <v>1.280531147013427E-2</v>
      </c>
      <c r="E207" s="1796">
        <f t="shared" si="250"/>
        <v>1.292239425571377E-2</v>
      </c>
      <c r="F207" s="1796">
        <f t="shared" si="250"/>
        <v>1.2918671360627841E-2</v>
      </c>
      <c r="G207" s="1796">
        <f t="shared" si="250"/>
        <v>1.4402434703423709E-2</v>
      </c>
      <c r="H207" s="1796">
        <f t="shared" si="250"/>
        <v>1.6207901384146791E-2</v>
      </c>
      <c r="I207" s="1796">
        <f t="shared" si="250"/>
        <v>1.4162540423147395E-2</v>
      </c>
      <c r="J207" s="1796">
        <f t="shared" si="250"/>
        <v>1.3842954624258304E-2</v>
      </c>
      <c r="K207" s="1796">
        <f t="shared" si="250"/>
        <v>1.4105650096979797E-2</v>
      </c>
      <c r="L207" s="1796">
        <f t="shared" si="250"/>
        <v>1.3529989825068839E-2</v>
      </c>
      <c r="M207" s="1796">
        <f t="shared" si="250"/>
        <v>1.3731802546697631E-2</v>
      </c>
      <c r="N207" s="1796">
        <f t="shared" si="250"/>
        <v>1.3744771779225649E-2</v>
      </c>
      <c r="O207" s="1796">
        <f t="shared" si="250"/>
        <v>1.3809354239758117E-2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I49"/>
  <sheetViews>
    <sheetView topLeftCell="A29" zoomScale="90" zoomScaleNormal="90" workbookViewId="0">
      <selection activeCell="C47" sqref="C47"/>
    </sheetView>
  </sheetViews>
  <sheetFormatPr defaultRowHeight="15"/>
  <cols>
    <col min="2" max="2" width="29.42578125" customWidth="1"/>
    <col min="3" max="3" width="19.28515625" style="583" bestFit="1" customWidth="1"/>
    <col min="4" max="4" width="15.140625" style="583" customWidth="1"/>
    <col min="5" max="5" width="14.42578125" style="583" customWidth="1"/>
    <col min="6" max="6" width="11.140625" style="442" bestFit="1" customWidth="1"/>
  </cols>
  <sheetData>
    <row r="2" spans="2:9">
      <c r="C2" s="657" t="s">
        <v>549</v>
      </c>
      <c r="D2" s="663">
        <v>2016</v>
      </c>
      <c r="E2" s="692">
        <v>2015</v>
      </c>
      <c r="F2" s="442">
        <f>700000*98%</f>
        <v>686000</v>
      </c>
    </row>
    <row r="3" spans="2:9">
      <c r="B3" t="s">
        <v>550</v>
      </c>
      <c r="C3" s="583">
        <v>0.31</v>
      </c>
      <c r="D3" s="583">
        <v>0.31997650575267755</v>
      </c>
      <c r="E3" s="583">
        <v>0.31809127433381107</v>
      </c>
      <c r="H3" s="693">
        <f>SUM(C3:C28)+C42</f>
        <v>0.63427255478944644</v>
      </c>
      <c r="I3" s="693">
        <f>SUM(D3:D28)+D42</f>
        <v>0.60228325431968521</v>
      </c>
    </row>
    <row r="4" spans="2:9">
      <c r="B4" t="s">
        <v>602</v>
      </c>
      <c r="C4" s="583">
        <v>7.3410679089798677E-3</v>
      </c>
      <c r="D4" s="583">
        <v>2.6599999999999999E-2</v>
      </c>
      <c r="E4" s="583">
        <v>3.1111893235118496E-2</v>
      </c>
      <c r="H4" s="693">
        <f>SUM(C31:C38)+C40</f>
        <v>9.1276897959183673E-2</v>
      </c>
      <c r="I4" s="693">
        <f>SUM(D30:D40)</f>
        <v>0.19879276126833961</v>
      </c>
    </row>
    <row r="6" spans="2:9">
      <c r="B6" t="s">
        <v>551</v>
      </c>
      <c r="C6" s="583">
        <v>0.08</v>
      </c>
      <c r="D6" s="583">
        <v>9.2676308945304445E-2</v>
      </c>
      <c r="E6" s="583">
        <v>0.10064869666405606</v>
      </c>
    </row>
    <row r="7" spans="2:9">
      <c r="B7" t="s">
        <v>359</v>
      </c>
    </row>
    <row r="8" spans="2:9">
      <c r="B8" s="489" t="s">
        <v>21</v>
      </c>
      <c r="C8" s="583">
        <f>F2*60%*31%*20%/F2</f>
        <v>3.7200000000000004E-2</v>
      </c>
    </row>
    <row r="9" spans="2:9">
      <c r="B9" s="489" t="s">
        <v>552</v>
      </c>
      <c r="C9" s="583">
        <f>4000/F2</f>
        <v>5.8309037900874635E-3</v>
      </c>
    </row>
    <row r="11" spans="2:9">
      <c r="B11" t="s">
        <v>553</v>
      </c>
    </row>
    <row r="12" spans="2:9">
      <c r="B12" s="489" t="s">
        <v>554</v>
      </c>
      <c r="C12" s="583">
        <f>471/F2</f>
        <v>6.8658892128279888E-4</v>
      </c>
    </row>
    <row r="13" spans="2:9">
      <c r="B13" s="489" t="s">
        <v>555</v>
      </c>
      <c r="C13" s="583">
        <f>471*50%*30/F2</f>
        <v>1.0298833819241982E-2</v>
      </c>
    </row>
    <row r="14" spans="2:9">
      <c r="B14" s="489" t="s">
        <v>553</v>
      </c>
      <c r="C14" s="583">
        <f>471*50%*8/F2</f>
        <v>2.7463556851311955E-3</v>
      </c>
    </row>
    <row r="16" spans="2:9">
      <c r="B16" s="659" t="s">
        <v>556</v>
      </c>
      <c r="C16" s="583">
        <v>4.7E-2</v>
      </c>
      <c r="D16" s="583">
        <v>4.7996475862901629E-2</v>
      </c>
      <c r="E16" s="583">
        <v>4.6852241082395996E-2</v>
      </c>
    </row>
    <row r="17" spans="2:5">
      <c r="B17" s="659" t="s">
        <v>573</v>
      </c>
      <c r="D17" s="583">
        <v>3.7048589096648217E-2</v>
      </c>
      <c r="E17" s="583">
        <v>3.4905682752929199E-2</v>
      </c>
    </row>
    <row r="18" spans="2:5">
      <c r="B18" t="s">
        <v>557</v>
      </c>
      <c r="C18" s="583">
        <v>2.8000000000000001E-2</v>
      </c>
      <c r="D18" s="583">
        <v>2.9120094771969252E-2</v>
      </c>
      <c r="E18" s="583">
        <v>3.3474516319688598E-2</v>
      </c>
    </row>
    <row r="19" spans="2:5">
      <c r="B19" t="s">
        <v>36</v>
      </c>
      <c r="C19" s="583">
        <v>1.4E-2</v>
      </c>
      <c r="D19" s="583">
        <v>1.3163031584952712E-2</v>
      </c>
      <c r="E19" s="583">
        <v>1.3469106506133031E-2</v>
      </c>
    </row>
    <row r="20" spans="2:5">
      <c r="B20" t="s">
        <v>558</v>
      </c>
      <c r="C20" s="583">
        <v>1.2999999999999999E-2</v>
      </c>
      <c r="D20" s="583">
        <v>1.3514045760551451E-2</v>
      </c>
      <c r="E20" s="583">
        <v>1.4164863199739527E-2</v>
      </c>
    </row>
    <row r="22" spans="2:5">
      <c r="B22" t="s">
        <v>559</v>
      </c>
    </row>
    <row r="23" spans="2:5">
      <c r="B23" s="489" t="s">
        <v>560</v>
      </c>
      <c r="C23" s="583">
        <f>C16*50%</f>
        <v>2.35E-2</v>
      </c>
    </row>
    <row r="24" spans="2:5">
      <c r="B24" s="489" t="s">
        <v>289</v>
      </c>
      <c r="C24" s="583">
        <f>7000/F2</f>
        <v>1.020408163265306E-2</v>
      </c>
    </row>
    <row r="25" spans="2:5">
      <c r="B25" s="489" t="s">
        <v>377</v>
      </c>
      <c r="C25" s="583">
        <f>400*8/F2</f>
        <v>4.6647230320699708E-3</v>
      </c>
    </row>
    <row r="26" spans="2:5">
      <c r="B26" s="489" t="s">
        <v>561</v>
      </c>
      <c r="C26" s="583">
        <v>0.01</v>
      </c>
    </row>
    <row r="28" spans="2:5">
      <c r="B28" s="659" t="s">
        <v>297</v>
      </c>
      <c r="C28" s="583">
        <f>C19*0.7</f>
        <v>9.7999999999999997E-3</v>
      </c>
    </row>
    <row r="30" spans="2:5">
      <c r="B30" t="s">
        <v>562</v>
      </c>
      <c r="D30" s="583">
        <v>0.02</v>
      </c>
      <c r="E30" s="583">
        <v>1.298393164493755E-2</v>
      </c>
    </row>
    <row r="31" spans="2:5">
      <c r="B31" s="489" t="s">
        <v>554</v>
      </c>
      <c r="C31" s="583">
        <f>14000*0.3/F2</f>
        <v>6.1224489795918364E-3</v>
      </c>
    </row>
    <row r="32" spans="2:5">
      <c r="B32" s="489" t="s">
        <v>563</v>
      </c>
      <c r="C32" s="583">
        <f>14000*50%*70%*1/F2</f>
        <v>7.1428571428571426E-3</v>
      </c>
    </row>
    <row r="33" spans="2:5">
      <c r="B33" s="489" t="s">
        <v>564</v>
      </c>
      <c r="C33" s="583">
        <f>14000*7%*10/F2</f>
        <v>1.4285714285714289E-2</v>
      </c>
    </row>
    <row r="35" spans="2:5">
      <c r="B35" s="659" t="s">
        <v>565</v>
      </c>
    </row>
    <row r="36" spans="2:5">
      <c r="B36" s="489" t="s">
        <v>566</v>
      </c>
      <c r="C36" s="583">
        <f>C32/2</f>
        <v>3.5714285714285713E-3</v>
      </c>
    </row>
    <row r="37" spans="2:5">
      <c r="B37" s="489" t="s">
        <v>567</v>
      </c>
      <c r="C37" s="583">
        <f>F2*70%*30%*32%*6%/F2</f>
        <v>4.0319999999999991E-3</v>
      </c>
      <c r="D37" s="583">
        <v>8.4838480716317895E-3</v>
      </c>
      <c r="E37" s="583">
        <v>6.6856841614376331E-3</v>
      </c>
    </row>
    <row r="38" spans="2:5">
      <c r="B38" s="489" t="s">
        <v>564</v>
      </c>
      <c r="C38" s="583">
        <f>50*10/F2</f>
        <v>7.2886297376093293E-4</v>
      </c>
    </row>
    <row r="40" spans="2:5">
      <c r="B40" s="659" t="s">
        <v>568</v>
      </c>
      <c r="C40" s="583">
        <f>38000/F2</f>
        <v>5.5393586005830907E-2</v>
      </c>
      <c r="D40" s="583">
        <v>0.17030891319670782</v>
      </c>
      <c r="E40" s="583">
        <v>0.12109170291987681</v>
      </c>
    </row>
    <row r="42" spans="2:5">
      <c r="B42" t="s">
        <v>569</v>
      </c>
      <c r="C42" s="583">
        <v>0.02</v>
      </c>
      <c r="D42" s="583">
        <v>2.2188202544679923E-2</v>
      </c>
      <c r="E42" s="583">
        <v>1.9445674534372633E-2</v>
      </c>
    </row>
    <row r="44" spans="2:5">
      <c r="B44" s="658" t="s">
        <v>575</v>
      </c>
      <c r="C44" s="660">
        <f>SUM(C3:C42)</f>
        <v>0.72554945274863003</v>
      </c>
      <c r="D44" s="660">
        <f>SUM(D3:D42)</f>
        <v>0.80107601558802488</v>
      </c>
      <c r="E44" s="660">
        <f>SUM(E3:E42)</f>
        <v>0.7529252673544965</v>
      </c>
    </row>
    <row r="45" spans="2:5">
      <c r="B45" s="658" t="s">
        <v>570</v>
      </c>
      <c r="C45" s="660">
        <f>85000/F2</f>
        <v>0.12390670553935861</v>
      </c>
      <c r="D45" s="660">
        <v>2.1415640484750781E-2</v>
      </c>
      <c r="E45" s="660">
        <v>2.4093118176980954E-2</v>
      </c>
    </row>
    <row r="46" spans="2:5">
      <c r="B46" s="658" t="s">
        <v>574</v>
      </c>
      <c r="C46" s="660">
        <f>C49-C44-C45</f>
        <v>0.1450266718420084</v>
      </c>
      <c r="D46" s="660">
        <v>0.18309524580295017</v>
      </c>
      <c r="E46" s="660">
        <v>0.23083440685659559</v>
      </c>
    </row>
    <row r="47" spans="2:5">
      <c r="B47" s="661" t="s">
        <v>571</v>
      </c>
      <c r="C47" s="662">
        <f>C45+C44+C46</f>
        <v>0.99448283012999705</v>
      </c>
      <c r="D47" s="662">
        <f>D45+D44+D46</f>
        <v>1.0055869018757257</v>
      </c>
      <c r="E47" s="662">
        <f>E45+E44+E46</f>
        <v>1.0078527923880729</v>
      </c>
    </row>
    <row r="49" spans="2:3">
      <c r="B49" t="s">
        <v>572</v>
      </c>
      <c r="C49" s="583">
        <v>0.99448283012999705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3:H35"/>
  <sheetViews>
    <sheetView zoomScale="90" zoomScaleNormal="90" workbookViewId="0">
      <selection activeCell="H7" sqref="H7"/>
    </sheetView>
  </sheetViews>
  <sheetFormatPr defaultRowHeight="15"/>
  <cols>
    <col min="5" max="5" width="12.42578125" customWidth="1"/>
    <col min="6" max="6" width="20.140625" bestFit="1" customWidth="1"/>
    <col min="7" max="7" width="9" style="442"/>
    <col min="8" max="8" width="10.140625" style="442" bestFit="1" customWidth="1"/>
  </cols>
  <sheetData>
    <row r="3" spans="3:8">
      <c r="D3" s="489" t="s">
        <v>1199</v>
      </c>
    </row>
    <row r="4" spans="3:8">
      <c r="C4">
        <v>2017</v>
      </c>
      <c r="D4" s="703"/>
      <c r="E4" s="760" t="s">
        <v>219</v>
      </c>
      <c r="F4" s="760" t="s">
        <v>1202</v>
      </c>
      <c r="G4" s="1420" t="s">
        <v>722</v>
      </c>
      <c r="H4" s="1420" t="s">
        <v>466</v>
      </c>
    </row>
    <row r="5" spans="3:8">
      <c r="D5" s="489" t="s">
        <v>1200</v>
      </c>
      <c r="E5" s="489">
        <v>150</v>
      </c>
      <c r="F5" s="489">
        <v>6</v>
      </c>
      <c r="G5" s="904">
        <v>40</v>
      </c>
      <c r="H5" s="904">
        <f>(E5+F5)*G5</f>
        <v>6240</v>
      </c>
    </row>
    <row r="6" spans="3:8">
      <c r="D6" s="489" t="s">
        <v>1201</v>
      </c>
      <c r="E6" s="489">
        <v>150</v>
      </c>
      <c r="F6" s="489">
        <v>5</v>
      </c>
      <c r="G6" s="904">
        <v>100</v>
      </c>
      <c r="H6" s="904">
        <f>(E6+F6)*G6</f>
        <v>15500</v>
      </c>
    </row>
    <row r="7" spans="3:8">
      <c r="H7" s="827">
        <f>SUM(H5:H6)</f>
        <v>21740</v>
      </c>
    </row>
    <row r="10" spans="3:8">
      <c r="C10">
        <v>2018</v>
      </c>
      <c r="D10" s="703"/>
      <c r="E10" s="760" t="s">
        <v>219</v>
      </c>
      <c r="F10" s="760" t="s">
        <v>1202</v>
      </c>
      <c r="G10" s="1420" t="s">
        <v>722</v>
      </c>
      <c r="H10" s="1420" t="s">
        <v>466</v>
      </c>
    </row>
    <row r="11" spans="3:8">
      <c r="D11" s="489" t="s">
        <v>1200</v>
      </c>
      <c r="E11" s="489">
        <v>180</v>
      </c>
      <c r="F11" s="489">
        <v>6</v>
      </c>
      <c r="G11" s="904">
        <v>45</v>
      </c>
      <c r="H11" s="904">
        <f>(E11+F11)*G11</f>
        <v>8370</v>
      </c>
    </row>
    <row r="12" spans="3:8">
      <c r="D12" s="489" t="s">
        <v>1201</v>
      </c>
      <c r="E12" s="489">
        <v>180</v>
      </c>
      <c r="F12" s="489">
        <v>5</v>
      </c>
      <c r="G12" s="904">
        <v>100</v>
      </c>
      <c r="H12" s="904">
        <f>(E12+F12)*G12</f>
        <v>18500</v>
      </c>
    </row>
    <row r="13" spans="3:8">
      <c r="H13" s="827">
        <f>SUM(H11:H12)</f>
        <v>26870</v>
      </c>
    </row>
    <row r="16" spans="3:8">
      <c r="C16">
        <v>2019</v>
      </c>
      <c r="D16" s="703"/>
      <c r="E16" s="760" t="s">
        <v>219</v>
      </c>
      <c r="F16" s="760" t="s">
        <v>1202</v>
      </c>
      <c r="G16" s="1420" t="s">
        <v>722</v>
      </c>
      <c r="H16" s="1420" t="s">
        <v>466</v>
      </c>
    </row>
    <row r="17" spans="3:8">
      <c r="D17" s="489" t="s">
        <v>1200</v>
      </c>
      <c r="E17" s="489">
        <v>200</v>
      </c>
      <c r="F17" s="489">
        <v>6</v>
      </c>
      <c r="G17" s="904">
        <f>G11*1.05</f>
        <v>47.25</v>
      </c>
      <c r="H17" s="904">
        <f>(E17+F17)*G17</f>
        <v>9733.5</v>
      </c>
    </row>
    <row r="18" spans="3:8">
      <c r="D18" s="489" t="s">
        <v>1201</v>
      </c>
      <c r="E18" s="489">
        <v>200</v>
      </c>
      <c r="F18" s="489">
        <v>5</v>
      </c>
      <c r="G18" s="904">
        <f>G12*1.05</f>
        <v>105</v>
      </c>
      <c r="H18" s="904">
        <f>(E18+F18)*G18</f>
        <v>21525</v>
      </c>
    </row>
    <row r="19" spans="3:8">
      <c r="H19" s="827">
        <f>SUM(H17:H18)</f>
        <v>31258.5</v>
      </c>
    </row>
    <row r="21" spans="3:8">
      <c r="C21">
        <v>2020</v>
      </c>
      <c r="D21" s="703"/>
      <c r="E21" s="760" t="s">
        <v>219</v>
      </c>
      <c r="F21" s="760" t="s">
        <v>1202</v>
      </c>
      <c r="G21" s="1420" t="s">
        <v>722</v>
      </c>
      <c r="H21" s="1420" t="s">
        <v>466</v>
      </c>
    </row>
    <row r="22" spans="3:8">
      <c r="D22" s="489" t="s">
        <v>1200</v>
      </c>
      <c r="E22" s="489">
        <v>250</v>
      </c>
      <c r="F22" s="489">
        <v>6</v>
      </c>
      <c r="G22" s="904">
        <f>G17</f>
        <v>47.25</v>
      </c>
      <c r="H22" s="904">
        <f>(E22+F22)*G22</f>
        <v>12096</v>
      </c>
    </row>
    <row r="23" spans="3:8">
      <c r="D23" s="489" t="s">
        <v>1201</v>
      </c>
      <c r="E23" s="489">
        <v>200</v>
      </c>
      <c r="F23" s="489">
        <v>5</v>
      </c>
      <c r="G23" s="904">
        <f>G18</f>
        <v>105</v>
      </c>
      <c r="H23" s="904">
        <f>(E23+F23)*G23</f>
        <v>21525</v>
      </c>
    </row>
    <row r="24" spans="3:8">
      <c r="H24" s="827">
        <f>SUM(H22:H23)</f>
        <v>33621</v>
      </c>
    </row>
    <row r="27" spans="3:8">
      <c r="C27">
        <v>2021</v>
      </c>
      <c r="D27" s="703"/>
      <c r="E27" s="760" t="s">
        <v>219</v>
      </c>
      <c r="F27" s="760" t="s">
        <v>1202</v>
      </c>
      <c r="G27" s="1420" t="s">
        <v>722</v>
      </c>
      <c r="H27" s="1420" t="s">
        <v>466</v>
      </c>
    </row>
    <row r="28" spans="3:8">
      <c r="D28" s="489" t="s">
        <v>1200</v>
      </c>
      <c r="E28" s="489">
        <v>300</v>
      </c>
      <c r="F28" s="489">
        <v>6</v>
      </c>
      <c r="G28" s="904">
        <f>G22*1.01</f>
        <v>47.722500000000004</v>
      </c>
      <c r="H28" s="904">
        <f>(E28+F28)*G28</f>
        <v>14603.085000000001</v>
      </c>
    </row>
    <row r="29" spans="3:8">
      <c r="D29" s="489" t="s">
        <v>1201</v>
      </c>
      <c r="E29" s="489">
        <v>200</v>
      </c>
      <c r="F29" s="489">
        <v>5</v>
      </c>
      <c r="G29" s="904">
        <f>G23*1.01</f>
        <v>106.05</v>
      </c>
      <c r="H29" s="904">
        <f>(E29+F29)*G29</f>
        <v>21740.25</v>
      </c>
    </row>
    <row r="30" spans="3:8">
      <c r="H30" s="827">
        <f>SUM(H28:H29)</f>
        <v>36343.334999999999</v>
      </c>
    </row>
    <row r="32" spans="3:8">
      <c r="C32">
        <v>2022</v>
      </c>
      <c r="D32" s="703"/>
      <c r="E32" s="760" t="s">
        <v>219</v>
      </c>
      <c r="F32" s="760" t="s">
        <v>1202</v>
      </c>
      <c r="G32" s="1420" t="s">
        <v>722</v>
      </c>
      <c r="H32" s="1420" t="s">
        <v>466</v>
      </c>
    </row>
    <row r="33" spans="4:8">
      <c r="D33" s="489" t="s">
        <v>1200</v>
      </c>
      <c r="E33" s="489">
        <v>300</v>
      </c>
      <c r="F33" s="489">
        <v>6</v>
      </c>
      <c r="G33" s="904">
        <f>G28</f>
        <v>47.722500000000004</v>
      </c>
      <c r="H33" s="904">
        <f>(E33+F33)*G33</f>
        <v>14603.085000000001</v>
      </c>
    </row>
    <row r="34" spans="4:8">
      <c r="D34" s="489" t="s">
        <v>1201</v>
      </c>
      <c r="E34" s="489">
        <v>200</v>
      </c>
      <c r="F34" s="489">
        <v>5</v>
      </c>
      <c r="G34" s="904">
        <f>G29</f>
        <v>106.05</v>
      </c>
      <c r="H34" s="904">
        <f>(E34+F34)*G34</f>
        <v>21740.25</v>
      </c>
    </row>
    <row r="35" spans="4:8">
      <c r="H35" s="827">
        <f>SUM(H33:H34)</f>
        <v>36343.334999999999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S27"/>
  <sheetViews>
    <sheetView zoomScale="90" zoomScaleNormal="90" workbookViewId="0">
      <selection activeCell="H6" sqref="H6"/>
    </sheetView>
  </sheetViews>
  <sheetFormatPr defaultColWidth="9" defaultRowHeight="12.75"/>
  <cols>
    <col min="1" max="1" width="20.28515625" style="67" customWidth="1"/>
    <col min="2" max="7" width="9" style="67"/>
    <col min="8" max="8" width="9.5703125" style="67" customWidth="1"/>
    <col min="9" max="13" width="10.5703125" style="67" bestFit="1" customWidth="1"/>
    <col min="14" max="14" width="9" style="67"/>
    <col min="15" max="18" width="9" style="74"/>
    <col min="19" max="16384" width="9" style="67"/>
  </cols>
  <sheetData>
    <row r="2" spans="1:19" ht="13.5" thickBot="1">
      <c r="A2" s="561"/>
      <c r="B2" s="1597" t="s">
        <v>479</v>
      </c>
      <c r="C2" s="1597" t="s">
        <v>480</v>
      </c>
      <c r="D2" s="1597" t="s">
        <v>481</v>
      </c>
      <c r="E2" s="1597" t="s">
        <v>482</v>
      </c>
      <c r="F2" s="1597" t="s">
        <v>483</v>
      </c>
      <c r="G2" s="1597" t="s">
        <v>484</v>
      </c>
      <c r="H2" s="562" t="s">
        <v>485</v>
      </c>
      <c r="I2" s="562" t="s">
        <v>486</v>
      </c>
      <c r="J2" s="562" t="s">
        <v>487</v>
      </c>
      <c r="K2" s="562" t="s">
        <v>488</v>
      </c>
      <c r="L2" s="562" t="s">
        <v>489</v>
      </c>
      <c r="M2" s="562" t="s">
        <v>490</v>
      </c>
      <c r="O2" s="562" t="s">
        <v>502</v>
      </c>
      <c r="P2" s="562" t="s">
        <v>503</v>
      </c>
      <c r="Q2" s="562" t="s">
        <v>504</v>
      </c>
      <c r="R2" s="562" t="s">
        <v>505</v>
      </c>
    </row>
    <row r="3" spans="1:19" ht="13.5" thickTop="1">
      <c r="A3" s="67" t="s">
        <v>491</v>
      </c>
      <c r="B3" s="499">
        <v>10030</v>
      </c>
      <c r="C3" s="499">
        <v>10030</v>
      </c>
      <c r="D3" s="499">
        <v>10388</v>
      </c>
      <c r="E3" s="499">
        <v>10553</v>
      </c>
      <c r="F3" s="499">
        <v>11421</v>
      </c>
      <c r="G3" s="499">
        <v>12864</v>
      </c>
      <c r="H3" s="1640">
        <f>G3-G3*$B$20+H5+H6</f>
        <v>13558.52</v>
      </c>
      <c r="I3" s="1640">
        <f t="shared" ref="I3:M3" si="0">H3-H3*$B$20+I5+I6</f>
        <v>14224.4236</v>
      </c>
      <c r="J3" s="1640">
        <f t="shared" si="0"/>
        <v>15143.713948000001</v>
      </c>
      <c r="K3" s="1640">
        <f t="shared" si="0"/>
        <v>16018.65397164</v>
      </c>
      <c r="L3" s="1640">
        <f t="shared" si="0"/>
        <v>16822.348193625199</v>
      </c>
      <c r="M3" s="1640">
        <f t="shared" si="0"/>
        <v>17569.783820071436</v>
      </c>
      <c r="O3" s="507">
        <f>AVERAGE(B3:D3)</f>
        <v>10149.333333333334</v>
      </c>
      <c r="P3" s="507">
        <f>AVERAGE(E3:G3)</f>
        <v>11612.666666666666</v>
      </c>
      <c r="Q3" s="507">
        <f>AVERAGE(H3:J3)</f>
        <v>14308.885849333334</v>
      </c>
      <c r="R3" s="507">
        <f>AVERAGE(K3:M3)</f>
        <v>16803.595328445546</v>
      </c>
    </row>
    <row r="4" spans="1:19">
      <c r="A4" s="67" t="s">
        <v>617</v>
      </c>
      <c r="B4" s="499">
        <f>SUM(B23:B27)</f>
        <v>1994</v>
      </c>
      <c r="C4" s="499">
        <f t="shared" ref="C4:G4" si="1">SUM(C23:C27)</f>
        <v>2113</v>
      </c>
      <c r="D4" s="499">
        <f t="shared" si="1"/>
        <v>2116</v>
      </c>
      <c r="E4" s="499">
        <f t="shared" si="1"/>
        <v>1947</v>
      </c>
      <c r="F4" s="499">
        <f t="shared" si="1"/>
        <v>1999</v>
      </c>
      <c r="G4" s="499">
        <f t="shared" si="1"/>
        <v>1972</v>
      </c>
      <c r="H4" s="499">
        <v>2071.9648378944012</v>
      </c>
      <c r="I4" s="499">
        <v>2188.0217551482751</v>
      </c>
      <c r="J4" s="499">
        <v>2331.1422846074338</v>
      </c>
      <c r="K4" s="499">
        <v>2260.6748094943919</v>
      </c>
      <c r="L4" s="499">
        <v>2380.5711328942421</v>
      </c>
      <c r="M4" s="499">
        <v>2508.4328014594726</v>
      </c>
      <c r="O4" s="507">
        <f>AVERAGE(B4:D4)</f>
        <v>2074.3333333333335</v>
      </c>
      <c r="P4" s="507">
        <f>AVERAGE(E4:G4)</f>
        <v>1972.6666666666667</v>
      </c>
      <c r="Q4" s="507">
        <f>AVERAGE(H4:J4)</f>
        <v>2197.0429592167034</v>
      </c>
      <c r="R4" s="507">
        <f>AVERAGE(K4:M4)</f>
        <v>2383.2262479493688</v>
      </c>
    </row>
    <row r="5" spans="1:19">
      <c r="A5" s="67" t="s">
        <v>492</v>
      </c>
      <c r="B5" s="67">
        <v>78</v>
      </c>
      <c r="C5" s="67">
        <v>131</v>
      </c>
      <c r="D5" s="67">
        <v>59</v>
      </c>
      <c r="E5" s="67">
        <v>55</v>
      </c>
      <c r="F5" s="67">
        <v>53</v>
      </c>
      <c r="G5" s="67">
        <v>54</v>
      </c>
      <c r="H5" s="67">
        <v>55</v>
      </c>
      <c r="I5" s="67">
        <v>55</v>
      </c>
      <c r="J5" s="67">
        <v>55</v>
      </c>
      <c r="K5" s="67">
        <v>55</v>
      </c>
      <c r="L5" s="67">
        <v>45</v>
      </c>
      <c r="M5" s="67">
        <v>45</v>
      </c>
      <c r="O5" s="74">
        <f>SUM(B5:D5)</f>
        <v>268</v>
      </c>
      <c r="P5" s="74">
        <f>SUM(E5:G5)</f>
        <v>162</v>
      </c>
      <c r="Q5" s="74">
        <f>SUM(H5:J5)</f>
        <v>165</v>
      </c>
      <c r="R5" s="74">
        <f>SUM(K5:M5)</f>
        <v>145</v>
      </c>
    </row>
    <row r="6" spans="1:19">
      <c r="A6" s="67" t="s">
        <v>493</v>
      </c>
      <c r="B6" s="499">
        <v>431</v>
      </c>
      <c r="C6" s="499">
        <v>919</v>
      </c>
      <c r="D6" s="499">
        <v>1151</v>
      </c>
      <c r="E6" s="499">
        <v>905</v>
      </c>
      <c r="F6" s="499">
        <v>899</v>
      </c>
      <c r="G6" s="499">
        <v>1684</v>
      </c>
      <c r="H6" s="1640">
        <v>1540</v>
      </c>
      <c r="I6" s="1640">
        <v>1560</v>
      </c>
      <c r="J6" s="1640">
        <v>1860</v>
      </c>
      <c r="K6" s="1640">
        <v>1880</v>
      </c>
      <c r="L6" s="1640">
        <v>1880</v>
      </c>
      <c r="M6" s="1640">
        <v>1880</v>
      </c>
      <c r="O6" s="494">
        <f>SUM(B6:D6)</f>
        <v>2501</v>
      </c>
      <c r="P6" s="494">
        <f>SUM(E6:G6)</f>
        <v>3488</v>
      </c>
      <c r="Q6" s="494">
        <f>SUM(H6:J6)</f>
        <v>4960</v>
      </c>
      <c r="R6" s="494">
        <f>SUM(K6:M6)</f>
        <v>5640</v>
      </c>
    </row>
    <row r="7" spans="1:19">
      <c r="A7" s="67" t="s">
        <v>494</v>
      </c>
      <c r="B7" s="499">
        <v>1021</v>
      </c>
      <c r="C7" s="499">
        <v>1540</v>
      </c>
      <c r="D7" s="499">
        <v>1991</v>
      </c>
      <c r="E7" s="499">
        <v>1835</v>
      </c>
      <c r="F7" s="499">
        <v>1534</v>
      </c>
      <c r="G7" s="499">
        <v>1945</v>
      </c>
      <c r="H7" s="499">
        <f>H3*H8</f>
        <v>3017.6136984044397</v>
      </c>
      <c r="I7" s="499">
        <f t="shared" ref="I7:M7" si="2">I3*I8</f>
        <v>3209.3436749851912</v>
      </c>
      <c r="J7" s="499">
        <f t="shared" si="2"/>
        <v>3471.7985915204335</v>
      </c>
      <c r="K7" s="499">
        <f t="shared" si="2"/>
        <v>3649.7542476518615</v>
      </c>
      <c r="L7" s="499">
        <f t="shared" si="2"/>
        <v>3877.7275528080745</v>
      </c>
      <c r="M7" s="499">
        <f t="shared" si="2"/>
        <v>4106.3347222610328</v>
      </c>
      <c r="O7" s="494">
        <f>SUM(B7:D7)</f>
        <v>4552</v>
      </c>
      <c r="P7" s="494">
        <f>SUM(E7:G7)</f>
        <v>5314</v>
      </c>
      <c r="Q7" s="494">
        <f>SUM(H7:J7)</f>
        <v>9698.755964910064</v>
      </c>
      <c r="R7" s="494">
        <f>SUM(K7:M7)</f>
        <v>11633.816522720968</v>
      </c>
    </row>
    <row r="8" spans="1:19">
      <c r="A8" s="67" t="s">
        <v>495</v>
      </c>
      <c r="B8" s="96">
        <v>0.1028</v>
      </c>
      <c r="C8" s="96">
        <v>0.16289999999999999</v>
      </c>
      <c r="D8" s="96">
        <v>0.24779999999999999</v>
      </c>
      <c r="E8" s="96">
        <v>0.22570000000000001</v>
      </c>
      <c r="F8" s="96">
        <v>0.2011</v>
      </c>
      <c r="G8" s="96">
        <v>0.24410000000000001</v>
      </c>
      <c r="H8" s="96">
        <v>0.22256217480996743</v>
      </c>
      <c r="I8" s="96">
        <v>0.22562205437872304</v>
      </c>
      <c r="J8" s="96">
        <v>0.22925674662383244</v>
      </c>
      <c r="K8" s="96">
        <v>0.22784400325480014</v>
      </c>
      <c r="L8" s="96">
        <v>0.23051047976034242</v>
      </c>
      <c r="M8" s="96">
        <v>0.2337157226470836</v>
      </c>
      <c r="O8" s="508">
        <f>SUM(B7:D7)/SUM(B3:D3)</f>
        <v>0.14950078822911192</v>
      </c>
      <c r="P8" s="508">
        <f>SUM(E7:G7)/SUM(E3:G3)</f>
        <v>0.15253458866754693</v>
      </c>
      <c r="Q8" s="508">
        <f>SUM(H7:J7)/SUM(H3:J3)</f>
        <v>0.22593783254764355</v>
      </c>
      <c r="R8" s="508">
        <f>SUM(K7:M7)/SUM(K3:M3)</f>
        <v>0.23078030416159317</v>
      </c>
    </row>
    <row r="9" spans="1:19">
      <c r="A9" s="67" t="s">
        <v>496</v>
      </c>
      <c r="B9" s="560">
        <v>1.5690499510284035</v>
      </c>
      <c r="C9" s="560">
        <v>1.6109570041608876</v>
      </c>
      <c r="D9" s="560">
        <v>1.839686684073107</v>
      </c>
      <c r="E9" s="560">
        <v>1.8621509209744505</v>
      </c>
      <c r="F9" s="560">
        <v>2.2644853442399455</v>
      </c>
      <c r="G9" s="560">
        <v>1.8342161016949152</v>
      </c>
      <c r="H9" s="560">
        <f>'[1]Total Agency'!AF88</f>
        <v>1.4408486282416026</v>
      </c>
      <c r="I9" s="560">
        <f>'[1]Total Agency'!AG88</f>
        <v>1.5241608204866186</v>
      </c>
      <c r="J9" s="560">
        <f>'[1]Total Agency'!AH88</f>
        <v>1.5812574378218431</v>
      </c>
      <c r="K9" s="560">
        <f>'[1]Total Agency'!AI88</f>
        <v>1.4617330421115176</v>
      </c>
      <c r="L9" s="560">
        <f>'[1]Total Agency'!AJ88</f>
        <v>1.5267788353612097</v>
      </c>
      <c r="M9" s="560">
        <f>'[1]Total Agency'!AK88</f>
        <v>1.5853491003332512</v>
      </c>
      <c r="O9" s="492">
        <f>O11/O7</f>
        <v>1.6362038664323375</v>
      </c>
      <c r="P9" s="492">
        <f t="shared" ref="P9:R9" si="3">P11/P7</f>
        <v>1.8665788483251788</v>
      </c>
      <c r="Q9" s="492">
        <f t="shared" si="3"/>
        <v>1.2912077003018669</v>
      </c>
      <c r="R9" s="492">
        <f t="shared" si="3"/>
        <v>1.2632836998685191</v>
      </c>
    </row>
    <row r="10" spans="1:19">
      <c r="A10" s="67" t="s">
        <v>497</v>
      </c>
      <c r="B10" s="498">
        <v>15.998877028714109</v>
      </c>
      <c r="C10" s="498">
        <v>17.633878605251844</v>
      </c>
      <c r="D10" s="498">
        <v>16.27700823162078</v>
      </c>
      <c r="E10" s="498">
        <v>16.338615826419922</v>
      </c>
      <c r="F10" s="498">
        <v>15.997113184828416</v>
      </c>
      <c r="G10" s="498">
        <v>16.78414091827895</v>
      </c>
      <c r="H10" s="498">
        <f>'[1]Total Agency'!AF99</f>
        <v>16.095081640269612</v>
      </c>
      <c r="I10" s="498">
        <f>'[1]Total Agency'!AG99</f>
        <v>16.070777184894332</v>
      </c>
      <c r="J10" s="498">
        <f>'[1]Total Agency'!AH99</f>
        <v>15.953615369207728</v>
      </c>
      <c r="K10" s="498">
        <f>'[1]Total Agency'!AI99</f>
        <v>16.032963006433</v>
      </c>
      <c r="L10" s="498">
        <f>'[1]Total Agency'!AJ99</f>
        <v>16.089004853403338</v>
      </c>
      <c r="M10" s="498">
        <f>'[1]Total Agency'!AK99</f>
        <v>15.984195138035355</v>
      </c>
      <c r="O10" s="493">
        <f>O12/O11</f>
        <v>16.640384801288938</v>
      </c>
      <c r="P10" s="493">
        <f t="shared" ref="P10:R10" si="4">P12/P11</f>
        <v>16.379785865510634</v>
      </c>
      <c r="Q10" s="493">
        <f t="shared" si="4"/>
        <v>16.130180605804931</v>
      </c>
      <c r="R10" s="493">
        <f t="shared" si="4"/>
        <v>16.438328261118642</v>
      </c>
    </row>
    <row r="11" spans="1:19">
      <c r="A11" s="67" t="s">
        <v>498</v>
      </c>
      <c r="B11" s="499">
        <v>1602</v>
      </c>
      <c r="C11" s="499">
        <v>2323</v>
      </c>
      <c r="D11" s="499">
        <v>3523</v>
      </c>
      <c r="E11" s="499">
        <v>3134</v>
      </c>
      <c r="F11" s="499">
        <v>3322</v>
      </c>
      <c r="G11" s="499">
        <v>3463</v>
      </c>
      <c r="H11" s="499">
        <f>'[1]Total Agency'!AF77</f>
        <v>3721.1306895084845</v>
      </c>
      <c r="I11" s="499">
        <f>'[1]Total Agency'!AG77</f>
        <v>4141.3275183915339</v>
      </c>
      <c r="J11" s="499">
        <f>'[1]Total Agency'!AH77</f>
        <v>4660.6501773405189</v>
      </c>
      <c r="K11" s="499">
        <f>'[1]Total Agency'!AI77</f>
        <v>4387.7721933164175</v>
      </c>
      <c r="L11" s="499">
        <f>'[1]Total Agency'!AJ77</f>
        <v>4846.9398353509405</v>
      </c>
      <c r="M11" s="499">
        <f>'[1]Total Agency'!AK77</f>
        <v>5462.0987517470958</v>
      </c>
      <c r="O11" s="494">
        <f>SUM(B11:D11)</f>
        <v>7448</v>
      </c>
      <c r="P11" s="494">
        <f>SUM(E11:G11)</f>
        <v>9919</v>
      </c>
      <c r="Q11" s="494">
        <f>SUM(H11:J11)</f>
        <v>12523.108385240537</v>
      </c>
      <c r="R11" s="494">
        <f>SUM(K11:M11)</f>
        <v>14696.810780414453</v>
      </c>
    </row>
    <row r="12" spans="1:19">
      <c r="A12" s="67" t="s">
        <v>499</v>
      </c>
      <c r="B12" s="499">
        <v>25630.201000000001</v>
      </c>
      <c r="C12" s="499">
        <v>40963.5</v>
      </c>
      <c r="D12" s="499">
        <v>57343.885000000002</v>
      </c>
      <c r="E12" s="499">
        <v>51205.222000000002</v>
      </c>
      <c r="F12" s="499">
        <v>53142.409</v>
      </c>
      <c r="G12" s="499">
        <v>58123.464999999997</v>
      </c>
      <c r="H12" s="1640">
        <v>60000</v>
      </c>
      <c r="I12" s="1640">
        <v>67000</v>
      </c>
      <c r="J12" s="1640">
        <v>75000</v>
      </c>
      <c r="K12" s="1640">
        <v>71000</v>
      </c>
      <c r="L12" s="1640">
        <v>80000</v>
      </c>
      <c r="M12" s="1640">
        <v>90591</v>
      </c>
      <c r="N12" s="594">
        <f>SUM(B12:M12)</f>
        <v>729999.68200000003</v>
      </c>
      <c r="O12" s="494">
        <f>SUM(B12:D12)</f>
        <v>123937.58600000001</v>
      </c>
      <c r="P12" s="494">
        <f>SUM(E12:G12)</f>
        <v>162471.09599999999</v>
      </c>
      <c r="Q12" s="494">
        <f>SUM(H12:J12)</f>
        <v>202000</v>
      </c>
      <c r="R12" s="494">
        <f>SUM(K12:M12)</f>
        <v>241591</v>
      </c>
      <c r="S12" s="725"/>
    </row>
    <row r="13" spans="1:19">
      <c r="A13" s="67" t="s">
        <v>500</v>
      </c>
      <c r="B13" s="498">
        <f>B12/B7</f>
        <v>25.10303721841332</v>
      </c>
      <c r="C13" s="498">
        <f t="shared" ref="C13:G13" si="5">C12/C7</f>
        <v>26.599675324675324</v>
      </c>
      <c r="D13" s="498">
        <f t="shared" si="5"/>
        <v>28.801549472626821</v>
      </c>
      <c r="E13" s="498">
        <f t="shared" si="5"/>
        <v>27.904753133514987</v>
      </c>
      <c r="F13" s="498">
        <f t="shared" si="5"/>
        <v>34.643030638852672</v>
      </c>
      <c r="G13" s="498">
        <f t="shared" si="5"/>
        <v>29.883529562982002</v>
      </c>
      <c r="H13" s="498">
        <f>'[1]Total Agency'!AF110</f>
        <v>23.190576302819075</v>
      </c>
      <c r="I13" s="498">
        <f>'[1]Total Agency'!AG110</f>
        <v>24.494448939986174</v>
      </c>
      <c r="J13" s="498">
        <f>'[1]Total Agency'!AH110</f>
        <v>25.226772962708591</v>
      </c>
      <c r="K13" s="498">
        <f>'[1]Total Agency'!AI110</f>
        <v>23.435911789454735</v>
      </c>
      <c r="L13" s="498">
        <f>'[1]Total Agency'!AJ110</f>
        <v>24.564352092199996</v>
      </c>
      <c r="M13" s="498">
        <f>'[1]Total Agency'!AK110</f>
        <v>25.340529381635481</v>
      </c>
      <c r="O13" s="493">
        <f>O12/O7</f>
        <v>27.227061950790862</v>
      </c>
      <c r="P13" s="493">
        <f t="shared" ref="P13:R13" si="6">P12/P7</f>
        <v>30.574161836657883</v>
      </c>
      <c r="Q13" s="493">
        <f t="shared" si="6"/>
        <v>20.827413405475156</v>
      </c>
      <c r="R13" s="493">
        <f t="shared" si="6"/>
        <v>20.766272145359192</v>
      </c>
    </row>
    <row r="14" spans="1:19">
      <c r="A14" s="67" t="s">
        <v>501</v>
      </c>
      <c r="B14" s="498">
        <f>B12/B3</f>
        <v>2.5553540378863411</v>
      </c>
      <c r="C14" s="498">
        <f t="shared" ref="C14:G14" si="7">C12/C3</f>
        <v>4.084097706879362</v>
      </c>
      <c r="D14" s="498">
        <f t="shared" si="7"/>
        <v>5.5202045629572583</v>
      </c>
      <c r="E14" s="498">
        <f t="shared" si="7"/>
        <v>4.8521957737136363</v>
      </c>
      <c r="F14" s="498">
        <f t="shared" si="7"/>
        <v>4.6530434287715607</v>
      </c>
      <c r="G14" s="498">
        <f t="shared" si="7"/>
        <v>4.5183041822139298</v>
      </c>
      <c r="H14" s="498">
        <f>'[1]Total Agency'!AF121</f>
        <v>5.1613450970519068</v>
      </c>
      <c r="I14" s="498">
        <f>'[1]Total Agency'!AG121</f>
        <v>5.5264878907144164</v>
      </c>
      <c r="J14" s="498">
        <f>'[1]Total Agency'!AH121</f>
        <v>5.7834078972486305</v>
      </c>
      <c r="K14" s="498">
        <f>'[1]Total Agency'!AI121</f>
        <v>5.3397319620357333</v>
      </c>
      <c r="L14" s="498">
        <f>'[1]Total Agency'!AJ121</f>
        <v>5.6623405857749924</v>
      </c>
      <c r="M14" s="498">
        <f>'[1]Total Agency'!AK121</f>
        <v>5.9224801366885904</v>
      </c>
      <c r="O14" s="563">
        <f>O12/(O3*3)</f>
        <v>4.0704672228060961</v>
      </c>
      <c r="P14" s="563">
        <f t="shared" ref="P14:R14" si="8">P12/(P3*3)</f>
        <v>4.6636171996096216</v>
      </c>
      <c r="Q14" s="563">
        <f t="shared" si="8"/>
        <v>4.7057006424067929</v>
      </c>
      <c r="R14" s="563">
        <f t="shared" si="8"/>
        <v>4.7924466020084147</v>
      </c>
    </row>
    <row r="15" spans="1:19">
      <c r="A15" s="67" t="s">
        <v>206</v>
      </c>
      <c r="B15" s="499">
        <v>27131.55</v>
      </c>
      <c r="C15" s="499">
        <v>40723.482300000003</v>
      </c>
      <c r="D15" s="499">
        <v>56762.074000000001</v>
      </c>
      <c r="E15" s="499">
        <v>49965.190999999999</v>
      </c>
      <c r="F15" s="499">
        <v>53646.534</v>
      </c>
      <c r="G15" s="499">
        <v>58133.574000000001</v>
      </c>
      <c r="H15" s="499">
        <f t="shared" ref="H15:M15" si="9">H12*98%</f>
        <v>58800</v>
      </c>
      <c r="I15" s="499">
        <f t="shared" si="9"/>
        <v>65660</v>
      </c>
      <c r="J15" s="499">
        <f t="shared" si="9"/>
        <v>73500</v>
      </c>
      <c r="K15" s="499">
        <f t="shared" si="9"/>
        <v>69580</v>
      </c>
      <c r="L15" s="499">
        <f t="shared" si="9"/>
        <v>78400</v>
      </c>
      <c r="M15" s="499">
        <f t="shared" si="9"/>
        <v>88779.18</v>
      </c>
      <c r="N15" s="594">
        <f>SUM(B15:M15)</f>
        <v>721081.58529999992</v>
      </c>
      <c r="O15" s="494">
        <f>SUM(B15:D15)</f>
        <v>124617.10630000001</v>
      </c>
      <c r="P15" s="494">
        <f>SUM(E15:G15)</f>
        <v>161745.299</v>
      </c>
      <c r="Q15" s="494">
        <f>SUM(H15:J15)</f>
        <v>197960</v>
      </c>
      <c r="R15" s="494">
        <f>SUM(K15:M15)</f>
        <v>236759.18</v>
      </c>
    </row>
    <row r="16" spans="1:19">
      <c r="O16" s="758"/>
      <c r="P16" s="768">
        <f>P14/O14-1</f>
        <v>0.14572036681199951</v>
      </c>
      <c r="Q16" s="768">
        <f>Q14/P14-1</f>
        <v>9.0237772518495518E-3</v>
      </c>
      <c r="R16" s="768">
        <f>R14/Q14-1</f>
        <v>1.843422822520524E-2</v>
      </c>
    </row>
    <row r="17" spans="1:18">
      <c r="O17" s="769">
        <f>O3/O4</f>
        <v>4.8928169693074075</v>
      </c>
      <c r="P17" s="769">
        <f t="shared" ref="P17:R17" si="10">P3/P4</f>
        <v>5.8867860763771542</v>
      </c>
      <c r="Q17" s="769">
        <f t="shared" si="10"/>
        <v>6.5127929289260607</v>
      </c>
      <c r="R17" s="769">
        <f t="shared" si="10"/>
        <v>7.0507763763109308</v>
      </c>
    </row>
    <row r="18" spans="1:18">
      <c r="A18" s="67" t="s">
        <v>1034</v>
      </c>
      <c r="B18" s="67">
        <v>8913.6049149999999</v>
      </c>
      <c r="C18" s="67">
        <v>13438.240889999999</v>
      </c>
      <c r="D18" s="67">
        <v>18358.636490000001</v>
      </c>
      <c r="E18" s="67">
        <v>15994.539525</v>
      </c>
      <c r="F18" s="67">
        <v>16959.788120000001</v>
      </c>
      <c r="G18" s="67">
        <v>18586.203744999999</v>
      </c>
    </row>
    <row r="20" spans="1:18">
      <c r="A20" s="67" t="s">
        <v>1498</v>
      </c>
      <c r="B20" s="96">
        <v>7.0000000000000007E-2</v>
      </c>
      <c r="H20" s="1707"/>
      <c r="I20" s="1707"/>
      <c r="J20" s="1707"/>
      <c r="K20" s="1707"/>
      <c r="L20" s="1707"/>
      <c r="M20" s="1707"/>
    </row>
    <row r="23" spans="1:18">
      <c r="A23" s="67" t="s">
        <v>1262</v>
      </c>
      <c r="B23" s="67">
        <v>338</v>
      </c>
      <c r="C23" s="67">
        <v>369</v>
      </c>
      <c r="D23" s="67">
        <v>412</v>
      </c>
      <c r="E23" s="67">
        <v>426</v>
      </c>
      <c r="F23" s="67">
        <v>459</v>
      </c>
      <c r="G23" s="67">
        <v>467</v>
      </c>
    </row>
    <row r="24" spans="1:18">
      <c r="A24" s="67" t="s">
        <v>628</v>
      </c>
      <c r="B24" s="67">
        <v>1078</v>
      </c>
      <c r="C24" s="67">
        <v>1137</v>
      </c>
      <c r="D24" s="67">
        <v>1116</v>
      </c>
      <c r="E24" s="67">
        <v>938</v>
      </c>
      <c r="F24" s="67">
        <v>955</v>
      </c>
      <c r="G24" s="67">
        <v>950</v>
      </c>
    </row>
    <row r="25" spans="1:18">
      <c r="A25" s="67" t="s">
        <v>913</v>
      </c>
      <c r="B25" s="67">
        <v>398</v>
      </c>
      <c r="C25" s="67">
        <v>410</v>
      </c>
      <c r="D25" s="67">
        <v>393</v>
      </c>
      <c r="E25" s="67">
        <v>385</v>
      </c>
      <c r="F25" s="67">
        <v>385</v>
      </c>
      <c r="G25" s="67">
        <v>359</v>
      </c>
    </row>
    <row r="26" spans="1:18">
      <c r="A26" s="67" t="s">
        <v>629</v>
      </c>
      <c r="B26" s="67">
        <v>111</v>
      </c>
      <c r="C26" s="67">
        <v>123</v>
      </c>
      <c r="D26" s="67">
        <v>122</v>
      </c>
      <c r="E26" s="67">
        <v>124</v>
      </c>
      <c r="F26" s="67">
        <v>124</v>
      </c>
      <c r="G26" s="67">
        <v>122</v>
      </c>
    </row>
    <row r="27" spans="1:18">
      <c r="A27" s="67" t="s">
        <v>1116</v>
      </c>
      <c r="B27" s="67">
        <v>69</v>
      </c>
      <c r="C27" s="67">
        <v>74</v>
      </c>
      <c r="D27" s="67">
        <v>73</v>
      </c>
      <c r="E27" s="67">
        <v>74</v>
      </c>
      <c r="F27" s="67">
        <v>76</v>
      </c>
      <c r="G27" s="67">
        <v>74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AM418"/>
  <sheetViews>
    <sheetView showGridLines="0" topLeftCell="I1" zoomScale="80" zoomScaleNormal="80" workbookViewId="0">
      <selection activeCell="I36" sqref="I33:I36"/>
    </sheetView>
  </sheetViews>
  <sheetFormatPr defaultColWidth="9" defaultRowHeight="15"/>
  <cols>
    <col min="1" max="1" width="2.140625" style="141" customWidth="1"/>
    <col min="2" max="3" width="9" style="141"/>
    <col min="4" max="4" width="11.42578125" style="141" customWidth="1"/>
    <col min="5" max="5" width="11" style="141" customWidth="1"/>
    <col min="6" max="7" width="11.42578125" style="141" customWidth="1"/>
    <col min="8" max="8" width="9" style="141"/>
    <col min="9" max="9" width="10.7109375" style="141" customWidth="1"/>
    <col min="10" max="10" width="9" style="141"/>
    <col min="11" max="14" width="9" style="141" customWidth="1"/>
    <col min="15" max="15" width="2.28515625" style="142" customWidth="1"/>
    <col min="16" max="16" width="9" style="143"/>
    <col min="17" max="16384" width="9" style="141"/>
  </cols>
  <sheetData>
    <row r="2" spans="2:29" ht="18.75">
      <c r="B2" s="694" t="s">
        <v>0</v>
      </c>
    </row>
    <row r="4" spans="2:29" s="145" customFormat="1" ht="22.5" customHeight="1">
      <c r="B4" s="144" t="s">
        <v>189</v>
      </c>
      <c r="O4" s="146"/>
      <c r="P4" s="147" t="s">
        <v>190</v>
      </c>
    </row>
    <row r="6" spans="2:29" s="149" customFormat="1" ht="17.25" customHeight="1">
      <c r="B6" s="148" t="s">
        <v>181</v>
      </c>
      <c r="O6" s="150"/>
      <c r="P6" s="151" t="s">
        <v>181</v>
      </c>
      <c r="Q6" s="152"/>
      <c r="R6" s="153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2:29">
      <c r="B7" s="154"/>
    </row>
    <row r="8" spans="2:29">
      <c r="B8" s="155" t="s">
        <v>25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</row>
    <row r="9" spans="2:29">
      <c r="B9" s="158"/>
      <c r="C9" s="39" t="s">
        <v>26</v>
      </c>
      <c r="D9" s="39"/>
      <c r="E9" s="39"/>
      <c r="F9" s="39"/>
      <c r="G9" s="156"/>
      <c r="H9" s="156"/>
      <c r="I9" s="156"/>
      <c r="J9" s="156"/>
      <c r="K9" s="156"/>
      <c r="L9" s="156"/>
      <c r="M9" s="156"/>
      <c r="N9" s="156"/>
      <c r="O9" s="157"/>
    </row>
    <row r="10" spans="2:29">
      <c r="B10" s="158"/>
      <c r="C10" s="39" t="s">
        <v>27</v>
      </c>
      <c r="D10" s="39"/>
      <c r="E10" s="39"/>
      <c r="F10" s="156"/>
      <c r="G10" s="156"/>
      <c r="H10" s="156"/>
      <c r="I10" s="156"/>
      <c r="J10" s="156"/>
      <c r="K10" s="156"/>
      <c r="L10" s="156"/>
      <c r="M10" s="156"/>
      <c r="N10" s="156"/>
      <c r="O10" s="157"/>
    </row>
    <row r="11" spans="2:29">
      <c r="B11" s="158"/>
      <c r="C11" s="39"/>
      <c r="D11" s="39" t="s">
        <v>351</v>
      </c>
      <c r="E11" s="39"/>
      <c r="F11" s="156"/>
      <c r="G11" s="156"/>
      <c r="H11" s="156"/>
      <c r="I11" s="156"/>
      <c r="J11" s="156"/>
      <c r="K11" s="156"/>
      <c r="L11" s="156"/>
      <c r="M11" s="156"/>
      <c r="N11" s="156"/>
      <c r="O11" s="157"/>
    </row>
    <row r="12" spans="2:29">
      <c r="B12" s="158"/>
      <c r="C12" s="39"/>
      <c r="D12" s="39" t="s">
        <v>29</v>
      </c>
      <c r="E12" s="39"/>
      <c r="F12" s="156"/>
      <c r="G12" s="156"/>
      <c r="H12" s="156"/>
      <c r="I12" s="156"/>
      <c r="J12" s="156"/>
      <c r="K12" s="156"/>
      <c r="L12" s="156"/>
      <c r="M12" s="156"/>
      <c r="N12" s="156"/>
      <c r="O12" s="157"/>
    </row>
    <row r="13" spans="2:29">
      <c r="B13" s="158"/>
      <c r="C13" s="39" t="s">
        <v>352</v>
      </c>
      <c r="D13" s="39"/>
      <c r="E13" s="39"/>
      <c r="F13" s="39"/>
      <c r="G13" s="156"/>
      <c r="H13" s="156"/>
      <c r="I13" s="156"/>
      <c r="J13" s="156"/>
      <c r="K13" s="156"/>
      <c r="L13" s="156"/>
      <c r="M13" s="156"/>
      <c r="N13" s="156"/>
      <c r="O13" s="157"/>
    </row>
    <row r="14" spans="2:29">
      <c r="B14" s="158"/>
      <c r="C14" s="39"/>
      <c r="D14" s="39" t="s">
        <v>527</v>
      </c>
      <c r="E14" s="39"/>
      <c r="F14" s="39"/>
      <c r="G14" s="156"/>
      <c r="H14" s="156"/>
      <c r="I14" s="156"/>
      <c r="J14" s="156"/>
      <c r="K14" s="156"/>
      <c r="L14" s="156"/>
      <c r="M14" s="156"/>
      <c r="N14" s="156"/>
      <c r="O14" s="157"/>
    </row>
    <row r="15" spans="2:29">
      <c r="B15" s="158"/>
      <c r="C15" s="39"/>
      <c r="D15" s="39" t="s">
        <v>528</v>
      </c>
      <c r="E15" s="39"/>
      <c r="F15" s="39"/>
      <c r="G15" s="156"/>
      <c r="H15" s="156"/>
      <c r="I15" s="156"/>
      <c r="J15" s="156"/>
      <c r="K15" s="156"/>
      <c r="L15" s="156"/>
      <c r="M15" s="156"/>
      <c r="N15" s="156"/>
      <c r="O15" s="157"/>
    </row>
    <row r="16" spans="2:29">
      <c r="B16" s="158"/>
      <c r="C16" s="39"/>
      <c r="D16" s="39" t="s">
        <v>529</v>
      </c>
      <c r="E16" s="39"/>
      <c r="F16" s="39"/>
      <c r="G16" s="156"/>
      <c r="H16" s="156"/>
      <c r="I16" s="156"/>
      <c r="J16" s="156"/>
      <c r="K16" s="156"/>
      <c r="L16" s="156"/>
      <c r="M16" s="156"/>
      <c r="N16" s="156"/>
      <c r="O16" s="157"/>
    </row>
    <row r="17" spans="2:39">
      <c r="B17" s="158"/>
      <c r="C17" s="39"/>
      <c r="D17" s="39" t="s">
        <v>530</v>
      </c>
      <c r="E17" s="39"/>
      <c r="F17" s="39"/>
      <c r="G17" s="156"/>
      <c r="H17" s="156"/>
      <c r="I17" s="156"/>
      <c r="J17" s="156"/>
      <c r="K17" s="156"/>
      <c r="L17" s="156"/>
      <c r="M17" s="156"/>
      <c r="N17" s="156"/>
      <c r="O17" s="157"/>
    </row>
    <row r="18" spans="2:39">
      <c r="B18" s="158"/>
      <c r="C18" s="39" t="s">
        <v>183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7"/>
    </row>
    <row r="19" spans="2:39">
      <c r="B19" s="156"/>
      <c r="C19" s="156"/>
      <c r="D19" s="39" t="s">
        <v>182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7"/>
      <c r="R19" s="159"/>
      <c r="S19" s="159"/>
      <c r="T19" s="159"/>
      <c r="U19" s="159"/>
      <c r="V19" s="159"/>
      <c r="W19" s="159"/>
      <c r="X19" s="159"/>
      <c r="Y19" s="160"/>
      <c r="Z19" s="161"/>
      <c r="AA19" s="159"/>
      <c r="AB19" s="159"/>
      <c r="AC19" s="159"/>
      <c r="AD19" s="159"/>
      <c r="AE19" s="159"/>
      <c r="AK19" s="159"/>
      <c r="AL19" s="159"/>
      <c r="AM19" s="159"/>
    </row>
    <row r="20" spans="2:39">
      <c r="B20" s="156"/>
      <c r="C20" s="156"/>
      <c r="D20" s="39" t="s">
        <v>184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7"/>
      <c r="R20" s="159"/>
      <c r="S20" s="159"/>
      <c r="T20" s="159"/>
      <c r="U20" s="159"/>
      <c r="V20" s="159"/>
      <c r="W20" s="159"/>
      <c r="X20" s="159"/>
      <c r="Y20" s="160"/>
      <c r="Z20" s="161"/>
      <c r="AA20" s="159"/>
      <c r="AB20" s="159"/>
      <c r="AC20" s="159"/>
      <c r="AD20" s="159"/>
      <c r="AE20" s="159"/>
      <c r="AK20" s="159"/>
      <c r="AL20" s="159"/>
      <c r="AM20" s="159"/>
    </row>
    <row r="21" spans="2:39">
      <c r="B21" s="156"/>
      <c r="C21" s="39" t="s">
        <v>356</v>
      </c>
      <c r="D21" s="39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7"/>
      <c r="R21" s="159"/>
      <c r="S21" s="159"/>
      <c r="T21" s="159"/>
      <c r="U21" s="159"/>
      <c r="V21" s="159"/>
      <c r="W21" s="159"/>
      <c r="X21" s="159"/>
      <c r="Y21" s="160"/>
      <c r="Z21" s="161"/>
      <c r="AA21" s="159"/>
      <c r="AB21" s="159"/>
      <c r="AC21" s="159"/>
      <c r="AD21" s="159"/>
      <c r="AE21" s="159"/>
      <c r="AK21" s="159"/>
      <c r="AL21" s="159"/>
      <c r="AM21" s="159"/>
    </row>
    <row r="22" spans="2:39">
      <c r="B22" s="156"/>
      <c r="C22" s="39"/>
      <c r="D22" s="39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7"/>
      <c r="R22" s="159"/>
      <c r="S22" s="159"/>
      <c r="T22" s="159"/>
      <c r="U22" s="159"/>
      <c r="V22" s="159"/>
      <c r="W22" s="159"/>
      <c r="X22" s="159"/>
      <c r="Y22" s="160"/>
      <c r="Z22" s="161"/>
      <c r="AA22" s="159"/>
      <c r="AB22" s="159"/>
      <c r="AC22" s="159"/>
      <c r="AD22" s="159"/>
      <c r="AE22" s="159"/>
      <c r="AK22" s="159"/>
      <c r="AL22" s="159"/>
      <c r="AM22" s="159"/>
    </row>
    <row r="23" spans="2:39">
      <c r="D23" s="7"/>
      <c r="R23" s="159"/>
      <c r="S23" s="159"/>
      <c r="T23" s="159"/>
      <c r="U23" s="159"/>
      <c r="V23" s="159"/>
      <c r="W23" s="159"/>
      <c r="X23" s="159"/>
      <c r="Y23" s="160"/>
      <c r="Z23" s="161"/>
      <c r="AA23" s="159"/>
      <c r="AB23" s="159"/>
      <c r="AC23" s="159"/>
      <c r="AD23" s="159"/>
      <c r="AE23" s="159"/>
      <c r="AK23" s="159"/>
      <c r="AL23" s="159"/>
      <c r="AM23" s="159"/>
    </row>
    <row r="24" spans="2:39">
      <c r="B24" s="161" t="s">
        <v>2</v>
      </c>
      <c r="C24" s="159"/>
      <c r="D24" s="159"/>
      <c r="E24" s="159"/>
      <c r="F24" s="159"/>
      <c r="G24" s="159"/>
      <c r="H24" s="159"/>
      <c r="I24" s="159"/>
      <c r="Q24" s="161" t="s">
        <v>2</v>
      </c>
      <c r="R24" s="159"/>
      <c r="S24" s="159"/>
      <c r="T24" s="159"/>
      <c r="U24" s="159"/>
      <c r="V24" s="159"/>
      <c r="W24" s="159"/>
      <c r="X24" s="159"/>
      <c r="Y24" s="160"/>
      <c r="Z24" s="159"/>
      <c r="AA24" s="159"/>
      <c r="AB24" s="159"/>
      <c r="AC24" s="159"/>
      <c r="AD24" s="159"/>
      <c r="AE24" s="159"/>
      <c r="AK24" s="159"/>
      <c r="AL24" s="159"/>
      <c r="AM24" s="159"/>
    </row>
    <row r="25" spans="2:39">
      <c r="B25" s="162" t="s">
        <v>3</v>
      </c>
      <c r="C25" s="159"/>
      <c r="D25" s="159"/>
      <c r="E25" s="159"/>
      <c r="F25" s="159"/>
      <c r="G25" s="159"/>
      <c r="H25" s="159"/>
      <c r="I25" s="159"/>
      <c r="Q25" s="162" t="s">
        <v>3</v>
      </c>
      <c r="S25" s="159"/>
      <c r="T25" s="159"/>
      <c r="U25" s="159"/>
      <c r="V25" s="159"/>
      <c r="W25" s="159"/>
      <c r="X25" s="159"/>
      <c r="Y25" s="160"/>
      <c r="Z25" s="163"/>
      <c r="AA25" s="163"/>
      <c r="AB25" s="159"/>
      <c r="AC25" s="159"/>
      <c r="AD25" s="159"/>
      <c r="AE25" s="159"/>
      <c r="AK25" s="159"/>
      <c r="AL25" s="159"/>
      <c r="AM25" s="159"/>
    </row>
    <row r="26" spans="2:39">
      <c r="B26" s="164" t="s">
        <v>30</v>
      </c>
      <c r="C26" s="159"/>
      <c r="D26" s="159"/>
      <c r="E26" s="159"/>
      <c r="F26" s="159"/>
      <c r="G26" s="159"/>
      <c r="H26" s="159"/>
      <c r="I26" s="159"/>
      <c r="Q26" s="164" t="s">
        <v>30</v>
      </c>
      <c r="R26" s="159"/>
      <c r="S26" s="159"/>
      <c r="T26" s="159"/>
      <c r="U26" s="159"/>
      <c r="V26" s="159"/>
      <c r="W26" s="159"/>
      <c r="X26" s="159"/>
      <c r="Y26" s="160"/>
      <c r="Z26" s="159"/>
      <c r="AA26" s="159"/>
      <c r="AB26" s="159"/>
      <c r="AC26" s="159"/>
      <c r="AD26" s="159"/>
      <c r="AE26" s="159"/>
      <c r="AK26" s="159"/>
      <c r="AL26" s="159"/>
      <c r="AM26" s="159"/>
    </row>
    <row r="27" spans="2:39">
      <c r="B27" s="164"/>
      <c r="C27" s="159"/>
      <c r="D27" s="159"/>
      <c r="E27" s="159"/>
      <c r="F27" s="159"/>
      <c r="G27" s="159"/>
      <c r="H27" s="159"/>
      <c r="I27" s="159"/>
      <c r="Q27" s="164"/>
      <c r="R27" s="159"/>
      <c r="S27" s="159"/>
      <c r="T27" s="159"/>
      <c r="U27" s="159"/>
      <c r="V27" s="159"/>
      <c r="W27" s="159"/>
      <c r="X27" s="159"/>
      <c r="Y27" s="160"/>
      <c r="Z27" s="159"/>
      <c r="AA27" s="159"/>
      <c r="AB27" s="159"/>
      <c r="AC27" s="159"/>
      <c r="AD27" s="159"/>
      <c r="AE27" s="159"/>
      <c r="AK27" s="159"/>
      <c r="AL27" s="159"/>
      <c r="AM27" s="159"/>
    </row>
    <row r="28" spans="2:39">
      <c r="B28" s="161" t="s">
        <v>4</v>
      </c>
      <c r="C28" s="159"/>
      <c r="D28" s="159"/>
      <c r="E28" s="159"/>
      <c r="F28" s="159"/>
      <c r="G28" s="159"/>
      <c r="H28" s="159"/>
      <c r="I28" s="159"/>
      <c r="Q28" s="161" t="s">
        <v>4</v>
      </c>
      <c r="R28" s="159"/>
      <c r="S28" s="159"/>
      <c r="T28" s="159"/>
      <c r="U28" s="159"/>
      <c r="V28" s="159"/>
      <c r="W28" s="159"/>
      <c r="X28" s="159"/>
      <c r="Y28" s="160"/>
      <c r="Z28" s="159"/>
      <c r="AA28" s="159"/>
      <c r="AB28" s="159"/>
      <c r="AC28" s="159"/>
      <c r="AD28" s="159"/>
      <c r="AE28" s="159"/>
      <c r="AK28" s="159"/>
      <c r="AL28" s="159"/>
      <c r="AM28" s="159"/>
    </row>
    <row r="29" spans="2:39">
      <c r="B29" s="162" t="s">
        <v>5</v>
      </c>
      <c r="C29" s="159"/>
      <c r="D29" s="159"/>
      <c r="E29" s="159"/>
      <c r="F29" s="159"/>
      <c r="G29" s="159"/>
      <c r="H29" s="159"/>
      <c r="I29" s="159"/>
      <c r="Q29" s="162" t="s">
        <v>5</v>
      </c>
      <c r="R29" s="159"/>
      <c r="S29" s="159"/>
      <c r="T29" s="159"/>
      <c r="U29" s="159"/>
      <c r="V29" s="159"/>
      <c r="W29" s="159"/>
      <c r="X29" s="159"/>
      <c r="Y29" s="160"/>
      <c r="Z29" s="163"/>
      <c r="AA29" s="163"/>
      <c r="AB29" s="159"/>
      <c r="AC29" s="159"/>
      <c r="AD29" s="159"/>
      <c r="AE29" s="159"/>
      <c r="AK29" s="159"/>
      <c r="AL29" s="159"/>
      <c r="AM29" s="159"/>
    </row>
    <row r="30" spans="2:39">
      <c r="B30" s="164" t="s">
        <v>22</v>
      </c>
      <c r="C30" s="159"/>
      <c r="D30" s="159"/>
      <c r="E30" s="159"/>
      <c r="F30" s="159"/>
      <c r="G30" s="159"/>
      <c r="H30" s="159"/>
      <c r="I30" s="159"/>
      <c r="Q30" s="164" t="s">
        <v>22</v>
      </c>
      <c r="R30" s="159"/>
      <c r="S30" s="159"/>
      <c r="T30" s="159"/>
      <c r="U30" s="159"/>
      <c r="V30" s="159"/>
      <c r="W30" s="159"/>
      <c r="X30" s="159"/>
      <c r="Y30" s="160"/>
      <c r="Z30" s="159"/>
      <c r="AA30" s="159"/>
      <c r="AB30" s="159"/>
      <c r="AC30" s="159"/>
      <c r="AD30" s="159"/>
      <c r="AE30" s="159"/>
      <c r="AK30" s="159"/>
      <c r="AL30" s="159"/>
      <c r="AM30" s="159"/>
    </row>
    <row r="31" spans="2:39">
      <c r="B31" s="159"/>
      <c r="C31" s="165" t="s">
        <v>20</v>
      </c>
      <c r="D31" s="1846" t="s">
        <v>13</v>
      </c>
      <c r="E31" s="1847"/>
      <c r="F31" s="1858" t="s">
        <v>354</v>
      </c>
      <c r="G31" s="1859"/>
      <c r="H31" s="1860"/>
      <c r="I31" s="159"/>
      <c r="Q31" s="159"/>
      <c r="R31" s="165" t="s">
        <v>20</v>
      </c>
      <c r="S31" s="1853" t="s">
        <v>13</v>
      </c>
      <c r="T31" s="1853"/>
      <c r="U31" s="166" t="s">
        <v>21</v>
      </c>
      <c r="V31" s="159"/>
      <c r="W31" s="159"/>
      <c r="X31" s="159"/>
      <c r="Y31" s="160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</row>
    <row r="32" spans="2:39" ht="35.25" customHeight="1">
      <c r="B32" s="159"/>
      <c r="C32" s="167"/>
      <c r="D32" s="1854" t="s">
        <v>16</v>
      </c>
      <c r="E32" s="1855"/>
      <c r="F32" s="168" t="s">
        <v>461</v>
      </c>
      <c r="G32" s="488" t="s">
        <v>462</v>
      </c>
      <c r="H32" s="488" t="s">
        <v>463</v>
      </c>
      <c r="I32" s="159"/>
      <c r="Q32" s="159"/>
      <c r="R32" s="167"/>
      <c r="S32" s="1856" t="s">
        <v>16</v>
      </c>
      <c r="T32" s="1856"/>
      <c r="U32" s="169" t="s">
        <v>15</v>
      </c>
      <c r="V32" s="159"/>
      <c r="W32" s="159"/>
      <c r="X32" s="159"/>
      <c r="Y32" s="160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</row>
    <row r="33" spans="2:39">
      <c r="B33" s="159"/>
      <c r="C33" s="170">
        <v>6</v>
      </c>
      <c r="D33" s="1846">
        <v>180</v>
      </c>
      <c r="E33" s="1847"/>
      <c r="F33" s="171">
        <v>0.45</v>
      </c>
      <c r="G33" s="172">
        <v>0.5</v>
      </c>
      <c r="H33" s="172">
        <v>0.55000000000000004</v>
      </c>
      <c r="I33" s="487">
        <f>D33/S33-1</f>
        <v>9.0909090909090828E-2</v>
      </c>
      <c r="Q33" s="159"/>
      <c r="R33" s="170">
        <v>5</v>
      </c>
      <c r="S33" s="1853">
        <v>165</v>
      </c>
      <c r="T33" s="1853"/>
      <c r="U33" s="171">
        <v>0.5</v>
      </c>
      <c r="V33" s="159"/>
      <c r="W33" s="159"/>
      <c r="X33" s="159"/>
      <c r="Y33" s="160"/>
      <c r="AK33" s="159"/>
      <c r="AL33" s="159"/>
      <c r="AM33" s="159"/>
    </row>
    <row r="34" spans="2:39">
      <c r="B34" s="159"/>
      <c r="C34" s="170">
        <v>5</v>
      </c>
      <c r="D34" s="1848">
        <v>130</v>
      </c>
      <c r="E34" s="1849"/>
      <c r="F34" s="171">
        <v>0.35</v>
      </c>
      <c r="G34" s="172">
        <v>0.4</v>
      </c>
      <c r="H34" s="172">
        <v>0.45</v>
      </c>
      <c r="I34" s="487">
        <f t="shared" ref="I34:I36" si="0">D34/S34-1</f>
        <v>8.3333333333333259E-2</v>
      </c>
      <c r="Q34" s="159"/>
      <c r="R34" s="170">
        <v>4</v>
      </c>
      <c r="S34" s="1857">
        <v>120</v>
      </c>
      <c r="T34" s="1857"/>
      <c r="U34" s="171">
        <v>0.4</v>
      </c>
      <c r="V34" s="159"/>
      <c r="W34" s="159"/>
      <c r="X34" s="159"/>
      <c r="Y34" s="160"/>
      <c r="AK34" s="159"/>
      <c r="AL34" s="159"/>
      <c r="AM34" s="159"/>
    </row>
    <row r="35" spans="2:39">
      <c r="B35" s="159"/>
      <c r="C35" s="170">
        <v>4</v>
      </c>
      <c r="D35" s="1848">
        <v>90</v>
      </c>
      <c r="E35" s="1849"/>
      <c r="F35" s="171">
        <v>0.25</v>
      </c>
      <c r="G35" s="172">
        <v>0.3</v>
      </c>
      <c r="H35" s="172">
        <v>0.35</v>
      </c>
      <c r="I35" s="487">
        <f t="shared" si="0"/>
        <v>0.125</v>
      </c>
      <c r="Q35" s="159"/>
      <c r="R35" s="170">
        <v>3</v>
      </c>
      <c r="S35" s="1857">
        <v>80</v>
      </c>
      <c r="T35" s="1857"/>
      <c r="U35" s="171">
        <v>0.3</v>
      </c>
      <c r="V35" s="159"/>
      <c r="W35" s="159"/>
      <c r="X35" s="159"/>
      <c r="Y35" s="160"/>
      <c r="AK35" s="159"/>
      <c r="AL35" s="159"/>
      <c r="AM35" s="159"/>
    </row>
    <row r="36" spans="2:39">
      <c r="B36" s="159"/>
      <c r="C36" s="170">
        <v>3</v>
      </c>
      <c r="D36" s="1848">
        <v>50</v>
      </c>
      <c r="E36" s="1849"/>
      <c r="F36" s="171">
        <v>0.15</v>
      </c>
      <c r="G36" s="172">
        <v>0.2</v>
      </c>
      <c r="H36" s="172">
        <v>0.25</v>
      </c>
      <c r="I36" s="487">
        <f t="shared" si="0"/>
        <v>0.11111111111111116</v>
      </c>
      <c r="Q36" s="159"/>
      <c r="R36" s="170">
        <v>2</v>
      </c>
      <c r="S36" s="1857">
        <v>45</v>
      </c>
      <c r="T36" s="1857"/>
      <c r="U36" s="171">
        <v>0.2</v>
      </c>
      <c r="V36" s="159"/>
      <c r="W36" s="159"/>
      <c r="X36" s="159"/>
      <c r="Y36" s="160"/>
      <c r="AK36" s="159"/>
      <c r="AL36" s="159"/>
      <c r="AM36" s="159"/>
    </row>
    <row r="37" spans="2:39">
      <c r="B37" s="143"/>
      <c r="C37" s="173">
        <v>2</v>
      </c>
      <c r="D37" s="1850">
        <v>30</v>
      </c>
      <c r="E37" s="1851"/>
      <c r="F37" s="171">
        <v>0.1</v>
      </c>
      <c r="G37" s="174">
        <v>0.15</v>
      </c>
      <c r="H37" s="174">
        <v>0.2</v>
      </c>
      <c r="I37" s="486"/>
      <c r="Q37" s="159"/>
      <c r="R37" s="175">
        <v>1</v>
      </c>
      <c r="S37" s="1856">
        <v>15</v>
      </c>
      <c r="T37" s="1856"/>
      <c r="U37" s="176">
        <v>0.1</v>
      </c>
      <c r="V37" s="159"/>
      <c r="W37" s="159"/>
      <c r="X37" s="159"/>
      <c r="Y37" s="160"/>
      <c r="AK37" s="159"/>
      <c r="AL37" s="159"/>
      <c r="AM37" s="159"/>
    </row>
    <row r="38" spans="2:39">
      <c r="B38" s="159"/>
      <c r="C38" s="175">
        <v>1</v>
      </c>
      <c r="D38" s="1854">
        <v>15</v>
      </c>
      <c r="E38" s="1855"/>
      <c r="F38" s="176">
        <v>0.08</v>
      </c>
      <c r="G38" s="177">
        <v>0.1</v>
      </c>
      <c r="H38" s="177">
        <v>0.12</v>
      </c>
      <c r="I38" s="159"/>
      <c r="Q38" s="159"/>
      <c r="R38" s="163" t="s">
        <v>23</v>
      </c>
      <c r="S38" s="159"/>
      <c r="T38" s="159"/>
      <c r="U38" s="159"/>
      <c r="V38" s="159"/>
      <c r="W38" s="159"/>
      <c r="X38" s="159"/>
      <c r="Y38" s="160"/>
      <c r="AK38" s="159"/>
      <c r="AL38" s="159"/>
      <c r="AM38" s="159"/>
    </row>
    <row r="39" spans="2:39">
      <c r="B39" s="159"/>
      <c r="C39" s="163" t="s">
        <v>23</v>
      </c>
      <c r="D39" s="159"/>
      <c r="E39" s="159"/>
      <c r="F39" s="159"/>
      <c r="G39" s="159"/>
      <c r="H39" s="159"/>
      <c r="I39" s="159"/>
      <c r="J39" s="143"/>
      <c r="Q39" s="159"/>
      <c r="R39" s="163" t="s">
        <v>1417</v>
      </c>
      <c r="S39" s="159"/>
      <c r="T39" s="159"/>
      <c r="U39" s="159"/>
      <c r="V39" s="159"/>
      <c r="W39" s="159"/>
      <c r="X39" s="159"/>
      <c r="Y39" s="160"/>
      <c r="Z39" s="159"/>
      <c r="AA39" s="159"/>
      <c r="AB39" s="159"/>
      <c r="AC39" s="159"/>
      <c r="AD39" s="159"/>
      <c r="AE39" s="178"/>
      <c r="AF39" s="159"/>
      <c r="AG39" s="159"/>
      <c r="AH39" s="159"/>
      <c r="AI39" s="159"/>
      <c r="AJ39" s="159"/>
      <c r="AK39" s="159"/>
      <c r="AL39" s="159"/>
      <c r="AM39" s="159"/>
    </row>
    <row r="40" spans="2:39">
      <c r="B40" s="159"/>
      <c r="C40" s="179" t="s">
        <v>24</v>
      </c>
      <c r="D40" s="159"/>
      <c r="E40" s="159"/>
      <c r="F40" s="159"/>
      <c r="G40" s="159"/>
      <c r="H40" s="159"/>
      <c r="I40" s="159"/>
      <c r="Y40" s="160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</row>
    <row r="41" spans="2:39">
      <c r="Q41" s="161" t="s">
        <v>6</v>
      </c>
      <c r="R41" s="159"/>
      <c r="S41" s="159"/>
      <c r="T41" s="159"/>
      <c r="U41" s="159"/>
    </row>
    <row r="42" spans="2:39">
      <c r="Q42" s="159"/>
      <c r="R42" s="159"/>
      <c r="S42" s="159"/>
      <c r="T42" s="159"/>
      <c r="U42" s="159"/>
    </row>
    <row r="43" spans="2:39">
      <c r="Q43" s="163" t="s">
        <v>8</v>
      </c>
      <c r="R43" s="163"/>
      <c r="S43" s="159"/>
      <c r="T43" s="159" t="s">
        <v>9</v>
      </c>
      <c r="U43" s="159"/>
    </row>
    <row r="44" spans="2:39">
      <c r="E44" s="159"/>
      <c r="F44" s="159"/>
      <c r="G44" s="159"/>
      <c r="H44" s="159"/>
      <c r="I44" s="159"/>
      <c r="Q44" s="159"/>
      <c r="R44" s="159"/>
      <c r="S44" s="159"/>
      <c r="T44" s="159" t="s">
        <v>360</v>
      </c>
      <c r="U44" s="159"/>
    </row>
    <row r="45" spans="2:39">
      <c r="E45" s="159"/>
      <c r="F45" s="159"/>
      <c r="G45" s="159"/>
      <c r="H45" s="159"/>
      <c r="I45" s="159"/>
      <c r="Q45" s="159"/>
      <c r="R45" s="159"/>
      <c r="S45" s="159"/>
      <c r="T45" s="159"/>
      <c r="U45" s="159"/>
    </row>
    <row r="46" spans="2:39" ht="16.5" customHeight="1">
      <c r="E46" s="159"/>
      <c r="F46" s="159"/>
      <c r="G46" s="159"/>
      <c r="H46" s="159"/>
      <c r="I46" s="159"/>
      <c r="Q46" s="163" t="s">
        <v>7</v>
      </c>
      <c r="R46" s="163"/>
      <c r="S46" s="159"/>
      <c r="T46" s="159" t="s">
        <v>10</v>
      </c>
      <c r="U46" s="159"/>
    </row>
    <row r="47" spans="2:39">
      <c r="E47" s="159"/>
      <c r="F47" s="159"/>
      <c r="G47" s="159"/>
      <c r="H47" s="159"/>
      <c r="I47" s="159"/>
      <c r="Q47" s="159"/>
      <c r="R47" s="159"/>
      <c r="S47" s="159"/>
      <c r="T47" s="159" t="s">
        <v>361</v>
      </c>
      <c r="U47" s="159"/>
    </row>
    <row r="49" spans="2:22">
      <c r="B49" s="161" t="s">
        <v>31</v>
      </c>
      <c r="Q49" s="161" t="s">
        <v>11</v>
      </c>
      <c r="R49" s="159"/>
      <c r="S49" s="159"/>
      <c r="T49" s="159"/>
      <c r="U49" s="159"/>
      <c r="V49" s="159"/>
    </row>
    <row r="50" spans="2:22">
      <c r="Q50" s="159"/>
      <c r="R50" s="159"/>
      <c r="S50" s="159"/>
      <c r="T50" s="159"/>
      <c r="U50" s="159"/>
      <c r="V50" s="159"/>
    </row>
    <row r="51" spans="2:22">
      <c r="B51" s="161"/>
      <c r="C51" s="180" t="s">
        <v>199</v>
      </c>
      <c r="D51" s="159"/>
      <c r="Q51" s="163" t="s">
        <v>12</v>
      </c>
      <c r="R51" s="163"/>
      <c r="S51" s="159"/>
      <c r="T51" s="159" t="s">
        <v>362</v>
      </c>
      <c r="U51" s="143"/>
      <c r="V51" s="159"/>
    </row>
    <row r="52" spans="2:22">
      <c r="B52" s="159"/>
      <c r="C52" s="159"/>
      <c r="D52" s="159"/>
      <c r="Q52" s="159"/>
      <c r="R52" s="159"/>
      <c r="S52" s="159"/>
      <c r="T52" s="159"/>
      <c r="U52" s="159"/>
      <c r="V52" s="159"/>
    </row>
    <row r="53" spans="2:22">
      <c r="B53" s="159"/>
      <c r="C53" s="181" t="s">
        <v>198</v>
      </c>
      <c r="D53" s="182" t="s">
        <v>14</v>
      </c>
      <c r="Q53" s="159" t="s">
        <v>1</v>
      </c>
      <c r="R53" s="159"/>
      <c r="S53" s="159"/>
      <c r="T53" s="159"/>
      <c r="U53" s="159"/>
      <c r="V53" s="159"/>
    </row>
    <row r="54" spans="2:22">
      <c r="B54" s="159"/>
      <c r="C54" s="183">
        <v>3</v>
      </c>
      <c r="D54" s="184">
        <v>0.08</v>
      </c>
      <c r="Q54" s="159"/>
      <c r="R54" s="159"/>
      <c r="S54" s="178"/>
      <c r="T54" s="159"/>
      <c r="U54" s="159"/>
      <c r="V54" s="159"/>
    </row>
    <row r="55" spans="2:22">
      <c r="C55" s="185">
        <v>5</v>
      </c>
      <c r="D55" s="186">
        <v>0.1</v>
      </c>
    </row>
    <row r="57" spans="2:22">
      <c r="B57" s="154" t="s">
        <v>355</v>
      </c>
    </row>
    <row r="59" spans="2:22">
      <c r="C59" s="140" t="s">
        <v>357</v>
      </c>
    </row>
    <row r="60" spans="2:22">
      <c r="C60" s="140"/>
    </row>
    <row r="61" spans="2:22">
      <c r="C61" s="141" t="s">
        <v>1408</v>
      </c>
    </row>
    <row r="62" spans="2:22">
      <c r="C62" s="140"/>
    </row>
    <row r="63" spans="2:22" ht="40.5" customHeight="1">
      <c r="C63" s="187" t="s">
        <v>202</v>
      </c>
      <c r="D63" s="188" t="s">
        <v>342</v>
      </c>
      <c r="E63" s="187" t="s">
        <v>229</v>
      </c>
      <c r="F63" s="415"/>
      <c r="G63" s="416"/>
    </row>
    <row r="64" spans="2:22" ht="17.100000000000001" customHeight="1">
      <c r="B64" s="442"/>
      <c r="C64" s="189" t="s">
        <v>203</v>
      </c>
      <c r="D64" s="190">
        <v>300</v>
      </c>
      <c r="E64" s="190">
        <v>6</v>
      </c>
      <c r="F64" s="1416"/>
      <c r="G64" s="141" t="s">
        <v>23</v>
      </c>
    </row>
    <row r="65" spans="2:9" ht="17.100000000000001" customHeight="1">
      <c r="B65" s="442"/>
      <c r="C65" s="189" t="s">
        <v>204</v>
      </c>
      <c r="D65" s="190">
        <v>150</v>
      </c>
      <c r="E65" s="190">
        <v>6</v>
      </c>
      <c r="F65" s="417"/>
      <c r="G65" s="141" t="s">
        <v>24</v>
      </c>
    </row>
    <row r="66" spans="2:9" ht="17.100000000000001" customHeight="1">
      <c r="B66" s="442"/>
      <c r="C66" s="191" t="s">
        <v>205</v>
      </c>
      <c r="D66" s="192">
        <v>75</v>
      </c>
      <c r="E66" s="192">
        <v>6</v>
      </c>
      <c r="F66" s="417"/>
      <c r="G66" s="418"/>
    </row>
    <row r="68" spans="2:9">
      <c r="C68" s="193" t="s">
        <v>358</v>
      </c>
    </row>
    <row r="69" spans="2:9">
      <c r="C69" s="434" t="s">
        <v>1409</v>
      </c>
    </row>
    <row r="70" spans="2:9">
      <c r="C70" s="193"/>
    </row>
    <row r="71" spans="2:9">
      <c r="E71" s="1864" t="s">
        <v>521</v>
      </c>
      <c r="F71" s="1865"/>
      <c r="G71" s="1866"/>
    </row>
    <row r="72" spans="2:9">
      <c r="C72" s="419"/>
      <c r="D72" s="253"/>
      <c r="E72" s="617" t="s">
        <v>203</v>
      </c>
      <c r="F72" s="618" t="s">
        <v>204</v>
      </c>
      <c r="G72" s="619" t="s">
        <v>205</v>
      </c>
    </row>
    <row r="73" spans="2:9">
      <c r="C73" s="422" t="s">
        <v>359</v>
      </c>
      <c r="D73" s="143"/>
      <c r="E73" s="430">
        <v>0.2</v>
      </c>
      <c r="F73" s="431">
        <v>0.15</v>
      </c>
      <c r="G73" s="432">
        <v>0.1</v>
      </c>
      <c r="H73" s="141" t="s">
        <v>1410</v>
      </c>
    </row>
    <row r="74" spans="2:9">
      <c r="C74" s="423" t="s">
        <v>375</v>
      </c>
      <c r="D74" s="424"/>
      <c r="E74" s="433">
        <v>0.1</v>
      </c>
      <c r="F74" s="425">
        <v>0.1</v>
      </c>
      <c r="G74" s="426">
        <v>0.1</v>
      </c>
      <c r="H74" s="141" t="s">
        <v>1411</v>
      </c>
    </row>
    <row r="76" spans="2:9">
      <c r="C76" s="141" t="s">
        <v>376</v>
      </c>
    </row>
    <row r="77" spans="2:9">
      <c r="C77" s="141" t="s">
        <v>231</v>
      </c>
    </row>
    <row r="79" spans="2:9">
      <c r="C79" s="435" t="s">
        <v>377</v>
      </c>
      <c r="D79" s="253"/>
      <c r="E79" s="253"/>
      <c r="F79" s="253"/>
      <c r="G79" s="427" t="s">
        <v>203</v>
      </c>
      <c r="H79" s="428" t="s">
        <v>204</v>
      </c>
      <c r="I79" s="429" t="s">
        <v>205</v>
      </c>
    </row>
    <row r="80" spans="2:9">
      <c r="C80" s="422" t="s">
        <v>381</v>
      </c>
      <c r="D80" s="143"/>
      <c r="E80" s="143"/>
      <c r="F80" s="143"/>
      <c r="G80" s="440" t="s">
        <v>290</v>
      </c>
      <c r="H80" s="420" t="s">
        <v>290</v>
      </c>
      <c r="I80" s="421"/>
    </row>
    <row r="81" spans="2:29">
      <c r="C81" s="422" t="s">
        <v>382</v>
      </c>
      <c r="D81" s="143"/>
      <c r="E81" s="143"/>
      <c r="F81" s="143"/>
      <c r="G81" s="173" t="s">
        <v>290</v>
      </c>
      <c r="H81" s="436"/>
      <c r="I81" s="437"/>
    </row>
    <row r="82" spans="2:29">
      <c r="C82" s="422" t="s">
        <v>378</v>
      </c>
      <c r="D82" s="143"/>
      <c r="E82" s="143"/>
      <c r="F82" s="143"/>
      <c r="G82" s="173" t="s">
        <v>384</v>
      </c>
      <c r="H82" s="436" t="s">
        <v>384</v>
      </c>
      <c r="I82" s="437" t="s">
        <v>384</v>
      </c>
    </row>
    <row r="83" spans="2:29">
      <c r="C83" s="422" t="s">
        <v>379</v>
      </c>
      <c r="D83" s="143"/>
      <c r="E83" s="143"/>
      <c r="F83" s="143"/>
      <c r="G83" s="173" t="s">
        <v>290</v>
      </c>
      <c r="H83" s="436" t="s">
        <v>290</v>
      </c>
      <c r="I83" s="437"/>
    </row>
    <row r="84" spans="2:29">
      <c r="C84" s="422" t="s">
        <v>380</v>
      </c>
      <c r="D84" s="143"/>
      <c r="E84" s="143"/>
      <c r="F84" s="143"/>
      <c r="G84" s="173" t="s">
        <v>290</v>
      </c>
      <c r="H84" s="436" t="s">
        <v>290</v>
      </c>
      <c r="I84" s="437"/>
    </row>
    <row r="85" spans="2:29">
      <c r="C85" s="422" t="s">
        <v>385</v>
      </c>
      <c r="D85" s="143"/>
      <c r="E85" s="143"/>
      <c r="F85" s="143"/>
      <c r="G85" s="173" t="s">
        <v>290</v>
      </c>
      <c r="H85" s="436" t="s">
        <v>290</v>
      </c>
      <c r="I85" s="437" t="s">
        <v>290</v>
      </c>
    </row>
    <row r="86" spans="2:29">
      <c r="C86" s="423" t="s">
        <v>383</v>
      </c>
      <c r="D86" s="424"/>
      <c r="E86" s="424"/>
      <c r="F86" s="424"/>
      <c r="G86" s="441" t="s">
        <v>290</v>
      </c>
      <c r="H86" s="438" t="s">
        <v>290</v>
      </c>
      <c r="I86" s="439" t="s">
        <v>290</v>
      </c>
    </row>
    <row r="90" spans="2:29" s="194" customFormat="1" ht="15.75" thickBot="1">
      <c r="O90" s="195"/>
    </row>
    <row r="91" spans="2:29" ht="15.75" thickTop="1"/>
    <row r="92" spans="2:29" s="197" customFormat="1" ht="18.75" customHeight="1">
      <c r="B92" s="196" t="s">
        <v>32</v>
      </c>
      <c r="O92" s="198"/>
      <c r="P92" s="199"/>
    </row>
    <row r="93" spans="2:29">
      <c r="Q93" s="16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</row>
    <row r="94" spans="2:29">
      <c r="B94" s="155" t="s">
        <v>25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Q94" s="16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</row>
    <row r="95" spans="2:29">
      <c r="B95" s="158"/>
      <c r="C95" s="39" t="s">
        <v>386</v>
      </c>
      <c r="D95" s="39"/>
      <c r="E95" s="39"/>
      <c r="F95" s="39"/>
      <c r="G95" s="156"/>
      <c r="H95" s="156"/>
      <c r="I95" s="156"/>
      <c r="J95" s="156"/>
      <c r="K95" s="156"/>
      <c r="L95" s="156"/>
      <c r="M95" s="156"/>
      <c r="N95" s="156"/>
      <c r="Q95" s="16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</row>
    <row r="96" spans="2:29">
      <c r="B96" s="158"/>
      <c r="C96" s="39" t="s">
        <v>542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Q96" s="161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</row>
    <row r="97" spans="2:29">
      <c r="B97" s="156"/>
      <c r="C97" s="156"/>
      <c r="D97" s="39" t="s">
        <v>1414</v>
      </c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Q97" s="161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</row>
    <row r="98" spans="2:29">
      <c r="B98" s="156"/>
      <c r="C98" s="156"/>
      <c r="D98" s="39" t="s">
        <v>1415</v>
      </c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Q98" s="161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</row>
    <row r="99" spans="2:29">
      <c r="B99" s="156"/>
      <c r="C99" s="156"/>
      <c r="D99" s="39" t="s">
        <v>538</v>
      </c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Q99" s="161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</row>
    <row r="100" spans="2:29">
      <c r="B100" s="158"/>
      <c r="C100" s="39" t="s">
        <v>543</v>
      </c>
      <c r="D100" s="39"/>
      <c r="E100" s="39"/>
      <c r="F100" s="156"/>
      <c r="G100" s="156"/>
      <c r="H100" s="156"/>
      <c r="I100" s="156"/>
      <c r="J100" s="156"/>
      <c r="K100" s="156"/>
      <c r="L100" s="156"/>
      <c r="M100" s="156"/>
      <c r="N100" s="156"/>
      <c r="Q100" s="161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</row>
    <row r="101" spans="2:29">
      <c r="B101" s="158"/>
      <c r="C101" s="39" t="s">
        <v>544</v>
      </c>
      <c r="D101" s="39"/>
      <c r="E101" s="39"/>
      <c r="F101" s="156"/>
      <c r="G101" s="156"/>
      <c r="H101" s="156"/>
      <c r="I101" s="156"/>
      <c r="J101" s="156"/>
      <c r="K101" s="156"/>
      <c r="L101" s="156"/>
      <c r="M101" s="156"/>
      <c r="N101" s="156"/>
      <c r="Q101" s="161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</row>
    <row r="102" spans="2:29">
      <c r="B102" s="158"/>
      <c r="C102" s="39"/>
      <c r="D102" s="39" t="s">
        <v>387</v>
      </c>
      <c r="E102" s="39"/>
      <c r="F102" s="156"/>
      <c r="G102" s="156"/>
      <c r="H102" s="156"/>
      <c r="I102" s="156"/>
      <c r="J102" s="156"/>
      <c r="K102" s="156"/>
      <c r="L102" s="156"/>
      <c r="M102" s="156"/>
      <c r="N102" s="156"/>
      <c r="Q102" s="161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</row>
    <row r="103" spans="2:29">
      <c r="B103" s="158"/>
      <c r="C103" s="39"/>
      <c r="D103" s="39" t="s">
        <v>353</v>
      </c>
      <c r="E103" s="39"/>
      <c r="F103" s="39"/>
      <c r="G103" s="156"/>
      <c r="H103" s="156"/>
      <c r="I103" s="156"/>
      <c r="J103" s="156"/>
      <c r="K103" s="156"/>
      <c r="L103" s="156"/>
      <c r="M103" s="156"/>
      <c r="N103" s="156"/>
      <c r="Q103" s="161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</row>
    <row r="104" spans="2:29">
      <c r="B104" s="158"/>
      <c r="C104" s="39"/>
      <c r="D104" s="39" t="s">
        <v>536</v>
      </c>
      <c r="E104" s="39"/>
      <c r="F104" s="39"/>
      <c r="G104" s="156"/>
      <c r="H104" s="156"/>
      <c r="I104" s="156"/>
      <c r="J104" s="156"/>
      <c r="K104" s="156"/>
      <c r="L104" s="156"/>
      <c r="M104" s="156"/>
      <c r="N104" s="156"/>
      <c r="Q104" s="161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</row>
    <row r="105" spans="2:29">
      <c r="B105" s="158"/>
      <c r="C105" s="39" t="s">
        <v>545</v>
      </c>
      <c r="D105" s="39"/>
      <c r="E105" s="39"/>
      <c r="F105" s="39"/>
      <c r="G105" s="156"/>
      <c r="H105" s="156"/>
      <c r="I105" s="156"/>
      <c r="J105" s="156"/>
      <c r="K105" s="156"/>
      <c r="L105" s="156"/>
      <c r="M105" s="156"/>
      <c r="N105" s="156"/>
      <c r="Q105" s="161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</row>
    <row r="106" spans="2:29">
      <c r="B106" s="158"/>
      <c r="C106" s="39" t="s">
        <v>546</v>
      </c>
      <c r="D106" s="39"/>
      <c r="E106" s="39"/>
      <c r="F106" s="39"/>
      <c r="G106" s="156"/>
      <c r="H106" s="156"/>
      <c r="I106" s="156"/>
      <c r="J106" s="156"/>
      <c r="K106" s="156"/>
      <c r="L106" s="156"/>
      <c r="M106" s="156"/>
      <c r="N106" s="156"/>
      <c r="Q106" s="161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</row>
    <row r="107" spans="2:29">
      <c r="B107" s="158"/>
      <c r="C107" s="39" t="s">
        <v>547</v>
      </c>
      <c r="D107" s="39"/>
      <c r="E107" s="39"/>
      <c r="F107" s="39"/>
      <c r="G107" s="156"/>
      <c r="H107" s="156"/>
      <c r="I107" s="156"/>
      <c r="J107" s="156"/>
      <c r="K107" s="156"/>
      <c r="L107" s="156"/>
      <c r="M107" s="156"/>
      <c r="N107" s="156"/>
      <c r="Q107" s="161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</row>
    <row r="108" spans="2:29">
      <c r="B108" s="158"/>
      <c r="C108" s="39"/>
      <c r="D108" s="39" t="s">
        <v>539</v>
      </c>
      <c r="E108" s="39"/>
      <c r="F108" s="39"/>
      <c r="G108" s="156"/>
      <c r="H108" s="156"/>
      <c r="I108" s="156"/>
      <c r="J108" s="156"/>
      <c r="K108" s="156"/>
      <c r="L108" s="156"/>
      <c r="M108" s="156"/>
      <c r="N108" s="156"/>
      <c r="Q108" s="161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</row>
    <row r="109" spans="2:29">
      <c r="B109" s="158"/>
      <c r="C109" s="39"/>
      <c r="D109" s="39" t="s">
        <v>540</v>
      </c>
      <c r="E109" s="39"/>
      <c r="F109" s="39"/>
      <c r="G109" s="156"/>
      <c r="H109" s="156"/>
      <c r="I109" s="156"/>
      <c r="J109" s="156"/>
      <c r="K109" s="156"/>
      <c r="L109" s="156"/>
      <c r="M109" s="156"/>
      <c r="N109" s="156"/>
      <c r="Q109" s="161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</row>
    <row r="110" spans="2:29">
      <c r="B110" s="158"/>
      <c r="C110" s="39" t="s">
        <v>548</v>
      </c>
      <c r="D110" s="39"/>
      <c r="E110" s="39"/>
      <c r="F110" s="39"/>
      <c r="G110" s="156"/>
      <c r="H110" s="156"/>
      <c r="I110" s="156"/>
      <c r="J110" s="156"/>
      <c r="K110" s="156"/>
      <c r="L110" s="156"/>
      <c r="M110" s="156"/>
      <c r="N110" s="156"/>
      <c r="Q110" s="161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</row>
    <row r="111" spans="2:29">
      <c r="B111" s="158"/>
      <c r="C111" s="39"/>
      <c r="D111" s="39"/>
      <c r="E111" s="39"/>
      <c r="F111" s="39"/>
      <c r="G111" s="156"/>
      <c r="H111" s="156"/>
      <c r="I111" s="156"/>
      <c r="J111" s="156"/>
      <c r="K111" s="156"/>
      <c r="L111" s="156"/>
      <c r="M111" s="156"/>
      <c r="N111" s="156"/>
      <c r="Q111" s="161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</row>
    <row r="112" spans="2:29">
      <c r="B112" s="156"/>
      <c r="C112" s="39"/>
      <c r="D112" s="39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Q112" s="161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</row>
    <row r="113" spans="2:29">
      <c r="Q113" s="161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</row>
    <row r="114" spans="2:29">
      <c r="Q114" s="161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</row>
    <row r="115" spans="2:29">
      <c r="Q115" s="161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</row>
    <row r="116" spans="2:29">
      <c r="Q116" s="161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</row>
    <row r="117" spans="2:29">
      <c r="Q117" s="161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</row>
    <row r="118" spans="2:29" s="201" customFormat="1">
      <c r="B118" s="200" t="s">
        <v>33</v>
      </c>
      <c r="O118" s="202"/>
      <c r="P118" s="203" t="s">
        <v>33</v>
      </c>
      <c r="Q118" s="204"/>
      <c r="R118" s="205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</row>
    <row r="119" spans="2:29">
      <c r="Q119" s="159"/>
      <c r="R119" s="159"/>
      <c r="S119" s="206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</row>
    <row r="120" spans="2:29">
      <c r="B120" s="443"/>
      <c r="C120" s="443"/>
      <c r="D120" s="443"/>
      <c r="E120" s="443"/>
      <c r="F120" s="443"/>
      <c r="G120" s="443"/>
      <c r="H120" s="443"/>
      <c r="I120" s="443"/>
      <c r="J120" s="443"/>
      <c r="K120" s="443"/>
      <c r="L120" s="443"/>
      <c r="M120" s="443"/>
      <c r="N120" s="443"/>
      <c r="Q120" s="207" t="s">
        <v>34</v>
      </c>
      <c r="R120" s="208"/>
      <c r="S120" s="209" t="s">
        <v>35</v>
      </c>
      <c r="T120" s="208"/>
      <c r="U120" s="210"/>
      <c r="V120" s="207" t="s">
        <v>36</v>
      </c>
      <c r="W120" s="211"/>
      <c r="X120" s="211"/>
      <c r="Y120" s="212"/>
      <c r="Z120" s="159"/>
      <c r="AA120" s="159"/>
      <c r="AB120" s="159"/>
      <c r="AC120" s="159"/>
    </row>
    <row r="121" spans="2:29">
      <c r="B121" s="443"/>
      <c r="C121" s="444" t="s">
        <v>388</v>
      </c>
      <c r="D121" s="443"/>
      <c r="E121" s="443"/>
      <c r="F121" s="443"/>
      <c r="G121" s="443"/>
      <c r="H121" s="444" t="s">
        <v>36</v>
      </c>
      <c r="I121" s="443"/>
      <c r="J121" s="443"/>
      <c r="K121" s="443"/>
      <c r="L121" s="443"/>
      <c r="M121" s="443"/>
      <c r="N121" s="443"/>
      <c r="Q121" s="213" t="s">
        <v>37</v>
      </c>
      <c r="R121" s="213"/>
      <c r="S121" s="213" t="s">
        <v>38</v>
      </c>
      <c r="T121" s="213"/>
      <c r="U121" s="213"/>
      <c r="V121" s="213" t="s">
        <v>39</v>
      </c>
      <c r="W121" s="212"/>
      <c r="X121" s="212"/>
      <c r="Y121" s="212"/>
      <c r="Z121" s="159"/>
      <c r="AA121" s="159"/>
      <c r="AB121" s="159"/>
      <c r="AC121" s="159"/>
    </row>
    <row r="122" spans="2:29">
      <c r="B122" s="443"/>
      <c r="C122" s="443"/>
      <c r="D122" s="443"/>
      <c r="E122" s="443"/>
      <c r="F122" s="443"/>
      <c r="G122" s="443"/>
      <c r="H122" s="443"/>
      <c r="I122" s="443"/>
      <c r="J122" s="443"/>
      <c r="K122" s="443"/>
      <c r="L122" s="443"/>
      <c r="M122" s="443"/>
      <c r="N122" s="443"/>
      <c r="Q122" s="213" t="s">
        <v>40</v>
      </c>
      <c r="R122" s="213"/>
      <c r="S122" s="213" t="s">
        <v>38</v>
      </c>
      <c r="T122" s="213"/>
      <c r="U122" s="213"/>
      <c r="V122" s="214"/>
      <c r="W122" s="214"/>
      <c r="X122" s="212"/>
      <c r="Y122" s="212" t="s">
        <v>1</v>
      </c>
      <c r="Z122" s="159"/>
      <c r="AA122" s="159"/>
      <c r="AB122" s="159"/>
      <c r="AC122" s="159"/>
    </row>
    <row r="123" spans="2:29">
      <c r="B123" s="443"/>
      <c r="C123" s="731" t="s">
        <v>616</v>
      </c>
      <c r="D123" s="734" t="s">
        <v>271</v>
      </c>
      <c r="E123" s="1284"/>
      <c r="F123" s="443"/>
      <c r="G123" s="443"/>
      <c r="H123" s="731" t="s">
        <v>616</v>
      </c>
      <c r="I123" s="734" t="s">
        <v>271</v>
      </c>
      <c r="J123" s="1285"/>
      <c r="K123" s="443"/>
      <c r="L123" s="443"/>
      <c r="M123" s="443"/>
      <c r="N123" s="443"/>
      <c r="Q123" s="215" t="s">
        <v>41</v>
      </c>
      <c r="R123" s="213"/>
      <c r="S123" s="216" t="s">
        <v>42</v>
      </c>
      <c r="T123" s="213"/>
      <c r="U123" s="213"/>
      <c r="V123" s="214"/>
      <c r="W123" s="214"/>
      <c r="X123" s="217"/>
      <c r="Y123" s="218"/>
      <c r="Z123" s="219"/>
      <c r="AA123" s="219"/>
      <c r="AB123" s="219"/>
      <c r="AC123" s="219"/>
    </row>
    <row r="124" spans="2:29">
      <c r="B124" s="443"/>
      <c r="C124" s="738" t="s">
        <v>16</v>
      </c>
      <c r="D124" s="735"/>
      <c r="E124" s="1396"/>
      <c r="F124" s="443"/>
      <c r="G124" s="443"/>
      <c r="H124" s="738" t="s">
        <v>16</v>
      </c>
      <c r="I124" s="735"/>
      <c r="J124" s="1398"/>
      <c r="K124" s="443"/>
      <c r="L124" s="443"/>
      <c r="M124" s="443"/>
      <c r="N124" s="443"/>
      <c r="Q124" s="220" t="s">
        <v>43</v>
      </c>
      <c r="R124" s="210"/>
      <c r="S124" s="210"/>
      <c r="T124" s="210"/>
      <c r="U124" s="210"/>
      <c r="V124" s="221" t="s">
        <v>44</v>
      </c>
      <c r="W124" s="31"/>
      <c r="X124" s="212"/>
      <c r="Y124" s="212"/>
      <c r="Z124" s="219"/>
      <c r="AA124" s="219"/>
      <c r="AB124" s="219"/>
      <c r="AC124" s="219"/>
    </row>
    <row r="125" spans="2:29">
      <c r="B125" s="443"/>
      <c r="C125" s="732">
        <v>0</v>
      </c>
      <c r="D125" s="736">
        <v>0.12</v>
      </c>
      <c r="E125" s="1396"/>
      <c r="F125" s="443"/>
      <c r="G125" s="443"/>
      <c r="H125" s="734">
        <v>0</v>
      </c>
      <c r="I125" s="776">
        <v>0.04</v>
      </c>
      <c r="J125" s="1398"/>
      <c r="K125" s="443"/>
      <c r="L125" s="443"/>
      <c r="M125" s="443"/>
      <c r="N125" s="443"/>
      <c r="Q125" s="222" t="s">
        <v>363</v>
      </c>
      <c r="R125" s="223"/>
      <c r="S125" s="224"/>
      <c r="T125" s="224" t="s">
        <v>1</v>
      </c>
      <c r="U125" s="225"/>
      <c r="V125" s="226" t="s">
        <v>45</v>
      </c>
      <c r="W125" s="217"/>
      <c r="X125" s="212"/>
      <c r="Y125" s="227"/>
      <c r="Z125" s="219"/>
      <c r="AA125" s="219"/>
      <c r="AB125" s="219"/>
      <c r="AC125" s="219"/>
    </row>
    <row r="126" spans="2:29">
      <c r="B126" s="443"/>
      <c r="C126" s="732">
        <v>50</v>
      </c>
      <c r="D126" s="736">
        <v>0.15</v>
      </c>
      <c r="E126" s="1396"/>
      <c r="F126" s="443"/>
      <c r="G126" s="443"/>
      <c r="H126" s="774">
        <v>150</v>
      </c>
      <c r="I126" s="736">
        <v>0.05</v>
      </c>
      <c r="J126" s="1397"/>
      <c r="K126" s="443"/>
      <c r="L126" s="443"/>
      <c r="M126" s="443"/>
      <c r="N126" s="443"/>
      <c r="Q126" s="222" t="s">
        <v>364</v>
      </c>
      <c r="R126" s="212"/>
      <c r="S126" s="212"/>
      <c r="T126" s="212"/>
      <c r="U126" s="228"/>
      <c r="V126" s="226" t="s">
        <v>46</v>
      </c>
      <c r="W126" s="212"/>
      <c r="X126" s="31"/>
      <c r="Y126" s="212"/>
      <c r="Z126" s="219"/>
      <c r="AA126" s="219"/>
      <c r="AB126" s="219"/>
      <c r="AC126" s="219"/>
    </row>
    <row r="127" spans="2:29">
      <c r="B127" s="443"/>
      <c r="C127" s="732">
        <v>150</v>
      </c>
      <c r="D127" s="736">
        <v>0.17</v>
      </c>
      <c r="E127" s="443"/>
      <c r="F127" s="443"/>
      <c r="G127" s="443"/>
      <c r="H127" s="774">
        <v>500</v>
      </c>
      <c r="I127" s="736">
        <v>0.06</v>
      </c>
      <c r="J127" s="443"/>
      <c r="K127" s="443"/>
      <c r="L127" s="443"/>
      <c r="M127" s="443"/>
      <c r="N127" s="443"/>
      <c r="Q127" s="222" t="s">
        <v>365</v>
      </c>
      <c r="R127" s="212"/>
      <c r="S127" s="212"/>
      <c r="T127" s="212"/>
      <c r="U127" s="229"/>
      <c r="V127" s="31"/>
      <c r="W127" s="212"/>
      <c r="X127" s="230"/>
      <c r="Y127" s="214"/>
      <c r="Z127" s="219"/>
      <c r="AA127" s="219"/>
      <c r="AB127" s="219"/>
      <c r="AC127" s="219"/>
    </row>
    <row r="128" spans="2:29">
      <c r="B128" s="443"/>
      <c r="C128" s="733">
        <v>300</v>
      </c>
      <c r="D128" s="737">
        <v>0.2</v>
      </c>
      <c r="E128" s="443"/>
      <c r="F128" s="443"/>
      <c r="G128" s="443"/>
      <c r="H128" s="775">
        <v>700</v>
      </c>
      <c r="I128" s="737">
        <v>7.0000000000000007E-2</v>
      </c>
      <c r="J128" s="443"/>
      <c r="K128" s="443"/>
      <c r="L128" s="443"/>
      <c r="M128" s="443"/>
      <c r="N128" s="443"/>
      <c r="Q128" s="222" t="s">
        <v>47</v>
      </c>
      <c r="R128" s="212"/>
      <c r="S128" s="212"/>
      <c r="T128" s="227"/>
      <c r="U128" s="229"/>
      <c r="V128" s="229" t="s">
        <v>48</v>
      </c>
      <c r="W128" s="212"/>
      <c r="X128" s="231"/>
      <c r="Y128" s="214"/>
      <c r="Z128" s="219"/>
      <c r="AA128" s="219"/>
      <c r="AB128" s="219"/>
      <c r="AC128" s="219"/>
    </row>
    <row r="129" spans="2:29">
      <c r="B129" s="443"/>
      <c r="C129" s="443"/>
      <c r="D129" s="443"/>
      <c r="E129" s="443"/>
      <c r="F129" s="443"/>
      <c r="G129" s="443"/>
      <c r="H129" s="443"/>
      <c r="I129" s="443"/>
      <c r="J129" s="443"/>
      <c r="K129" s="443"/>
      <c r="L129" s="443"/>
      <c r="M129" s="443"/>
      <c r="N129" s="443"/>
      <c r="Q129" s="222" t="s">
        <v>49</v>
      </c>
      <c r="R129" s="212"/>
      <c r="S129" s="31"/>
      <c r="T129" s="212"/>
      <c r="U129" s="229"/>
      <c r="V129" s="212"/>
      <c r="W129" s="31"/>
      <c r="X129" s="231"/>
      <c r="Y129" s="214"/>
      <c r="Z129" s="219"/>
      <c r="AA129" s="219"/>
      <c r="AB129" s="219"/>
      <c r="AC129" s="219"/>
    </row>
    <row r="130" spans="2:29">
      <c r="B130" s="443"/>
      <c r="C130" s="443"/>
      <c r="D130" s="443"/>
      <c r="E130" s="443"/>
      <c r="F130" s="443"/>
      <c r="G130" s="443"/>
      <c r="H130" s="443"/>
      <c r="I130" s="443"/>
      <c r="J130" s="443"/>
      <c r="K130" s="443"/>
      <c r="L130" s="443"/>
      <c r="M130" s="443"/>
      <c r="N130" s="443"/>
      <c r="Q130" s="214"/>
      <c r="R130" s="212"/>
      <c r="S130" s="212"/>
      <c r="T130" s="212"/>
      <c r="U130" s="229"/>
      <c r="V130" s="212"/>
      <c r="W130" s="212"/>
      <c r="X130" s="212"/>
      <c r="Y130" s="223"/>
      <c r="Z130" s="143"/>
      <c r="AA130" s="143"/>
      <c r="AB130" s="143"/>
      <c r="AC130" s="143"/>
    </row>
    <row r="131" spans="2:29">
      <c r="B131" s="443"/>
      <c r="C131" s="443"/>
      <c r="D131" s="443"/>
      <c r="E131" s="443"/>
      <c r="F131" s="443"/>
      <c r="G131" s="443"/>
      <c r="H131" s="443"/>
      <c r="I131" s="443"/>
      <c r="J131" s="443"/>
      <c r="K131" s="443"/>
      <c r="L131" s="443"/>
      <c r="M131" s="443"/>
      <c r="N131" s="443"/>
      <c r="Q131" s="232" t="s">
        <v>50</v>
      </c>
      <c r="R131" s="233"/>
      <c r="S131" s="234"/>
      <c r="T131" s="235"/>
      <c r="U131" s="236"/>
      <c r="V131" s="236"/>
      <c r="W131" s="236"/>
      <c r="X131" s="236"/>
      <c r="Y131" s="223"/>
      <c r="Z131" s="219"/>
      <c r="AA131" s="219"/>
      <c r="AB131" s="219"/>
      <c r="AC131" s="219"/>
    </row>
    <row r="132" spans="2:29">
      <c r="B132" s="443"/>
      <c r="C132" s="443"/>
      <c r="D132" s="443"/>
      <c r="E132" s="443"/>
      <c r="F132" s="443"/>
      <c r="G132" s="443"/>
      <c r="H132" s="443"/>
      <c r="I132" s="443"/>
      <c r="J132" s="443"/>
      <c r="K132" s="443"/>
      <c r="L132" s="443"/>
      <c r="M132" s="443"/>
      <c r="N132" s="443"/>
      <c r="Q132" s="237" t="s">
        <v>366</v>
      </c>
      <c r="R132" s="236"/>
      <c r="S132" s="234"/>
      <c r="T132" s="235"/>
      <c r="U132" s="236"/>
      <c r="V132" s="236"/>
      <c r="W132" s="236"/>
      <c r="X132" s="236"/>
      <c r="Y132" s="223"/>
      <c r="Z132" s="219"/>
      <c r="AA132" s="219"/>
      <c r="AB132" s="219"/>
      <c r="AC132" s="219"/>
    </row>
    <row r="133" spans="2:29">
      <c r="Q133" s="237" t="s">
        <v>367</v>
      </c>
      <c r="R133" s="32"/>
      <c r="S133" s="234"/>
      <c r="T133" s="235"/>
      <c r="U133" s="236"/>
      <c r="V133" s="236"/>
      <c r="W133" s="236"/>
      <c r="X133" s="236"/>
      <c r="Y133" s="223"/>
      <c r="Z133" s="219"/>
      <c r="AA133" s="219"/>
      <c r="AB133" s="219"/>
      <c r="AC133" s="219"/>
    </row>
    <row r="134" spans="2:29">
      <c r="Q134" s="219"/>
      <c r="R134" s="15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</row>
    <row r="135" spans="2:29">
      <c r="Q135" s="219"/>
      <c r="R135" s="15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</row>
    <row r="136" spans="2:29" s="201" customFormat="1">
      <c r="B136" s="200" t="s">
        <v>186</v>
      </c>
      <c r="O136" s="202"/>
      <c r="P136" s="203" t="s">
        <v>176</v>
      </c>
      <c r="Q136" s="204"/>
      <c r="R136" s="205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</row>
    <row r="137" spans="2:29">
      <c r="Q137" s="219"/>
      <c r="R137" s="15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</row>
    <row r="138" spans="2:29">
      <c r="C138" s="1399"/>
      <c r="D138" s="143"/>
      <c r="E138" s="143"/>
      <c r="F138" s="143"/>
      <c r="G138" s="143"/>
      <c r="Q138" s="141" t="s">
        <v>185</v>
      </c>
      <c r="V138" s="219"/>
      <c r="W138" s="219"/>
      <c r="X138" s="219"/>
      <c r="Y138" s="219"/>
      <c r="Z138" s="219"/>
      <c r="AA138" s="219"/>
      <c r="AB138" s="219"/>
      <c r="AC138" s="219"/>
    </row>
    <row r="139" spans="2:29">
      <c r="C139" s="1" t="s">
        <v>389</v>
      </c>
      <c r="H139"/>
      <c r="V139" s="219"/>
      <c r="W139" s="219"/>
      <c r="X139" s="219"/>
      <c r="Y139" s="219"/>
      <c r="Z139" s="219"/>
      <c r="AA139" s="219"/>
      <c r="AB139" s="219"/>
      <c r="AC139" s="219"/>
    </row>
    <row r="140" spans="2:29">
      <c r="H140"/>
      <c r="Q140" s="238" t="s">
        <v>177</v>
      </c>
      <c r="R140" s="239"/>
      <c r="S140" s="239"/>
      <c r="T140" s="239"/>
      <c r="U140" s="219"/>
      <c r="V140" s="219"/>
      <c r="W140" s="219"/>
      <c r="X140" s="219"/>
      <c r="Y140" s="219"/>
      <c r="Z140" s="219"/>
      <c r="AA140" s="219"/>
      <c r="AB140" s="219"/>
      <c r="AC140" s="219"/>
    </row>
    <row r="141" spans="2:29">
      <c r="C141" s="140" t="s">
        <v>391</v>
      </c>
      <c r="F141" s="874">
        <v>2</v>
      </c>
      <c r="G141" s="141" t="s">
        <v>713</v>
      </c>
      <c r="H141"/>
      <c r="Q141" s="1844" t="s">
        <v>178</v>
      </c>
      <c r="R141" s="1845"/>
      <c r="S141" s="240" t="s">
        <v>179</v>
      </c>
      <c r="T141" s="241" t="s">
        <v>116</v>
      </c>
      <c r="U141" s="242" t="s">
        <v>118</v>
      </c>
      <c r="V141" s="219"/>
      <c r="W141" s="219"/>
      <c r="X141" s="219"/>
      <c r="Y141" s="219"/>
      <c r="Z141" s="219"/>
      <c r="AA141" s="219"/>
      <c r="AB141" s="219"/>
      <c r="AC141" s="219"/>
    </row>
    <row r="142" spans="2:29">
      <c r="C142" s="140"/>
      <c r="H142"/>
      <c r="Q142" s="243" t="s">
        <v>119</v>
      </c>
      <c r="S142" s="244">
        <v>10</v>
      </c>
      <c r="T142" s="245">
        <v>1</v>
      </c>
      <c r="U142" s="246">
        <v>5</v>
      </c>
      <c r="V142" s="219"/>
      <c r="W142" s="219"/>
      <c r="X142" s="219"/>
      <c r="Y142" s="219"/>
      <c r="Z142" s="219"/>
      <c r="AA142" s="219"/>
      <c r="AB142" s="219"/>
      <c r="AC142" s="219"/>
    </row>
    <row r="143" spans="2:29">
      <c r="C143" s="140" t="s">
        <v>390</v>
      </c>
      <c r="H143"/>
      <c r="Q143" s="243" t="s">
        <v>120</v>
      </c>
      <c r="S143" s="244">
        <v>20</v>
      </c>
      <c r="T143" s="245">
        <v>1</v>
      </c>
      <c r="U143" s="246">
        <v>5</v>
      </c>
      <c r="V143" s="219"/>
      <c r="W143" s="219"/>
      <c r="X143" s="219"/>
      <c r="Y143" s="219"/>
      <c r="Z143" s="219"/>
      <c r="AA143" s="219"/>
      <c r="AB143" s="219"/>
      <c r="AC143" s="219"/>
    </row>
    <row r="144" spans="2:29">
      <c r="C144" s="243"/>
      <c r="D144" s="243"/>
      <c r="E144" s="867"/>
      <c r="F144" s="868"/>
      <c r="G144" s="869"/>
      <c r="H144"/>
      <c r="Q144" s="243" t="s">
        <v>121</v>
      </c>
      <c r="S144" s="244">
        <v>25</v>
      </c>
      <c r="T144" s="245">
        <v>2</v>
      </c>
      <c r="U144" s="246">
        <v>5</v>
      </c>
      <c r="V144" s="219"/>
      <c r="W144" s="219"/>
      <c r="X144" s="219"/>
      <c r="Y144" s="219"/>
      <c r="Z144" s="219"/>
      <c r="AA144" s="219"/>
      <c r="AB144" s="219"/>
      <c r="AC144" s="219"/>
    </row>
    <row r="145" spans="2:29">
      <c r="C145" s="243"/>
      <c r="D145" s="143" t="s">
        <v>708</v>
      </c>
      <c r="E145" s="870"/>
      <c r="F145" s="875">
        <v>1.5</v>
      </c>
      <c r="G145" s="873" t="s">
        <v>714</v>
      </c>
      <c r="H145"/>
      <c r="Q145" s="243" t="s">
        <v>122</v>
      </c>
      <c r="S145" s="244">
        <v>30</v>
      </c>
      <c r="T145" s="245">
        <v>2</v>
      </c>
      <c r="U145" s="246">
        <v>5</v>
      </c>
      <c r="V145" s="219"/>
      <c r="W145" s="219"/>
      <c r="X145" s="219"/>
      <c r="Y145" s="219"/>
      <c r="Z145" s="219"/>
      <c r="AA145" s="219"/>
      <c r="AB145" s="219"/>
      <c r="AC145" s="219"/>
    </row>
    <row r="146" spans="2:29">
      <c r="C146" s="243"/>
      <c r="D146" s="143"/>
      <c r="E146" s="870"/>
      <c r="F146" s="870"/>
      <c r="G146" s="871"/>
      <c r="H146"/>
      <c r="Q146" s="243" t="s">
        <v>123</v>
      </c>
      <c r="S146" s="244">
        <v>35</v>
      </c>
      <c r="T146" s="245">
        <v>3</v>
      </c>
      <c r="U146" s="246">
        <v>5</v>
      </c>
      <c r="V146" s="219"/>
      <c r="W146" s="219"/>
      <c r="X146" s="219"/>
      <c r="Y146" s="219"/>
      <c r="Z146" s="219"/>
      <c r="AA146" s="219"/>
      <c r="AB146" s="219"/>
      <c r="AC146" s="219"/>
    </row>
    <row r="147" spans="2:29">
      <c r="C147" s="243"/>
      <c r="D147" s="143" t="s">
        <v>709</v>
      </c>
      <c r="E147" s="870"/>
      <c r="F147" s="870"/>
      <c r="G147" s="871"/>
      <c r="H147"/>
      <c r="Q147" s="247" t="s">
        <v>124</v>
      </c>
      <c r="R147" s="248"/>
      <c r="S147" s="249">
        <v>40</v>
      </c>
      <c r="T147" s="250">
        <v>3</v>
      </c>
      <c r="U147" s="251">
        <v>5</v>
      </c>
      <c r="V147" s="219"/>
      <c r="W147" s="219"/>
      <c r="X147" s="219"/>
      <c r="Y147" s="219"/>
      <c r="Z147" s="219"/>
      <c r="AA147" s="219"/>
      <c r="AB147" s="219"/>
      <c r="AC147" s="219"/>
    </row>
    <row r="148" spans="2:29">
      <c r="C148" s="243"/>
      <c r="D148" s="143"/>
      <c r="E148" s="870"/>
      <c r="F148" s="870">
        <f>18/1.5</f>
        <v>12</v>
      </c>
      <c r="G148" s="871"/>
      <c r="H148"/>
      <c r="Q148" s="252"/>
      <c r="R148" s="253"/>
      <c r="S148" s="254">
        <f t="shared" ref="S148:U148" si="1">SUM(S142:S147)</f>
        <v>160</v>
      </c>
      <c r="T148" s="254">
        <f t="shared" si="1"/>
        <v>12</v>
      </c>
      <c r="U148" s="255">
        <f t="shared" si="1"/>
        <v>30</v>
      </c>
      <c r="V148" s="219"/>
      <c r="W148" s="219"/>
      <c r="X148" s="219"/>
      <c r="Y148" s="219"/>
      <c r="Z148" s="219"/>
      <c r="AA148" s="219"/>
      <c r="AB148" s="219"/>
      <c r="AC148" s="219"/>
    </row>
    <row r="149" spans="2:29">
      <c r="C149" s="243"/>
      <c r="D149" s="143"/>
      <c r="E149" s="870"/>
      <c r="F149" s="870"/>
      <c r="G149" s="871"/>
      <c r="H149"/>
      <c r="Q149" s="239" t="s">
        <v>180</v>
      </c>
      <c r="R149" s="239"/>
      <c r="S149" s="256"/>
      <c r="T149" s="257"/>
      <c r="U149" s="219"/>
      <c r="V149" s="219"/>
      <c r="W149" s="219"/>
      <c r="X149" s="219"/>
      <c r="Y149" s="219"/>
      <c r="Z149" s="219"/>
      <c r="AA149" s="219"/>
      <c r="AB149" s="219"/>
      <c r="AC149" s="219"/>
    </row>
    <row r="150" spans="2:29">
      <c r="C150" s="140" t="s">
        <v>531</v>
      </c>
      <c r="G150" s="871"/>
      <c r="H150"/>
      <c r="Q150" s="219"/>
      <c r="R150" s="15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</row>
    <row r="151" spans="2:29">
      <c r="G151" s="872"/>
      <c r="H151"/>
      <c r="Q151" s="219"/>
      <c r="R151" s="15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</row>
    <row r="152" spans="2:29">
      <c r="C152" s="141" t="s">
        <v>532</v>
      </c>
      <c r="F152" s="628" t="s">
        <v>535</v>
      </c>
      <c r="G152" s="219"/>
      <c r="H152"/>
      <c r="Q152" s="219"/>
      <c r="R152" s="15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</row>
    <row r="153" spans="2:29">
      <c r="C153" s="141" t="s">
        <v>533</v>
      </c>
      <c r="F153" s="628" t="s">
        <v>534</v>
      </c>
      <c r="H153"/>
      <c r="Q153" s="219"/>
      <c r="R153" s="15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</row>
    <row r="154" spans="2:29">
      <c r="C154" s="143"/>
      <c r="D154" s="143"/>
      <c r="E154" s="143"/>
      <c r="F154" s="1400"/>
      <c r="G154" s="143"/>
      <c r="Q154" s="219"/>
      <c r="R154" s="15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</row>
    <row r="155" spans="2:29">
      <c r="C155" s="143"/>
      <c r="D155" s="143"/>
      <c r="E155" s="143"/>
      <c r="F155" s="1400"/>
      <c r="G155" s="143"/>
      <c r="Q155" s="219"/>
      <c r="R155" s="15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</row>
    <row r="156" spans="2:29">
      <c r="Q156" s="219"/>
      <c r="R156" s="15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</row>
    <row r="157" spans="2:29">
      <c r="Q157" s="219"/>
      <c r="R157" s="15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</row>
    <row r="158" spans="2:29">
      <c r="Q158" s="219"/>
      <c r="R158" s="219"/>
      <c r="S158" s="21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</row>
    <row r="159" spans="2:29" s="201" customFormat="1">
      <c r="B159" s="200" t="s">
        <v>74</v>
      </c>
      <c r="O159" s="202"/>
      <c r="P159" s="203" t="s">
        <v>74</v>
      </c>
      <c r="Q159" s="204"/>
      <c r="R159" s="205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</row>
    <row r="160" spans="2:29"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</row>
    <row r="161" spans="2:29">
      <c r="C161" s="258" t="s">
        <v>51</v>
      </c>
      <c r="Q161" s="258" t="s">
        <v>51</v>
      </c>
      <c r="R161" s="259"/>
      <c r="S161" s="260"/>
      <c r="T161" s="231"/>
      <c r="U161" s="231"/>
      <c r="V161" s="159"/>
      <c r="W161" s="159"/>
      <c r="X161" s="159"/>
      <c r="Y161" s="159"/>
      <c r="Z161" s="159"/>
      <c r="AA161" s="159"/>
      <c r="AB161" s="159"/>
      <c r="AC161" s="159"/>
    </row>
    <row r="162" spans="2:29">
      <c r="C162" s="261" t="s">
        <v>52</v>
      </c>
      <c r="D162" s="231"/>
      <c r="E162" s="231"/>
      <c r="F162" s="231"/>
      <c r="G162" s="231"/>
      <c r="Q162" s="261" t="s">
        <v>52</v>
      </c>
      <c r="R162" s="231"/>
      <c r="S162" s="231"/>
      <c r="T162" s="231"/>
      <c r="U162" s="231"/>
      <c r="V162" s="159"/>
      <c r="W162" s="159"/>
      <c r="X162" s="159"/>
      <c r="Y162" s="159"/>
      <c r="Z162" s="159"/>
      <c r="AA162" s="159"/>
      <c r="AB162" s="159"/>
      <c r="AC162" s="159"/>
    </row>
    <row r="163" spans="2:29">
      <c r="C163" s="231"/>
      <c r="D163" s="231"/>
      <c r="E163" s="231"/>
      <c r="F163" s="231"/>
      <c r="G163" s="231"/>
      <c r="Q163" s="231"/>
      <c r="R163" s="231"/>
      <c r="S163" s="231"/>
      <c r="T163" s="231"/>
      <c r="U163" s="231"/>
      <c r="V163" s="159"/>
      <c r="W163" s="159"/>
      <c r="X163" s="159"/>
      <c r="Y163" s="159"/>
      <c r="Z163" s="159"/>
      <c r="AA163" s="159"/>
      <c r="AB163" s="159"/>
      <c r="AC163" s="159"/>
    </row>
    <row r="164" spans="2:29">
      <c r="C164" s="261" t="s">
        <v>53</v>
      </c>
      <c r="D164" s="262"/>
      <c r="E164" s="262"/>
      <c r="F164" s="262"/>
      <c r="G164" s="262"/>
      <c r="Q164" s="261" t="s">
        <v>53</v>
      </c>
      <c r="R164" s="262"/>
      <c r="S164" s="262"/>
      <c r="T164" s="262"/>
      <c r="U164" s="262"/>
      <c r="V164" s="159"/>
      <c r="W164" s="159"/>
      <c r="X164" s="159"/>
      <c r="Y164" s="159"/>
      <c r="Z164" s="159"/>
      <c r="AA164" s="159"/>
      <c r="AB164" s="159"/>
      <c r="AC164" s="159"/>
    </row>
    <row r="165" spans="2:29" ht="14.25" customHeight="1">
      <c r="C165" s="1839" t="s">
        <v>54</v>
      </c>
      <c r="D165" s="1840"/>
      <c r="E165" s="1861" t="s">
        <v>55</v>
      </c>
      <c r="F165" s="1862"/>
      <c r="G165" s="1862"/>
      <c r="H165" s="1863"/>
      <c r="Q165" s="1839" t="s">
        <v>54</v>
      </c>
      <c r="R165" s="1840"/>
      <c r="S165" s="1841" t="s">
        <v>55</v>
      </c>
      <c r="T165" s="1842"/>
      <c r="U165" s="1843"/>
      <c r="V165" s="159"/>
      <c r="W165" s="159"/>
      <c r="X165" s="159"/>
      <c r="Y165" s="159"/>
      <c r="Z165" s="159"/>
      <c r="AA165" s="159"/>
      <c r="AB165" s="159"/>
      <c r="AC165" s="159"/>
    </row>
    <row r="166" spans="2:29" ht="29.25">
      <c r="C166" s="263" t="s">
        <v>56</v>
      </c>
      <c r="D166" s="264"/>
      <c r="E166" s="265">
        <v>6</v>
      </c>
      <c r="F166" s="468">
        <v>10</v>
      </c>
      <c r="G166" s="267">
        <v>18</v>
      </c>
      <c r="H166" s="267">
        <v>24</v>
      </c>
      <c r="J166" s="141" t="s">
        <v>428</v>
      </c>
      <c r="Q166" s="263" t="s">
        <v>56</v>
      </c>
      <c r="R166" s="264"/>
      <c r="S166" s="265">
        <v>6</v>
      </c>
      <c r="T166" s="266">
        <v>12</v>
      </c>
      <c r="U166" s="267">
        <v>24</v>
      </c>
      <c r="V166" s="159"/>
      <c r="W166" s="159"/>
      <c r="X166" s="159"/>
      <c r="Y166" s="159"/>
      <c r="Z166" s="159"/>
      <c r="AA166" s="159"/>
      <c r="AB166" s="159"/>
      <c r="AC166" s="159"/>
    </row>
    <row r="167" spans="2:29">
      <c r="B167" s="141">
        <f t="shared" ref="B167:B169" si="2">D167/3</f>
        <v>200</v>
      </c>
      <c r="C167" s="268" t="s">
        <v>57</v>
      </c>
      <c r="D167" s="269">
        <v>600</v>
      </c>
      <c r="E167" s="270">
        <v>0.2</v>
      </c>
      <c r="F167" s="270">
        <v>0.23</v>
      </c>
      <c r="G167" s="270">
        <v>0.26</v>
      </c>
      <c r="H167" s="270">
        <v>0.3</v>
      </c>
      <c r="J167" s="464">
        <f>D167/R167-1</f>
        <v>9.0909090909090828E-2</v>
      </c>
      <c r="L167" s="464"/>
      <c r="Q167" s="268" t="s">
        <v>57</v>
      </c>
      <c r="R167" s="269">
        <v>550</v>
      </c>
      <c r="S167" s="270">
        <v>0.2</v>
      </c>
      <c r="T167" s="270">
        <v>0.25</v>
      </c>
      <c r="U167" s="270">
        <v>0.3</v>
      </c>
      <c r="V167" s="159"/>
      <c r="W167" s="159"/>
      <c r="X167" s="159"/>
      <c r="Y167" s="159"/>
      <c r="Z167" s="159"/>
      <c r="AA167" s="159"/>
      <c r="AB167" s="159"/>
      <c r="AC167" s="159"/>
    </row>
    <row r="168" spans="2:29">
      <c r="B168" s="141">
        <f t="shared" si="2"/>
        <v>120</v>
      </c>
      <c r="C168" s="271" t="s">
        <v>17</v>
      </c>
      <c r="D168" s="272">
        <v>360</v>
      </c>
      <c r="E168" s="270">
        <v>0.15</v>
      </c>
      <c r="F168" s="270">
        <v>0.18</v>
      </c>
      <c r="G168" s="270">
        <v>0.21</v>
      </c>
      <c r="H168" s="270">
        <v>0.25</v>
      </c>
      <c r="J168" s="464">
        <f t="shared" ref="J168:J170" si="3">D168/R168-1</f>
        <v>9.0909090909090828E-2</v>
      </c>
      <c r="L168" s="464"/>
      <c r="Q168" s="271" t="s">
        <v>17</v>
      </c>
      <c r="R168" s="272">
        <v>330</v>
      </c>
      <c r="S168" s="270">
        <v>0.15</v>
      </c>
      <c r="T168" s="270">
        <v>0.2</v>
      </c>
      <c r="U168" s="270">
        <v>0.25</v>
      </c>
      <c r="V168" s="159"/>
      <c r="W168" s="159"/>
      <c r="X168" s="159"/>
      <c r="Y168" s="159"/>
      <c r="Z168" s="159"/>
      <c r="AA168" s="159"/>
      <c r="AB168" s="159"/>
      <c r="AC168" s="159"/>
    </row>
    <row r="169" spans="2:29">
      <c r="B169" s="141">
        <f t="shared" si="2"/>
        <v>80</v>
      </c>
      <c r="C169" s="271" t="s">
        <v>18</v>
      </c>
      <c r="D169" s="273">
        <v>240</v>
      </c>
      <c r="E169" s="270">
        <v>0.1</v>
      </c>
      <c r="F169" s="270">
        <v>0.13</v>
      </c>
      <c r="G169" s="270">
        <v>0.16</v>
      </c>
      <c r="H169" s="270">
        <v>0.2</v>
      </c>
      <c r="J169" s="464">
        <f>D169/R169-1</f>
        <v>9.0909090909090828E-2</v>
      </c>
      <c r="L169" s="464"/>
      <c r="Q169" s="271" t="s">
        <v>18</v>
      </c>
      <c r="R169" s="273">
        <v>220</v>
      </c>
      <c r="S169" s="270">
        <v>0.1</v>
      </c>
      <c r="T169" s="270">
        <v>0.15</v>
      </c>
      <c r="U169" s="270">
        <v>0.2</v>
      </c>
      <c r="V169" s="159"/>
      <c r="W169" s="159"/>
      <c r="X169" s="159"/>
      <c r="Y169" s="159"/>
      <c r="Z169" s="159"/>
      <c r="AA169" s="159"/>
      <c r="AB169" s="159"/>
      <c r="AC169" s="159"/>
    </row>
    <row r="170" spans="2:29">
      <c r="B170" s="141">
        <f>D170/3</f>
        <v>40</v>
      </c>
      <c r="C170" s="274" t="s">
        <v>19</v>
      </c>
      <c r="D170" s="275">
        <v>120</v>
      </c>
      <c r="E170" s="276">
        <v>0.05</v>
      </c>
      <c r="F170" s="276">
        <v>0.05</v>
      </c>
      <c r="G170" s="276">
        <v>0.05</v>
      </c>
      <c r="H170" s="276">
        <v>0.05</v>
      </c>
      <c r="J170" s="464">
        <f t="shared" si="3"/>
        <v>9.0909090909090828E-2</v>
      </c>
      <c r="L170" s="464"/>
      <c r="Q170" s="274" t="s">
        <v>19</v>
      </c>
      <c r="R170" s="275">
        <v>110</v>
      </c>
      <c r="S170" s="276">
        <v>0.05</v>
      </c>
      <c r="T170" s="276">
        <v>0.05</v>
      </c>
      <c r="U170" s="276">
        <v>0.05</v>
      </c>
      <c r="V170" s="159"/>
      <c r="W170" s="159"/>
      <c r="X170" s="159"/>
      <c r="Y170" s="159"/>
      <c r="Z170" s="159"/>
      <c r="AA170" s="159"/>
      <c r="AB170" s="159"/>
      <c r="AC170" s="159"/>
    </row>
    <row r="171" spans="2:29">
      <c r="C171" s="262"/>
      <c r="D171" s="262"/>
      <c r="E171" s="262"/>
      <c r="F171" s="262"/>
      <c r="G171" s="262"/>
      <c r="Q171" s="262"/>
      <c r="R171" s="262"/>
      <c r="S171" s="262"/>
      <c r="T171" s="262"/>
      <c r="U171" s="262"/>
      <c r="V171" s="159"/>
      <c r="W171" s="159"/>
      <c r="X171" s="159"/>
      <c r="Y171" s="159"/>
      <c r="Z171" s="159"/>
      <c r="AA171" s="159"/>
      <c r="AB171" s="159"/>
      <c r="AC171" s="159"/>
    </row>
    <row r="172" spans="2:29">
      <c r="E172" s="278"/>
      <c r="F172" s="278"/>
      <c r="G172" s="278"/>
      <c r="I172" s="465"/>
      <c r="J172" s="466"/>
      <c r="K172" s="466"/>
      <c r="Q172" s="277" t="s">
        <v>58</v>
      </c>
      <c r="R172" s="262"/>
      <c r="S172" s="278"/>
      <c r="T172" s="278"/>
      <c r="U172" s="278"/>
      <c r="V172" s="159"/>
      <c r="W172" s="159"/>
      <c r="X172" s="159"/>
      <c r="Y172" s="159"/>
      <c r="Z172" s="159"/>
      <c r="AA172" s="159"/>
      <c r="AB172" s="159"/>
      <c r="AC172" s="159"/>
    </row>
    <row r="173" spans="2:29">
      <c r="C173" s="329"/>
      <c r="D173" s="262"/>
      <c r="E173" s="278"/>
      <c r="F173" s="278"/>
      <c r="G173" s="278"/>
      <c r="I173" s="465"/>
      <c r="J173" s="466"/>
      <c r="K173" s="466"/>
      <c r="Q173" s="277" t="s">
        <v>59</v>
      </c>
      <c r="R173" s="262"/>
      <c r="S173" s="278"/>
      <c r="T173" s="278"/>
      <c r="U173" s="278"/>
      <c r="V173" s="159"/>
      <c r="W173" s="159"/>
      <c r="X173" s="159"/>
      <c r="Y173" s="159"/>
      <c r="Z173" s="159"/>
      <c r="AA173" s="159"/>
      <c r="AB173" s="159"/>
      <c r="AC173" s="159"/>
    </row>
    <row r="174" spans="2:29">
      <c r="C174" s="277" t="s">
        <v>392</v>
      </c>
      <c r="D174" s="262"/>
      <c r="E174" s="262"/>
      <c r="F174" s="279"/>
      <c r="G174" s="278"/>
      <c r="I174" s="465"/>
      <c r="J174" s="466"/>
      <c r="K174" s="466"/>
      <c r="Q174" s="277" t="s">
        <v>60</v>
      </c>
      <c r="R174" s="262"/>
      <c r="S174" s="262"/>
      <c r="T174" s="279"/>
      <c r="U174" s="278"/>
      <c r="V174" s="159"/>
      <c r="W174" s="159"/>
      <c r="X174" s="159"/>
      <c r="Y174" s="159"/>
      <c r="Z174" s="159"/>
      <c r="AA174" s="159"/>
      <c r="AB174" s="159"/>
      <c r="AC174" s="159"/>
    </row>
    <row r="175" spans="2:29">
      <c r="C175" s="277" t="s">
        <v>59</v>
      </c>
      <c r="I175" s="465"/>
      <c r="J175" s="466"/>
      <c r="K175" s="466"/>
      <c r="Q175" s="280" t="s">
        <v>61</v>
      </c>
      <c r="R175" s="262"/>
      <c r="S175" s="262"/>
      <c r="T175" s="281"/>
      <c r="U175" s="278"/>
      <c r="V175" s="159"/>
      <c r="W175" s="159"/>
      <c r="X175" s="159"/>
      <c r="Y175" s="159"/>
      <c r="Z175" s="159"/>
      <c r="AA175" s="159"/>
      <c r="AB175" s="159"/>
      <c r="AC175" s="159"/>
    </row>
    <row r="176" spans="2:29">
      <c r="C176" s="277" t="s">
        <v>393</v>
      </c>
      <c r="I176" s="467"/>
      <c r="J176" s="467"/>
      <c r="K176" s="467"/>
      <c r="Q176" s="261" t="s">
        <v>62</v>
      </c>
      <c r="R176" s="262"/>
      <c r="S176" s="262"/>
      <c r="T176" s="282"/>
      <c r="U176" s="278"/>
      <c r="V176" s="159"/>
      <c r="W176" s="159"/>
      <c r="X176" s="159"/>
      <c r="Y176" s="159"/>
      <c r="Z176" s="159"/>
      <c r="AA176" s="159"/>
      <c r="AB176" s="159"/>
      <c r="AC176" s="159"/>
    </row>
    <row r="177" spans="2:29">
      <c r="I177" s="465"/>
      <c r="J177" s="466"/>
      <c r="K177" s="466"/>
      <c r="Q177" s="283" t="s">
        <v>63</v>
      </c>
      <c r="R177" s="284"/>
      <c r="S177" s="285" t="s">
        <v>64</v>
      </c>
      <c r="T177" s="282"/>
      <c r="U177" s="278"/>
      <c r="V177" s="159"/>
      <c r="W177" s="159"/>
      <c r="X177" s="159"/>
      <c r="Y177" s="159"/>
      <c r="Z177" s="159"/>
      <c r="AA177" s="159"/>
      <c r="AB177" s="159"/>
      <c r="AC177" s="159"/>
    </row>
    <row r="178" spans="2:29">
      <c r="I178" s="465"/>
      <c r="J178" s="466"/>
      <c r="K178" s="466"/>
      <c r="Q178" s="240" t="s">
        <v>56</v>
      </c>
      <c r="R178" s="286"/>
      <c r="S178" s="287"/>
      <c r="T178" s="282"/>
      <c r="U178" s="282"/>
      <c r="V178" s="159"/>
      <c r="W178" s="159"/>
      <c r="X178" s="159"/>
      <c r="Y178" s="159"/>
      <c r="Z178" s="159"/>
      <c r="AA178" s="159"/>
      <c r="AB178" s="159"/>
      <c r="AC178" s="159"/>
    </row>
    <row r="179" spans="2:29">
      <c r="I179" s="465"/>
      <c r="J179" s="466"/>
      <c r="K179" s="466"/>
      <c r="Q179" s="288" t="s">
        <v>57</v>
      </c>
      <c r="R179" s="289">
        <v>300</v>
      </c>
      <c r="S179" s="290">
        <v>0.2</v>
      </c>
      <c r="T179" s="282"/>
      <c r="U179" s="282"/>
      <c r="V179" s="159"/>
      <c r="W179" s="159"/>
      <c r="X179" s="159"/>
      <c r="Y179" s="159"/>
      <c r="Z179" s="159"/>
      <c r="AA179" s="159"/>
      <c r="AB179" s="159"/>
      <c r="AC179" s="159"/>
    </row>
    <row r="180" spans="2:29">
      <c r="I180" s="465"/>
      <c r="J180" s="466"/>
      <c r="K180" s="466"/>
      <c r="Q180" s="271" t="s">
        <v>17</v>
      </c>
      <c r="R180" s="273">
        <v>200</v>
      </c>
      <c r="S180" s="291">
        <v>0.15</v>
      </c>
      <c r="T180" s="262"/>
      <c r="U180" s="262"/>
      <c r="V180" s="159"/>
      <c r="W180" s="159"/>
      <c r="X180" s="159"/>
      <c r="Y180" s="159"/>
      <c r="Z180" s="159"/>
      <c r="AA180" s="159"/>
      <c r="AB180" s="159"/>
      <c r="AC180" s="159"/>
    </row>
    <row r="181" spans="2:29">
      <c r="Q181" s="271" t="s">
        <v>18</v>
      </c>
      <c r="R181" s="273">
        <v>120</v>
      </c>
      <c r="S181" s="291">
        <v>0.1</v>
      </c>
      <c r="T181" s="262"/>
      <c r="U181" s="262"/>
      <c r="V181" s="159"/>
      <c r="W181" s="159"/>
      <c r="X181" s="159"/>
      <c r="Y181" s="159"/>
      <c r="Z181" s="159"/>
      <c r="AA181" s="159"/>
      <c r="AB181" s="159"/>
      <c r="AC181" s="159"/>
    </row>
    <row r="182" spans="2:29">
      <c r="Q182" s="274" t="s">
        <v>19</v>
      </c>
      <c r="R182" s="292">
        <v>60</v>
      </c>
      <c r="S182" s="293">
        <v>0.05</v>
      </c>
      <c r="T182" s="262"/>
      <c r="U182" s="262"/>
      <c r="V182" s="159"/>
      <c r="W182" s="159"/>
      <c r="X182" s="159"/>
      <c r="Y182" s="159"/>
      <c r="Z182" s="159"/>
      <c r="AA182" s="159"/>
      <c r="AB182" s="159"/>
      <c r="AC182" s="159"/>
    </row>
    <row r="183" spans="2:29">
      <c r="Q183" s="277" t="s">
        <v>58</v>
      </c>
      <c r="R183" s="262"/>
      <c r="S183" s="278"/>
      <c r="T183" s="262"/>
      <c r="U183" s="262"/>
      <c r="V183" s="159"/>
      <c r="W183" s="159"/>
      <c r="X183" s="159"/>
      <c r="Y183" s="159"/>
      <c r="Z183" s="159"/>
      <c r="AA183" s="159"/>
      <c r="AB183" s="159"/>
      <c r="AC183" s="159"/>
    </row>
    <row r="184" spans="2:29">
      <c r="Q184" s="277" t="s">
        <v>59</v>
      </c>
      <c r="R184" s="262"/>
      <c r="S184" s="278"/>
      <c r="T184" s="262"/>
      <c r="U184" s="262"/>
      <c r="V184" s="143"/>
      <c r="W184" s="143"/>
      <c r="X184" s="143"/>
      <c r="Y184" s="143"/>
      <c r="Z184" s="143"/>
      <c r="AA184" s="143"/>
      <c r="AB184" s="143"/>
      <c r="AC184" s="143"/>
    </row>
    <row r="185" spans="2:29">
      <c r="Q185" s="277" t="s">
        <v>60</v>
      </c>
      <c r="R185" s="262"/>
      <c r="S185" s="278"/>
      <c r="T185" s="262"/>
      <c r="U185" s="262"/>
      <c r="V185" s="159"/>
      <c r="W185" s="159"/>
      <c r="X185" s="159"/>
      <c r="Y185" s="159"/>
      <c r="Z185" s="159"/>
      <c r="AA185" s="159"/>
      <c r="AB185" s="159"/>
      <c r="AC185" s="159"/>
    </row>
    <row r="186" spans="2:29">
      <c r="Q186" s="212" t="s">
        <v>65</v>
      </c>
      <c r="R186" s="231"/>
      <c r="S186" s="231"/>
      <c r="T186" s="231"/>
      <c r="U186" s="231"/>
      <c r="V186" s="219"/>
      <c r="W186" s="219"/>
      <c r="X186" s="219"/>
      <c r="Y186" s="219"/>
      <c r="Z186" s="159"/>
      <c r="AA186" s="159"/>
      <c r="AB186" s="159"/>
      <c r="AC186" s="159"/>
    </row>
    <row r="187" spans="2:29">
      <c r="Q187" s="212" t="s">
        <v>66</v>
      </c>
      <c r="R187" s="294"/>
      <c r="S187" s="260"/>
      <c r="T187" s="231"/>
      <c r="U187" s="231"/>
      <c r="V187" s="159"/>
      <c r="W187" s="159"/>
      <c r="X187" s="159"/>
      <c r="Y187" s="159"/>
      <c r="Z187" s="159"/>
      <c r="AA187" s="159"/>
      <c r="AB187" s="159"/>
      <c r="AC187" s="159"/>
    </row>
    <row r="188" spans="2:29">
      <c r="C188" s="258" t="s">
        <v>67</v>
      </c>
      <c r="D188" s="259"/>
      <c r="E188" s="231"/>
      <c r="F188" s="231"/>
      <c r="Q188" s="258" t="s">
        <v>67</v>
      </c>
      <c r="R188" s="259"/>
      <c r="S188" s="231"/>
      <c r="T188" s="231"/>
      <c r="U188" s="231"/>
      <c r="V188" s="295"/>
      <c r="W188" s="295"/>
      <c r="X188" s="295"/>
      <c r="Y188" s="295"/>
      <c r="Z188" s="295"/>
      <c r="AA188" s="295"/>
      <c r="AB188" s="295"/>
      <c r="AC188" s="295"/>
    </row>
    <row r="189" spans="2:29">
      <c r="C189" s="261" t="s">
        <v>68</v>
      </c>
      <c r="D189" s="231"/>
      <c r="E189" s="231"/>
      <c r="F189" s="231"/>
      <c r="Q189" s="261" t="s">
        <v>68</v>
      </c>
      <c r="R189" s="231"/>
      <c r="S189" s="231"/>
      <c r="T189" s="231"/>
      <c r="U189" s="231"/>
      <c r="V189" s="159"/>
      <c r="W189" s="159"/>
      <c r="X189" s="159"/>
      <c r="Y189" s="159"/>
      <c r="Z189" s="159"/>
      <c r="AA189" s="159"/>
      <c r="AB189" s="159"/>
      <c r="AC189" s="159"/>
    </row>
    <row r="190" spans="2:29" ht="60">
      <c r="C190" s="296" t="s">
        <v>69</v>
      </c>
      <c r="D190" s="297"/>
      <c r="E190" s="1403" t="s">
        <v>429</v>
      </c>
      <c r="F190" s="1401"/>
      <c r="Q190" s="296" t="s">
        <v>69</v>
      </c>
      <c r="R190" s="297"/>
      <c r="S190" s="298" t="s">
        <v>70</v>
      </c>
      <c r="T190" s="231" t="s">
        <v>71</v>
      </c>
      <c r="U190" s="299"/>
      <c r="V190" s="219"/>
      <c r="W190" s="219"/>
      <c r="X190" s="219"/>
      <c r="Y190" s="219"/>
      <c r="Z190" s="219"/>
      <c r="AA190" s="219"/>
      <c r="AB190" s="219"/>
      <c r="AC190" s="219"/>
    </row>
    <row r="191" spans="2:29" ht="21" customHeight="1">
      <c r="C191" s="263" t="s">
        <v>56</v>
      </c>
      <c r="D191" s="264"/>
      <c r="E191" s="471" t="s">
        <v>430</v>
      </c>
      <c r="F191" s="819"/>
      <c r="H191" s="470" t="s">
        <v>428</v>
      </c>
      <c r="Q191" s="263" t="s">
        <v>56</v>
      </c>
      <c r="R191" s="264"/>
      <c r="S191" s="300" t="s">
        <v>64</v>
      </c>
      <c r="T191" s="301"/>
      <c r="U191" s="302"/>
      <c r="V191" s="159"/>
      <c r="W191" s="159"/>
      <c r="X191" s="159"/>
      <c r="Y191" s="159"/>
      <c r="Z191" s="159"/>
      <c r="AA191" s="159"/>
      <c r="AB191" s="159"/>
      <c r="AC191" s="159"/>
    </row>
    <row r="192" spans="2:29">
      <c r="B192" s="442"/>
      <c r="C192" s="268" t="s">
        <v>57</v>
      </c>
      <c r="D192" s="269">
        <v>2300</v>
      </c>
      <c r="E192" s="303">
        <v>0.1</v>
      </c>
      <c r="F192" s="1402"/>
      <c r="H192" s="469">
        <f>D192/R192-1</f>
        <v>4.5454545454545414E-2</v>
      </c>
      <c r="Q192" s="268" t="s">
        <v>57</v>
      </c>
      <c r="R192" s="269">
        <v>2200</v>
      </c>
      <c r="S192" s="303">
        <v>0.1</v>
      </c>
      <c r="T192" s="304">
        <f>[3]Sheet2!$F$7</f>
        <v>9.0122718418783387E-2</v>
      </c>
      <c r="U192" s="305"/>
      <c r="V192" s="159"/>
      <c r="W192" s="219"/>
      <c r="X192" s="159"/>
      <c r="Y192" s="159"/>
      <c r="Z192" s="159"/>
      <c r="AA192" s="159"/>
      <c r="AB192" s="159"/>
      <c r="AC192" s="159"/>
    </row>
    <row r="193" spans="2:29">
      <c r="B193" s="442"/>
      <c r="C193" s="271" t="s">
        <v>17</v>
      </c>
      <c r="D193" s="272">
        <v>1500</v>
      </c>
      <c r="E193" s="306">
        <v>0.08</v>
      </c>
      <c r="F193" s="1402"/>
      <c r="H193" s="469">
        <f t="shared" ref="H193:H195" si="4">D193/R193-1</f>
        <v>8.6956521739130377E-2</v>
      </c>
      <c r="Q193" s="271" t="s">
        <v>17</v>
      </c>
      <c r="R193" s="272">
        <v>1380</v>
      </c>
      <c r="S193" s="306">
        <v>0.08</v>
      </c>
      <c r="T193" s="304">
        <f>[3]Sheet2!$F$10</f>
        <v>6.2266651800769401E-2</v>
      </c>
      <c r="U193" s="305"/>
      <c r="V193" s="159"/>
      <c r="W193" s="159"/>
      <c r="X193" s="159"/>
      <c r="Y193" s="159"/>
      <c r="Z193" s="159"/>
      <c r="AA193" s="159"/>
      <c r="AB193" s="159"/>
      <c r="AC193" s="159"/>
    </row>
    <row r="194" spans="2:29">
      <c r="B194" s="442"/>
      <c r="C194" s="271" t="s">
        <v>18</v>
      </c>
      <c r="D194" s="272">
        <v>960</v>
      </c>
      <c r="E194" s="306">
        <v>0.06</v>
      </c>
      <c r="F194" s="1402"/>
      <c r="H194" s="469">
        <f t="shared" si="4"/>
        <v>9.0909090909090828E-2</v>
      </c>
      <c r="Q194" s="271" t="s">
        <v>18</v>
      </c>
      <c r="R194" s="272">
        <v>880</v>
      </c>
      <c r="S194" s="306">
        <v>0.06</v>
      </c>
      <c r="T194" s="304">
        <f>[3]Sheet2!$F$9</f>
        <v>5.0344042647680491E-2</v>
      </c>
      <c r="U194" s="305"/>
      <c r="V194" s="159"/>
      <c r="W194" s="159"/>
      <c r="X194" s="159"/>
      <c r="Y194" s="159"/>
      <c r="Z194" s="159"/>
      <c r="AA194" s="159"/>
      <c r="AB194" s="159"/>
      <c r="AC194" s="159"/>
    </row>
    <row r="195" spans="2:29">
      <c r="B195" s="442"/>
      <c r="C195" s="274" t="s">
        <v>19</v>
      </c>
      <c r="D195" s="307">
        <v>440</v>
      </c>
      <c r="E195" s="308">
        <v>0.04</v>
      </c>
      <c r="F195" s="1402"/>
      <c r="H195" s="469">
        <f t="shared" si="4"/>
        <v>0</v>
      </c>
      <c r="Q195" s="274" t="s">
        <v>19</v>
      </c>
      <c r="R195" s="307">
        <v>440</v>
      </c>
      <c r="S195" s="308">
        <v>0.04</v>
      </c>
      <c r="T195" s="304">
        <f>[3]Sheet2!$F$8</f>
        <v>2.1657661218910444E-2</v>
      </c>
      <c r="U195" s="305"/>
      <c r="V195" s="159"/>
      <c r="W195" s="159"/>
      <c r="X195" s="159"/>
      <c r="Y195" s="159"/>
      <c r="Z195" s="159"/>
      <c r="AA195" s="159"/>
      <c r="AB195" s="159"/>
      <c r="AC195" s="159"/>
    </row>
    <row r="196" spans="2:29">
      <c r="C196" s="294"/>
      <c r="D196" s="294"/>
      <c r="E196" s="294"/>
      <c r="F196" s="231"/>
      <c r="I196" s="467">
        <v>4100</v>
      </c>
      <c r="J196" s="466">
        <v>3.5000000000000003E-2</v>
      </c>
      <c r="K196" s="466">
        <v>0.05</v>
      </c>
      <c r="Q196" s="294"/>
      <c r="R196" s="294"/>
      <c r="S196" s="294"/>
      <c r="T196" s="231"/>
      <c r="U196" s="309"/>
      <c r="V196" s="159"/>
      <c r="W196" s="159"/>
      <c r="X196" s="159"/>
      <c r="Y196" s="159"/>
      <c r="Z196" s="159"/>
      <c r="AA196" s="159"/>
      <c r="AB196" s="159"/>
      <c r="AC196" s="159"/>
    </row>
    <row r="197" spans="2:29">
      <c r="C197" s="224" t="s">
        <v>395</v>
      </c>
      <c r="D197" s="231"/>
      <c r="E197" s="310"/>
      <c r="F197" s="310"/>
      <c r="I197" s="467">
        <v>3400</v>
      </c>
      <c r="J197" s="466">
        <v>0.03</v>
      </c>
      <c r="K197" s="466">
        <v>0.04</v>
      </c>
      <c r="Q197" s="277" t="s">
        <v>72</v>
      </c>
      <c r="R197" s="231"/>
      <c r="S197" s="310"/>
      <c r="T197" s="310"/>
      <c r="U197" s="310"/>
      <c r="V197" s="159"/>
      <c r="W197" s="159"/>
      <c r="X197" s="159"/>
      <c r="Y197" s="159"/>
      <c r="Z197" s="159"/>
      <c r="AA197" s="159"/>
      <c r="AB197" s="159"/>
      <c r="AC197" s="159"/>
    </row>
    <row r="198" spans="2:29">
      <c r="C198" s="141" t="s">
        <v>394</v>
      </c>
      <c r="D198" s="231"/>
      <c r="E198" s="239"/>
      <c r="F198" s="239"/>
      <c r="I198" s="467">
        <v>2900</v>
      </c>
      <c r="J198" s="466">
        <v>2.5000000000000001E-2</v>
      </c>
      <c r="K198" s="466">
        <v>3.5000000000000003E-2</v>
      </c>
      <c r="Q198" s="224" t="s">
        <v>368</v>
      </c>
      <c r="R198" s="231"/>
      <c r="S198" s="239"/>
      <c r="T198" s="239"/>
      <c r="U198" s="239"/>
      <c r="V198" s="143"/>
      <c r="W198" s="143"/>
      <c r="X198" s="143"/>
      <c r="Y198" s="143"/>
      <c r="Z198" s="143"/>
      <c r="AA198" s="143"/>
      <c r="AB198" s="143"/>
      <c r="AC198" s="143"/>
    </row>
    <row r="199" spans="2:29">
      <c r="C199" s="277" t="s">
        <v>392</v>
      </c>
      <c r="I199" s="467">
        <v>2200</v>
      </c>
      <c r="J199" s="466">
        <v>0.02</v>
      </c>
      <c r="K199" s="466">
        <v>0.03</v>
      </c>
      <c r="Q199" s="280" t="s">
        <v>73</v>
      </c>
      <c r="R199" s="239"/>
      <c r="S199" s="305"/>
      <c r="T199" s="239"/>
      <c r="U199" s="239"/>
      <c r="V199" s="159"/>
      <c r="W199" s="159"/>
      <c r="X199" s="159"/>
      <c r="Y199" s="159"/>
      <c r="Z199" s="159"/>
      <c r="AA199" s="159"/>
      <c r="AB199" s="159"/>
      <c r="AC199" s="143"/>
    </row>
    <row r="200" spans="2:29">
      <c r="C200" s="277" t="s">
        <v>59</v>
      </c>
      <c r="I200" s="467">
        <v>1400</v>
      </c>
      <c r="J200" s="466">
        <v>1.4999999999999999E-2</v>
      </c>
      <c r="K200" s="466">
        <v>2.5000000000000001E-2</v>
      </c>
      <c r="Q200" s="280"/>
      <c r="R200" s="239"/>
      <c r="S200" s="305"/>
      <c r="T200" s="239"/>
      <c r="U200" s="239"/>
      <c r="V200" s="159"/>
      <c r="W200" s="159"/>
      <c r="X200" s="159"/>
      <c r="Y200" s="159"/>
      <c r="Z200" s="159"/>
      <c r="AA200" s="159"/>
      <c r="AB200" s="159"/>
      <c r="AC200" s="143"/>
    </row>
    <row r="201" spans="2:29">
      <c r="C201" s="277" t="s">
        <v>60</v>
      </c>
      <c r="I201" s="467"/>
      <c r="J201" s="467"/>
      <c r="K201" s="467"/>
      <c r="Q201" s="280"/>
      <c r="R201" s="239"/>
      <c r="S201" s="305"/>
      <c r="T201" s="239"/>
      <c r="U201" s="239"/>
      <c r="V201" s="159"/>
      <c r="W201" s="159"/>
      <c r="X201" s="159"/>
      <c r="Y201" s="159"/>
      <c r="Z201" s="159"/>
      <c r="AA201" s="159"/>
      <c r="AB201" s="159"/>
      <c r="AC201" s="143"/>
    </row>
    <row r="202" spans="2:29">
      <c r="Q202" s="280"/>
      <c r="R202" s="239"/>
      <c r="S202" s="305"/>
      <c r="T202" s="239"/>
      <c r="U202" s="239"/>
      <c r="V202" s="159"/>
      <c r="W202" s="159"/>
      <c r="X202" s="159"/>
      <c r="Y202" s="159"/>
      <c r="Z202" s="159"/>
      <c r="AA202" s="159"/>
      <c r="AB202" s="159"/>
      <c r="AC202" s="143"/>
    </row>
    <row r="203" spans="2:29">
      <c r="Q203" s="280"/>
      <c r="R203" s="239"/>
      <c r="S203" s="305"/>
      <c r="T203" s="239"/>
      <c r="U203" s="239"/>
      <c r="V203" s="159"/>
      <c r="W203" s="159"/>
      <c r="X203" s="159"/>
      <c r="Y203" s="159"/>
      <c r="Z203" s="159"/>
      <c r="AA203" s="159"/>
      <c r="AB203" s="159"/>
      <c r="AC203" s="143"/>
    </row>
    <row r="204" spans="2:29" s="201" customFormat="1">
      <c r="B204" s="200"/>
      <c r="O204" s="202"/>
      <c r="P204" s="203" t="s">
        <v>191</v>
      </c>
      <c r="Q204" s="204"/>
      <c r="R204" s="205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</row>
    <row r="205" spans="2:29">
      <c r="Q205" s="280"/>
      <c r="R205" s="239"/>
      <c r="S205" s="305"/>
      <c r="T205" s="239"/>
      <c r="U205" s="239"/>
      <c r="V205" s="159"/>
      <c r="W205" s="159"/>
      <c r="X205" s="159"/>
      <c r="Y205" s="159"/>
      <c r="Z205" s="159"/>
      <c r="AA205" s="159"/>
      <c r="AB205" s="159"/>
      <c r="AC205" s="143"/>
    </row>
    <row r="206" spans="2:29">
      <c r="C206" s="7" t="s">
        <v>396</v>
      </c>
      <c r="Q206" s="239" t="s">
        <v>192</v>
      </c>
      <c r="R206" s="239"/>
      <c r="S206" s="239"/>
      <c r="T206" s="239"/>
      <c r="U206" s="239"/>
      <c r="V206" s="159"/>
      <c r="W206" s="159"/>
      <c r="X206" s="159"/>
      <c r="Y206" s="159"/>
      <c r="Z206" s="159"/>
      <c r="AA206" s="159"/>
      <c r="AB206" s="159"/>
      <c r="AC206" s="143"/>
    </row>
    <row r="207" spans="2:29">
      <c r="C207" s="7"/>
      <c r="Q207" s="239" t="s">
        <v>193</v>
      </c>
      <c r="R207" s="239"/>
      <c r="S207" s="239"/>
      <c r="T207" s="239"/>
      <c r="U207" s="239"/>
      <c r="V207" s="159"/>
      <c r="W207" s="159"/>
      <c r="X207" s="159"/>
      <c r="Y207" s="159"/>
      <c r="Z207" s="159"/>
      <c r="AA207" s="159"/>
      <c r="AB207" s="159"/>
      <c r="AC207" s="143"/>
    </row>
    <row r="208" spans="2:29">
      <c r="C208" s="7" t="s">
        <v>397</v>
      </c>
      <c r="Q208" s="239"/>
      <c r="R208" s="311" t="s">
        <v>194</v>
      </c>
      <c r="S208" s="239"/>
      <c r="T208" s="239"/>
      <c r="U208" s="312"/>
      <c r="V208" s="313"/>
      <c r="W208" s="159"/>
      <c r="X208" s="159"/>
      <c r="Y208" s="159"/>
      <c r="Z208" s="159"/>
      <c r="AA208" s="159"/>
      <c r="AB208" s="159"/>
      <c r="AC208" s="143"/>
    </row>
    <row r="209" spans="2:29">
      <c r="Q209" s="314"/>
      <c r="R209" s="315" t="s">
        <v>195</v>
      </c>
      <c r="S209" s="316" t="s">
        <v>196</v>
      </c>
      <c r="T209" s="317"/>
      <c r="U209" s="312" t="s">
        <v>197</v>
      </c>
      <c r="V209" s="313"/>
      <c r="W209" s="159"/>
      <c r="X209" s="159"/>
      <c r="Y209" s="159"/>
      <c r="Z209" s="159"/>
      <c r="AA209" s="159"/>
      <c r="AB209" s="159"/>
      <c r="AC209" s="143"/>
    </row>
    <row r="210" spans="2:29">
      <c r="Q210" s="318" t="s">
        <v>19</v>
      </c>
      <c r="R210" s="318" t="s">
        <v>603</v>
      </c>
      <c r="S210" s="239">
        <v>30</v>
      </c>
      <c r="T210" s="319"/>
      <c r="U210" s="320">
        <v>3.2</v>
      </c>
      <c r="V210" s="159"/>
      <c r="W210" s="159"/>
      <c r="X210" s="159"/>
      <c r="Y210" s="159"/>
      <c r="Z210" s="159"/>
      <c r="AA210" s="159"/>
      <c r="AB210" s="159"/>
      <c r="AC210" s="143"/>
    </row>
    <row r="211" spans="2:29">
      <c r="Q211" s="318" t="s">
        <v>18</v>
      </c>
      <c r="R211" s="318" t="s">
        <v>604</v>
      </c>
      <c r="S211" s="239">
        <v>30</v>
      </c>
      <c r="T211" s="319"/>
      <c r="U211" s="320">
        <v>2</v>
      </c>
      <c r="V211" s="159"/>
      <c r="W211" s="159"/>
      <c r="X211" s="159"/>
      <c r="Y211" s="159"/>
      <c r="Z211" s="159"/>
      <c r="AA211" s="159"/>
      <c r="AB211" s="159"/>
      <c r="AC211" s="143"/>
    </row>
    <row r="212" spans="2:29">
      <c r="Q212" s="280"/>
      <c r="R212" s="239"/>
      <c r="S212" s="305"/>
      <c r="T212" s="239"/>
      <c r="U212" s="239"/>
      <c r="V212" s="159"/>
      <c r="W212" s="159"/>
      <c r="X212" s="159"/>
      <c r="Y212" s="159"/>
      <c r="Z212" s="159"/>
      <c r="AA212" s="159"/>
      <c r="AB212" s="159"/>
      <c r="AC212" s="143"/>
    </row>
    <row r="213" spans="2:29">
      <c r="Q213" s="280"/>
      <c r="R213" s="239"/>
      <c r="S213" s="305"/>
      <c r="T213" s="239"/>
      <c r="U213" s="239"/>
      <c r="V213" s="159"/>
      <c r="W213" s="159"/>
      <c r="X213" s="159"/>
      <c r="Y213" s="159"/>
      <c r="Z213" s="159"/>
      <c r="AA213" s="159"/>
      <c r="AB213" s="159"/>
      <c r="AC213" s="143"/>
    </row>
    <row r="214" spans="2:29">
      <c r="Q214" s="280"/>
      <c r="R214" s="239"/>
      <c r="S214" s="305"/>
      <c r="T214" s="239"/>
      <c r="U214" s="239"/>
      <c r="V214" s="159"/>
      <c r="W214" s="159"/>
      <c r="X214" s="159"/>
      <c r="Y214" s="159"/>
      <c r="Z214" s="159"/>
      <c r="AA214" s="159"/>
      <c r="AB214" s="159"/>
      <c r="AC214" s="143"/>
    </row>
    <row r="215" spans="2:29" s="201" customFormat="1">
      <c r="B215" s="200" t="s">
        <v>188</v>
      </c>
      <c r="O215" s="202"/>
      <c r="P215" s="203"/>
      <c r="Q215" s="204"/>
      <c r="R215" s="205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</row>
    <row r="216" spans="2:29">
      <c r="Q216" s="161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43"/>
    </row>
    <row r="217" spans="2:29">
      <c r="C217" s="140" t="s">
        <v>357</v>
      </c>
      <c r="Q217" s="161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43"/>
    </row>
    <row r="218" spans="2:29">
      <c r="Q218" s="161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43"/>
    </row>
    <row r="219" spans="2:29">
      <c r="C219" s="141" t="s">
        <v>1412</v>
      </c>
      <c r="Q219" s="161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43"/>
    </row>
    <row r="220" spans="2:29">
      <c r="C220" s="7" t="s">
        <v>405</v>
      </c>
      <c r="Q220" s="161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43"/>
    </row>
    <row r="221" spans="2:29" ht="75">
      <c r="C221" s="445" t="s">
        <v>202</v>
      </c>
      <c r="D221" s="446" t="s">
        <v>398</v>
      </c>
      <c r="E221" s="446" t="s">
        <v>399</v>
      </c>
      <c r="Q221" s="161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43"/>
    </row>
    <row r="222" spans="2:29">
      <c r="C222" s="447" t="s">
        <v>203</v>
      </c>
      <c r="D222" s="448">
        <v>1000</v>
      </c>
      <c r="E222" s="449">
        <v>6</v>
      </c>
      <c r="Q222" s="161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43"/>
    </row>
    <row r="223" spans="2:29">
      <c r="C223" s="450" t="s">
        <v>204</v>
      </c>
      <c r="D223" s="451">
        <v>600</v>
      </c>
      <c r="E223" s="452">
        <v>3</v>
      </c>
      <c r="Q223" s="161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43"/>
    </row>
    <row r="224" spans="2:29">
      <c r="C224" s="453" t="s">
        <v>205</v>
      </c>
      <c r="D224" s="454">
        <v>300</v>
      </c>
      <c r="E224" s="455">
        <v>2</v>
      </c>
      <c r="Q224" s="161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43"/>
    </row>
    <row r="225" spans="3:29">
      <c r="Q225" s="161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43"/>
    </row>
    <row r="226" spans="3:29">
      <c r="C226" s="459" t="s">
        <v>403</v>
      </c>
      <c r="Q226" s="161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43"/>
    </row>
    <row r="227" spans="3:29">
      <c r="C227" s="456" t="s">
        <v>400</v>
      </c>
      <c r="Q227" s="161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43"/>
    </row>
    <row r="228" spans="3:29">
      <c r="C228" s="457" t="s">
        <v>392</v>
      </c>
      <c r="Q228" s="161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43"/>
    </row>
    <row r="229" spans="3:29">
      <c r="C229" s="457" t="s">
        <v>59</v>
      </c>
      <c r="Q229" s="161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43"/>
    </row>
    <row r="230" spans="3:29">
      <c r="C230" s="457" t="s">
        <v>393</v>
      </c>
      <c r="Q230" s="161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43"/>
    </row>
    <row r="231" spans="3:29">
      <c r="Q231" s="161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43"/>
    </row>
    <row r="232" spans="3:29">
      <c r="C232" s="458" t="s">
        <v>287</v>
      </c>
      <c r="Q232" s="161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43"/>
    </row>
    <row r="233" spans="3:29">
      <c r="Q233" s="161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43"/>
    </row>
    <row r="234" spans="3:29" ht="60">
      <c r="C234" s="445" t="s">
        <v>202</v>
      </c>
      <c r="D234" s="446" t="s">
        <v>291</v>
      </c>
      <c r="E234" s="446" t="s">
        <v>289</v>
      </c>
      <c r="Q234" s="161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43"/>
    </row>
    <row r="235" spans="3:29">
      <c r="C235" s="447" t="s">
        <v>203</v>
      </c>
      <c r="D235" s="833">
        <v>0.2</v>
      </c>
      <c r="E235" s="449" t="s">
        <v>401</v>
      </c>
      <c r="Q235" s="161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43"/>
    </row>
    <row r="236" spans="3:29">
      <c r="C236" s="450" t="s">
        <v>204</v>
      </c>
      <c r="D236" s="834">
        <v>0.15</v>
      </c>
      <c r="E236" s="452" t="s">
        <v>402</v>
      </c>
      <c r="Q236" s="161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43"/>
    </row>
    <row r="237" spans="3:29">
      <c r="C237" s="453" t="s">
        <v>205</v>
      </c>
      <c r="D237" s="835">
        <v>0.12</v>
      </c>
      <c r="E237" s="455" t="s">
        <v>325</v>
      </c>
      <c r="Q237" s="161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43"/>
    </row>
    <row r="238" spans="3:29">
      <c r="Q238" s="161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43"/>
    </row>
    <row r="239" spans="3:29">
      <c r="C239" s="435" t="s">
        <v>377</v>
      </c>
      <c r="D239" s="253"/>
      <c r="E239" s="253"/>
      <c r="F239" s="253"/>
      <c r="G239" s="427" t="s">
        <v>203</v>
      </c>
      <c r="H239" s="428" t="s">
        <v>204</v>
      </c>
      <c r="I239" s="429" t="s">
        <v>205</v>
      </c>
    </row>
    <row r="240" spans="3:29">
      <c r="C240" s="422" t="s">
        <v>381</v>
      </c>
      <c r="D240" s="143"/>
      <c r="E240" s="143"/>
      <c r="F240" s="143"/>
      <c r="G240" s="440" t="s">
        <v>290</v>
      </c>
      <c r="H240" s="420" t="s">
        <v>290</v>
      </c>
      <c r="I240" s="421"/>
    </row>
    <row r="241" spans="3:29">
      <c r="C241" s="422" t="s">
        <v>382</v>
      </c>
      <c r="D241" s="143"/>
      <c r="E241" s="143"/>
      <c r="F241" s="143"/>
      <c r="G241" s="173" t="s">
        <v>290</v>
      </c>
      <c r="H241" s="436"/>
      <c r="I241" s="437"/>
    </row>
    <row r="242" spans="3:29">
      <c r="C242" s="422" t="s">
        <v>378</v>
      </c>
      <c r="D242" s="143"/>
      <c r="E242" s="143"/>
      <c r="F242" s="143"/>
      <c r="G242" s="173" t="s">
        <v>404</v>
      </c>
      <c r="H242" s="436" t="s">
        <v>384</v>
      </c>
      <c r="I242" s="437" t="s">
        <v>384</v>
      </c>
    </row>
    <row r="243" spans="3:29">
      <c r="C243" s="422" t="s">
        <v>379</v>
      </c>
      <c r="D243" s="143"/>
      <c r="E243" s="143"/>
      <c r="F243" s="143"/>
      <c r="G243" s="173" t="s">
        <v>290</v>
      </c>
      <c r="H243" s="436" t="s">
        <v>290</v>
      </c>
      <c r="I243" s="437"/>
    </row>
    <row r="244" spans="3:29">
      <c r="C244" s="422" t="s">
        <v>380</v>
      </c>
      <c r="D244" s="143"/>
      <c r="E244" s="143"/>
      <c r="F244" s="143"/>
      <c r="G244" s="173" t="s">
        <v>290</v>
      </c>
      <c r="H244" s="436" t="s">
        <v>290</v>
      </c>
      <c r="I244" s="437"/>
    </row>
    <row r="245" spans="3:29">
      <c r="C245" s="422" t="s">
        <v>385</v>
      </c>
      <c r="D245" s="143"/>
      <c r="E245" s="143"/>
      <c r="F245" s="143"/>
      <c r="G245" s="173" t="s">
        <v>290</v>
      </c>
      <c r="H245" s="436" t="s">
        <v>290</v>
      </c>
      <c r="I245" s="437" t="s">
        <v>290</v>
      </c>
    </row>
    <row r="246" spans="3:29">
      <c r="C246" s="423" t="s">
        <v>383</v>
      </c>
      <c r="D246" s="424"/>
      <c r="E246" s="424"/>
      <c r="F246" s="424"/>
      <c r="G246" s="441" t="s">
        <v>290</v>
      </c>
      <c r="H246" s="438" t="s">
        <v>290</v>
      </c>
      <c r="I246" s="439" t="s">
        <v>290</v>
      </c>
    </row>
    <row r="247" spans="3:29">
      <c r="Q247" s="161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43"/>
    </row>
    <row r="248" spans="3:29">
      <c r="C248" s="460" t="s">
        <v>406</v>
      </c>
      <c r="Q248" s="161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43"/>
    </row>
    <row r="249" spans="3:29">
      <c r="Q249" s="161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43"/>
    </row>
    <row r="250" spans="3:29">
      <c r="C250" s="434" t="s">
        <v>407</v>
      </c>
      <c r="Q250" s="161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43"/>
    </row>
    <row r="251" spans="3:29">
      <c r="C251" s="434" t="s">
        <v>408</v>
      </c>
      <c r="Q251" s="161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43"/>
    </row>
    <row r="252" spans="3:29">
      <c r="C252" s="434" t="s">
        <v>409</v>
      </c>
      <c r="Q252" s="161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43"/>
    </row>
    <row r="253" spans="3:29">
      <c r="C253" s="434"/>
      <c r="Q253" s="161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43"/>
    </row>
    <row r="254" spans="3:29">
      <c r="C254" s="434" t="s">
        <v>410</v>
      </c>
      <c r="D254" s="141" t="s">
        <v>411</v>
      </c>
      <c r="E254" s="141" t="s">
        <v>412</v>
      </c>
      <c r="F254" s="141" t="s">
        <v>413</v>
      </c>
      <c r="G254" s="141" t="s">
        <v>414</v>
      </c>
      <c r="H254" s="141" t="s">
        <v>418</v>
      </c>
      <c r="Q254" s="161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43"/>
    </row>
    <row r="255" spans="3:29">
      <c r="C255" s="461"/>
      <c r="D255" s="461"/>
      <c r="E255" s="461"/>
      <c r="F255" s="461"/>
      <c r="G255" s="462"/>
      <c r="H255" s="462"/>
      <c r="Q255" s="161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43"/>
    </row>
    <row r="256" spans="3:29">
      <c r="C256" s="434" t="s">
        <v>415</v>
      </c>
      <c r="E256" s="141" t="s">
        <v>416</v>
      </c>
      <c r="F256" s="141" t="s">
        <v>417</v>
      </c>
      <c r="G256" s="141" t="s">
        <v>417</v>
      </c>
      <c r="H256" s="141" t="s">
        <v>417</v>
      </c>
      <c r="Q256" s="161"/>
      <c r="R256" s="15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43"/>
    </row>
    <row r="257" spans="2:29">
      <c r="Q257" s="161"/>
      <c r="R257" s="159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43"/>
    </row>
    <row r="258" spans="2:29">
      <c r="Q258" s="161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43"/>
    </row>
    <row r="259" spans="2:29" s="201" customFormat="1">
      <c r="B259" s="200" t="s">
        <v>419</v>
      </c>
      <c r="O259" s="202"/>
      <c r="P259" s="203"/>
      <c r="Q259" s="204"/>
      <c r="R259" s="205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</row>
    <row r="260" spans="2:29">
      <c r="Q260" s="161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43"/>
    </row>
    <row r="261" spans="2:29">
      <c r="C261" s="141" t="s">
        <v>1413</v>
      </c>
      <c r="Q261" s="161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43"/>
    </row>
    <row r="262" spans="2:29">
      <c r="C262" s="140" t="s">
        <v>421</v>
      </c>
      <c r="Q262" s="161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/>
      <c r="AB262" s="159"/>
      <c r="AC262" s="143"/>
    </row>
    <row r="263" spans="2:29">
      <c r="C263" s="141" t="s">
        <v>422</v>
      </c>
      <c r="Q263" s="161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/>
      <c r="AB263" s="159"/>
      <c r="AC263" s="143"/>
    </row>
    <row r="264" spans="2:29">
      <c r="C264" s="141" t="s">
        <v>303</v>
      </c>
      <c r="Q264" s="161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43"/>
    </row>
    <row r="265" spans="2:29">
      <c r="C265" s="463" t="s">
        <v>702</v>
      </c>
      <c r="Q265" s="161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43"/>
    </row>
    <row r="266" spans="2:29">
      <c r="C266" s="463" t="s">
        <v>423</v>
      </c>
      <c r="Q266" s="161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43"/>
    </row>
    <row r="267" spans="2:29">
      <c r="C267" s="463" t="s">
        <v>424</v>
      </c>
      <c r="Q267" s="161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43"/>
    </row>
    <row r="268" spans="2:29">
      <c r="Q268" s="161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43"/>
    </row>
    <row r="269" spans="2:29">
      <c r="C269" s="140" t="s">
        <v>287</v>
      </c>
      <c r="Q269" s="161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43"/>
    </row>
    <row r="270" spans="2:29">
      <c r="C270" s="141" t="s">
        <v>693</v>
      </c>
      <c r="E270" s="141">
        <v>15</v>
      </c>
      <c r="F270" s="141" t="s">
        <v>1418</v>
      </c>
      <c r="Q270" s="161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43"/>
    </row>
    <row r="271" spans="2:29">
      <c r="Q271" s="161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43"/>
    </row>
    <row r="272" spans="2:29">
      <c r="Q272" s="159"/>
      <c r="R272" s="161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43"/>
    </row>
    <row r="273" spans="2:29" s="201" customFormat="1">
      <c r="B273" s="200" t="s">
        <v>420</v>
      </c>
      <c r="O273" s="202"/>
      <c r="P273" s="203" t="s">
        <v>187</v>
      </c>
      <c r="Q273" s="204"/>
      <c r="R273" s="205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</row>
    <row r="274" spans="2:29">
      <c r="Q274" s="159"/>
      <c r="R274" s="163"/>
      <c r="S274" s="163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43"/>
    </row>
    <row r="275" spans="2:29">
      <c r="Q275" s="321" t="s">
        <v>75</v>
      </c>
      <c r="R275" s="322"/>
      <c r="S275" s="322"/>
      <c r="T275" s="322"/>
      <c r="U275" s="231"/>
      <c r="V275" s="231"/>
      <c r="W275" s="231"/>
      <c r="X275" s="239"/>
      <c r="Y275" s="223"/>
      <c r="Z275" s="159"/>
      <c r="AA275" s="159"/>
      <c r="AB275" s="159"/>
      <c r="AC275" s="143"/>
    </row>
    <row r="276" spans="2:29">
      <c r="C276" s="7" t="s">
        <v>425</v>
      </c>
      <c r="Q276" s="323">
        <v>5</v>
      </c>
      <c r="R276" s="231" t="s">
        <v>76</v>
      </c>
      <c r="S276" s="231"/>
      <c r="T276" s="231"/>
      <c r="U276" s="231"/>
      <c r="V276" s="231"/>
      <c r="W276" s="231"/>
      <c r="X276" s="239"/>
      <c r="Y276" s="223"/>
      <c r="Z276" s="159"/>
      <c r="AA276" s="159"/>
      <c r="AB276" s="159"/>
      <c r="AC276" s="143"/>
    </row>
    <row r="277" spans="2:29">
      <c r="Q277" s="323">
        <v>8</v>
      </c>
      <c r="R277" s="231" t="s">
        <v>77</v>
      </c>
      <c r="S277" s="231"/>
      <c r="T277" s="231"/>
      <c r="U277" s="231"/>
      <c r="V277" s="324"/>
      <c r="W277" s="231"/>
      <c r="X277" s="239"/>
      <c r="Y277" s="223"/>
      <c r="Z277" s="143"/>
      <c r="AA277" s="143"/>
      <c r="AB277" s="143"/>
      <c r="AC277" s="143"/>
    </row>
    <row r="278" spans="2:29">
      <c r="Q278" s="258"/>
      <c r="R278" s="231"/>
      <c r="S278" s="231"/>
      <c r="T278" s="231"/>
      <c r="U278" s="231"/>
      <c r="V278" s="231"/>
      <c r="W278" s="231"/>
      <c r="X278" s="239"/>
      <c r="Y278" s="223"/>
      <c r="Z278" s="143"/>
      <c r="AA278" s="143"/>
      <c r="AB278" s="143"/>
      <c r="AC278" s="143"/>
    </row>
    <row r="279" spans="2:29">
      <c r="Q279" s="323"/>
      <c r="R279" s="231"/>
      <c r="S279" s="239"/>
      <c r="T279" s="231"/>
      <c r="U279" s="231"/>
      <c r="V279" s="231"/>
      <c r="W279" s="231"/>
      <c r="X279" s="239"/>
      <c r="Y279" s="223"/>
      <c r="Z279" s="143"/>
      <c r="AA279" s="143"/>
      <c r="AB279" s="143"/>
      <c r="AC279" s="143"/>
    </row>
    <row r="280" spans="2:29">
      <c r="Q280" s="239"/>
      <c r="R280" s="239"/>
      <c r="S280" s="239"/>
      <c r="T280" s="239"/>
      <c r="U280" s="231"/>
      <c r="V280" s="231"/>
      <c r="W280" s="231"/>
      <c r="X280" s="239"/>
      <c r="Y280" s="223"/>
      <c r="Z280" s="143"/>
      <c r="AA280" s="143"/>
      <c r="AB280" s="143"/>
      <c r="AC280" s="143"/>
    </row>
    <row r="281" spans="2:29">
      <c r="Q281" s="258" t="s">
        <v>78</v>
      </c>
      <c r="R281" s="231"/>
      <c r="S281" s="231"/>
      <c r="T281" s="231"/>
      <c r="U281" s="231"/>
      <c r="V281" s="231"/>
      <c r="W281" s="231"/>
      <c r="X281" s="239"/>
      <c r="Y281" s="223"/>
      <c r="Z281" s="143"/>
      <c r="AA281" s="143"/>
      <c r="AB281" s="143"/>
      <c r="AC281" s="143"/>
    </row>
    <row r="282" spans="2:29">
      <c r="Q282" s="325" t="s">
        <v>369</v>
      </c>
      <c r="R282" s="231"/>
      <c r="S282" s="231"/>
      <c r="T282" s="231"/>
      <c r="U282" s="231"/>
      <c r="V282" s="231"/>
      <c r="W282" s="231"/>
      <c r="X282" s="239"/>
      <c r="Y282" s="223"/>
      <c r="Z282" s="143"/>
      <c r="AA282" s="143"/>
      <c r="AB282" s="143"/>
      <c r="AC282" s="143"/>
    </row>
    <row r="283" spans="2:29">
      <c r="Q283" s="325" t="s">
        <v>370</v>
      </c>
      <c r="R283" s="231"/>
      <c r="S283" s="231"/>
      <c r="T283" s="231"/>
      <c r="U283" s="231"/>
      <c r="V283" s="231"/>
      <c r="W283" s="231"/>
      <c r="X283" s="239"/>
      <c r="Y283" s="223"/>
      <c r="Z283" s="143"/>
      <c r="AA283" s="143"/>
      <c r="AB283" s="143"/>
      <c r="AC283" s="143"/>
    </row>
    <row r="284" spans="2:29">
      <c r="Q284" s="239"/>
      <c r="R284" s="239"/>
      <c r="S284" s="239"/>
      <c r="T284" s="239"/>
      <c r="U284" s="239"/>
      <c r="V284" s="239"/>
      <c r="W284" s="231"/>
      <c r="X284" s="239"/>
      <c r="Y284" s="223"/>
      <c r="Z284" s="143"/>
      <c r="AA284" s="143"/>
      <c r="AB284" s="143"/>
      <c r="AC284" s="143"/>
    </row>
    <row r="285" spans="2:29">
      <c r="Q285" s="212" t="s">
        <v>79</v>
      </c>
      <c r="R285" s="239"/>
      <c r="S285" s="239"/>
      <c r="T285" s="239"/>
      <c r="U285" s="239"/>
      <c r="V285" s="239"/>
      <c r="W285" s="231"/>
      <c r="X285" s="239"/>
      <c r="Y285" s="223"/>
      <c r="Z285" s="143"/>
      <c r="AA285" s="143"/>
      <c r="AB285" s="143"/>
      <c r="AC285" s="143"/>
    </row>
    <row r="286" spans="2:29">
      <c r="Q286" s="280" t="s">
        <v>80</v>
      </c>
      <c r="R286" s="231"/>
      <c r="S286" s="231"/>
      <c r="T286" s="231"/>
      <c r="U286" s="231"/>
      <c r="V286" s="231"/>
      <c r="W286" s="231"/>
      <c r="X286" s="239"/>
      <c r="Y286" s="223"/>
      <c r="Z286" s="143"/>
      <c r="AA286" s="143"/>
      <c r="AB286" s="143"/>
      <c r="AC286" s="143"/>
    </row>
    <row r="287" spans="2:29">
      <c r="Q287" s="31" t="s">
        <v>81</v>
      </c>
      <c r="R287" s="262"/>
      <c r="S287" s="231"/>
      <c r="T287" s="231"/>
      <c r="U287" s="231"/>
      <c r="V287" s="231"/>
      <c r="W287" s="231"/>
      <c r="X287" s="239"/>
      <c r="Y287" s="223"/>
      <c r="Z287" s="143"/>
      <c r="AA287" s="143"/>
      <c r="AB287" s="143"/>
      <c r="AC287" s="143"/>
    </row>
    <row r="288" spans="2:29">
      <c r="Q288" s="31" t="s">
        <v>82</v>
      </c>
      <c r="R288" s="262"/>
      <c r="S288" s="231"/>
      <c r="T288" s="231"/>
      <c r="U288" s="231"/>
      <c r="V288" s="231"/>
      <c r="W288" s="231"/>
      <c r="X288" s="239"/>
      <c r="Y288" s="223"/>
      <c r="Z288" s="143"/>
      <c r="AA288" s="143"/>
      <c r="AB288" s="143"/>
      <c r="AC288" s="143"/>
    </row>
    <row r="289" spans="2:29">
      <c r="Q289" s="31" t="s">
        <v>83</v>
      </c>
      <c r="R289" s="262"/>
      <c r="S289" s="231"/>
      <c r="T289" s="231"/>
      <c r="U289" s="231"/>
      <c r="V289" s="231"/>
      <c r="W289" s="231"/>
      <c r="X289" s="239"/>
      <c r="Y289" s="223"/>
      <c r="Z289" s="143"/>
      <c r="AA289" s="143"/>
      <c r="AB289" s="143"/>
      <c r="AC289" s="143"/>
    </row>
    <row r="290" spans="2:29">
      <c r="Q290" s="326"/>
      <c r="R290" s="262"/>
      <c r="S290" s="231"/>
      <c r="T290" s="231"/>
      <c r="U290" s="231"/>
      <c r="V290" s="231"/>
      <c r="W290" s="231"/>
      <c r="X290" s="239"/>
      <c r="Y290" s="223"/>
      <c r="Z290" s="143"/>
      <c r="AA290" s="143"/>
      <c r="AB290" s="143"/>
      <c r="AC290" s="143"/>
    </row>
    <row r="291" spans="2:29">
      <c r="Q291" s="258" t="s">
        <v>84</v>
      </c>
      <c r="R291" s="231"/>
      <c r="S291" s="231"/>
      <c r="T291" s="231"/>
      <c r="U291" s="231"/>
      <c r="V291" s="231"/>
      <c r="W291" s="231"/>
      <c r="X291" s="239"/>
      <c r="Y291" s="223"/>
      <c r="Z291" s="143"/>
      <c r="AA291" s="143"/>
      <c r="AB291" s="143"/>
      <c r="AC291" s="143"/>
    </row>
    <row r="292" spans="2:29">
      <c r="Q292" s="239"/>
      <c r="R292" s="239"/>
      <c r="S292" s="239"/>
      <c r="T292" s="231"/>
      <c r="U292" s="231"/>
      <c r="V292" s="231"/>
      <c r="W292" s="231"/>
      <c r="X292" s="239"/>
      <c r="Y292" s="223"/>
      <c r="Z292" s="143"/>
      <c r="AA292" s="143"/>
      <c r="AB292" s="143"/>
      <c r="AC292" s="143"/>
    </row>
    <row r="293" spans="2:29">
      <c r="Q293" s="327" t="s">
        <v>85</v>
      </c>
      <c r="R293" s="328" t="s">
        <v>86</v>
      </c>
      <c r="S293" s="239"/>
      <c r="T293" s="231"/>
      <c r="U293" s="329"/>
      <c r="V293" s="231"/>
      <c r="W293" s="231"/>
      <c r="X293" s="239"/>
      <c r="Y293" s="223"/>
      <c r="Z293" s="143"/>
      <c r="AA293" s="143"/>
      <c r="AB293" s="143"/>
      <c r="AC293" s="143"/>
    </row>
    <row r="294" spans="2:29">
      <c r="Q294" s="330" t="s">
        <v>87</v>
      </c>
      <c r="R294" s="331">
        <v>3.5000000000000003E-2</v>
      </c>
      <c r="S294" s="239"/>
      <c r="T294" s="231"/>
      <c r="U294" s="231"/>
      <c r="V294" s="231"/>
      <c r="W294" s="231"/>
      <c r="X294" s="239"/>
      <c r="Y294" s="223"/>
      <c r="Z294" s="143"/>
      <c r="AA294" s="143"/>
      <c r="AB294" s="143"/>
      <c r="AC294" s="143"/>
    </row>
    <row r="295" spans="2:29">
      <c r="Q295" s="330" t="s">
        <v>88</v>
      </c>
      <c r="R295" s="332">
        <v>2.5000000000000001E-2</v>
      </c>
      <c r="S295" s="239"/>
      <c r="T295" s="231"/>
      <c r="U295" s="231"/>
      <c r="V295" s="231"/>
      <c r="W295" s="231"/>
      <c r="X295" s="239"/>
      <c r="Y295" s="223"/>
      <c r="Z295" s="143"/>
      <c r="AA295" s="143"/>
      <c r="AB295" s="143"/>
      <c r="AC295" s="143"/>
    </row>
    <row r="296" spans="2:29">
      <c r="Q296" s="330" t="s">
        <v>89</v>
      </c>
      <c r="R296" s="331">
        <v>0.01</v>
      </c>
      <c r="S296" s="239"/>
      <c r="T296" s="231"/>
      <c r="U296" s="231"/>
      <c r="V296" s="231"/>
      <c r="W296" s="231"/>
      <c r="X296" s="239"/>
      <c r="Y296" s="223"/>
      <c r="Z296" s="143"/>
      <c r="AA296" s="143"/>
      <c r="AB296" s="143"/>
      <c r="AC296" s="143"/>
    </row>
    <row r="297" spans="2:29">
      <c r="Q297" s="326"/>
      <c r="R297" s="262"/>
      <c r="S297" s="231"/>
      <c r="T297" s="231"/>
      <c r="U297" s="231"/>
      <c r="V297" s="231"/>
      <c r="W297" s="231"/>
      <c r="X297" s="239"/>
      <c r="Y297" s="223"/>
      <c r="Z297" s="143"/>
      <c r="AA297" s="143"/>
      <c r="AB297" s="143"/>
      <c r="AC297" s="143"/>
    </row>
    <row r="298" spans="2:29">
      <c r="Q298" s="31" t="s">
        <v>90</v>
      </c>
      <c r="R298" s="262"/>
      <c r="S298" s="231"/>
      <c r="T298" s="231"/>
      <c r="U298" s="231"/>
      <c r="V298" s="231"/>
      <c r="W298" s="231"/>
      <c r="X298" s="239"/>
      <c r="Y298" s="223"/>
      <c r="Z298" s="143"/>
      <c r="AA298" s="143"/>
      <c r="AB298" s="143"/>
      <c r="AC298" s="143"/>
    </row>
    <row r="299" spans="2:29">
      <c r="Q299" s="280" t="s">
        <v>91</v>
      </c>
      <c r="R299" s="239"/>
      <c r="S299" s="239"/>
      <c r="T299" s="231"/>
      <c r="U299" s="231"/>
      <c r="V299" s="231"/>
      <c r="W299" s="231"/>
      <c r="X299" s="239"/>
      <c r="Y299" s="223"/>
      <c r="Z299" s="143"/>
      <c r="AA299" s="143"/>
      <c r="AB299" s="143"/>
      <c r="AC299" s="143"/>
    </row>
    <row r="300" spans="2:29">
      <c r="Q300" s="333" t="s">
        <v>92</v>
      </c>
      <c r="R300" s="239"/>
      <c r="S300" s="239"/>
      <c r="T300" s="231"/>
      <c r="U300" s="231"/>
      <c r="V300" s="231"/>
      <c r="W300" s="231"/>
      <c r="X300" s="239"/>
      <c r="Y300" s="223"/>
      <c r="Z300" s="143"/>
      <c r="AA300" s="143"/>
      <c r="AB300" s="143"/>
      <c r="AC300" s="143"/>
    </row>
    <row r="301" spans="2:29">
      <c r="Q301" s="326"/>
      <c r="R301" s="262"/>
      <c r="S301" s="231"/>
      <c r="T301" s="231"/>
      <c r="U301" s="231"/>
      <c r="V301" s="231"/>
      <c r="W301" s="231"/>
      <c r="X301" s="239"/>
      <c r="Y301" s="223"/>
      <c r="Z301" s="143"/>
      <c r="AA301" s="143"/>
      <c r="AB301" s="143"/>
      <c r="AC301" s="143"/>
    </row>
    <row r="302" spans="2:29"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</row>
    <row r="303" spans="2:29" s="197" customFormat="1" ht="16.5" customHeight="1">
      <c r="B303" s="196" t="s">
        <v>93</v>
      </c>
      <c r="O303" s="198"/>
      <c r="P303" s="334" t="s">
        <v>93</v>
      </c>
      <c r="Q303" s="335"/>
      <c r="R303" s="336"/>
      <c r="S303" s="335"/>
      <c r="T303" s="335"/>
      <c r="U303" s="335"/>
      <c r="V303" s="335"/>
      <c r="W303" s="335"/>
      <c r="X303" s="335"/>
      <c r="Y303" s="335"/>
      <c r="Z303" s="335"/>
      <c r="AA303" s="335"/>
      <c r="AB303" s="335"/>
      <c r="AC303" s="335"/>
    </row>
    <row r="304" spans="2:29"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</row>
    <row r="305" spans="2:29" s="338" customFormat="1">
      <c r="B305" s="337" t="s">
        <v>94</v>
      </c>
      <c r="O305" s="339"/>
      <c r="P305" s="340" t="s">
        <v>94</v>
      </c>
      <c r="Q305" s="341"/>
      <c r="R305" s="342"/>
      <c r="S305" s="341"/>
      <c r="T305" s="341"/>
      <c r="U305" s="341"/>
      <c r="V305" s="341"/>
      <c r="W305" s="341"/>
      <c r="X305" s="341"/>
      <c r="Y305" s="341"/>
      <c r="Z305" s="341"/>
      <c r="AA305" s="341"/>
      <c r="AB305" s="341"/>
      <c r="AC305" s="341"/>
    </row>
    <row r="306" spans="2:29"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</row>
    <row r="307" spans="2:29">
      <c r="C307" s="730" t="s">
        <v>426</v>
      </c>
      <c r="D307"/>
      <c r="E307"/>
      <c r="F307"/>
      <c r="G307"/>
      <c r="H307" s="143"/>
      <c r="Q307" s="143" t="s">
        <v>95</v>
      </c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</row>
    <row r="308" spans="2:29">
      <c r="C308"/>
      <c r="D308"/>
      <c r="E308"/>
      <c r="F308"/>
      <c r="G308"/>
      <c r="H308" s="143"/>
      <c r="Q308" s="143" t="s">
        <v>96</v>
      </c>
      <c r="R308" s="143" t="s">
        <v>97</v>
      </c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</row>
    <row r="309" spans="2:29">
      <c r="C309"/>
      <c r="D309" s="140" t="s">
        <v>720</v>
      </c>
      <c r="E309"/>
      <c r="F309"/>
      <c r="G309"/>
      <c r="H309" s="143"/>
      <c r="Q309" s="143" t="s">
        <v>98</v>
      </c>
      <c r="R309" s="143" t="s">
        <v>99</v>
      </c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</row>
    <row r="310" spans="2:29">
      <c r="C310"/>
      <c r="D310"/>
      <c r="E310"/>
      <c r="F310"/>
      <c r="G310"/>
      <c r="H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</row>
    <row r="311" spans="2:29">
      <c r="C311"/>
      <c r="D311" t="s">
        <v>716</v>
      </c>
      <c r="E311" s="1838" t="s">
        <v>357</v>
      </c>
      <c r="F311" s="1838"/>
      <c r="G311" s="1286" t="s">
        <v>21</v>
      </c>
      <c r="H311" s="143"/>
      <c r="Q311" s="143" t="s">
        <v>100</v>
      </c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</row>
    <row r="312" spans="2:29">
      <c r="C312"/>
      <c r="D312" s="703"/>
      <c r="E312" s="876" t="s">
        <v>207</v>
      </c>
      <c r="F312" s="876" t="s">
        <v>717</v>
      </c>
      <c r="G312" s="876" t="s">
        <v>718</v>
      </c>
      <c r="H312" s="143"/>
      <c r="Q312" s="143" t="s">
        <v>96</v>
      </c>
      <c r="R312" s="143" t="s">
        <v>101</v>
      </c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</row>
    <row r="313" spans="2:29">
      <c r="C313"/>
      <c r="D313" t="s">
        <v>119</v>
      </c>
      <c r="E313" s="1286">
        <v>1</v>
      </c>
      <c r="F313" s="1286">
        <v>12</v>
      </c>
      <c r="G313" s="878">
        <v>1</v>
      </c>
      <c r="H313" s="143"/>
      <c r="Q313" s="143" t="s">
        <v>98</v>
      </c>
      <c r="R313" s="143" t="s">
        <v>99</v>
      </c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</row>
    <row r="314" spans="2:29">
      <c r="C314"/>
      <c r="D314"/>
      <c r="E314" s="1286"/>
      <c r="F314" s="1286"/>
      <c r="G314" s="1279"/>
      <c r="H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</row>
    <row r="315" spans="2:29">
      <c r="C315"/>
      <c r="D315"/>
      <c r="E315" s="1286"/>
      <c r="F315" s="1286"/>
      <c r="G315" s="1279"/>
      <c r="H315" s="143"/>
    </row>
    <row r="316" spans="2:29">
      <c r="C316"/>
      <c r="D316"/>
      <c r="E316" s="1286"/>
      <c r="F316" s="1286"/>
      <c r="G316" s="1286"/>
      <c r="H316" s="143"/>
      <c r="Q316" s="141" t="s">
        <v>102</v>
      </c>
    </row>
    <row r="317" spans="2:29">
      <c r="C317"/>
      <c r="D317" s="140" t="s">
        <v>721</v>
      </c>
      <c r="E317"/>
      <c r="F317"/>
      <c r="G317"/>
      <c r="H317" s="143"/>
      <c r="Q317" s="141" t="s">
        <v>103</v>
      </c>
      <c r="R317" s="141" t="s">
        <v>104</v>
      </c>
      <c r="T317" s="141" t="s">
        <v>105</v>
      </c>
    </row>
    <row r="318" spans="2:29">
      <c r="C318"/>
      <c r="D318"/>
      <c r="E318"/>
      <c r="F318"/>
      <c r="G318"/>
      <c r="H318" s="143"/>
      <c r="Q318" s="141" t="s">
        <v>106</v>
      </c>
      <c r="R318" s="141" t="s">
        <v>107</v>
      </c>
      <c r="T318" s="141" t="s">
        <v>108</v>
      </c>
    </row>
    <row r="319" spans="2:29">
      <c r="C319"/>
      <c r="D319" s="1838" t="s">
        <v>357</v>
      </c>
      <c r="E319" s="1838"/>
      <c r="F319" s="1286" t="s">
        <v>719</v>
      </c>
      <c r="G319" t="s">
        <v>722</v>
      </c>
      <c r="H319" s="143"/>
    </row>
    <row r="320" spans="2:29">
      <c r="C320"/>
      <c r="D320" s="876" t="s">
        <v>207</v>
      </c>
      <c r="E320" s="876" t="s">
        <v>717</v>
      </c>
      <c r="F320" s="703"/>
      <c r="G320" s="703"/>
      <c r="H320" s="143"/>
    </row>
    <row r="321" spans="2:29">
      <c r="C321"/>
      <c r="D321" s="1286">
        <v>5</v>
      </c>
      <c r="E321" s="1286">
        <v>100</v>
      </c>
      <c r="F321" s="879" t="s">
        <v>427</v>
      </c>
      <c r="G321" s="880">
        <v>13</v>
      </c>
      <c r="H321" s="143"/>
      <c r="Q321" s="141" t="s">
        <v>109</v>
      </c>
    </row>
    <row r="322" spans="2:29">
      <c r="C322" s="1399"/>
      <c r="D322" s="143"/>
      <c r="E322" s="143"/>
      <c r="F322" s="143"/>
      <c r="G322" s="143"/>
      <c r="H322" s="143"/>
      <c r="Q322" s="141" t="s">
        <v>110</v>
      </c>
    </row>
    <row r="323" spans="2:29">
      <c r="C323" s="143"/>
      <c r="D323" s="143"/>
      <c r="E323" s="143"/>
      <c r="F323" s="143"/>
      <c r="G323" s="143"/>
      <c r="H323" s="143"/>
    </row>
    <row r="324" spans="2:29">
      <c r="C324" s="1852"/>
      <c r="D324" s="1852"/>
      <c r="E324" s="143"/>
      <c r="F324" s="143"/>
      <c r="G324" s="143"/>
      <c r="H324" s="143"/>
    </row>
    <row r="325" spans="2:29">
      <c r="C325" s="1852"/>
      <c r="D325" s="1852"/>
      <c r="E325" s="143"/>
      <c r="F325" s="143"/>
      <c r="G325" s="143"/>
      <c r="H325" s="143"/>
      <c r="I325" s="143"/>
      <c r="J325" s="143"/>
    </row>
    <row r="326" spans="2:29">
      <c r="C326" s="143"/>
      <c r="D326" s="143"/>
      <c r="E326" s="1283"/>
      <c r="F326" s="143"/>
      <c r="G326" s="143"/>
      <c r="H326" s="143"/>
      <c r="I326" s="143"/>
      <c r="J326" s="143"/>
    </row>
    <row r="327" spans="2:29">
      <c r="C327" s="143"/>
      <c r="D327" s="143"/>
      <c r="E327" s="1283"/>
      <c r="F327" s="143"/>
      <c r="G327" s="143"/>
      <c r="H327" s="143"/>
      <c r="I327" s="143"/>
      <c r="J327" s="143"/>
    </row>
    <row r="328" spans="2:29">
      <c r="C328" s="143"/>
      <c r="D328" s="143"/>
      <c r="E328" s="1283"/>
      <c r="F328" s="143"/>
      <c r="G328" s="143"/>
      <c r="H328" s="143"/>
    </row>
    <row r="331" spans="2:29" s="201" customFormat="1">
      <c r="B331" s="200" t="s">
        <v>111</v>
      </c>
      <c r="O331" s="202"/>
      <c r="P331" s="203" t="s">
        <v>111</v>
      </c>
      <c r="Q331" s="204"/>
      <c r="R331" s="205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</row>
    <row r="333" spans="2:29">
      <c r="Q333" s="258" t="s">
        <v>112</v>
      </c>
      <c r="R333" s="223"/>
      <c r="S333" s="239"/>
      <c r="T333" s="239"/>
      <c r="U333" s="239"/>
      <c r="V333" s="239"/>
      <c r="W333" s="239"/>
    </row>
    <row r="334" spans="2:29">
      <c r="C334" s="658">
        <v>1</v>
      </c>
      <c r="D334" t="s">
        <v>1229</v>
      </c>
      <c r="E334"/>
      <c r="F334"/>
      <c r="G334"/>
      <c r="Q334" s="243" t="s">
        <v>113</v>
      </c>
      <c r="R334" s="343"/>
      <c r="S334" s="344"/>
      <c r="T334" s="230"/>
      <c r="U334" s="239"/>
      <c r="V334" s="239"/>
      <c r="W334" s="239"/>
    </row>
    <row r="335" spans="2:29">
      <c r="C335" s="658"/>
      <c r="D335" t="s">
        <v>1230</v>
      </c>
      <c r="E335"/>
      <c r="F335"/>
      <c r="G335" s="877">
        <v>1</v>
      </c>
      <c r="Q335" s="247" t="s">
        <v>114</v>
      </c>
      <c r="R335" s="345" t="s">
        <v>115</v>
      </c>
      <c r="S335" s="241" t="s">
        <v>116</v>
      </c>
      <c r="T335" s="318" t="s">
        <v>117</v>
      </c>
      <c r="U335" s="242" t="s">
        <v>118</v>
      </c>
      <c r="V335" s="346"/>
      <c r="W335" s="347"/>
    </row>
    <row r="336" spans="2:29">
      <c r="C336" s="658">
        <v>2</v>
      </c>
      <c r="D336" s="143" t="s">
        <v>723</v>
      </c>
      <c r="E336"/>
      <c r="F336"/>
      <c r="G336" s="773">
        <v>13</v>
      </c>
      <c r="Q336" s="243" t="s">
        <v>119</v>
      </c>
      <c r="R336" s="348">
        <v>10</v>
      </c>
      <c r="S336" s="349">
        <v>1</v>
      </c>
      <c r="T336" s="350">
        <v>3</v>
      </c>
      <c r="U336" s="351">
        <v>10</v>
      </c>
      <c r="V336" s="352"/>
      <c r="W336" s="353"/>
    </row>
    <row r="337" spans="3:23">
      <c r="C337"/>
      <c r="D337" t="s">
        <v>724</v>
      </c>
      <c r="E337"/>
      <c r="F337"/>
      <c r="G337"/>
      <c r="Q337" s="243" t="s">
        <v>120</v>
      </c>
      <c r="R337" s="348">
        <v>20</v>
      </c>
      <c r="S337" s="349">
        <v>1</v>
      </c>
      <c r="T337" s="354">
        <v>4</v>
      </c>
      <c r="U337" s="351">
        <v>10</v>
      </c>
      <c r="V337" s="352"/>
      <c r="W337" s="353"/>
    </row>
    <row r="338" spans="3:23">
      <c r="C338"/>
      <c r="D338" s="881" t="s">
        <v>725</v>
      </c>
      <c r="E338"/>
      <c r="F338"/>
      <c r="G338"/>
      <c r="Q338" s="243" t="s">
        <v>121</v>
      </c>
      <c r="R338" s="348">
        <v>25</v>
      </c>
      <c r="S338" s="349">
        <v>2</v>
      </c>
      <c r="T338" s="354">
        <v>5</v>
      </c>
      <c r="U338" s="351">
        <v>10</v>
      </c>
      <c r="V338" s="352"/>
      <c r="W338" s="355"/>
    </row>
    <row r="339" spans="3:23">
      <c r="Q339" s="243" t="s">
        <v>122</v>
      </c>
      <c r="R339" s="348">
        <v>30</v>
      </c>
      <c r="S339" s="356">
        <v>2</v>
      </c>
      <c r="T339" s="354"/>
      <c r="U339" s="351">
        <v>7</v>
      </c>
      <c r="V339" s="357"/>
      <c r="W339" s="353"/>
    </row>
    <row r="340" spans="3:23">
      <c r="Q340" s="243" t="s">
        <v>123</v>
      </c>
      <c r="R340" s="348">
        <v>35</v>
      </c>
      <c r="S340" s="356">
        <v>3</v>
      </c>
      <c r="T340" s="354"/>
      <c r="U340" s="351">
        <v>7</v>
      </c>
      <c r="V340" s="357"/>
      <c r="W340" s="353"/>
    </row>
    <row r="341" spans="3:23">
      <c r="Q341" s="243" t="s">
        <v>124</v>
      </c>
      <c r="R341" s="348">
        <v>40</v>
      </c>
      <c r="S341" s="356">
        <v>3</v>
      </c>
      <c r="T341" s="354"/>
      <c r="U341" s="351">
        <v>7</v>
      </c>
      <c r="V341" s="357"/>
      <c r="W341" s="355"/>
    </row>
    <row r="342" spans="3:23">
      <c r="Q342" s="243" t="s">
        <v>125</v>
      </c>
      <c r="R342" s="348">
        <v>45</v>
      </c>
      <c r="S342" s="356">
        <v>4</v>
      </c>
      <c r="T342" s="354"/>
      <c r="U342" s="358">
        <v>6</v>
      </c>
      <c r="V342" s="357"/>
      <c r="W342" s="239"/>
    </row>
    <row r="343" spans="3:23">
      <c r="Q343" s="243" t="s">
        <v>126</v>
      </c>
      <c r="R343" s="348">
        <v>45</v>
      </c>
      <c r="S343" s="356">
        <v>4</v>
      </c>
      <c r="T343" s="354"/>
      <c r="U343" s="358">
        <v>6</v>
      </c>
      <c r="V343" s="357"/>
      <c r="W343" s="239"/>
    </row>
    <row r="344" spans="3:23">
      <c r="Q344" s="247" t="s">
        <v>127</v>
      </c>
      <c r="R344" s="359">
        <v>50</v>
      </c>
      <c r="S344" s="360">
        <v>4</v>
      </c>
      <c r="T344" s="361"/>
      <c r="U344" s="362">
        <v>6</v>
      </c>
      <c r="V344" s="363"/>
      <c r="W344" s="239"/>
    </row>
    <row r="345" spans="3:23">
      <c r="Q345" s="256" t="s">
        <v>128</v>
      </c>
      <c r="R345" s="364">
        <f t="shared" ref="R345:S345" si="5">SUM(R336:R344)</f>
        <v>300</v>
      </c>
      <c r="S345" s="365">
        <f t="shared" si="5"/>
        <v>24</v>
      </c>
      <c r="T345" s="223"/>
      <c r="U345" s="255">
        <f>SUM(U336:U344)</f>
        <v>69</v>
      </c>
      <c r="V345" s="366"/>
      <c r="W345" s="355"/>
    </row>
    <row r="346" spans="3:23">
      <c r="Q346" s="367" t="s">
        <v>371</v>
      </c>
      <c r="R346" s="31"/>
      <c r="S346" s="31"/>
      <c r="T346" s="31"/>
      <c r="U346" s="31"/>
      <c r="V346" s="368"/>
      <c r="W346" s="31"/>
    </row>
    <row r="347" spans="3:23">
      <c r="Q347" s="367" t="s">
        <v>129</v>
      </c>
      <c r="R347" s="32"/>
      <c r="S347" s="32"/>
      <c r="T347" s="32"/>
      <c r="U347" s="32"/>
      <c r="V347" s="369"/>
      <c r="W347" s="32"/>
    </row>
    <row r="348" spans="3:23">
      <c r="Q348" s="370" t="s">
        <v>130</v>
      </c>
      <c r="R348" s="370"/>
      <c r="S348" s="370"/>
      <c r="T348" s="370"/>
      <c r="U348" s="370"/>
      <c r="V348" s="370"/>
      <c r="W348" s="370"/>
    </row>
    <row r="349" spans="3:23">
      <c r="Q349" s="371" t="s">
        <v>131</v>
      </c>
      <c r="R349" s="370"/>
      <c r="S349" s="370"/>
      <c r="T349" s="370"/>
      <c r="U349" s="372"/>
      <c r="V349" s="370"/>
      <c r="W349" s="370"/>
    </row>
    <row r="350" spans="3:23">
      <c r="Q350" s="371" t="s">
        <v>132</v>
      </c>
      <c r="R350" s="373"/>
      <c r="S350" s="373"/>
      <c r="T350" s="373"/>
      <c r="U350" s="374"/>
      <c r="V350" s="373"/>
      <c r="W350" s="373"/>
    </row>
    <row r="351" spans="3:23">
      <c r="Q351" s="375" t="s">
        <v>133</v>
      </c>
      <c r="R351" s="376"/>
      <c r="S351" s="376"/>
      <c r="T351" s="376"/>
      <c r="U351" s="376"/>
      <c r="V351" s="377"/>
      <c r="W351" s="376"/>
    </row>
    <row r="352" spans="3:23">
      <c r="Q352" s="378"/>
      <c r="R352" s="379"/>
      <c r="S352" s="379"/>
      <c r="T352" s="379"/>
      <c r="U352" s="379"/>
      <c r="V352" s="379"/>
      <c r="W352" s="379"/>
    </row>
    <row r="353" spans="17:23">
      <c r="Q353" s="378"/>
      <c r="R353" s="379"/>
      <c r="S353" s="379"/>
      <c r="T353" s="379"/>
      <c r="U353" s="379"/>
      <c r="V353" s="379"/>
      <c r="W353" s="379"/>
    </row>
    <row r="354" spans="17:23">
      <c r="Q354" s="380" t="s">
        <v>134</v>
      </c>
      <c r="R354" s="379"/>
      <c r="S354" s="379"/>
      <c r="T354" s="379"/>
      <c r="U354" s="379"/>
      <c r="V354" s="379"/>
      <c r="W354" s="379"/>
    </row>
    <row r="355" spans="17:23">
      <c r="Q355" s="381">
        <v>25</v>
      </c>
      <c r="R355" s="382" t="s">
        <v>372</v>
      </c>
      <c r="S355" s="379"/>
      <c r="T355" s="379"/>
      <c r="U355" s="379"/>
      <c r="V355" s="379"/>
      <c r="W355" s="379"/>
    </row>
    <row r="356" spans="17:23">
      <c r="Q356" s="383"/>
      <c r="R356" s="277" t="s">
        <v>135</v>
      </c>
      <c r="S356" s="239"/>
      <c r="T356" s="239"/>
      <c r="U356" s="239"/>
      <c r="V356" s="239"/>
      <c r="W356" s="239"/>
    </row>
    <row r="357" spans="17:23">
      <c r="Q357" s="384" t="s">
        <v>136</v>
      </c>
      <c r="R357" s="385"/>
      <c r="S357" s="239"/>
      <c r="T357" s="239"/>
      <c r="U357" s="319"/>
      <c r="V357" s="239"/>
      <c r="W357" s="239"/>
    </row>
    <row r="358" spans="17:23">
      <c r="Q358" s="220" t="s">
        <v>137</v>
      </c>
      <c r="R358" s="386">
        <f>ROUND(R359*R360*R361,0)</f>
        <v>11</v>
      </c>
      <c r="S358" s="239"/>
      <c r="T358" s="239"/>
      <c r="U358" s="239"/>
      <c r="V358" s="239"/>
      <c r="W358" s="239"/>
    </row>
    <row r="359" spans="17:23">
      <c r="Q359" s="220" t="s">
        <v>138</v>
      </c>
      <c r="R359" s="239">
        <v>1.3</v>
      </c>
      <c r="S359" s="239"/>
      <c r="T359" s="239"/>
      <c r="U359" s="239"/>
      <c r="V359" s="239"/>
      <c r="W359" s="239"/>
    </row>
    <row r="360" spans="17:23">
      <c r="Q360" s="311" t="s">
        <v>139</v>
      </c>
      <c r="R360" s="239">
        <v>11</v>
      </c>
      <c r="S360" s="239"/>
      <c r="T360" s="239"/>
      <c r="U360" s="239"/>
      <c r="V360" s="239"/>
      <c r="W360" s="239"/>
    </row>
    <row r="361" spans="17:23">
      <c r="Q361" s="311" t="s">
        <v>140</v>
      </c>
      <c r="R361" s="319">
        <v>0.75</v>
      </c>
      <c r="S361" s="239"/>
      <c r="T361" s="239"/>
      <c r="U361" s="239"/>
      <c r="V361" s="239"/>
      <c r="W361" s="239"/>
    </row>
    <row r="362" spans="17:23">
      <c r="Q362" s="239"/>
      <c r="R362" s="239"/>
      <c r="S362" s="239"/>
      <c r="T362" s="239"/>
      <c r="U362" s="239"/>
      <c r="V362" s="239"/>
      <c r="W362" s="239"/>
    </row>
    <row r="363" spans="17:23">
      <c r="Q363" s="258" t="s">
        <v>141</v>
      </c>
      <c r="R363" s="223"/>
      <c r="S363" s="239"/>
      <c r="T363" s="239"/>
      <c r="U363" s="239"/>
      <c r="V363" s="239"/>
      <c r="W363" s="387"/>
    </row>
    <row r="364" spans="17:23" ht="28.5">
      <c r="Q364" s="388" t="s">
        <v>114</v>
      </c>
      <c r="R364" s="389" t="s">
        <v>142</v>
      </c>
      <c r="S364" s="390" t="s">
        <v>143</v>
      </c>
      <c r="T364" s="391" t="s">
        <v>144</v>
      </c>
      <c r="U364" s="391" t="s">
        <v>145</v>
      </c>
      <c r="V364" s="390" t="s">
        <v>118</v>
      </c>
      <c r="W364" s="392"/>
    </row>
    <row r="365" spans="17:23">
      <c r="Q365" s="243" t="s">
        <v>119</v>
      </c>
      <c r="R365" s="393">
        <v>15</v>
      </c>
      <c r="S365" s="349">
        <v>1</v>
      </c>
      <c r="T365" s="350">
        <v>1</v>
      </c>
      <c r="U365" s="350">
        <v>5</v>
      </c>
      <c r="V365" s="351">
        <v>13</v>
      </c>
      <c r="W365" s="352"/>
    </row>
    <row r="366" spans="17:23">
      <c r="Q366" s="243" t="s">
        <v>120</v>
      </c>
      <c r="R366" s="393">
        <v>30</v>
      </c>
      <c r="S366" s="349">
        <v>2</v>
      </c>
      <c r="T366" s="354">
        <v>1</v>
      </c>
      <c r="U366" s="354">
        <v>6</v>
      </c>
      <c r="V366" s="351">
        <v>13</v>
      </c>
      <c r="W366" s="352"/>
    </row>
    <row r="367" spans="17:23">
      <c r="Q367" s="243" t="s">
        <v>121</v>
      </c>
      <c r="R367" s="393">
        <v>35</v>
      </c>
      <c r="S367" s="349">
        <v>3</v>
      </c>
      <c r="T367" s="354">
        <v>2</v>
      </c>
      <c r="U367" s="354">
        <v>9</v>
      </c>
      <c r="V367" s="351">
        <v>13</v>
      </c>
      <c r="W367" s="352"/>
    </row>
    <row r="368" spans="17:23">
      <c r="Q368" s="243" t="s">
        <v>122</v>
      </c>
      <c r="R368" s="393">
        <v>45</v>
      </c>
      <c r="S368" s="356">
        <v>5</v>
      </c>
      <c r="T368" s="354">
        <v>2</v>
      </c>
      <c r="U368" s="354"/>
      <c r="V368" s="351">
        <v>9</v>
      </c>
      <c r="W368" s="357"/>
    </row>
    <row r="369" spans="17:23">
      <c r="Q369" s="243" t="s">
        <v>123</v>
      </c>
      <c r="R369" s="393">
        <v>55</v>
      </c>
      <c r="S369" s="356">
        <v>6</v>
      </c>
      <c r="T369" s="354">
        <v>2</v>
      </c>
      <c r="U369" s="354"/>
      <c r="V369" s="351">
        <v>9</v>
      </c>
      <c r="W369" s="357"/>
    </row>
    <row r="370" spans="17:23">
      <c r="Q370" s="243" t="s">
        <v>124</v>
      </c>
      <c r="R370" s="393">
        <v>65</v>
      </c>
      <c r="S370" s="356">
        <v>8</v>
      </c>
      <c r="T370" s="354">
        <v>2</v>
      </c>
      <c r="U370" s="354"/>
      <c r="V370" s="351">
        <v>9</v>
      </c>
      <c r="W370" s="357"/>
    </row>
    <row r="371" spans="17:23">
      <c r="Q371" s="243" t="s">
        <v>125</v>
      </c>
      <c r="R371" s="393">
        <v>75</v>
      </c>
      <c r="S371" s="356">
        <v>9</v>
      </c>
      <c r="T371" s="354">
        <v>2</v>
      </c>
      <c r="U371" s="354"/>
      <c r="V371" s="351">
        <v>7</v>
      </c>
      <c r="W371" s="357"/>
    </row>
    <row r="372" spans="17:23">
      <c r="Q372" s="243" t="s">
        <v>126</v>
      </c>
      <c r="R372" s="393">
        <v>80</v>
      </c>
      <c r="S372" s="356">
        <v>10</v>
      </c>
      <c r="T372" s="354">
        <v>2</v>
      </c>
      <c r="U372" s="354"/>
      <c r="V372" s="351">
        <v>7</v>
      </c>
      <c r="W372" s="357"/>
    </row>
    <row r="373" spans="17:23">
      <c r="Q373" s="247" t="s">
        <v>127</v>
      </c>
      <c r="R373" s="394">
        <v>85</v>
      </c>
      <c r="S373" s="360">
        <v>10</v>
      </c>
      <c r="T373" s="361">
        <v>2</v>
      </c>
      <c r="U373" s="361"/>
      <c r="V373" s="395">
        <v>7</v>
      </c>
      <c r="W373" s="363"/>
    </row>
    <row r="374" spans="17:23">
      <c r="Q374" s="256" t="s">
        <v>146</v>
      </c>
      <c r="R374" s="396">
        <f>SUM(R365:R373)</f>
        <v>485</v>
      </c>
      <c r="S374" s="397">
        <f>SUM(S365:S373)</f>
        <v>54</v>
      </c>
      <c r="T374" s="318">
        <v>2</v>
      </c>
      <c r="U374" s="318"/>
      <c r="V374" s="255">
        <f>SUM(V365:V373)</f>
        <v>87</v>
      </c>
      <c r="W374" s="366"/>
    </row>
    <row r="375" spans="17:23">
      <c r="Q375" s="239"/>
      <c r="R375" s="212" t="s">
        <v>147</v>
      </c>
      <c r="S375" s="239"/>
      <c r="T375" s="239"/>
      <c r="U375" s="239"/>
      <c r="V375" s="239"/>
      <c r="W375" s="239"/>
    </row>
    <row r="376" spans="17:23">
      <c r="Q376" s="239"/>
      <c r="R376" s="212" t="s">
        <v>148</v>
      </c>
      <c r="S376" s="239"/>
      <c r="T376" s="239"/>
      <c r="U376" s="239"/>
      <c r="V376" s="239"/>
      <c r="W376" s="239"/>
    </row>
    <row r="377" spans="17:23">
      <c r="Q377" s="220"/>
      <c r="R377" s="212" t="s">
        <v>149</v>
      </c>
      <c r="S377" s="239"/>
      <c r="T377" s="239"/>
      <c r="U377" s="239"/>
      <c r="V377" s="239"/>
      <c r="W377" s="239"/>
    </row>
    <row r="378" spans="17:23">
      <c r="Q378" s="256"/>
      <c r="R378" s="367" t="s">
        <v>150</v>
      </c>
      <c r="S378" s="239"/>
      <c r="T378" s="239"/>
      <c r="U378" s="239"/>
      <c r="V378" s="239"/>
      <c r="W378" s="239"/>
    </row>
    <row r="379" spans="17:23">
      <c r="Q379" s="212" t="s">
        <v>151</v>
      </c>
      <c r="R379" s="220"/>
      <c r="S379" s="239"/>
      <c r="T379" s="239"/>
      <c r="U379" s="239"/>
      <c r="V379" s="239"/>
      <c r="W379" s="398"/>
    </row>
    <row r="380" spans="17:23">
      <c r="Q380" s="399" t="s">
        <v>152</v>
      </c>
      <c r="R380" s="220" t="s">
        <v>153</v>
      </c>
      <c r="S380" s="239"/>
      <c r="T380" s="385"/>
      <c r="U380" s="385"/>
      <c r="V380" s="385"/>
      <c r="W380" s="385"/>
    </row>
    <row r="381" spans="17:23">
      <c r="Q381" s="399" t="s">
        <v>373</v>
      </c>
      <c r="R381" s="239"/>
      <c r="S381" s="256"/>
      <c r="T381" s="239"/>
      <c r="U381" s="239"/>
      <c r="V381" s="239"/>
      <c r="W381" s="239"/>
    </row>
    <row r="382" spans="17:23">
      <c r="Q382" s="367" t="s">
        <v>154</v>
      </c>
      <c r="R382" s="239"/>
      <c r="S382" s="256"/>
      <c r="T382" s="239"/>
      <c r="U382" s="239"/>
      <c r="V382" s="239"/>
      <c r="W382" s="239"/>
    </row>
    <row r="383" spans="17:23">
      <c r="Q383" s="280" t="s">
        <v>155</v>
      </c>
      <c r="R383" s="239"/>
      <c r="S383" s="256"/>
      <c r="T383" s="239"/>
      <c r="U383" s="239"/>
      <c r="V383" s="239"/>
      <c r="W383" s="239"/>
    </row>
    <row r="384" spans="17:23">
      <c r="Q384" s="239"/>
      <c r="R384" s="239"/>
      <c r="S384" s="239"/>
      <c r="T384" s="239"/>
      <c r="U384" s="239"/>
      <c r="V384" s="239"/>
      <c r="W384" s="239"/>
    </row>
    <row r="385" spans="17:23">
      <c r="Q385" s="380" t="s">
        <v>134</v>
      </c>
      <c r="R385" s="400"/>
      <c r="S385" s="400"/>
      <c r="T385" s="401"/>
      <c r="U385" s="401"/>
      <c r="V385" s="402"/>
      <c r="W385" s="401"/>
    </row>
    <row r="386" spans="17:23">
      <c r="Q386" s="381">
        <v>30</v>
      </c>
      <c r="R386" s="382" t="s">
        <v>374</v>
      </c>
      <c r="S386" s="382"/>
      <c r="T386" s="382"/>
      <c r="U386" s="382"/>
      <c r="V386" s="382"/>
      <c r="W386" s="382"/>
    </row>
    <row r="387" spans="17:23">
      <c r="Q387" s="383"/>
      <c r="R387" s="277" t="s">
        <v>156</v>
      </c>
      <c r="S387" s="31"/>
      <c r="T387" s="403"/>
      <c r="U387" s="404"/>
      <c r="V387" s="405"/>
      <c r="W387" s="31"/>
    </row>
    <row r="388" spans="17:23">
      <c r="Q388" s="380"/>
      <c r="R388" s="400"/>
      <c r="S388" s="400"/>
      <c r="T388" s="401"/>
      <c r="U388" s="401"/>
      <c r="V388" s="402"/>
      <c r="W388" s="401"/>
    </row>
    <row r="389" spans="17:23">
      <c r="Q389" s="378"/>
      <c r="R389" s="379"/>
      <c r="S389" s="379"/>
      <c r="T389" s="379"/>
      <c r="U389" s="379"/>
      <c r="V389" s="379"/>
      <c r="W389" s="379"/>
    </row>
    <row r="390" spans="17:23">
      <c r="Q390" s="239"/>
      <c r="R390" s="239"/>
      <c r="S390" s="239"/>
      <c r="T390" s="239"/>
      <c r="U390" s="239"/>
      <c r="V390" s="239"/>
      <c r="W390" s="239"/>
    </row>
    <row r="391" spans="17:23">
      <c r="Q391" s="239"/>
      <c r="R391" s="239"/>
      <c r="S391" s="239"/>
      <c r="T391" s="239"/>
      <c r="U391" s="239"/>
      <c r="V391" s="239"/>
      <c r="W391" s="239"/>
    </row>
    <row r="392" spans="17:23">
      <c r="Q392" s="258" t="s">
        <v>157</v>
      </c>
      <c r="R392" s="223"/>
      <c r="S392" s="239"/>
      <c r="T392" s="239"/>
      <c r="U392" s="239"/>
      <c r="V392" s="239"/>
      <c r="W392" s="239"/>
    </row>
    <row r="393" spans="17:23" ht="43.5">
      <c r="Q393" s="247" t="s">
        <v>114</v>
      </c>
      <c r="R393" s="263" t="s">
        <v>158</v>
      </c>
      <c r="S393" s="406" t="s">
        <v>159</v>
      </c>
      <c r="T393" s="407" t="s">
        <v>160</v>
      </c>
      <c r="U393" s="406" t="s">
        <v>161</v>
      </c>
      <c r="V393" s="318" t="s">
        <v>162</v>
      </c>
      <c r="W393" s="408" t="s">
        <v>118</v>
      </c>
    </row>
    <row r="394" spans="17:23">
      <c r="Q394" s="243" t="s">
        <v>119</v>
      </c>
      <c r="R394" s="393">
        <v>20</v>
      </c>
      <c r="S394" s="350">
        <v>10</v>
      </c>
      <c r="T394" s="349">
        <v>2</v>
      </c>
      <c r="U394" s="350">
        <v>1</v>
      </c>
      <c r="V394" s="350">
        <v>5</v>
      </c>
      <c r="W394" s="409">
        <v>18</v>
      </c>
    </row>
    <row r="395" spans="17:23">
      <c r="Q395" s="243" t="s">
        <v>120</v>
      </c>
      <c r="R395" s="393">
        <v>40</v>
      </c>
      <c r="S395" s="354">
        <v>10</v>
      </c>
      <c r="T395" s="349">
        <v>3</v>
      </c>
      <c r="U395" s="354">
        <v>2</v>
      </c>
      <c r="V395" s="354">
        <v>9</v>
      </c>
      <c r="W395" s="409">
        <v>18</v>
      </c>
    </row>
    <row r="396" spans="17:23">
      <c r="Q396" s="243" t="s">
        <v>121</v>
      </c>
      <c r="R396" s="393">
        <v>60</v>
      </c>
      <c r="S396" s="354">
        <v>10</v>
      </c>
      <c r="T396" s="349">
        <v>4</v>
      </c>
      <c r="U396" s="354">
        <v>2</v>
      </c>
      <c r="V396" s="354">
        <v>10</v>
      </c>
      <c r="W396" s="409">
        <v>18</v>
      </c>
    </row>
    <row r="397" spans="17:23">
      <c r="Q397" s="243" t="s">
        <v>122</v>
      </c>
      <c r="R397" s="393">
        <v>90</v>
      </c>
      <c r="S397" s="354">
        <v>20</v>
      </c>
      <c r="T397" s="356">
        <v>6</v>
      </c>
      <c r="U397" s="354">
        <v>2</v>
      </c>
      <c r="V397" s="354"/>
      <c r="W397" s="409">
        <v>15</v>
      </c>
    </row>
    <row r="398" spans="17:23">
      <c r="Q398" s="243" t="s">
        <v>123</v>
      </c>
      <c r="R398" s="393">
        <v>100</v>
      </c>
      <c r="S398" s="354">
        <v>20</v>
      </c>
      <c r="T398" s="356">
        <v>8</v>
      </c>
      <c r="U398" s="354">
        <v>3</v>
      </c>
      <c r="V398" s="354"/>
      <c r="W398" s="409">
        <v>15</v>
      </c>
    </row>
    <row r="399" spans="17:23">
      <c r="Q399" s="243" t="s">
        <v>124</v>
      </c>
      <c r="R399" s="393">
        <v>100</v>
      </c>
      <c r="S399" s="354">
        <v>20</v>
      </c>
      <c r="T399" s="356">
        <v>8</v>
      </c>
      <c r="U399" s="354">
        <v>3</v>
      </c>
      <c r="V399" s="354"/>
      <c r="W399" s="409">
        <v>15</v>
      </c>
    </row>
    <row r="400" spans="17:23">
      <c r="Q400" s="243" t="s">
        <v>125</v>
      </c>
      <c r="R400" s="393">
        <v>125</v>
      </c>
      <c r="S400" s="354">
        <v>20</v>
      </c>
      <c r="T400" s="356">
        <v>10</v>
      </c>
      <c r="U400" s="354">
        <v>4</v>
      </c>
      <c r="V400" s="354"/>
      <c r="W400" s="409">
        <v>12</v>
      </c>
    </row>
    <row r="401" spans="17:23">
      <c r="Q401" s="243" t="s">
        <v>126</v>
      </c>
      <c r="R401" s="393">
        <v>125</v>
      </c>
      <c r="S401" s="354">
        <v>20</v>
      </c>
      <c r="T401" s="356">
        <v>10</v>
      </c>
      <c r="U401" s="354">
        <v>4</v>
      </c>
      <c r="V401" s="354"/>
      <c r="W401" s="409">
        <v>12</v>
      </c>
    </row>
    <row r="402" spans="17:23">
      <c r="Q402" s="243" t="s">
        <v>127</v>
      </c>
      <c r="R402" s="393">
        <v>150</v>
      </c>
      <c r="S402" s="354">
        <v>20</v>
      </c>
      <c r="T402" s="356">
        <v>12</v>
      </c>
      <c r="U402" s="354">
        <v>5</v>
      </c>
      <c r="V402" s="354"/>
      <c r="W402" s="409">
        <v>12</v>
      </c>
    </row>
    <row r="403" spans="17:23">
      <c r="Q403" s="243" t="s">
        <v>163</v>
      </c>
      <c r="R403" s="393">
        <v>150</v>
      </c>
      <c r="S403" s="354">
        <v>20</v>
      </c>
      <c r="T403" s="356">
        <v>12</v>
      </c>
      <c r="U403" s="354">
        <v>5</v>
      </c>
      <c r="V403" s="354"/>
      <c r="W403" s="409">
        <v>12</v>
      </c>
    </row>
    <row r="404" spans="17:23">
      <c r="Q404" s="243" t="s">
        <v>164</v>
      </c>
      <c r="R404" s="393">
        <v>170</v>
      </c>
      <c r="S404" s="410">
        <v>20</v>
      </c>
      <c r="T404" s="356">
        <v>12</v>
      </c>
      <c r="U404" s="354" t="s">
        <v>165</v>
      </c>
      <c r="V404" s="354"/>
      <c r="W404" s="409">
        <v>12</v>
      </c>
    </row>
    <row r="405" spans="17:23">
      <c r="Q405" s="247" t="s">
        <v>166</v>
      </c>
      <c r="R405" s="394">
        <v>170</v>
      </c>
      <c r="S405" s="361">
        <v>20</v>
      </c>
      <c r="T405" s="360">
        <v>12</v>
      </c>
      <c r="U405" s="361" t="s">
        <v>165</v>
      </c>
      <c r="V405" s="361"/>
      <c r="W405" s="411">
        <v>12</v>
      </c>
    </row>
    <row r="406" spans="17:23">
      <c r="Q406" s="256" t="s">
        <v>167</v>
      </c>
      <c r="R406" s="396">
        <f>SUM(R394:R405)</f>
        <v>1300</v>
      </c>
      <c r="S406" s="412">
        <f>SUM(S394:S405)</f>
        <v>210</v>
      </c>
      <c r="T406" s="397">
        <f>SUM(T394:T405)</f>
        <v>99</v>
      </c>
      <c r="U406" s="413">
        <v>6</v>
      </c>
      <c r="V406" s="318"/>
      <c r="W406" s="414">
        <f>SUM(W394:W405)</f>
        <v>171</v>
      </c>
    </row>
    <row r="407" spans="17:23">
      <c r="Q407" s="239"/>
      <c r="R407" s="239" t="s">
        <v>168</v>
      </c>
      <c r="S407" s="239"/>
      <c r="T407" s="239" t="s">
        <v>169</v>
      </c>
      <c r="U407" s="239"/>
      <c r="V407" s="318"/>
      <c r="W407" s="239"/>
    </row>
    <row r="408" spans="17:23">
      <c r="Q408" s="220" t="s">
        <v>170</v>
      </c>
      <c r="R408" s="239"/>
      <c r="S408" s="239"/>
      <c r="T408" s="239"/>
      <c r="U408" s="239"/>
      <c r="V408" s="318"/>
      <c r="W408" s="239"/>
    </row>
    <row r="409" spans="17:23">
      <c r="Q409" s="256" t="s">
        <v>171</v>
      </c>
      <c r="R409" s="220" t="s">
        <v>172</v>
      </c>
      <c r="S409" s="239"/>
      <c r="T409" s="239"/>
      <c r="U409" s="239"/>
      <c r="V409" s="318"/>
      <c r="W409" s="239"/>
    </row>
    <row r="410" spans="17:23">
      <c r="Q410" s="239"/>
      <c r="R410" s="220" t="s">
        <v>173</v>
      </c>
      <c r="S410" s="239"/>
      <c r="T410" s="239"/>
      <c r="U410" s="239"/>
      <c r="V410" s="318"/>
      <c r="W410" s="398"/>
    </row>
    <row r="411" spans="17:23">
      <c r="Q411" s="239"/>
      <c r="R411" s="220" t="s">
        <v>174</v>
      </c>
      <c r="S411" s="239"/>
      <c r="T411" s="239"/>
      <c r="U411" s="239"/>
      <c r="V411" s="239"/>
      <c r="W411" s="239"/>
    </row>
    <row r="412" spans="17:23">
      <c r="Q412" s="220" t="s">
        <v>175</v>
      </c>
      <c r="R412" s="239"/>
      <c r="S412" s="231"/>
      <c r="T412" s="231"/>
      <c r="U412" s="231"/>
      <c r="V412" s="231"/>
      <c r="W412" s="231"/>
    </row>
    <row r="413" spans="17:23">
      <c r="Q413" s="220"/>
      <c r="R413" s="239"/>
      <c r="S413" s="231"/>
      <c r="T413" s="231"/>
      <c r="U413" s="231"/>
      <c r="V413" s="231"/>
      <c r="W413" s="231"/>
    </row>
    <row r="414" spans="17:23">
      <c r="Q414" s="380" t="s">
        <v>134</v>
      </c>
      <c r="R414" s="400"/>
      <c r="S414" s="400"/>
      <c r="T414" s="401"/>
      <c r="U414" s="401"/>
      <c r="V414" s="402"/>
      <c r="W414" s="401"/>
    </row>
    <row r="415" spans="17:23">
      <c r="Q415" s="381">
        <v>30</v>
      </c>
      <c r="R415" s="382" t="s">
        <v>374</v>
      </c>
      <c r="S415" s="379"/>
      <c r="T415" s="379"/>
      <c r="U415" s="379"/>
      <c r="V415" s="379"/>
      <c r="W415" s="379"/>
    </row>
    <row r="416" spans="17:23">
      <c r="Q416" s="383"/>
      <c r="R416" s="277" t="s">
        <v>156</v>
      </c>
      <c r="S416" s="210"/>
      <c r="T416" s="210"/>
      <c r="U416" s="210"/>
      <c r="V416" s="210"/>
      <c r="W416" s="210"/>
    </row>
    <row r="417" spans="17:23">
      <c r="Q417" s="380"/>
      <c r="R417" s="400"/>
      <c r="S417" s="400"/>
      <c r="T417" s="401"/>
      <c r="U417" s="401"/>
      <c r="V417" s="402"/>
      <c r="W417" s="401"/>
    </row>
    <row r="418" spans="17:23">
      <c r="Q418" s="378"/>
      <c r="R418" s="379"/>
      <c r="S418" s="379"/>
      <c r="T418" s="379"/>
      <c r="U418" s="379"/>
      <c r="V418" s="379"/>
      <c r="W418" s="379"/>
    </row>
  </sheetData>
  <mergeCells count="26">
    <mergeCell ref="C324:D324"/>
    <mergeCell ref="C325:D325"/>
    <mergeCell ref="S31:T31"/>
    <mergeCell ref="D31:E31"/>
    <mergeCell ref="D32:E32"/>
    <mergeCell ref="S32:T32"/>
    <mergeCell ref="S36:T36"/>
    <mergeCell ref="F31:H31"/>
    <mergeCell ref="D38:E38"/>
    <mergeCell ref="S33:T33"/>
    <mergeCell ref="S34:T34"/>
    <mergeCell ref="S35:T35"/>
    <mergeCell ref="C165:D165"/>
    <mergeCell ref="E165:H165"/>
    <mergeCell ref="S37:T37"/>
    <mergeCell ref="E71:G71"/>
    <mergeCell ref="D33:E33"/>
    <mergeCell ref="D34:E34"/>
    <mergeCell ref="D35:E35"/>
    <mergeCell ref="D36:E36"/>
    <mergeCell ref="D37:E37"/>
    <mergeCell ref="E311:F311"/>
    <mergeCell ref="D319:E319"/>
    <mergeCell ref="Q165:R165"/>
    <mergeCell ref="S165:U165"/>
    <mergeCell ref="Q141:R1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Cost projection summary (2)</vt:lpstr>
      <vt:lpstr>Summary Changes</vt:lpstr>
      <vt:lpstr>Cost projection summary</vt:lpstr>
      <vt:lpstr>GA Cost Projection</vt:lpstr>
      <vt:lpstr>GA Cost Projection_2017</vt:lpstr>
      <vt:lpstr>Cost Projection</vt:lpstr>
      <vt:lpstr>Contest Plan</vt:lpstr>
      <vt:lpstr>Sale Plan &amp; KPIs</vt:lpstr>
      <vt:lpstr>2017 Comp Scheme</vt:lpstr>
      <vt:lpstr>Draft Scheme</vt:lpstr>
      <vt:lpstr>Validation Promotion 2017</vt:lpstr>
      <vt:lpstr>Validation Promotion 2016</vt:lpstr>
      <vt:lpstr>2017 Scheme &amp; cost projection</vt:lpstr>
      <vt:lpstr>Long term projection</vt:lpstr>
      <vt:lpstr>MDRT Recruitment</vt:lpstr>
      <vt:lpstr>Leader RSP</vt:lpstr>
      <vt:lpstr>Sheet2</vt:lpstr>
      <vt:lpstr>2017 Validation &amp; Promotion</vt:lpstr>
      <vt:lpstr>Income Impact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Diem Huynh</cp:lastModifiedBy>
  <dcterms:created xsi:type="dcterms:W3CDTF">2016-09-04T11:35:09Z</dcterms:created>
  <dcterms:modified xsi:type="dcterms:W3CDTF">2017-07-20T09:00:10Z</dcterms:modified>
</cp:coreProperties>
</file>