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usiness Planning\Compensation scheme 2017\Latest version\"/>
    </mc:Choice>
  </mc:AlternateContent>
  <bookViews>
    <workbookView xWindow="0" yWindow="0" windowWidth="28800" windowHeight="12210" activeTab="3"/>
  </bookViews>
  <sheets>
    <sheet name="Pru_Ref" sheetId="4" r:id="rId1"/>
    <sheet name="Agency comp cost" sheetId="1" r:id="rId2"/>
    <sheet name="GA" sheetId="2" r:id="rId3"/>
    <sheet name="Key Change between 2016 &amp; 2017 " sheetId="3" r:id="rId4"/>
  </sheets>
  <externalReferences>
    <externalReference r:id="rId5"/>
    <externalReference r:id="rId6"/>
    <externalReference r:id="rId7"/>
    <externalReference r:id="rId8"/>
  </externalReferenc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9" i="1" l="1"/>
  <c r="BE19" i="1"/>
  <c r="BE17" i="1" s="1"/>
  <c r="BH19" i="1"/>
  <c r="BH17" i="1" s="1"/>
  <c r="BF19" i="1"/>
  <c r="BF17" i="1" s="1"/>
  <c r="BD19" i="1"/>
  <c r="BD17" i="1" s="1"/>
  <c r="BG19" i="1"/>
  <c r="BG17" i="1" s="1"/>
  <c r="BD30" i="1"/>
  <c r="BK15" i="1"/>
  <c r="BL15" i="1" s="1"/>
  <c r="BJ15" i="1"/>
  <c r="BI17" i="1" l="1"/>
  <c r="AT16" i="1"/>
  <c r="AT19" i="1"/>
  <c r="AT17" i="1" s="1"/>
  <c r="AU19" i="1"/>
  <c r="AU17" i="1" s="1"/>
  <c r="AU16" i="1" s="1"/>
  <c r="AT103" i="1"/>
  <c r="AU103" i="1"/>
  <c r="BJ19" i="1" l="1"/>
  <c r="BJ17" i="1" s="1"/>
  <c r="J55" i="4"/>
  <c r="BL19" i="1" l="1"/>
  <c r="BL17" i="1" s="1"/>
  <c r="BK19" i="1"/>
  <c r="BK17" i="1" s="1"/>
  <c r="M54" i="1"/>
  <c r="M67" i="1"/>
  <c r="M62" i="1"/>
  <c r="M75" i="1"/>
  <c r="M94" i="1"/>
  <c r="M90" i="1"/>
  <c r="M89" i="1" s="1"/>
  <c r="M43" i="1" l="1"/>
  <c r="M39" i="1"/>
  <c r="M34" i="1"/>
  <c r="M19" i="1" s="1"/>
  <c r="M17" i="1" s="1"/>
  <c r="M16" i="1" s="1"/>
  <c r="AT64" i="1" l="1"/>
  <c r="AT63" i="1"/>
  <c r="AT69" i="1" l="1"/>
  <c r="AT68" i="1"/>
  <c r="AT55" i="1"/>
  <c r="AT56" i="1"/>
  <c r="AT57" i="1"/>
  <c r="AT59" i="1"/>
  <c r="AT41" i="1"/>
  <c r="AT43" i="1"/>
  <c r="AT45" i="1"/>
  <c r="AT46" i="1"/>
  <c r="AT40" i="1"/>
  <c r="AT35" i="1"/>
  <c r="AT39" i="1"/>
  <c r="AP103" i="1"/>
  <c r="AQ103" i="1"/>
  <c r="AR103" i="1"/>
  <c r="AS103" i="1"/>
  <c r="AO103" i="1"/>
  <c r="AO19" i="1"/>
  <c r="AO17" i="1" s="1"/>
  <c r="AO16" i="1" s="1"/>
  <c r="AS19" i="1"/>
  <c r="AS17" i="1" s="1"/>
  <c r="AS16" i="1" s="1"/>
  <c r="T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T67" i="1" s="1"/>
  <c r="AO67" i="1"/>
  <c r="AP67" i="1"/>
  <c r="AQ67" i="1"/>
  <c r="AR67" i="1"/>
  <c r="AS67" i="1"/>
  <c r="T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T62" i="1" s="1"/>
  <c r="AO62" i="1"/>
  <c r="AP62" i="1"/>
  <c r="AQ62" i="1"/>
  <c r="AR62" i="1"/>
  <c r="AR19" i="1" s="1"/>
  <c r="AR17" i="1" s="1"/>
  <c r="AR16" i="1" s="1"/>
  <c r="AS62" i="1"/>
  <c r="T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N19" i="1" s="1"/>
  <c r="AN17" i="1" s="1"/>
  <c r="AN16" i="1" s="1"/>
  <c r="AO54" i="1"/>
  <c r="AP54" i="1"/>
  <c r="AP19" i="1" s="1"/>
  <c r="AP17" i="1" s="1"/>
  <c r="AP16" i="1" s="1"/>
  <c r="AQ54" i="1"/>
  <c r="AQ19" i="1" s="1"/>
  <c r="AQ17" i="1" s="1"/>
  <c r="AQ16" i="1" s="1"/>
  <c r="AR54" i="1"/>
  <c r="AS54" i="1"/>
  <c r="AT54" i="1" s="1"/>
  <c r="P101" i="1" l="1"/>
  <c r="P103" i="1" s="1"/>
  <c r="Q101" i="1"/>
  <c r="Q103" i="1" s="1"/>
  <c r="R101" i="1"/>
  <c r="R103" i="1" s="1"/>
  <c r="S101" i="1"/>
  <c r="S103" i="1" s="1"/>
  <c r="O101" i="1"/>
  <c r="O103" i="1" s="1"/>
  <c r="N101" i="1"/>
  <c r="N103" i="1" s="1"/>
  <c r="L101" i="1"/>
  <c r="L103" i="1" s="1"/>
  <c r="N69" i="1" l="1"/>
  <c r="Q62" i="1" l="1"/>
  <c r="R62" i="1"/>
  <c r="S62" i="1"/>
  <c r="O94" i="1"/>
  <c r="Q94" i="1"/>
  <c r="T19" i="1" l="1"/>
  <c r="R94" i="1"/>
  <c r="S94" i="1"/>
  <c r="Q90" i="1"/>
  <c r="Q89" i="1" s="1"/>
  <c r="R90" i="1"/>
  <c r="S90" i="1"/>
  <c r="Q67" i="1"/>
  <c r="R67" i="1"/>
  <c r="R19" i="1" s="1"/>
  <c r="S67" i="1"/>
  <c r="Q54" i="1"/>
  <c r="R54" i="1"/>
  <c r="S54" i="1"/>
  <c r="Q39" i="1"/>
  <c r="R39" i="1"/>
  <c r="S39" i="1"/>
  <c r="Q34" i="1"/>
  <c r="Q19" i="1" s="1"/>
  <c r="R34" i="1"/>
  <c r="S34" i="1"/>
  <c r="S19" i="1" l="1"/>
  <c r="R89" i="1"/>
  <c r="R17" i="1" s="1"/>
  <c r="R16" i="1" s="1"/>
  <c r="S89" i="1"/>
  <c r="Q17" i="1"/>
  <c r="Q16" i="1" s="1"/>
  <c r="S17" i="1" l="1"/>
  <c r="R30" i="1"/>
  <c r="R31" i="1"/>
  <c r="Q30" i="1"/>
  <c r="Q31" i="1"/>
  <c r="AN104" i="1"/>
  <c r="S31" i="1" l="1"/>
  <c r="S16" i="1"/>
  <c r="S30" i="1"/>
  <c r="AH94" i="1"/>
  <c r="AG94" i="1"/>
  <c r="AF94" i="1"/>
  <c r="AE94" i="1"/>
  <c r="AH90" i="1"/>
  <c r="AG90" i="1"/>
  <c r="AF90" i="1"/>
  <c r="AE90" i="1"/>
  <c r="AH89" i="1"/>
  <c r="AG89" i="1"/>
  <c r="AF89" i="1"/>
  <c r="P90" i="1"/>
  <c r="O90" i="1"/>
  <c r="N90" i="1"/>
  <c r="L90" i="1"/>
  <c r="P94" i="1"/>
  <c r="N94" i="1"/>
  <c r="L94" i="1"/>
  <c r="AH39" i="1"/>
  <c r="AG39" i="1"/>
  <c r="AF39" i="1"/>
  <c r="AE39" i="1"/>
  <c r="AH34" i="1"/>
  <c r="AH19" i="1" s="1"/>
  <c r="AG34" i="1"/>
  <c r="AF34" i="1"/>
  <c r="AF19" i="1" s="1"/>
  <c r="AF17" i="1" s="1"/>
  <c r="AE34" i="1"/>
  <c r="AH17" i="1" l="1"/>
  <c r="AG19" i="1"/>
  <c r="AG17" i="1" s="1"/>
  <c r="AE89" i="1"/>
  <c r="AE19" i="1"/>
  <c r="X91" i="1"/>
  <c r="AE17" i="1" l="1"/>
  <c r="N59" i="1"/>
  <c r="Z52" i="1" l="1"/>
  <c r="Y52" i="1"/>
  <c r="X52" i="1"/>
  <c r="Z32" i="1"/>
  <c r="Y32" i="1"/>
  <c r="X32" i="1"/>
  <c r="X35" i="1"/>
  <c r="Z36" i="1"/>
  <c r="Y36" i="1"/>
  <c r="X36" i="1"/>
  <c r="Z35" i="1"/>
  <c r="Y35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59" i="1"/>
  <c r="Y59" i="1"/>
  <c r="Z57" i="1"/>
  <c r="Y57" i="1"/>
  <c r="X57" i="1"/>
  <c r="Z55" i="1"/>
  <c r="Y55" i="1"/>
  <c r="Y54" i="1" s="1"/>
  <c r="X55" i="1"/>
  <c r="X54" i="1" s="1"/>
  <c r="Z64" i="1"/>
  <c r="Y64" i="1"/>
  <c r="X64" i="1"/>
  <c r="Z63" i="1"/>
  <c r="Z62" i="1" s="1"/>
  <c r="Y63" i="1"/>
  <c r="X63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Y67" i="1" s="1"/>
  <c r="X68" i="1"/>
  <c r="Z92" i="1"/>
  <c r="Y92" i="1"/>
  <c r="X92" i="1"/>
  <c r="Z91" i="1"/>
  <c r="Y91" i="1"/>
  <c r="X96" i="1"/>
  <c r="Y96" i="1"/>
  <c r="Z96" i="1"/>
  <c r="X97" i="1"/>
  <c r="Y97" i="1"/>
  <c r="Z97" i="1"/>
  <c r="X98" i="1"/>
  <c r="Y98" i="1"/>
  <c r="Z98" i="1"/>
  <c r="X99" i="1"/>
  <c r="Y99" i="1"/>
  <c r="Z99" i="1"/>
  <c r="X95" i="1"/>
  <c r="Y95" i="1"/>
  <c r="Z95" i="1"/>
  <c r="Z67" i="1" l="1"/>
  <c r="X62" i="1"/>
  <c r="Z54" i="1"/>
  <c r="Y62" i="1"/>
  <c r="X67" i="1"/>
  <c r="Y34" i="1"/>
  <c r="Z39" i="1"/>
  <c r="Z34" i="1"/>
  <c r="X34" i="1"/>
  <c r="Y39" i="1"/>
  <c r="X39" i="1"/>
  <c r="Z19" i="1" l="1"/>
  <c r="Y19" i="1"/>
  <c r="X19" i="1"/>
  <c r="O205" i="1"/>
  <c r="K205" i="1"/>
  <c r="K208" i="1" s="1"/>
  <c r="K209" i="1" s="1"/>
  <c r="O203" i="1"/>
  <c r="K96" i="1"/>
  <c r="J96" i="1"/>
  <c r="U96" i="1" s="1"/>
  <c r="U94" i="1" s="1"/>
  <c r="X94" i="1"/>
  <c r="K91" i="1"/>
  <c r="J91" i="1"/>
  <c r="J90" i="1" s="1"/>
  <c r="Z90" i="1"/>
  <c r="T89" i="1"/>
  <c r="T17" i="1" s="1"/>
  <c r="P75" i="1"/>
  <c r="O75" i="1"/>
  <c r="N75" i="1"/>
  <c r="L75" i="1"/>
  <c r="J75" i="1"/>
  <c r="U70" i="1"/>
  <c r="J63" i="1"/>
  <c r="J57" i="1"/>
  <c r="U57" i="1" s="1"/>
  <c r="B57" i="1"/>
  <c r="J42" i="1"/>
  <c r="U42" i="1" s="1"/>
  <c r="J40" i="1"/>
  <c r="U40" i="1" s="1"/>
  <c r="J35" i="1"/>
  <c r="U35" i="1" s="1"/>
  <c r="J32" i="1"/>
  <c r="U32" i="1" s="1"/>
  <c r="AA19" i="1"/>
  <c r="H19" i="1"/>
  <c r="G19" i="1"/>
  <c r="F19" i="1"/>
  <c r="L27" i="1" l="1"/>
  <c r="W32" i="1"/>
  <c r="W52" i="1"/>
  <c r="W35" i="1"/>
  <c r="W97" i="1"/>
  <c r="W36" i="1"/>
  <c r="W46" i="1"/>
  <c r="W45" i="1"/>
  <c r="W44" i="1"/>
  <c r="W43" i="1"/>
  <c r="W42" i="1"/>
  <c r="W41" i="1"/>
  <c r="W40" i="1"/>
  <c r="W59" i="1"/>
  <c r="W57" i="1"/>
  <c r="W55" i="1"/>
  <c r="W54" i="1" s="1"/>
  <c r="W64" i="1"/>
  <c r="W63" i="1"/>
  <c r="W73" i="1"/>
  <c r="W72" i="1"/>
  <c r="W71" i="1"/>
  <c r="W70" i="1"/>
  <c r="W69" i="1"/>
  <c r="W68" i="1"/>
  <c r="W67" i="1" s="1"/>
  <c r="W92" i="1"/>
  <c r="W91" i="1"/>
  <c r="W95" i="1"/>
  <c r="W96" i="1"/>
  <c r="W98" i="1"/>
  <c r="W99" i="1"/>
  <c r="Y90" i="1"/>
  <c r="L21" i="1"/>
  <c r="K90" i="1"/>
  <c r="N39" i="1"/>
  <c r="K94" i="1"/>
  <c r="L62" i="1"/>
  <c r="L39" i="1"/>
  <c r="L54" i="1"/>
  <c r="J94" i="1"/>
  <c r="J89" i="1" s="1"/>
  <c r="U89" i="1" s="1"/>
  <c r="L34" i="1"/>
  <c r="O54" i="1"/>
  <c r="N67" i="1"/>
  <c r="L23" i="1"/>
  <c r="O39" i="1"/>
  <c r="O62" i="1"/>
  <c r="X90" i="1"/>
  <c r="X89" i="1" s="1"/>
  <c r="J21" i="1"/>
  <c r="L22" i="1"/>
  <c r="J27" i="1"/>
  <c r="P62" i="1"/>
  <c r="Z94" i="1"/>
  <c r="L67" i="1"/>
  <c r="O34" i="1"/>
  <c r="AD28" i="1"/>
  <c r="P39" i="1"/>
  <c r="N54" i="1"/>
  <c r="P34" i="1"/>
  <c r="N34" i="1"/>
  <c r="P54" i="1"/>
  <c r="N62" i="1"/>
  <c r="O67" i="1"/>
  <c r="Y94" i="1"/>
  <c r="P67" i="1"/>
  <c r="U63" i="1"/>
  <c r="U91" i="1"/>
  <c r="U90" i="1" s="1"/>
  <c r="W62" i="1" l="1"/>
  <c r="K89" i="1"/>
  <c r="W90" i="1"/>
  <c r="N19" i="1"/>
  <c r="W94" i="1"/>
  <c r="W39" i="1"/>
  <c r="W34" i="1"/>
  <c r="Z89" i="1"/>
  <c r="L19" i="1"/>
  <c r="L25" i="1"/>
  <c r="L20" i="1"/>
  <c r="N89" i="1"/>
  <c r="L24" i="1"/>
  <c r="L26" i="1"/>
  <c r="X17" i="1"/>
  <c r="AB52" i="1" s="1"/>
  <c r="Y89" i="1"/>
  <c r="P19" i="1"/>
  <c r="O89" i="1"/>
  <c r="L89" i="1"/>
  <c r="O19" i="1"/>
  <c r="P89" i="1"/>
  <c r="N17" i="1" l="1"/>
  <c r="N16" i="1" s="1"/>
  <c r="W89" i="1"/>
  <c r="W19" i="1"/>
  <c r="AA32" i="1"/>
  <c r="X3" i="1"/>
  <c r="L17" i="1"/>
  <c r="L16" i="1" s="1"/>
  <c r="Z17" i="1"/>
  <c r="Z3" i="1" s="1"/>
  <c r="P17" i="1"/>
  <c r="P16" i="1" s="1"/>
  <c r="Y17" i="1"/>
  <c r="Y3" i="1" s="1"/>
  <c r="O17" i="1"/>
  <c r="O16" i="1" s="1"/>
  <c r="AK17" i="1" l="1"/>
  <c r="AF29" i="1"/>
  <c r="AH30" i="1" s="1"/>
  <c r="L31" i="1"/>
  <c r="L30" i="1"/>
  <c r="N31" i="1"/>
  <c r="N30" i="1"/>
  <c r="O31" i="1"/>
  <c r="O30" i="1"/>
  <c r="P30" i="1"/>
  <c r="P31" i="1"/>
  <c r="W17" i="1"/>
  <c r="AG29" i="1"/>
  <c r="AI30" i="1" s="1"/>
  <c r="AK30" i="1" s="1"/>
  <c r="AM30" i="1" s="1"/>
  <c r="AL17" i="1"/>
  <c r="AH29" i="1"/>
  <c r="AJ30" i="1" s="1"/>
  <c r="AL30" i="1" s="1"/>
  <c r="AN30" i="1" s="1"/>
  <c r="AM17" i="1"/>
  <c r="AE29" i="1"/>
  <c r="AJ17" i="1"/>
  <c r="J46" i="1" l="1"/>
  <c r="U46" i="1" s="1"/>
  <c r="J72" i="1"/>
  <c r="U72" i="1" s="1"/>
  <c r="J64" i="1"/>
  <c r="J69" i="1"/>
  <c r="U69" i="1" s="1"/>
  <c r="J36" i="1"/>
  <c r="J71" i="1"/>
  <c r="U71" i="1" s="1"/>
  <c r="J73" i="1"/>
  <c r="U73" i="1" s="1"/>
  <c r="J44" i="1"/>
  <c r="U44" i="1" s="1"/>
  <c r="J43" i="1"/>
  <c r="U43" i="1" l="1"/>
  <c r="J39" i="1"/>
  <c r="U39" i="1" s="1"/>
  <c r="J22" i="1"/>
  <c r="J23" i="1"/>
  <c r="U36" i="1"/>
  <c r="J34" i="1"/>
  <c r="U64" i="1"/>
  <c r="U62" i="1" s="1"/>
  <c r="J62" i="1"/>
  <c r="U34" i="1" l="1"/>
  <c r="J20" i="1"/>
  <c r="K32" i="1" l="1"/>
  <c r="V32" i="1" s="1"/>
  <c r="V70" i="1"/>
  <c r="V91" i="1"/>
  <c r="V90" i="1" s="1"/>
  <c r="V96" i="1"/>
  <c r="V94" i="1" s="1"/>
  <c r="V89" i="1"/>
  <c r="K46" i="1" l="1"/>
  <c r="V46" i="1" s="1"/>
  <c r="K72" i="1"/>
  <c r="V72" i="1" s="1"/>
  <c r="K69" i="1"/>
  <c r="V69" i="1" s="1"/>
  <c r="K35" i="1"/>
  <c r="K36" i="1"/>
  <c r="L201" i="1" l="1"/>
  <c r="V36" i="1"/>
  <c r="V35" i="1"/>
  <c r="K34" i="1"/>
  <c r="N201" i="1"/>
  <c r="V34" i="1" l="1"/>
  <c r="K42" i="1" l="1"/>
  <c r="V42" i="1" s="1"/>
  <c r="K63" i="1" l="1"/>
  <c r="V63" i="1" l="1"/>
  <c r="K40" i="1" l="1"/>
  <c r="V40" i="1" s="1"/>
  <c r="K73" i="1"/>
  <c r="V73" i="1" s="1"/>
  <c r="K59" i="1"/>
  <c r="V59" i="1" s="1"/>
  <c r="K71" i="1"/>
  <c r="V71" i="1" s="1"/>
  <c r="K68" i="1"/>
  <c r="K64" i="1"/>
  <c r="J59" i="1" l="1"/>
  <c r="U59" i="1" s="1"/>
  <c r="J68" i="1"/>
  <c r="J67" i="1" s="1"/>
  <c r="K21" i="1"/>
  <c r="K55" i="1"/>
  <c r="V55" i="1" s="1"/>
  <c r="K75" i="1"/>
  <c r="V64" i="1"/>
  <c r="V62" i="1" s="1"/>
  <c r="K62" i="1"/>
  <c r="K67" i="1"/>
  <c r="V68" i="1"/>
  <c r="V67" i="1" s="1"/>
  <c r="U68" i="1" l="1"/>
  <c r="U67" i="1" s="1"/>
  <c r="J52" i="1"/>
  <c r="U52" i="1" s="1"/>
  <c r="J55" i="1"/>
  <c r="J26" i="1"/>
  <c r="K27" i="1"/>
  <c r="L204" i="1"/>
  <c r="N204" i="1" s="1"/>
  <c r="K26" i="1"/>
  <c r="K43" i="1" l="1"/>
  <c r="V43" i="1" s="1"/>
  <c r="U55" i="1"/>
  <c r="U54" i="1" s="1"/>
  <c r="J54" i="1"/>
  <c r="K22" i="1" l="1"/>
  <c r="J24" i="1"/>
  <c r="J25" i="1"/>
  <c r="J19" i="1"/>
  <c r="U19" i="1" l="1"/>
  <c r="J17" i="1"/>
  <c r="U17" i="1" s="1"/>
  <c r="K57" i="1" l="1"/>
  <c r="K54" i="1" s="1"/>
  <c r="V57" i="1" l="1"/>
  <c r="V54" i="1" s="1"/>
  <c r="W205" i="1" s="1"/>
  <c r="X205" i="1" s="1"/>
  <c r="L205" i="1"/>
  <c r="N205" i="1" s="1"/>
  <c r="K52" i="1" l="1"/>
  <c r="V52" i="1" l="1"/>
  <c r="K25" i="1"/>
  <c r="L202" i="1"/>
  <c r="K24" i="1"/>
  <c r="N202" i="1" l="1"/>
  <c r="K44" i="1" l="1"/>
  <c r="V44" i="1" l="1"/>
  <c r="K23" i="1"/>
  <c r="K39" i="1"/>
  <c r="L203" i="1" l="1"/>
  <c r="V39" i="1"/>
  <c r="W203" i="1" s="1"/>
  <c r="X203" i="1" s="1"/>
  <c r="K20" i="1"/>
  <c r="K19" i="1"/>
  <c r="K17" i="1" l="1"/>
  <c r="V17" i="1" s="1"/>
  <c r="K210" i="1"/>
  <c r="V19" i="1"/>
  <c r="N203" i="1"/>
  <c r="L209" i="1"/>
  <c r="N209" i="1" s="1"/>
</calcChain>
</file>

<file path=xl/comments1.xml><?xml version="1.0" encoding="utf-8"?>
<comments xmlns="http://schemas.openxmlformats.org/spreadsheetml/2006/main">
  <authors>
    <author>vadm0101</author>
    <author>vact0105</author>
    <author>Thuy Nguyen (Actuary)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  <charset val="163"/>
          </rPr>
          <t>vadm0101:</t>
        </r>
        <r>
          <rPr>
            <sz val="9"/>
            <color indexed="81"/>
            <rFont val="Tahoma"/>
            <family val="2"/>
            <charset val="163"/>
          </rPr>
          <t xml:space="preserve">
FAI planned 60% FYP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  <charset val="163"/>
          </rPr>
          <t>vact0105:</t>
        </r>
        <r>
          <rPr>
            <sz val="9"/>
            <color indexed="81"/>
            <rFont val="Tahoma"/>
            <family val="2"/>
            <charset val="163"/>
          </rPr>
          <t xml:space="preserve">
actual14 &amp;15 including AO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  <charset val="163"/>
          </rPr>
          <t>vadm0101:</t>
        </r>
        <r>
          <rPr>
            <sz val="9"/>
            <color indexed="81"/>
            <rFont val="Tahoma"/>
            <family val="2"/>
            <charset val="163"/>
          </rPr>
          <t xml:space="preserve">
70% contribution
</t>
        </r>
      </text>
    </comment>
    <comment ref="K44" authorId="2" shapeId="0">
      <text>
        <r>
          <rPr>
            <b/>
            <sz val="9"/>
            <color indexed="81"/>
            <rFont val="Tahoma"/>
            <family val="2"/>
            <charset val="163"/>
          </rPr>
          <t>Thuy Nguyen (Actuary):</t>
        </r>
        <r>
          <rPr>
            <sz val="9"/>
            <color indexed="81"/>
            <rFont val="Tahoma"/>
            <family val="2"/>
            <charset val="163"/>
          </rPr>
          <t xml:space="preserve">
higher than projected of 1,1% YTD Nov because of high performance in Dec 15. In 2016, we expect the same performance as 2015, resulted in same ratio of FYP as 2015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163"/>
          </rPr>
          <t>vadm0101:</t>
        </r>
        <r>
          <rPr>
            <sz val="9"/>
            <color indexed="81"/>
            <rFont val="Tahoma"/>
            <family val="2"/>
            <charset val="163"/>
          </rPr>
          <t xml:space="preserve">
incl 2% RY OVR</t>
        </r>
      </text>
    </comment>
    <comment ref="N203" authorId="2" shapeId="0">
      <text>
        <r>
          <rPr>
            <b/>
            <sz val="9"/>
            <color indexed="81"/>
            <rFont val="Tahoma"/>
            <family val="2"/>
            <charset val="163"/>
          </rPr>
          <t>Thuy Nguyen (Actuary):</t>
        </r>
        <r>
          <rPr>
            <sz val="9"/>
            <color indexed="81"/>
            <rFont val="Tahoma"/>
            <family val="2"/>
            <charset val="163"/>
          </rPr>
          <t xml:space="preserve">
exclude ky an service fee and star club bonus stopped in Apr</t>
        </r>
      </text>
    </comment>
  </commentList>
</comments>
</file>

<file path=xl/sharedStrings.xml><?xml version="1.0" encoding="utf-8"?>
<sst xmlns="http://schemas.openxmlformats.org/spreadsheetml/2006/main" count="182" uniqueCount="154">
  <si>
    <t>Agency Compensation Budget</t>
  </si>
  <si>
    <t>Original version</t>
  </si>
  <si>
    <t>FYP</t>
  </si>
  <si>
    <t>2013P</t>
  </si>
  <si>
    <t>2013F</t>
  </si>
  <si>
    <t>2014A</t>
  </si>
  <si>
    <t>2015A</t>
  </si>
  <si>
    <t>Universal Life Mix:</t>
  </si>
  <si>
    <t>Total APE (mil dong)</t>
  </si>
  <si>
    <t>Total FYP (mil dong)</t>
  </si>
  <si>
    <t>% FYP projection</t>
  </si>
  <si>
    <t>Agency cost  + GA cost</t>
  </si>
  <si>
    <t xml:space="preserve">Agency cost </t>
  </si>
  <si>
    <t xml:space="preserve">A) Total core compensation </t>
  </si>
  <si>
    <t>Individual production</t>
  </si>
  <si>
    <t>Unit production</t>
  </si>
  <si>
    <t>Branch production</t>
  </si>
  <si>
    <t>B) Total contest &amp; short term incentives</t>
  </si>
  <si>
    <t>Recruitment incentives</t>
  </si>
  <si>
    <t>Contest &amp; other incentives</t>
  </si>
  <si>
    <t>C) SM bonus</t>
  </si>
  <si>
    <t>A1) FY Basic Commission</t>
  </si>
  <si>
    <r>
      <t xml:space="preserve">A2) Override Commission </t>
    </r>
    <r>
      <rPr>
        <sz val="10"/>
        <rFont val="Arial"/>
        <family val="2"/>
        <charset val="163"/>
      </rPr>
      <t>(OAC13)</t>
    </r>
  </si>
  <si>
    <t>Unit Override</t>
  </si>
  <si>
    <t>Branch Override</t>
  </si>
  <si>
    <r>
      <t xml:space="preserve">A3) Production Bonuses </t>
    </r>
    <r>
      <rPr>
        <sz val="10"/>
        <rFont val="Arial"/>
        <family val="2"/>
        <charset val="163"/>
      </rPr>
      <t>(OAC13)</t>
    </r>
  </si>
  <si>
    <t>Quarterly Bonus for Agents</t>
  </si>
  <si>
    <t>Extra monthly bonus for unit leader</t>
  </si>
  <si>
    <t>Quarterly Bonus for UM</t>
  </si>
  <si>
    <t>Quarterly Bonus for BM</t>
  </si>
  <si>
    <t>CI/UL Bonus</t>
  </si>
  <si>
    <r>
      <t xml:space="preserve">B1) Builder bonus to Mother </t>
    </r>
    <r>
      <rPr>
        <sz val="10"/>
        <rFont val="Arial"/>
        <family val="2"/>
        <charset val="163"/>
      </rPr>
      <t>(OAC13)</t>
    </r>
  </si>
  <si>
    <r>
      <t xml:space="preserve">B2) Agent Recuitment Support  &amp; Excellence Development </t>
    </r>
    <r>
      <rPr>
        <sz val="10"/>
        <rFont val="Arial"/>
        <family val="2"/>
        <charset val="163"/>
      </rPr>
      <t>(OAC13)</t>
    </r>
  </si>
  <si>
    <t xml:space="preserve">   Rookie supports for first 6 months</t>
  </si>
  <si>
    <t xml:space="preserve">MDRT allowance </t>
  </si>
  <si>
    <r>
      <t>B3) Leader Development_Financial support</t>
    </r>
    <r>
      <rPr>
        <sz val="10"/>
        <color theme="1"/>
        <rFont val="Calibri"/>
        <family val="2"/>
        <charset val="163"/>
        <scheme val="minor"/>
      </rPr>
      <t xml:space="preserve"> (OAC13)</t>
    </r>
  </si>
  <si>
    <t>New US financial support</t>
  </si>
  <si>
    <t>Recruited AL financial support</t>
  </si>
  <si>
    <r>
      <t xml:space="preserve">B4) Contest </t>
    </r>
    <r>
      <rPr>
        <sz val="10"/>
        <rFont val="Arial"/>
        <family val="2"/>
        <charset val="163"/>
      </rPr>
      <t>(OAC13)</t>
    </r>
  </si>
  <si>
    <t>Annual Convention trip</t>
  </si>
  <si>
    <t>Contests in month</t>
  </si>
  <si>
    <t>Rookie motivation (lunch, gift, 300k of OB+3)</t>
  </si>
  <si>
    <t>Medical insurance for ALs</t>
  </si>
  <si>
    <t>Other trips + award night</t>
  </si>
  <si>
    <t>BM Allowance</t>
  </si>
  <si>
    <r>
      <t xml:space="preserve">C) SM Budget </t>
    </r>
    <r>
      <rPr>
        <sz val="10"/>
        <color theme="1"/>
        <rFont val="Calibri"/>
        <family val="2"/>
        <charset val="163"/>
        <scheme val="minor"/>
      </rPr>
      <t xml:space="preserve">(OAC1) </t>
    </r>
  </si>
  <si>
    <t>4.8% (*)</t>
  </si>
  <si>
    <t>2.5% (*)</t>
  </si>
  <si>
    <t>1.99% (*)</t>
  </si>
  <si>
    <t>(*) without SM monthly salary</t>
  </si>
  <si>
    <t>BC</t>
  </si>
  <si>
    <t>OVR</t>
  </si>
  <si>
    <t>Production bonuses</t>
  </si>
  <si>
    <t>Development Bonus of MUM</t>
  </si>
  <si>
    <t>Agent Recruitment Support &amp; Excellence Development</t>
  </si>
  <si>
    <t>Supports to AL Development</t>
  </si>
  <si>
    <t>Fix allowance (telephone, transportation)</t>
  </si>
  <si>
    <t>Medical insurance for leaders</t>
  </si>
  <si>
    <t>Annual convention trip</t>
  </si>
  <si>
    <t>AD bonus</t>
  </si>
  <si>
    <t>Rookie motivation in M1-M6</t>
  </si>
  <si>
    <t>D) GA cost</t>
  </si>
  <si>
    <t>New GA set up &amp; support</t>
  </si>
  <si>
    <t>Initial Financial Support</t>
  </si>
  <si>
    <t>First 12 month support</t>
  </si>
  <si>
    <t>Regular compensation expense</t>
  </si>
  <si>
    <t>HCM/HN Support 1% FYP</t>
  </si>
  <si>
    <t>GA Monthly Development Allowance</t>
  </si>
  <si>
    <t>Quarterly Production Bonus</t>
  </si>
  <si>
    <t>Long Term Incentive</t>
  </si>
  <si>
    <t>Customer Service Allowance</t>
  </si>
  <si>
    <t>Double check</t>
  </si>
  <si>
    <t>Diff</t>
  </si>
  <si>
    <t>Commission +CI/UL bonus</t>
  </si>
  <si>
    <t>Override (including development bonus)</t>
  </si>
  <si>
    <t>Production bonus</t>
  </si>
  <si>
    <t>Contest</t>
  </si>
  <si>
    <t>RSP</t>
  </si>
  <si>
    <t>BD bonus</t>
  </si>
  <si>
    <t>Write-off</t>
  </si>
  <si>
    <t>Total</t>
  </si>
  <si>
    <t>x</t>
  </si>
  <si>
    <t>2016 Aug Projection</t>
  </si>
  <si>
    <t>Mar Projection</t>
  </si>
  <si>
    <t>2016F</t>
  </si>
  <si>
    <t>Mar projection</t>
  </si>
  <si>
    <t>Difference</t>
  </si>
  <si>
    <t>original version</t>
  </si>
  <si>
    <t>Difference vs. orginal version</t>
  </si>
  <si>
    <t>Non-comp OAC</t>
  </si>
  <si>
    <t>OAC loadings</t>
  </si>
  <si>
    <t>Savings</t>
  </si>
  <si>
    <t>Agency cost  + GA cost net of OAC savings</t>
  </si>
  <si>
    <t>2016A</t>
  </si>
  <si>
    <t>2017P</t>
  </si>
  <si>
    <t>2018P</t>
  </si>
  <si>
    <t>2019P</t>
  </si>
  <si>
    <t>2020P</t>
  </si>
  <si>
    <t>2021P</t>
  </si>
  <si>
    <t>2022P</t>
  </si>
  <si>
    <t>SP17-22</t>
  </si>
  <si>
    <t>Gen-Lion Club Bonus</t>
  </si>
  <si>
    <t>Gen-Champion Bonus</t>
  </si>
  <si>
    <t>Gen-Captain Club Bonus</t>
  </si>
  <si>
    <t>Latest projection for 2017 scheme</t>
  </si>
  <si>
    <t>Reduction 2017-22</t>
  </si>
  <si>
    <t xml:space="preserve">   Rookie Thailand Trip</t>
  </si>
  <si>
    <t>Thailand Trip_Leader</t>
  </si>
  <si>
    <t>GA contribution</t>
  </si>
  <si>
    <t>commission loading</t>
  </si>
  <si>
    <t>Total GA expenses (% GA FYP)</t>
  </si>
  <si>
    <t>Key Changes:</t>
  </si>
  <si>
    <t>1. Remove CI Product Bonus:</t>
  </si>
  <si>
    <t>2. Change UL Product Bonus:</t>
  </si>
  <si>
    <t>Increase minimum IP &amp; # Rider requirement as entry level for bonus earning</t>
  </si>
  <si>
    <t>Create different bonus rate for different # Rider attachment</t>
  </si>
  <si>
    <t xml:space="preserve">3. Change Quarterly Production Bonus: </t>
  </si>
  <si>
    <t>Increase production requirement</t>
  </si>
  <si>
    <t>Increase Persistency K2 to 75%</t>
  </si>
  <si>
    <t>Add-in 1 new production segment</t>
  </si>
  <si>
    <t>Bonus rate varies from # Active in Quarter to drive consistent active</t>
  </si>
  <si>
    <t xml:space="preserve">4. New add-in: Core Agent Development: </t>
  </si>
  <si>
    <t>Introduce Gen-Lion Club</t>
  </si>
  <si>
    <t>Propose segmentation with cash &amp; non-cash benefits</t>
  </si>
  <si>
    <t>5. Change Active definition: Active in month - 1 policy + 8 Mil IP</t>
  </si>
  <si>
    <t>1. Remove extra Unit Override</t>
  </si>
  <si>
    <t>2. Structure new US support program to drive internal promotion</t>
  </si>
  <si>
    <t>Remove US Quarterly production bonus &amp; RSP (as in reality very few US qualified this bonus)</t>
  </si>
  <si>
    <t xml:space="preserve">Structure US promotion 6 month support program support </t>
  </si>
  <si>
    <t>Reward one-off payment to US when US get promotion to UM</t>
  </si>
  <si>
    <t>3. Change Unit/Branch Override: different bonus rate at different production</t>
  </si>
  <si>
    <t>4. Quarterly Production Bonus:</t>
  </si>
  <si>
    <t>Revise # Active Agents/Activity Ratio condition</t>
  </si>
  <si>
    <t>Re-arrange production level &amp; bonus rate</t>
  </si>
  <si>
    <t>Bonus rate varies to different level of Active Ratio</t>
  </si>
  <si>
    <t>5. Structure KPIs to address the issue that Leaders don't have motivation to develop their agents</t>
  </si>
  <si>
    <t>6. Reward Leaders who develop their agents to be promoted</t>
  </si>
  <si>
    <t>7. Introduce Gen-Champion Club to reward &amp; build core leaders</t>
  </si>
  <si>
    <t>Require Leader have at least 1 AG to be promoted to US -&gt; encourage AL to develop their agents</t>
  </si>
  <si>
    <t>Bonus as double override: (1) reward high performance (2) compensate for the "loss" when their AG promoted to AL</t>
  </si>
  <si>
    <t>8. Introduce Gen-Captain Reward</t>
  </si>
  <si>
    <t>INDIVIDUAL COMPENSATION</t>
  </si>
  <si>
    <t>AGENCY LEADER COMPENSATION</t>
  </si>
  <si>
    <t>Remove the old CI Product Bonus and offer new CI Product Bonus from Apr 2017</t>
  </si>
  <si>
    <t>9. Recruitment Support Program</t>
  </si>
  <si>
    <t>change structure of scheme : lower bonus in the first months, higher bonus in later months -&gt; Motivate recruited UM/SM/BM/SB to stay and perform longer to have higher bonus.</t>
  </si>
  <si>
    <t>Change rule of Claw back all RSP bonus paid in first 3 MONTHS to in first 6 MONTHS --&gt; stricter rule</t>
  </si>
  <si>
    <t>variable 13%</t>
  </si>
  <si>
    <t>They are loading for 40% basic commission for all terms</t>
  </si>
  <si>
    <t>OAC:</t>
  </si>
  <si>
    <t>Total:</t>
  </si>
  <si>
    <t>fixed ~11%</t>
  </si>
  <si>
    <t>adj</t>
  </si>
  <si>
    <t>New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</si>
</sst>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₫_-;\-* #,##0.00\ _₫_-;_-* &quot;-&quot;??\ _₫_-;_-@_-"/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_(* #,##0_);_(* \(#,##0\);_(* &quot;-&quot;??_);_(@_)"/>
    <numFmt numFmtId="168" formatCode="0.00000000000000000%"/>
  </numFmts>
  <fonts count="8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sz val="11"/>
      <color rgb="FF7030A0"/>
      <name val="Calibri"/>
      <family val="2"/>
      <charset val="163"/>
      <scheme val="minor"/>
    </font>
    <font>
      <sz val="11"/>
      <color theme="0" tint="-0.499984740745262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color theme="3" tint="-0.499984740745262"/>
      <name val="Calibri"/>
      <family val="2"/>
      <charset val="163"/>
      <scheme val="minor"/>
    </font>
    <font>
      <sz val="11"/>
      <color theme="3" tint="-0.499984740745262"/>
      <name val="Calibri"/>
      <family val="2"/>
      <scheme val="minor"/>
    </font>
    <font>
      <b/>
      <sz val="9"/>
      <color rgb="FFFF0000"/>
      <name val="Arial"/>
      <family val="2"/>
      <charset val="163"/>
    </font>
    <font>
      <sz val="9"/>
      <color theme="1"/>
      <name val="Calibri"/>
      <family val="2"/>
      <charset val="163"/>
      <scheme val="minor"/>
    </font>
    <font>
      <sz val="9"/>
      <color rgb="FF7030A0"/>
      <name val="Calibri"/>
      <family val="2"/>
      <charset val="163"/>
      <scheme val="minor"/>
    </font>
    <font>
      <sz val="9"/>
      <color theme="0" tint="-0.499984740745262"/>
      <name val="Calibri"/>
      <family val="2"/>
      <charset val="163"/>
      <scheme val="minor"/>
    </font>
    <font>
      <sz val="9"/>
      <name val="Calibri"/>
      <family val="2"/>
      <charset val="163"/>
      <scheme val="minor"/>
    </font>
    <font>
      <sz val="9"/>
      <color rgb="FFFF0000"/>
      <name val="Calibri"/>
      <family val="2"/>
      <charset val="163"/>
      <scheme val="minor"/>
    </font>
    <font>
      <sz val="9"/>
      <color theme="1"/>
      <name val="Calibri"/>
      <family val="2"/>
      <scheme val="minor"/>
    </font>
    <font>
      <sz val="9"/>
      <color theme="3" tint="-0.499984740745262"/>
      <name val="Calibri"/>
      <family val="2"/>
      <charset val="163"/>
      <scheme val="minor"/>
    </font>
    <font>
      <b/>
      <i/>
      <sz val="10"/>
      <name val="Arial"/>
      <family val="2"/>
      <charset val="163"/>
    </font>
    <font>
      <sz val="11"/>
      <color rgb="FFFF0000"/>
      <name val="Calibri"/>
      <family val="2"/>
      <charset val="163"/>
      <scheme val="minor"/>
    </font>
    <font>
      <b/>
      <i/>
      <sz val="10"/>
      <color theme="3" tint="-0.499984740745262"/>
      <name val="Arial"/>
      <family val="2"/>
      <charset val="163"/>
    </font>
    <font>
      <sz val="10"/>
      <color rgb="FFFF0000"/>
      <name val="Calibri"/>
      <family val="2"/>
      <charset val="163"/>
      <scheme val="minor"/>
    </font>
    <font>
      <b/>
      <i/>
      <sz val="11"/>
      <color theme="0" tint="-0.499984740745262"/>
      <name val="Calibri"/>
      <family val="2"/>
      <charset val="163"/>
      <scheme val="minor"/>
    </font>
    <font>
      <b/>
      <i/>
      <sz val="11"/>
      <name val="Calibri"/>
      <family val="2"/>
      <charset val="163"/>
      <scheme val="minor"/>
    </font>
    <font>
      <b/>
      <i/>
      <sz val="11"/>
      <color theme="3" tint="-0.499984740745262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color rgb="FF7030A0"/>
      <name val="Calibri"/>
      <family val="2"/>
      <charset val="163"/>
      <scheme val="minor"/>
    </font>
    <font>
      <b/>
      <i/>
      <sz val="10"/>
      <color theme="1"/>
      <name val="Calibri"/>
      <family val="2"/>
      <charset val="163"/>
      <scheme val="minor"/>
    </font>
    <font>
      <b/>
      <i/>
      <sz val="10"/>
      <name val="Calibri"/>
      <family val="2"/>
      <charset val="163"/>
      <scheme val="minor"/>
    </font>
    <font>
      <b/>
      <i/>
      <sz val="10"/>
      <color theme="0" tint="-0.499984740745262"/>
      <name val="Arial"/>
      <family val="2"/>
      <charset val="163"/>
    </font>
    <font>
      <b/>
      <u/>
      <sz val="12"/>
      <color theme="1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b/>
      <sz val="12"/>
      <color theme="3" tint="-0.499984740745262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0" tint="-0.499984740745262"/>
      <name val="Arial"/>
      <family val="2"/>
      <charset val="163"/>
    </font>
    <font>
      <b/>
      <sz val="11"/>
      <name val="Arial"/>
      <family val="2"/>
      <charset val="163"/>
    </font>
    <font>
      <sz val="12"/>
      <name val="Arial"/>
      <family val="2"/>
      <charset val="163"/>
    </font>
    <font>
      <b/>
      <u/>
      <sz val="10"/>
      <color theme="1"/>
      <name val="Calibri"/>
      <family val="2"/>
      <charset val="163"/>
      <scheme val="minor"/>
    </font>
    <font>
      <b/>
      <sz val="11"/>
      <color rgb="FF7030A0"/>
      <name val="Calibri"/>
      <family val="2"/>
      <charset val="163"/>
      <scheme val="minor"/>
    </font>
    <font>
      <b/>
      <sz val="11"/>
      <color theme="0" tint="-0.499984740745262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theme="3" tint="-0.499984740745262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sz val="10"/>
      <color theme="3" tint="-0.499984740745262"/>
      <name val="Calibri"/>
      <family val="2"/>
      <charset val="163"/>
      <scheme val="minor"/>
    </font>
    <font>
      <b/>
      <sz val="10"/>
      <color rgb="FF7030A0"/>
      <name val="Arial"/>
      <family val="2"/>
    </font>
    <font>
      <b/>
      <sz val="11"/>
      <color theme="0" tint="-0.499984740745262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11"/>
      <color theme="3" tint="-0.499984740745262"/>
      <name val="Arial"/>
      <family val="2"/>
      <charset val="163"/>
    </font>
    <font>
      <sz val="8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Calibri"/>
      <family val="2"/>
      <charset val="163"/>
      <scheme val="minor"/>
    </font>
    <font>
      <b/>
      <sz val="10"/>
      <name val="Arial"/>
      <family val="2"/>
    </font>
    <font>
      <sz val="10"/>
      <color theme="0" tint="-0.34998626667073579"/>
      <name val="Calibri"/>
      <family val="2"/>
      <charset val="163"/>
      <scheme val="minor"/>
    </font>
    <font>
      <sz val="11"/>
      <color theme="0" tint="-0.34998626667073579"/>
      <name val="Calibri"/>
      <family val="2"/>
      <charset val="163"/>
      <scheme val="minor"/>
    </font>
    <font>
      <sz val="11"/>
      <color theme="0" tint="-0.499984740745262"/>
      <name val="Arial"/>
      <family val="2"/>
      <charset val="163"/>
    </font>
    <font>
      <sz val="11"/>
      <name val="Arial"/>
      <family val="2"/>
      <charset val="163"/>
    </font>
    <font>
      <sz val="11"/>
      <color theme="3" tint="-0.499984740745262"/>
      <name val="Arial"/>
      <family val="2"/>
      <charset val="163"/>
    </font>
    <font>
      <sz val="10"/>
      <color rgb="FF0000FF"/>
      <name val="Arial"/>
      <family val="2"/>
      <charset val="163"/>
    </font>
    <font>
      <sz val="11"/>
      <color rgb="FF0000FF"/>
      <name val="Arial"/>
      <family val="2"/>
      <charset val="163"/>
    </font>
    <font>
      <sz val="10"/>
      <color theme="1"/>
      <name val="Arial"/>
      <family val="2"/>
      <charset val="163"/>
    </font>
    <font>
      <sz val="10"/>
      <color rgb="FF7030A0"/>
      <name val="Arial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i/>
      <sz val="11"/>
      <color theme="1"/>
      <name val="Calibri"/>
      <family val="2"/>
      <charset val="163"/>
      <scheme val="minor"/>
    </font>
    <font>
      <b/>
      <i/>
      <sz val="11"/>
      <name val="Arial"/>
      <family val="2"/>
      <charset val="163"/>
    </font>
    <font>
      <i/>
      <sz val="11"/>
      <color theme="0" tint="-0.249977111117893"/>
      <name val="Calibri"/>
      <family val="2"/>
      <charset val="163"/>
      <scheme val="minor"/>
    </font>
    <font>
      <i/>
      <sz val="11"/>
      <color theme="0" tint="-0.499984740745262"/>
      <name val="Calibri"/>
      <family val="2"/>
      <charset val="163"/>
      <scheme val="minor"/>
    </font>
    <font>
      <i/>
      <sz val="11"/>
      <color rgb="FF7030A0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 tint="-0.249977111117893"/>
      <name val="Arial"/>
      <family val="2"/>
      <charset val="163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u val="singleAccounting"/>
      <sz val="10"/>
      <name val="Arial"/>
      <family val="2"/>
      <charset val="163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u/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F76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/>
    <xf numFmtId="9" fontId="46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6" fillId="0" borderId="0"/>
    <xf numFmtId="43" fontId="46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6" fillId="2" borderId="0" xfId="0" applyFont="1" applyFill="1" applyBorder="1" applyAlignment="1">
      <alignment horizontal="right"/>
    </xf>
    <xf numFmtId="10" fontId="6" fillId="0" borderId="0" xfId="2" applyNumberFormat="1" applyFont="1" applyFill="1" applyAlignment="1">
      <alignment horizontal="right"/>
    </xf>
    <xf numFmtId="10" fontId="0" fillId="0" borderId="0" xfId="2" applyNumberFormat="1" applyFont="1"/>
    <xf numFmtId="9" fontId="0" fillId="0" borderId="0" xfId="2" applyFont="1"/>
    <xf numFmtId="166" fontId="0" fillId="0" borderId="0" xfId="2" applyNumberFormat="1" applyFont="1"/>
    <xf numFmtId="0" fontId="7" fillId="0" borderId="0" xfId="0" applyFont="1" applyFill="1" applyAlignment="1">
      <alignment horizontal="left"/>
    </xf>
    <xf numFmtId="0" fontId="8" fillId="0" borderId="0" xfId="0" applyFont="1"/>
    <xf numFmtId="0" fontId="9" fillId="3" borderId="0" xfId="0" applyFont="1" applyFill="1"/>
    <xf numFmtId="0" fontId="10" fillId="4" borderId="0" xfId="0" applyFont="1" applyFill="1"/>
    <xf numFmtId="0" fontId="11" fillId="4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3" fillId="2" borderId="0" xfId="0" applyFont="1" applyFill="1" applyBorder="1" applyAlignment="1">
      <alignment horizontal="right"/>
    </xf>
    <xf numFmtId="10" fontId="13" fillId="0" borderId="0" xfId="2" applyNumberFormat="1" applyFont="1" applyFill="1" applyAlignment="1">
      <alignment horizontal="right"/>
    </xf>
    <xf numFmtId="166" fontId="14" fillId="0" borderId="0" xfId="2" applyNumberFormat="1" applyFont="1" applyFill="1" applyAlignment="1">
      <alignment horizontal="right"/>
    </xf>
    <xf numFmtId="0" fontId="15" fillId="0" borderId="0" xfId="0" applyFont="1"/>
    <xf numFmtId="166" fontId="16" fillId="0" borderId="0" xfId="0" applyNumberFormat="1" applyFont="1" applyFill="1" applyAlignment="1">
      <alignment horizontal="left"/>
    </xf>
    <xf numFmtId="166" fontId="16" fillId="0" borderId="0" xfId="0" applyNumberFormat="1" applyFont="1" applyFill="1" applyAlignment="1">
      <alignment horizontal="right"/>
    </xf>
    <xf numFmtId="0" fontId="6" fillId="0" borderId="0" xfId="0" applyFont="1" applyFill="1"/>
    <xf numFmtId="9" fontId="5" fillId="0" borderId="0" xfId="0" applyNumberFormat="1" applyFont="1" applyFill="1" applyAlignment="1">
      <alignment horizontal="right"/>
    </xf>
    <xf numFmtId="9" fontId="17" fillId="0" borderId="0" xfId="0" applyNumberFormat="1" applyFont="1" applyFill="1" applyAlignment="1">
      <alignment horizontal="left"/>
    </xf>
    <xf numFmtId="9" fontId="18" fillId="0" borderId="0" xfId="0" applyNumberFormat="1" applyFont="1" applyFill="1" applyAlignment="1">
      <alignment horizontal="right"/>
    </xf>
    <xf numFmtId="9" fontId="18" fillId="2" borderId="0" xfId="0" applyNumberFormat="1" applyFont="1" applyFill="1" applyBorder="1" applyAlignment="1">
      <alignment horizontal="right"/>
    </xf>
    <xf numFmtId="9" fontId="19" fillId="0" borderId="0" xfId="0" applyNumberFormat="1" applyFont="1" applyFill="1" applyAlignment="1">
      <alignment horizontal="left"/>
    </xf>
    <xf numFmtId="0" fontId="3" fillId="0" borderId="0" xfId="0" applyFont="1" applyAlignment="1">
      <alignment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0" fontId="21" fillId="0" borderId="1" xfId="0" applyFont="1" applyFill="1" applyBorder="1" applyAlignment="1">
      <alignment horizontal="right" vertical="center"/>
    </xf>
    <xf numFmtId="0" fontId="22" fillId="5" borderId="1" xfId="0" applyFont="1" applyFill="1" applyBorder="1" applyAlignment="1">
      <alignment horizontal="right" vertical="center" wrapText="1"/>
    </xf>
    <xf numFmtId="0" fontId="22" fillId="2" borderId="0" xfId="0" applyFont="1" applyFill="1" applyBorder="1" applyAlignment="1">
      <alignment horizontal="right" vertical="center" wrapText="1"/>
    </xf>
    <xf numFmtId="0" fontId="23" fillId="6" borderId="1" xfId="0" applyFont="1" applyFill="1" applyBorder="1" applyAlignment="1">
      <alignment horizontal="right" vertical="center" wrapText="1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6" fillId="0" borderId="0" xfId="0" applyNumberFormat="1" applyFont="1" applyFill="1" applyAlignment="1">
      <alignment horizontal="right"/>
    </xf>
    <xf numFmtId="9" fontId="6" fillId="2" borderId="0" xfId="0" applyNumberFormat="1" applyFont="1" applyFill="1" applyBorder="1" applyAlignment="1">
      <alignment horizontal="right"/>
    </xf>
    <xf numFmtId="9" fontId="7" fillId="0" borderId="0" xfId="0" applyNumberFormat="1" applyFont="1" applyFill="1" applyAlignment="1">
      <alignment horizontal="right"/>
    </xf>
    <xf numFmtId="0" fontId="24" fillId="0" borderId="0" xfId="0" applyFont="1"/>
    <xf numFmtId="166" fontId="5" fillId="0" borderId="0" xfId="0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5" fillId="0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2" borderId="0" xfId="0" applyNumberFormat="1" applyFont="1" applyFill="1" applyBorder="1" applyAlignment="1">
      <alignment horizontal="right"/>
    </xf>
    <xf numFmtId="0" fontId="26" fillId="0" borderId="0" xfId="0" applyFont="1" applyFill="1"/>
    <xf numFmtId="0" fontId="17" fillId="0" borderId="0" xfId="0" applyFont="1" applyFill="1"/>
    <xf numFmtId="0" fontId="27" fillId="0" borderId="0" xfId="0" applyFont="1" applyFill="1" applyAlignment="1">
      <alignment horizontal="right"/>
    </xf>
    <xf numFmtId="9" fontId="28" fillId="0" borderId="0" xfId="0" applyNumberFormat="1" applyFont="1" applyFill="1" applyAlignment="1">
      <alignment horizontal="right"/>
    </xf>
    <xf numFmtId="9" fontId="17" fillId="2" borderId="0" xfId="0" applyNumberFormat="1" applyFont="1" applyFill="1" applyBorder="1" applyAlignment="1">
      <alignment horizontal="right"/>
    </xf>
    <xf numFmtId="0" fontId="29" fillId="0" borderId="0" xfId="0" applyFont="1"/>
    <xf numFmtId="166" fontId="30" fillId="7" borderId="2" xfId="0" applyNumberFormat="1" applyFont="1" applyFill="1" applyBorder="1" applyAlignment="1">
      <alignment horizontal="right"/>
    </xf>
    <xf numFmtId="0" fontId="32" fillId="0" borderId="0" xfId="0" applyFont="1"/>
    <xf numFmtId="166" fontId="33" fillId="0" borderId="0" xfId="0" applyNumberFormat="1" applyFont="1" applyFill="1" applyAlignment="1">
      <alignment horizontal="center"/>
    </xf>
    <xf numFmtId="166" fontId="34" fillId="0" borderId="2" xfId="0" applyNumberFormat="1" applyFont="1" applyFill="1" applyBorder="1" applyAlignment="1">
      <alignment horizontal="right"/>
    </xf>
    <xf numFmtId="166" fontId="35" fillId="8" borderId="2" xfId="0" applyNumberFormat="1" applyFont="1" applyFill="1" applyBorder="1"/>
    <xf numFmtId="166" fontId="36" fillId="2" borderId="0" xfId="0" applyNumberFormat="1" applyFont="1" applyFill="1" applyBorder="1" applyAlignment="1">
      <alignment horizontal="right"/>
    </xf>
    <xf numFmtId="166" fontId="30" fillId="6" borderId="2" xfId="0" applyNumberFormat="1" applyFont="1" applyFill="1" applyBorder="1" applyAlignment="1">
      <alignment horizontal="right"/>
    </xf>
    <xf numFmtId="164" fontId="31" fillId="6" borderId="2" xfId="0" applyNumberFormat="1" applyFont="1" applyFill="1" applyBorder="1" applyAlignment="1">
      <alignment horizontal="right"/>
    </xf>
    <xf numFmtId="3" fontId="32" fillId="0" borderId="0" xfId="0" applyNumberFormat="1" applyFont="1"/>
    <xf numFmtId="0" fontId="37" fillId="0" borderId="0" xfId="0" applyFont="1"/>
    <xf numFmtId="0" fontId="38" fillId="0" borderId="0" xfId="0" applyFont="1" applyFill="1" applyAlignment="1">
      <alignment horizontal="center"/>
    </xf>
    <xf numFmtId="166" fontId="39" fillId="0" borderId="2" xfId="0" applyNumberFormat="1" applyFont="1" applyFill="1" applyBorder="1" applyAlignment="1">
      <alignment horizontal="right"/>
    </xf>
    <xf numFmtId="166" fontId="40" fillId="9" borderId="2" xfId="0" applyNumberFormat="1" applyFont="1" applyFill="1" applyBorder="1" applyAlignment="1">
      <alignment horizontal="right"/>
    </xf>
    <xf numFmtId="166" fontId="40" fillId="2" borderId="0" xfId="0" applyNumberFormat="1" applyFont="1" applyFill="1" applyBorder="1" applyAlignment="1">
      <alignment horizontal="right"/>
    </xf>
    <xf numFmtId="166" fontId="41" fillId="9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left" indent="2"/>
    </xf>
    <xf numFmtId="166" fontId="6" fillId="9" borderId="0" xfId="0" applyNumberFormat="1" applyFont="1" applyFill="1" applyAlignment="1">
      <alignment horizontal="right"/>
    </xf>
    <xf numFmtId="166" fontId="7" fillId="9" borderId="0" xfId="0" applyNumberFormat="1" applyFont="1" applyFill="1" applyAlignment="1">
      <alignment horizontal="right"/>
    </xf>
    <xf numFmtId="166" fontId="39" fillId="0" borderId="3" xfId="0" applyNumberFormat="1" applyFont="1" applyFill="1" applyBorder="1" applyAlignment="1">
      <alignment horizontal="right"/>
    </xf>
    <xf numFmtId="166" fontId="40" fillId="9" borderId="3" xfId="0" applyNumberFormat="1" applyFont="1" applyFill="1" applyBorder="1" applyAlignment="1">
      <alignment horizontal="right"/>
    </xf>
    <xf numFmtId="166" fontId="41" fillId="9" borderId="3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9" fontId="15" fillId="0" borderId="0" xfId="2" applyFont="1"/>
    <xf numFmtId="167" fontId="0" fillId="0" borderId="0" xfId="1" applyNumberFormat="1" applyFont="1"/>
    <xf numFmtId="0" fontId="2" fillId="2" borderId="0" xfId="0" applyFont="1" applyFill="1" applyBorder="1"/>
    <xf numFmtId="0" fontId="42" fillId="2" borderId="0" xfId="0" applyFont="1" applyFill="1" applyBorder="1" applyAlignment="1">
      <alignment horizontal="left" indent="2"/>
    </xf>
    <xf numFmtId="166" fontId="39" fillId="2" borderId="0" xfId="0" applyNumberFormat="1" applyFont="1" applyFill="1" applyBorder="1" applyAlignment="1">
      <alignment horizontal="right"/>
    </xf>
    <xf numFmtId="164" fontId="43" fillId="0" borderId="0" xfId="0" applyNumberFormat="1" applyFont="1" applyAlignment="1">
      <alignment horizontal="right"/>
    </xf>
    <xf numFmtId="166" fontId="44" fillId="0" borderId="0" xfId="0" applyNumberFormat="1" applyFont="1" applyFill="1" applyAlignment="1">
      <alignment horizontal="center"/>
    </xf>
    <xf numFmtId="166" fontId="45" fillId="0" borderId="3" xfId="0" applyNumberFormat="1" applyFont="1" applyFill="1" applyBorder="1" applyAlignment="1">
      <alignment horizontal="right"/>
    </xf>
    <xf numFmtId="166" fontId="45" fillId="0" borderId="3" xfId="3" applyNumberFormat="1" applyFont="1" applyFill="1" applyBorder="1" applyAlignment="1">
      <alignment horizontal="right"/>
    </xf>
    <xf numFmtId="166" fontId="35" fillId="10" borderId="3" xfId="3" applyNumberFormat="1" applyFont="1" applyFill="1" applyBorder="1" applyAlignment="1">
      <alignment horizontal="right"/>
    </xf>
    <xf numFmtId="166" fontId="35" fillId="2" borderId="0" xfId="3" applyNumberFormat="1" applyFont="1" applyFill="1" applyBorder="1" applyAlignment="1">
      <alignment horizontal="right"/>
    </xf>
    <xf numFmtId="164" fontId="47" fillId="10" borderId="3" xfId="3" applyNumberFormat="1" applyFont="1" applyFill="1" applyBorder="1" applyAlignment="1">
      <alignment horizontal="right"/>
    </xf>
    <xf numFmtId="166" fontId="48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66" fontId="35" fillId="10" borderId="3" xfId="0" applyNumberFormat="1" applyFont="1" applyFill="1" applyBorder="1" applyAlignment="1">
      <alignment horizontal="right"/>
    </xf>
    <xf numFmtId="166" fontId="35" fillId="2" borderId="0" xfId="0" applyNumberFormat="1" applyFont="1" applyFill="1" applyBorder="1" applyAlignment="1">
      <alignment horizontal="right"/>
    </xf>
    <xf numFmtId="164" fontId="47" fillId="10" borderId="3" xfId="0" applyNumberFormat="1" applyFont="1" applyFill="1" applyBorder="1" applyAlignment="1">
      <alignment horizontal="right"/>
    </xf>
    <xf numFmtId="0" fontId="3" fillId="0" borderId="0" xfId="0" applyFont="1" applyAlignment="1">
      <alignment horizontal="left" indent="1"/>
    </xf>
    <xf numFmtId="166" fontId="4" fillId="0" borderId="0" xfId="0" applyNumberFormat="1" applyFont="1" applyFill="1" applyAlignment="1">
      <alignment horizontal="center"/>
    </xf>
    <xf numFmtId="166" fontId="6" fillId="10" borderId="0" xfId="0" applyNumberFormat="1" applyFont="1" applyFill="1" applyAlignment="1">
      <alignment horizontal="right"/>
    </xf>
    <xf numFmtId="164" fontId="7" fillId="10" borderId="0" xfId="0" applyNumberFormat="1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 indent="1"/>
    </xf>
    <xf numFmtId="0" fontId="11" fillId="0" borderId="0" xfId="0" applyFont="1" applyFill="1" applyAlignment="1">
      <alignment horizontal="right"/>
    </xf>
    <xf numFmtId="166" fontId="11" fillId="0" borderId="0" xfId="4" applyNumberFormat="1" applyFont="1" applyFill="1" applyAlignment="1">
      <alignment horizontal="right"/>
    </xf>
    <xf numFmtId="166" fontId="11" fillId="2" borderId="0" xfId="4" applyNumberFormat="1" applyFont="1" applyFill="1" applyBorder="1" applyAlignment="1">
      <alignment horizontal="right"/>
    </xf>
    <xf numFmtId="164" fontId="16" fillId="0" borderId="0" xfId="4" applyNumberFormat="1" applyFont="1" applyFill="1" applyAlignment="1">
      <alignment horizontal="right"/>
    </xf>
    <xf numFmtId="0" fontId="6" fillId="0" borderId="0" xfId="0" applyFont="1"/>
    <xf numFmtId="0" fontId="50" fillId="0" borderId="0" xfId="0" applyFont="1" applyAlignment="1">
      <alignment horizontal="left" indent="1"/>
    </xf>
    <xf numFmtId="166" fontId="6" fillId="0" borderId="0" xfId="0" applyNumberFormat="1" applyFont="1" applyFill="1" applyAlignment="1">
      <alignment horizontal="center"/>
    </xf>
    <xf numFmtId="166" fontId="51" fillId="0" borderId="0" xfId="0" applyNumberFormat="1" applyFont="1" applyFill="1" applyAlignment="1">
      <alignment horizontal="center"/>
    </xf>
    <xf numFmtId="166" fontId="35" fillId="0" borderId="0" xfId="0" applyNumberFormat="1" applyFont="1" applyFill="1" applyBorder="1" applyAlignment="1">
      <alignment horizontal="right"/>
    </xf>
    <xf numFmtId="0" fontId="13" fillId="0" borderId="0" xfId="0" applyFont="1"/>
    <xf numFmtId="0" fontId="12" fillId="0" borderId="0" xfId="0" applyFont="1" applyAlignment="1">
      <alignment horizontal="left" indent="1"/>
    </xf>
    <xf numFmtId="0" fontId="3" fillId="0" borderId="0" xfId="0" applyFont="1" applyFill="1"/>
    <xf numFmtId="0" fontId="2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6" fontId="38" fillId="0" borderId="0" xfId="0" applyNumberFormat="1" applyFont="1" applyFill="1" applyAlignment="1">
      <alignment horizontal="center" vertical="center"/>
    </xf>
    <xf numFmtId="166" fontId="45" fillId="0" borderId="3" xfId="0" applyNumberFormat="1" applyFont="1" applyFill="1" applyBorder="1" applyAlignment="1">
      <alignment horizontal="right" vertical="center"/>
    </xf>
    <xf numFmtId="166" fontId="35" fillId="10" borderId="3" xfId="0" applyNumberFormat="1" applyFont="1" applyFill="1" applyBorder="1" applyAlignment="1">
      <alignment horizontal="right" vertical="center"/>
    </xf>
    <xf numFmtId="166" fontId="35" fillId="2" borderId="0" xfId="0" applyNumberFormat="1" applyFont="1" applyFill="1" applyBorder="1" applyAlignment="1">
      <alignment horizontal="right" vertical="center"/>
    </xf>
    <xf numFmtId="164" fontId="47" fillId="10" borderId="3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0" fillId="0" borderId="0" xfId="0" applyFont="1" applyAlignment="1">
      <alignment horizontal="left" vertical="center"/>
    </xf>
    <xf numFmtId="166" fontId="4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right" vertical="center"/>
    </xf>
    <xf numFmtId="166" fontId="6" fillId="10" borderId="0" xfId="0" applyNumberFormat="1" applyFont="1" applyFill="1" applyAlignment="1">
      <alignment horizontal="right" vertical="center"/>
    </xf>
    <xf numFmtId="166" fontId="6" fillId="2" borderId="0" xfId="0" applyNumberFormat="1" applyFont="1" applyFill="1" applyBorder="1" applyAlignment="1">
      <alignment horizontal="right" vertical="center"/>
    </xf>
    <xf numFmtId="164" fontId="7" fillId="10" borderId="0" xfId="0" applyNumberFormat="1" applyFont="1" applyFill="1" applyAlignment="1">
      <alignment horizontal="right" vertical="center"/>
    </xf>
    <xf numFmtId="0" fontId="3" fillId="0" borderId="0" xfId="0" applyFont="1" applyAlignment="1"/>
    <xf numFmtId="0" fontId="5" fillId="10" borderId="0" xfId="0" applyFont="1" applyFill="1" applyAlignment="1">
      <alignment horizontal="right"/>
    </xf>
    <xf numFmtId="0" fontId="0" fillId="0" borderId="0" xfId="0" applyAlignment="1"/>
    <xf numFmtId="9" fontId="44" fillId="0" borderId="0" xfId="0" applyNumberFormat="1" applyFont="1" applyFill="1" applyAlignment="1">
      <alignment horizontal="center"/>
    </xf>
    <xf numFmtId="0" fontId="50" fillId="0" borderId="0" xfId="0" applyFont="1" applyAlignment="1">
      <alignment horizontal="left" vertical="center" indent="1"/>
    </xf>
    <xf numFmtId="0" fontId="0" fillId="0" borderId="0" xfId="0" applyFill="1" applyAlignment="1">
      <alignment horizontal="center"/>
    </xf>
    <xf numFmtId="9" fontId="18" fillId="0" borderId="0" xfId="0" applyNumberFormat="1" applyFont="1" applyFill="1" applyAlignment="1">
      <alignment horizontal="center"/>
    </xf>
    <xf numFmtId="0" fontId="52" fillId="2" borderId="0" xfId="0" applyFont="1" applyFill="1" applyAlignment="1">
      <alignment horizontal="left" indent="1"/>
    </xf>
    <xf numFmtId="9" fontId="53" fillId="0" borderId="0" xfId="0" applyNumberFormat="1" applyFont="1" applyFill="1" applyAlignment="1">
      <alignment horizontal="center"/>
    </xf>
    <xf numFmtId="9" fontId="4" fillId="0" borderId="0" xfId="0" applyNumberFormat="1" applyFont="1" applyFill="1" applyAlignment="1">
      <alignment horizontal="center"/>
    </xf>
    <xf numFmtId="0" fontId="42" fillId="0" borderId="0" xfId="0" applyFont="1" applyAlignment="1">
      <alignment horizontal="left" vertical="center"/>
    </xf>
    <xf numFmtId="166" fontId="44" fillId="0" borderId="0" xfId="0" applyNumberFormat="1" applyFont="1" applyFill="1" applyAlignment="1">
      <alignment horizontal="center" vertical="center"/>
    </xf>
    <xf numFmtId="0" fontId="49" fillId="0" borderId="0" xfId="0" applyFont="1" applyFill="1"/>
    <xf numFmtId="0" fontId="5" fillId="0" borderId="0" xfId="0" applyFont="1" applyFill="1" applyAlignment="1">
      <alignment horizontal="left"/>
    </xf>
    <xf numFmtId="0" fontId="49" fillId="0" borderId="0" xfId="0" applyFont="1"/>
    <xf numFmtId="0" fontId="49" fillId="0" borderId="0" xfId="0" applyFont="1" applyFill="1" applyAlignment="1">
      <alignment horizontal="center"/>
    </xf>
    <xf numFmtId="166" fontId="54" fillId="0" borderId="0" xfId="0" applyNumberFormat="1" applyFont="1" applyFill="1" applyAlignment="1">
      <alignment horizontal="right"/>
    </xf>
    <xf numFmtId="9" fontId="54" fillId="0" borderId="0" xfId="4" applyFont="1" applyFill="1" applyAlignment="1">
      <alignment horizontal="right"/>
    </xf>
    <xf numFmtId="9" fontId="55" fillId="0" borderId="0" xfId="4" applyFont="1" applyFill="1" applyAlignment="1">
      <alignment horizontal="right"/>
    </xf>
    <xf numFmtId="9" fontId="55" fillId="2" borderId="0" xfId="4" applyFont="1" applyFill="1" applyBorder="1" applyAlignment="1">
      <alignment horizontal="right"/>
    </xf>
    <xf numFmtId="9" fontId="56" fillId="0" borderId="0" xfId="4" applyFont="1" applyFill="1" applyAlignment="1">
      <alignment horizontal="right"/>
    </xf>
    <xf numFmtId="0" fontId="54" fillId="0" borderId="0" xfId="0" applyFont="1" applyFill="1" applyAlignment="1">
      <alignment horizontal="right"/>
    </xf>
    <xf numFmtId="0" fontId="57" fillId="0" borderId="0" xfId="0" applyFont="1"/>
    <xf numFmtId="0" fontId="57" fillId="0" borderId="0" xfId="0" applyFont="1" applyFill="1" applyAlignment="1">
      <alignment horizontal="left"/>
    </xf>
    <xf numFmtId="0" fontId="57" fillId="0" borderId="0" xfId="0" applyFont="1" applyFill="1" applyAlignment="1">
      <alignment horizontal="center"/>
    </xf>
    <xf numFmtId="0" fontId="58" fillId="0" borderId="0" xfId="0" applyFont="1" applyFill="1" applyAlignment="1">
      <alignment horizontal="right"/>
    </xf>
    <xf numFmtId="9" fontId="58" fillId="0" borderId="0" xfId="4" applyFont="1" applyFill="1" applyAlignment="1">
      <alignment horizontal="right"/>
    </xf>
    <xf numFmtId="9" fontId="58" fillId="2" borderId="0" xfId="4" applyFont="1" applyFill="1" applyBorder="1" applyAlignment="1">
      <alignment horizontal="right"/>
    </xf>
    <xf numFmtId="0" fontId="58" fillId="2" borderId="0" xfId="0" applyFont="1" applyFill="1" applyBorder="1" applyAlignment="1">
      <alignment horizontal="right"/>
    </xf>
    <xf numFmtId="0" fontId="56" fillId="0" borderId="0" xfId="0" applyFont="1" applyFill="1" applyAlignment="1">
      <alignment horizontal="right"/>
    </xf>
    <xf numFmtId="0" fontId="55" fillId="0" borderId="0" xfId="0" applyFont="1" applyFill="1" applyAlignment="1">
      <alignment horizontal="right"/>
    </xf>
    <xf numFmtId="0" fontId="55" fillId="2" borderId="0" xfId="0" applyFont="1" applyFill="1" applyBorder="1" applyAlignment="1">
      <alignment horizontal="right"/>
    </xf>
    <xf numFmtId="0" fontId="57" fillId="0" borderId="0" xfId="0" applyFont="1" applyFill="1"/>
    <xf numFmtId="0" fontId="59" fillId="0" borderId="0" xfId="0" applyFont="1"/>
    <xf numFmtId="0" fontId="60" fillId="0" borderId="0" xfId="0" applyFont="1" applyFill="1" applyAlignment="1">
      <alignment horizontal="center"/>
    </xf>
    <xf numFmtId="0" fontId="24" fillId="0" borderId="0" xfId="5" applyFont="1" applyBorder="1"/>
    <xf numFmtId="166" fontId="2" fillId="10" borderId="0" xfId="2" applyNumberFormat="1" applyFont="1" applyFill="1"/>
    <xf numFmtId="0" fontId="49" fillId="0" borderId="0" xfId="5" applyFont="1" applyBorder="1" applyAlignment="1">
      <alignment horizontal="left" indent="2"/>
    </xf>
    <xf numFmtId="167" fontId="8" fillId="0" borderId="0" xfId="1" applyNumberFormat="1" applyFont="1"/>
    <xf numFmtId="2" fontId="24" fillId="0" borderId="0" xfId="5" applyNumberFormat="1" applyFont="1" applyBorder="1" applyAlignment="1">
      <alignment horizontal="left"/>
    </xf>
    <xf numFmtId="166" fontId="8" fillId="0" borderId="0" xfId="2" applyNumberFormat="1" applyFont="1"/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Border="1"/>
    <xf numFmtId="167" fontId="8" fillId="0" borderId="0" xfId="1" applyNumberFormat="1" applyFont="1" applyBorder="1"/>
    <xf numFmtId="9" fontId="8" fillId="0" borderId="0" xfId="2" applyFont="1"/>
    <xf numFmtId="166" fontId="4" fillId="0" borderId="0" xfId="2" applyNumberFormat="1" applyFont="1" applyFill="1" applyAlignment="1">
      <alignment horizontal="center"/>
    </xf>
    <xf numFmtId="166" fontId="0" fillId="0" borderId="0" xfId="0" applyNumberFormat="1"/>
    <xf numFmtId="43" fontId="8" fillId="0" borderId="0" xfId="0" applyNumberFormat="1" applyFont="1"/>
    <xf numFmtId="167" fontId="8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8" fillId="0" borderId="0" xfId="0" applyNumberFormat="1" applyFont="1"/>
    <xf numFmtId="164" fontId="18" fillId="10" borderId="0" xfId="0" applyNumberFormat="1" applyFont="1" applyFill="1" applyAlignment="1">
      <alignment horizontal="right" vertical="center"/>
    </xf>
    <xf numFmtId="0" fontId="63" fillId="0" borderId="0" xfId="0" applyFont="1"/>
    <xf numFmtId="166" fontId="2" fillId="10" borderId="3" xfId="2" applyNumberFormat="1" applyFont="1" applyFill="1" applyBorder="1"/>
    <xf numFmtId="0" fontId="22" fillId="12" borderId="1" xfId="0" applyFont="1" applyFill="1" applyBorder="1" applyAlignment="1">
      <alignment horizontal="right" vertical="center" wrapText="1"/>
    </xf>
    <xf numFmtId="166" fontId="35" fillId="12" borderId="3" xfId="0" applyNumberFormat="1" applyFont="1" applyFill="1" applyBorder="1" applyAlignment="1">
      <alignment horizontal="right"/>
    </xf>
    <xf numFmtId="166" fontId="0" fillId="12" borderId="0" xfId="2" applyNumberFormat="1" applyFont="1" applyFill="1"/>
    <xf numFmtId="166" fontId="2" fillId="12" borderId="3" xfId="2" applyNumberFormat="1" applyFont="1" applyFill="1" applyBorder="1"/>
    <xf numFmtId="0" fontId="0" fillId="12" borderId="0" xfId="0" applyFill="1"/>
    <xf numFmtId="9" fontId="64" fillId="0" borderId="0" xfId="0" applyNumberFormat="1" applyFont="1" applyFill="1" applyAlignment="1">
      <alignment horizontal="left"/>
    </xf>
    <xf numFmtId="0" fontId="22" fillId="11" borderId="1" xfId="0" applyFont="1" applyFill="1" applyBorder="1" applyAlignment="1">
      <alignment horizontal="right" vertical="center" wrapText="1"/>
    </xf>
    <xf numFmtId="166" fontId="35" fillId="11" borderId="3" xfId="3" applyNumberFormat="1" applyFont="1" applyFill="1" applyBorder="1" applyAlignment="1">
      <alignment horizontal="right"/>
    </xf>
    <xf numFmtId="166" fontId="35" fillId="11" borderId="3" xfId="0" applyNumberFormat="1" applyFont="1" applyFill="1" applyBorder="1" applyAlignment="1">
      <alignment horizontal="right"/>
    </xf>
    <xf numFmtId="166" fontId="6" fillId="11" borderId="0" xfId="0" applyNumberFormat="1" applyFont="1" applyFill="1" applyAlignment="1">
      <alignment horizontal="right"/>
    </xf>
    <xf numFmtId="166" fontId="35" fillId="11" borderId="3" xfId="0" applyNumberFormat="1" applyFont="1" applyFill="1" applyBorder="1" applyAlignment="1">
      <alignment horizontal="right" vertical="center"/>
    </xf>
    <xf numFmtId="166" fontId="6" fillId="11" borderId="0" xfId="0" applyNumberFormat="1" applyFont="1" applyFill="1" applyAlignment="1">
      <alignment horizontal="right" vertical="center"/>
    </xf>
    <xf numFmtId="0" fontId="5" fillId="11" borderId="0" xfId="0" applyFont="1" applyFill="1" applyAlignment="1">
      <alignment horizontal="right"/>
    </xf>
    <xf numFmtId="166" fontId="40" fillId="11" borderId="0" xfId="0" applyNumberFormat="1" applyFont="1" applyFill="1" applyAlignment="1">
      <alignment horizontal="right"/>
    </xf>
    <xf numFmtId="166" fontId="2" fillId="11" borderId="3" xfId="2" applyNumberFormat="1" applyFont="1" applyFill="1" applyBorder="1"/>
    <xf numFmtId="167" fontId="65" fillId="0" borderId="0" xfId="1" applyNumberFormat="1" applyFont="1"/>
    <xf numFmtId="166" fontId="40" fillId="9" borderId="0" xfId="0" applyNumberFormat="1" applyFont="1" applyFill="1" applyBorder="1" applyAlignment="1">
      <alignment horizontal="right"/>
    </xf>
    <xf numFmtId="166" fontId="66" fillId="0" borderId="0" xfId="0" applyNumberFormat="1" applyFont="1" applyFill="1" applyAlignment="1">
      <alignment horizontal="right"/>
    </xf>
    <xf numFmtId="0" fontId="67" fillId="2" borderId="0" xfId="0" applyFont="1" applyFill="1" applyBorder="1" applyAlignment="1">
      <alignment horizontal="right"/>
    </xf>
    <xf numFmtId="0" fontId="67" fillId="0" borderId="0" xfId="0" applyFont="1" applyFill="1" applyAlignment="1">
      <alignment horizontal="right"/>
    </xf>
    <xf numFmtId="0" fontId="42" fillId="0" borderId="0" xfId="0" applyFont="1" applyFill="1" applyAlignment="1">
      <alignment horizontal="right"/>
    </xf>
    <xf numFmtId="168" fontId="0" fillId="0" borderId="0" xfId="0" applyNumberFormat="1"/>
    <xf numFmtId="166" fontId="0" fillId="0" borderId="0" xfId="0" applyNumberFormat="1" applyBorder="1"/>
    <xf numFmtId="166" fontId="0" fillId="0" borderId="0" xfId="2" applyNumberFormat="1" applyFont="1" applyBorder="1"/>
    <xf numFmtId="166" fontId="68" fillId="0" borderId="0" xfId="2" applyNumberFormat="1" applyFont="1"/>
    <xf numFmtId="0" fontId="22" fillId="6" borderId="7" xfId="0" applyFont="1" applyFill="1" applyBorder="1" applyAlignment="1">
      <alignment horizontal="right" vertical="center" wrapText="1"/>
    </xf>
    <xf numFmtId="0" fontId="22" fillId="6" borderId="2" xfId="0" applyFont="1" applyFill="1" applyBorder="1" applyAlignment="1">
      <alignment horizontal="right" vertical="center" wrapText="1"/>
    </xf>
    <xf numFmtId="0" fontId="22" fillId="6" borderId="8" xfId="0" applyFont="1" applyFill="1" applyBorder="1" applyAlignment="1">
      <alignment horizontal="right" vertical="center" wrapText="1"/>
    </xf>
    <xf numFmtId="0" fontId="22" fillId="6" borderId="4" xfId="0" applyFont="1" applyFill="1" applyBorder="1" applyAlignment="1">
      <alignment horizontal="right" vertical="center" wrapText="1"/>
    </xf>
    <xf numFmtId="166" fontId="30" fillId="0" borderId="0" xfId="0" applyNumberFormat="1" applyFont="1" applyFill="1" applyBorder="1" applyAlignment="1">
      <alignment horizontal="right"/>
    </xf>
    <xf numFmtId="0" fontId="22" fillId="13" borderId="7" xfId="0" applyFont="1" applyFill="1" applyBorder="1" applyAlignment="1">
      <alignment horizontal="right" vertical="center" wrapText="1"/>
    </xf>
    <xf numFmtId="0" fontId="22" fillId="13" borderId="2" xfId="0" applyFont="1" applyFill="1" applyBorder="1" applyAlignment="1">
      <alignment horizontal="right" vertical="center" wrapText="1"/>
    </xf>
    <xf numFmtId="0" fontId="22" fillId="13" borderId="8" xfId="0" applyFont="1" applyFill="1" applyBorder="1" applyAlignment="1">
      <alignment horizontal="right" vertical="center" wrapText="1"/>
    </xf>
    <xf numFmtId="0" fontId="69" fillId="13" borderId="4" xfId="0" applyFont="1" applyFill="1" applyBorder="1" applyAlignment="1">
      <alignment horizontal="center"/>
    </xf>
    <xf numFmtId="0" fontId="0" fillId="13" borderId="4" xfId="0" applyFill="1" applyBorder="1"/>
    <xf numFmtId="0" fontId="70" fillId="0" borderId="0" xfId="0" applyFont="1" applyFill="1"/>
    <xf numFmtId="166" fontId="71" fillId="0" borderId="0" xfId="2" applyNumberFormat="1" applyFont="1"/>
    <xf numFmtId="166" fontId="0" fillId="0" borderId="0" xfId="0" applyNumberFormat="1" applyAlignment="1">
      <alignment horizontal="center"/>
    </xf>
    <xf numFmtId="166" fontId="7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24" fillId="0" borderId="0" xfId="6" applyNumberFormat="1" applyFont="1" applyFill="1" applyBorder="1"/>
    <xf numFmtId="166" fontId="73" fillId="0" borderId="0" xfId="6" applyNumberFormat="1" applyFont="1" applyFill="1" applyBorder="1"/>
    <xf numFmtId="166" fontId="24" fillId="0" borderId="9" xfId="6" applyNumberFormat="1" applyFont="1" applyFill="1" applyBorder="1"/>
    <xf numFmtId="166" fontId="24" fillId="0" borderId="9" xfId="2" applyNumberFormat="1" applyFont="1" applyFill="1" applyBorder="1"/>
    <xf numFmtId="0" fontId="0" fillId="14" borderId="0" xfId="0" applyFill="1"/>
    <xf numFmtId="166" fontId="24" fillId="0" borderId="0" xfId="2" applyNumberFormat="1" applyFont="1" applyFill="1" applyBorder="1"/>
    <xf numFmtId="166" fontId="73" fillId="0" borderId="0" xfId="2" applyNumberFormat="1" applyFont="1" applyFill="1" applyBorder="1"/>
    <xf numFmtId="166" fontId="0" fillId="0" borderId="0" xfId="2" applyNumberFormat="1" applyFont="1" applyBorder="1"/>
    <xf numFmtId="0" fontId="22" fillId="6" borderId="14" xfId="0" applyFont="1" applyFill="1" applyBorder="1" applyAlignment="1">
      <alignment horizontal="right" vertical="center" wrapText="1"/>
    </xf>
    <xf numFmtId="0" fontId="22" fillId="6" borderId="15" xfId="0" applyFont="1" applyFill="1" applyBorder="1" applyAlignment="1">
      <alignment horizontal="right" vertical="center" wrapText="1"/>
    </xf>
    <xf numFmtId="166" fontId="24" fillId="0" borderId="16" xfId="6" applyNumberFormat="1" applyFont="1" applyFill="1" applyBorder="1"/>
    <xf numFmtId="166" fontId="24" fillId="0" borderId="17" xfId="6" applyNumberFormat="1" applyFont="1" applyFill="1" applyBorder="1"/>
    <xf numFmtId="166" fontId="24" fillId="0" borderId="18" xfId="6" applyNumberFormat="1" applyFont="1" applyFill="1" applyBorder="1"/>
    <xf numFmtId="166" fontId="24" fillId="0" borderId="19" xfId="6" applyNumberFormat="1" applyFont="1" applyFill="1" applyBorder="1"/>
    <xf numFmtId="166" fontId="73" fillId="0" borderId="18" xfId="6" applyNumberFormat="1" applyFont="1" applyFill="1" applyBorder="1"/>
    <xf numFmtId="166" fontId="73" fillId="0" borderId="19" xfId="6" applyNumberFormat="1" applyFont="1" applyFill="1" applyBorder="1"/>
    <xf numFmtId="166" fontId="0" fillId="0" borderId="18" xfId="6" applyNumberFormat="1" applyFont="1" applyBorder="1"/>
    <xf numFmtId="166" fontId="0" fillId="0" borderId="0" xfId="6" applyNumberFormat="1" applyFont="1" applyBorder="1"/>
    <xf numFmtId="166" fontId="0" fillId="0" borderId="19" xfId="6" applyNumberFormat="1" applyFont="1" applyBorder="1"/>
    <xf numFmtId="166" fontId="73" fillId="0" borderId="18" xfId="6" applyNumberFormat="1" applyFont="1" applyBorder="1"/>
    <xf numFmtId="166" fontId="73" fillId="0" borderId="0" xfId="6" applyNumberFormat="1" applyFont="1" applyBorder="1"/>
    <xf numFmtId="166" fontId="0" fillId="0" borderId="19" xfId="6" applyNumberFormat="1" applyFont="1" applyFill="1" applyBorder="1"/>
    <xf numFmtId="0" fontId="0" fillId="0" borderId="20" xfId="0" applyBorder="1"/>
    <xf numFmtId="166" fontId="0" fillId="0" borderId="10" xfId="0" applyNumberFormat="1" applyBorder="1"/>
    <xf numFmtId="166" fontId="0" fillId="0" borderId="21" xfId="0" applyNumberFormat="1" applyFill="1" applyBorder="1"/>
    <xf numFmtId="0" fontId="22" fillId="13" borderId="14" xfId="0" applyFont="1" applyFill="1" applyBorder="1" applyAlignment="1">
      <alignment horizontal="right" vertical="center" wrapText="1"/>
    </xf>
    <xf numFmtId="0" fontId="22" fillId="13" borderId="15" xfId="0" applyFont="1" applyFill="1" applyBorder="1" applyAlignment="1">
      <alignment horizontal="right" vertical="center" wrapText="1"/>
    </xf>
    <xf numFmtId="166" fontId="24" fillId="0" borderId="16" xfId="2" applyNumberFormat="1" applyFont="1" applyFill="1" applyBorder="1"/>
    <xf numFmtId="166" fontId="24" fillId="0" borderId="17" xfId="2" applyNumberFormat="1" applyFont="1" applyFill="1" applyBorder="1"/>
    <xf numFmtId="166" fontId="24" fillId="0" borderId="18" xfId="2" applyNumberFormat="1" applyFont="1" applyFill="1" applyBorder="1"/>
    <xf numFmtId="0" fontId="0" fillId="0" borderId="19" xfId="0" applyBorder="1"/>
    <xf numFmtId="166" fontId="73" fillId="0" borderId="18" xfId="2" applyNumberFormat="1" applyFont="1" applyFill="1" applyBorder="1"/>
    <xf numFmtId="166" fontId="73" fillId="0" borderId="19" xfId="2" applyNumberFormat="1" applyFont="1" applyFill="1" applyBorder="1"/>
    <xf numFmtId="166" fontId="0" fillId="0" borderId="18" xfId="2" applyNumberFormat="1" applyFont="1" applyBorder="1"/>
    <xf numFmtId="166" fontId="0" fillId="0" borderId="19" xfId="2" applyNumberFormat="1" applyFont="1" applyBorder="1"/>
    <xf numFmtId="166" fontId="73" fillId="0" borderId="18" xfId="2" applyNumberFormat="1" applyFont="1" applyBorder="1"/>
    <xf numFmtId="166" fontId="73" fillId="0" borderId="0" xfId="2" applyNumberFormat="1" applyFont="1" applyBorder="1"/>
    <xf numFmtId="166" fontId="73" fillId="0" borderId="19" xfId="2" applyNumberFormat="1" applyFont="1" applyBorder="1"/>
    <xf numFmtId="0" fontId="0" fillId="0" borderId="22" xfId="0" applyBorder="1"/>
    <xf numFmtId="0" fontId="0" fillId="0" borderId="23" xfId="0" applyBorder="1"/>
    <xf numFmtId="0" fontId="24" fillId="0" borderId="24" xfId="0" applyFont="1" applyBorder="1"/>
    <xf numFmtId="0" fontId="24" fillId="0" borderId="23" xfId="0" applyFont="1" applyBorder="1"/>
    <xf numFmtId="0" fontId="49" fillId="0" borderId="23" xfId="0" applyFont="1" applyBorder="1" applyAlignment="1">
      <alignment horizontal="left" indent="2"/>
    </xf>
    <xf numFmtId="2" fontId="24" fillId="0" borderId="23" xfId="0" applyNumberFormat="1" applyFont="1" applyBorder="1" applyAlignment="1">
      <alignment horizontal="left"/>
    </xf>
    <xf numFmtId="0" fontId="49" fillId="0" borderId="25" xfId="0" applyFont="1" applyBorder="1" applyAlignment="1">
      <alignment horizontal="left" indent="2"/>
    </xf>
    <xf numFmtId="166" fontId="30" fillId="14" borderId="2" xfId="0" applyNumberFormat="1" applyFont="1" applyFill="1" applyBorder="1" applyAlignment="1">
      <alignment horizontal="right"/>
    </xf>
    <xf numFmtId="166" fontId="40" fillId="14" borderId="2" xfId="0" applyNumberFormat="1" applyFont="1" applyFill="1" applyBorder="1" applyAlignment="1">
      <alignment horizontal="right"/>
    </xf>
    <xf numFmtId="166" fontId="6" fillId="14" borderId="0" xfId="0" applyNumberFormat="1" applyFont="1" applyFill="1" applyAlignment="1">
      <alignment horizontal="right"/>
    </xf>
    <xf numFmtId="166" fontId="40" fillId="14" borderId="3" xfId="0" applyNumberFormat="1" applyFont="1" applyFill="1" applyBorder="1" applyAlignment="1">
      <alignment horizontal="right"/>
    </xf>
    <xf numFmtId="166" fontId="66" fillId="14" borderId="0" xfId="0" applyNumberFormat="1" applyFont="1" applyFill="1" applyAlignment="1">
      <alignment horizontal="right"/>
    </xf>
    <xf numFmtId="166" fontId="3" fillId="14" borderId="0" xfId="0" applyNumberFormat="1" applyFont="1" applyFill="1" applyAlignment="1">
      <alignment horizontal="right"/>
    </xf>
    <xf numFmtId="166" fontId="35" fillId="14" borderId="3" xfId="3" applyNumberFormat="1" applyFont="1" applyFill="1" applyBorder="1" applyAlignment="1">
      <alignment horizontal="right"/>
    </xf>
    <xf numFmtId="166" fontId="48" fillId="14" borderId="0" xfId="0" applyNumberFormat="1" applyFont="1" applyFill="1" applyAlignment="1">
      <alignment horizontal="right"/>
    </xf>
    <xf numFmtId="166" fontId="35" fillId="14" borderId="3" xfId="0" applyNumberFormat="1" applyFont="1" applyFill="1" applyBorder="1" applyAlignment="1">
      <alignment horizontal="right"/>
    </xf>
    <xf numFmtId="166" fontId="11" fillId="14" borderId="0" xfId="4" applyNumberFormat="1" applyFont="1" applyFill="1" applyAlignment="1">
      <alignment horizontal="right"/>
    </xf>
    <xf numFmtId="0" fontId="6" fillId="14" borderId="0" xfId="0" applyFont="1" applyFill="1" applyAlignment="1">
      <alignment horizontal="right"/>
    </xf>
    <xf numFmtId="166" fontId="35" fillId="14" borderId="3" xfId="0" applyNumberFormat="1" applyFont="1" applyFill="1" applyBorder="1" applyAlignment="1">
      <alignment horizontal="right" vertical="center"/>
    </xf>
    <xf numFmtId="0" fontId="5" fillId="14" borderId="0" xfId="0" applyFont="1" applyFill="1" applyAlignment="1">
      <alignment horizontal="right"/>
    </xf>
    <xf numFmtId="166" fontId="6" fillId="14" borderId="0" xfId="0" applyNumberFormat="1" applyFont="1" applyFill="1" applyAlignment="1">
      <alignment horizontal="right" vertical="center"/>
    </xf>
    <xf numFmtId="166" fontId="0" fillId="14" borderId="0" xfId="2" applyNumberFormat="1" applyFont="1" applyFill="1"/>
    <xf numFmtId="166" fontId="2" fillId="14" borderId="0" xfId="2" applyNumberFormat="1" applyFont="1" applyFill="1"/>
    <xf numFmtId="166" fontId="2" fillId="14" borderId="3" xfId="2" applyNumberFormat="1" applyFont="1" applyFill="1" applyBorder="1"/>
    <xf numFmtId="166" fontId="0" fillId="14" borderId="0" xfId="2" applyNumberFormat="1" applyFont="1" applyFill="1" applyBorder="1"/>
    <xf numFmtId="166" fontId="0" fillId="14" borderId="0" xfId="0" applyNumberFormat="1" applyFill="1" applyBorder="1"/>
    <xf numFmtId="166" fontId="0" fillId="0" borderId="20" xfId="0" applyNumberFormat="1" applyBorder="1"/>
    <xf numFmtId="166" fontId="0" fillId="0" borderId="21" xfId="0" applyNumberFormat="1" applyBorder="1"/>
    <xf numFmtId="0" fontId="75" fillId="0" borderId="0" xfId="0" applyFont="1" applyFill="1"/>
    <xf numFmtId="0" fontId="0" fillId="0" borderId="0" xfId="0" applyFont="1" applyFill="1"/>
    <xf numFmtId="0" fontId="78" fillId="0" borderId="0" xfId="0" applyFont="1" applyFill="1"/>
    <xf numFmtId="0" fontId="76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77" fillId="0" borderId="0" xfId="0" applyFont="1" applyFill="1" applyAlignment="1">
      <alignment wrapText="1"/>
    </xf>
    <xf numFmtId="0" fontId="78" fillId="0" borderId="0" xfId="0" applyFont="1" applyFill="1" applyAlignment="1">
      <alignment wrapText="1"/>
    </xf>
    <xf numFmtId="0" fontId="79" fillId="0" borderId="0" xfId="0" applyFont="1" applyFill="1" applyAlignment="1"/>
    <xf numFmtId="0" fontId="0" fillId="0" borderId="0" xfId="0" applyAlignment="1">
      <alignment wrapText="1"/>
    </xf>
    <xf numFmtId="10" fontId="0" fillId="0" borderId="0" xfId="0" applyNumberFormat="1"/>
    <xf numFmtId="0" fontId="81" fillId="0" borderId="0" xfId="0" applyFont="1" applyAlignment="1">
      <alignment vertical="center"/>
    </xf>
    <xf numFmtId="0" fontId="82" fillId="0" borderId="0" xfId="0" applyFont="1" applyAlignment="1">
      <alignment vertical="center"/>
    </xf>
    <xf numFmtId="9" fontId="0" fillId="0" borderId="0" xfId="0" applyNumberFormat="1"/>
    <xf numFmtId="0" fontId="80" fillId="0" borderId="0" xfId="0" applyFont="1"/>
    <xf numFmtId="9" fontId="80" fillId="0" borderId="0" xfId="0" applyNumberFormat="1" applyFont="1" applyAlignment="1">
      <alignment horizontal="left"/>
    </xf>
    <xf numFmtId="0" fontId="83" fillId="0" borderId="0" xfId="0" applyFont="1" applyFill="1" applyAlignment="1">
      <alignment horizontal="center"/>
    </xf>
    <xf numFmtId="0" fontId="84" fillId="0" borderId="0" xfId="0" applyFont="1" applyFill="1" applyAlignment="1">
      <alignment horizontal="center"/>
    </xf>
    <xf numFmtId="0" fontId="85" fillId="0" borderId="4" xfId="0" applyFont="1" applyFill="1" applyBorder="1" applyAlignment="1">
      <alignment horizontal="center"/>
    </xf>
    <xf numFmtId="0" fontId="83" fillId="0" borderId="4" xfId="0" applyFont="1" applyFill="1" applyBorder="1" applyAlignment="1">
      <alignment horizontal="center"/>
    </xf>
    <xf numFmtId="0" fontId="22" fillId="13" borderId="7" xfId="12" applyFont="1" applyFill="1" applyBorder="1" applyAlignment="1">
      <alignment horizontal="right" vertical="center" wrapText="1"/>
    </xf>
    <xf numFmtId="0" fontId="22" fillId="13" borderId="2" xfId="12" applyFont="1" applyFill="1" applyBorder="1" applyAlignment="1">
      <alignment horizontal="right" vertical="center" wrapText="1"/>
    </xf>
    <xf numFmtId="0" fontId="22" fillId="13" borderId="8" xfId="12" applyFont="1" applyFill="1" applyBorder="1" applyAlignment="1">
      <alignment horizontal="right" vertical="center" wrapText="1"/>
    </xf>
    <xf numFmtId="0" fontId="1" fillId="0" borderId="0" xfId="12"/>
    <xf numFmtId="166" fontId="71" fillId="0" borderId="0" xfId="13" applyNumberFormat="1" applyFont="1"/>
    <xf numFmtId="166" fontId="0" fillId="0" borderId="0" xfId="13" applyNumberFormat="1" applyFont="1"/>
    <xf numFmtId="166" fontId="30" fillId="7" borderId="2" xfId="12" applyNumberFormat="1" applyFont="1" applyFill="1" applyBorder="1" applyAlignment="1">
      <alignment horizontal="right"/>
    </xf>
    <xf numFmtId="166" fontId="30" fillId="6" borderId="2" xfId="12" applyNumberFormat="1" applyFont="1" applyFill="1" applyBorder="1" applyAlignment="1">
      <alignment horizontal="right"/>
    </xf>
    <xf numFmtId="167" fontId="65" fillId="0" borderId="0" xfId="14" applyNumberFormat="1" applyFont="1"/>
    <xf numFmtId="166" fontId="48" fillId="0" borderId="0" xfId="12" applyNumberFormat="1" applyFont="1" applyFill="1" applyAlignment="1">
      <alignment horizontal="right"/>
    </xf>
    <xf numFmtId="166" fontId="35" fillId="10" borderId="3" xfId="12" applyNumberFormat="1" applyFont="1" applyFill="1" applyBorder="1" applyAlignment="1">
      <alignment horizontal="right"/>
    </xf>
    <xf numFmtId="166" fontId="6" fillId="10" borderId="0" xfId="12" applyNumberFormat="1" applyFont="1" applyFill="1" applyAlignment="1">
      <alignment horizontal="right"/>
    </xf>
    <xf numFmtId="166" fontId="18" fillId="10" borderId="0" xfId="12" applyNumberFormat="1" applyFont="1" applyFill="1" applyAlignment="1">
      <alignment horizontal="right"/>
    </xf>
    <xf numFmtId="166" fontId="35" fillId="10" borderId="3" xfId="12" applyNumberFormat="1" applyFont="1" applyFill="1" applyBorder="1" applyAlignment="1">
      <alignment horizontal="right" vertical="center"/>
    </xf>
    <xf numFmtId="168" fontId="1" fillId="0" borderId="0" xfId="12" applyNumberFormat="1"/>
    <xf numFmtId="166" fontId="2" fillId="10" borderId="0" xfId="13" applyNumberFormat="1" applyFont="1" applyFill="1"/>
    <xf numFmtId="166" fontId="2" fillId="10" borderId="3" xfId="13" applyNumberFormat="1" applyFont="1" applyFill="1" applyBorder="1"/>
    <xf numFmtId="9" fontId="80" fillId="0" borderId="0" xfId="0" applyNumberFormat="1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22" fillId="13" borderId="5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2" fillId="13" borderId="6" xfId="0" applyFont="1" applyFill="1" applyBorder="1" applyAlignment="1">
      <alignment horizontal="center" vertical="center" wrapText="1"/>
    </xf>
    <xf numFmtId="0" fontId="22" fillId="13" borderId="5" xfId="12" applyFont="1" applyFill="1" applyBorder="1" applyAlignment="1">
      <alignment horizontal="center" vertical="center" wrapText="1"/>
    </xf>
    <xf numFmtId="0" fontId="22" fillId="13" borderId="1" xfId="12" applyFont="1" applyFill="1" applyBorder="1" applyAlignment="1">
      <alignment horizontal="center" vertical="center" wrapText="1"/>
    </xf>
    <xf numFmtId="0" fontId="22" fillId="13" borderId="6" xfId="12" applyFont="1" applyFill="1" applyBorder="1" applyAlignment="1">
      <alignment horizontal="center" vertical="center" wrapText="1"/>
    </xf>
    <xf numFmtId="0" fontId="22" fillId="6" borderId="11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vertical="center" wrapText="1"/>
    </xf>
    <xf numFmtId="0" fontId="22" fillId="6" borderId="13" xfId="0" applyFont="1" applyFill="1" applyBorder="1" applyAlignment="1">
      <alignment horizontal="center" vertical="center" wrapText="1"/>
    </xf>
    <xf numFmtId="0" fontId="22" fillId="13" borderId="11" xfId="0" applyFont="1" applyFill="1" applyBorder="1" applyAlignment="1">
      <alignment horizontal="center" vertical="center" wrapText="1"/>
    </xf>
    <xf numFmtId="0" fontId="22" fillId="13" borderId="12" xfId="0" applyFont="1" applyFill="1" applyBorder="1" applyAlignment="1">
      <alignment horizontal="center" vertical="center" wrapText="1"/>
    </xf>
    <xf numFmtId="0" fontId="22" fillId="13" borderId="13" xfId="0" applyFont="1" applyFill="1" applyBorder="1" applyAlignment="1">
      <alignment horizontal="center" vertical="center" wrapText="1"/>
    </xf>
  </cellXfs>
  <cellStyles count="15">
    <cellStyle name="Comma" xfId="1" builtinId="3"/>
    <cellStyle name="Comma 11" xfId="14"/>
    <cellStyle name="Comma 2" xfId="9"/>
    <cellStyle name="Comma 8" xfId="7"/>
    <cellStyle name="Normal" xfId="0" builtinId="0"/>
    <cellStyle name="Normal 11" xfId="5"/>
    <cellStyle name="Normal 13" xfId="12"/>
    <cellStyle name="Normal 2" xfId="8"/>
    <cellStyle name="Normal 5" xfId="11"/>
    <cellStyle name="Normal 6" xfId="3"/>
    <cellStyle name="Percent" xfId="2" builtinId="5"/>
    <cellStyle name="Percent 11" xfId="13"/>
    <cellStyle name="Percent 2" xfId="4"/>
    <cellStyle name="Percent 3" xfId="10"/>
    <cellStyle name="Percent 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38100</xdr:rowOff>
    </xdr:from>
    <xdr:to>
      <xdr:col>8</xdr:col>
      <xdr:colOff>676275</xdr:colOff>
      <xdr:row>56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00050"/>
          <a:ext cx="6096000" cy="975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EN%20CHAU/02_AGENCY/04_GA/1%20-%20Modelling%20&amp;%20Projection/Projection%20Agency%20Compensation%202016%20-%20v5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fin0113/AppData/Local/Microsoft/Windows/Temporary%20Internet%20Files/Content.Outlook/SNG5D7WW/From%20AA%20report/Monthly_comp_report_SM-GA_2015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\AppData\Local\Microsoft\Windows\INetCache\Content.Outlook\PEKR0B3G\Plan%20C%20summary%20(00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fin0113/AppData/Local/Microsoft/Windows/Temporary%20Internet%20Files/Content.Outlook/SNG5D7WW/From%20AA%20report/Monthly_comp_report_TiedAgency_2015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 2016 vs 2014"/>
      <sheetName val="Summary 2016"/>
      <sheetName val="Summary 2014Pro"/>
      <sheetName val="GA summary_yearly"/>
      <sheetName val="assumption_222"/>
      <sheetName val="Projection_Detail"/>
      <sheetName val="Assumption"/>
      <sheetName val="MDRT"/>
      <sheetName val="Assumption - New Recruited"/>
      <sheetName val="Actual Experience (2)"/>
      <sheetName val="Unit assumptions"/>
      <sheetName val="Sheet7"/>
      <sheetName val="raw agent list"/>
      <sheetName val="raw agent movement"/>
      <sheetName val="Assumption 2"/>
      <sheetName val="Actual Experience"/>
      <sheetName val="Recruited Agent"/>
      <sheetName val="Recruited UM"/>
      <sheetName val="assumption_delete"/>
      <sheetName val="Compensation_delete"/>
      <sheetName val="Summary_delete"/>
      <sheetName val="Recruited SUM"/>
      <sheetName val="Recruited BM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S3">
            <v>116699.148</v>
          </cell>
          <cell r="T3">
            <v>312309.09950000001</v>
          </cell>
          <cell r="U3">
            <v>445427.0225139276</v>
          </cell>
        </row>
        <row r="14">
          <cell r="S14">
            <v>0.29888745203178346</v>
          </cell>
          <cell r="T14">
            <v>0.31809127433381107</v>
          </cell>
        </row>
        <row r="64">
          <cell r="S64">
            <v>9.5964914233992532E-2</v>
          </cell>
          <cell r="T64">
            <v>0.10064869666405606</v>
          </cell>
        </row>
        <row r="81">
          <cell r="S81">
            <v>4.1629952979605304E-2</v>
          </cell>
          <cell r="T81">
            <v>4.6852241082395996E-2</v>
          </cell>
        </row>
        <row r="82">
          <cell r="S82">
            <v>2.9967668898491017E-2</v>
          </cell>
          <cell r="T82">
            <v>3.4905682752929199E-2</v>
          </cell>
        </row>
        <row r="88">
          <cell r="S88">
            <v>1.206861092079267E-2</v>
          </cell>
          <cell r="T88">
            <v>1.3469106506133031E-2</v>
          </cell>
        </row>
        <row r="144">
          <cell r="T144">
            <v>2.7906234636777296E-2</v>
          </cell>
          <cell r="U144">
            <v>3.3474516319688598E-2</v>
          </cell>
        </row>
        <row r="166">
          <cell r="S166">
            <v>1.1634641205778127E-2</v>
          </cell>
          <cell r="T166">
            <v>1.4164863199739527E-2</v>
          </cell>
        </row>
        <row r="174">
          <cell r="S174">
            <v>1.4936889899144766E-2</v>
          </cell>
          <cell r="T174">
            <v>1.9445674534372633E-2</v>
          </cell>
        </row>
        <row r="234">
          <cell r="S234">
            <v>7.9652838853630694E-3</v>
          </cell>
          <cell r="T234">
            <v>1.0697735049503417E-2</v>
          </cell>
        </row>
        <row r="241">
          <cell r="S241">
            <v>9.7944159797978981E-3</v>
          </cell>
          <cell r="T241">
            <v>4.916283266988191E-2</v>
          </cell>
        </row>
        <row r="250">
          <cell r="S250">
            <v>2.0231510173493298E-3</v>
          </cell>
          <cell r="T250">
            <v>2.2861965954341333E-3</v>
          </cell>
        </row>
        <row r="252">
          <cell r="B252" t="str">
            <v xml:space="preserve">Financial Support to AL on quality recruitment </v>
          </cell>
        </row>
        <row r="256">
          <cell r="S256">
            <v>0</v>
          </cell>
          <cell r="T256">
            <v>6.6856841614376331E-3</v>
          </cell>
        </row>
        <row r="278">
          <cell r="S278">
            <v>4.3410771088063127E-2</v>
          </cell>
          <cell r="T278">
            <v>3.6027768700988491E-2</v>
          </cell>
        </row>
        <row r="309">
          <cell r="S309">
            <v>1.9477434402520231E-2</v>
          </cell>
          <cell r="T309">
            <v>1.4722711016360605E-2</v>
          </cell>
        </row>
        <row r="340">
          <cell r="S340">
            <v>2.6375513898353395E-2</v>
          </cell>
          <cell r="T340">
            <v>1.9397870118213475E-2</v>
          </cell>
        </row>
        <row r="362">
          <cell r="S362">
            <v>1.8166370846169329E-3</v>
          </cell>
          <cell r="T362">
            <v>1.7805204144323284E-3</v>
          </cell>
        </row>
        <row r="388">
          <cell r="S388">
            <v>3.3847719265268326E-2</v>
          </cell>
          <cell r="T388">
            <v>4.5114279483233564E-2</v>
          </cell>
        </row>
        <row r="393">
          <cell r="S393">
            <v>9.4620008022680679E-3</v>
          </cell>
          <cell r="T393">
            <v>3.401798593767838E-2</v>
          </cell>
        </row>
        <row r="395">
          <cell r="T395">
            <v>8.6452812432383196E-3</v>
          </cell>
        </row>
        <row r="401">
          <cell r="S401">
            <v>0.1801697793286374</v>
          </cell>
          <cell r="T401">
            <v>0.14091557494949006</v>
          </cell>
        </row>
        <row r="409">
          <cell r="S409">
            <v>9.0794801689554755E-3</v>
          </cell>
          <cell r="T409">
            <v>1.6705977086011864E-3</v>
          </cell>
        </row>
        <row r="420">
          <cell r="S420">
            <v>3.5989979978259996E-4</v>
          </cell>
          <cell r="T420">
            <v>4.7068753435408628E-4</v>
          </cell>
        </row>
        <row r="428">
          <cell r="S428">
            <v>2.750526284904839E-2</v>
          </cell>
          <cell r="T428">
            <v>2.4896209084039191E-2</v>
          </cell>
        </row>
        <row r="432">
          <cell r="T432">
            <v>6.2156841510793053E-3</v>
          </cell>
        </row>
        <row r="437">
          <cell r="T437">
            <v>0</v>
          </cell>
          <cell r="U437">
            <v>6.4732523160484445E-2</v>
          </cell>
          <cell r="V437">
            <v>7.0156753831004032E-2</v>
          </cell>
          <cell r="W437">
            <v>6.188089399842301E-2</v>
          </cell>
          <cell r="X437">
            <v>5.2615902641779323E-2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nsationReport2014"/>
      <sheetName val="CompensationReport2015"/>
      <sheetName val="CEO"/>
      <sheetName val="Sheet1"/>
    </sheetNames>
    <sheetDataSet>
      <sheetData sheetId="0">
        <row r="7">
          <cell r="O7">
            <v>105215.1050000001</v>
          </cell>
        </row>
        <row r="15">
          <cell r="O15">
            <v>300</v>
          </cell>
        </row>
        <row r="20">
          <cell r="O20">
            <v>815</v>
          </cell>
        </row>
        <row r="23">
          <cell r="O23">
            <v>1151.2645649999999</v>
          </cell>
        </row>
        <row r="26">
          <cell r="O26">
            <v>137.24428</v>
          </cell>
        </row>
        <row r="29">
          <cell r="O29">
            <v>85.555555999999996</v>
          </cell>
        </row>
        <row r="32">
          <cell r="O32">
            <v>19</v>
          </cell>
        </row>
        <row r="35">
          <cell r="O35">
            <v>19.351800000000001</v>
          </cell>
        </row>
        <row r="38">
          <cell r="O38">
            <v>35</v>
          </cell>
        </row>
      </sheetData>
      <sheetData sheetId="1">
        <row r="7">
          <cell r="O7">
            <v>312309.09949999989</v>
          </cell>
        </row>
        <row r="17">
          <cell r="O17">
            <v>1750</v>
          </cell>
        </row>
        <row r="22">
          <cell r="O22">
            <v>1225</v>
          </cell>
        </row>
        <row r="25">
          <cell r="O25">
            <v>4111.2703950000005</v>
          </cell>
        </row>
        <row r="28">
          <cell r="O28">
            <v>164.22964700000003</v>
          </cell>
        </row>
        <row r="34">
          <cell r="O34">
            <v>60</v>
          </cell>
        </row>
        <row r="41">
          <cell r="O41">
            <v>214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"/>
    </sheetNames>
    <sheetDataSet>
      <sheetData sheetId="0">
        <row r="60">
          <cell r="G60">
            <v>0.37107006306302859</v>
          </cell>
          <cell r="H60">
            <v>0.37860511310876538</v>
          </cell>
          <cell r="I60">
            <v>0.31617170597380473</v>
          </cell>
          <cell r="J60">
            <v>0.25360292120894323</v>
          </cell>
          <cell r="K60">
            <v>0.2392285943498938</v>
          </cell>
          <cell r="L60">
            <v>0.2267665349751046</v>
          </cell>
          <cell r="M60">
            <v>0.21965548902863927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 for Code Incentives Bonus"/>
      <sheetName val="compensation report2015"/>
      <sheetName val="compensation report2014"/>
      <sheetName val="Vy"/>
      <sheetName val="Accrual"/>
      <sheetName val="CEO"/>
      <sheetName val="compensation report2013"/>
      <sheetName val="compensation report2012"/>
      <sheetName val="KPIsAll"/>
      <sheetName val="Com"/>
      <sheetName val="ComAll"/>
      <sheetName val="OR"/>
      <sheetName val="Development Bonus"/>
      <sheetName val="OtherIncentive"/>
      <sheetName val="RecruitmentSupport"/>
      <sheetName val="TraningAllowance"/>
      <sheetName val="IncentiveALL"/>
      <sheetName val="TaxableIncome"/>
      <sheetName val="Contestpaid"/>
      <sheetName val="NonTaxable"/>
      <sheetName val="Reject"/>
      <sheetName val="Adhoc NextMonth"/>
      <sheetName val="Segmentation Special"/>
      <sheetName val="AO"/>
      <sheetName val="Builder Bonus"/>
    </sheetNames>
    <sheetDataSet>
      <sheetData sheetId="0"/>
      <sheetData sheetId="1">
        <row r="7">
          <cell r="O7">
            <v>312309.09950000001</v>
          </cell>
          <cell r="X7">
            <v>0.13447574876056403</v>
          </cell>
        </row>
        <row r="33">
          <cell r="R33">
            <v>47850.113037999989</v>
          </cell>
        </row>
        <row r="58">
          <cell r="R58">
            <v>41998</v>
          </cell>
        </row>
      </sheetData>
      <sheetData sheetId="2">
        <row r="17">
          <cell r="E17">
            <v>38</v>
          </cell>
        </row>
      </sheetData>
      <sheetData sheetId="3">
        <row r="27">
          <cell r="O27">
            <v>81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5"/>
  <sheetViews>
    <sheetView showGridLines="0" topLeftCell="B1" workbookViewId="0">
      <selection activeCell="K54" sqref="K54"/>
    </sheetView>
  </sheetViews>
  <sheetFormatPr defaultRowHeight="15" x14ac:dyDescent="0.25"/>
  <cols>
    <col min="1" max="1" width="0" hidden="1" customWidth="1"/>
    <col min="2" max="2" width="20.140625" bestFit="1" customWidth="1"/>
    <col min="11" max="11" width="51" bestFit="1" customWidth="1"/>
  </cols>
  <sheetData>
    <row r="3" spans="3:11" x14ac:dyDescent="0.25">
      <c r="C3" s="305"/>
    </row>
    <row r="4" spans="3:11" x14ac:dyDescent="0.25">
      <c r="C4" s="306"/>
    </row>
    <row r="5" spans="3:11" x14ac:dyDescent="0.25">
      <c r="C5" s="306"/>
    </row>
    <row r="8" spans="3:11" x14ac:dyDescent="0.25">
      <c r="J8" s="333">
        <v>0.72</v>
      </c>
      <c r="K8" s="335" t="s">
        <v>148</v>
      </c>
    </row>
    <row r="9" spans="3:11" x14ac:dyDescent="0.25">
      <c r="J9" s="334"/>
      <c r="K9" s="335"/>
    </row>
    <row r="23" spans="10:11" x14ac:dyDescent="0.25">
      <c r="K23" s="307"/>
    </row>
    <row r="24" spans="10:11" x14ac:dyDescent="0.25">
      <c r="K24" s="308"/>
    </row>
    <row r="32" spans="10:11" x14ac:dyDescent="0.25">
      <c r="J32" s="333">
        <v>0.18</v>
      </c>
      <c r="K32" s="309"/>
    </row>
    <row r="33" spans="10:11" x14ac:dyDescent="0.25">
      <c r="J33" s="334"/>
    </row>
    <row r="48" spans="10:11" x14ac:dyDescent="0.25">
      <c r="J48" s="333">
        <v>0.2</v>
      </c>
      <c r="K48" s="309"/>
    </row>
    <row r="49" spans="9:10" x14ac:dyDescent="0.25">
      <c r="J49" s="334"/>
    </row>
    <row r="55" spans="9:10" x14ac:dyDescent="0.25">
      <c r="J55" s="333">
        <f>J8+J32+J48</f>
        <v>1.0999999999999999</v>
      </c>
    </row>
    <row r="56" spans="9:10" x14ac:dyDescent="0.25">
      <c r="J56" s="334"/>
    </row>
    <row r="59" spans="9:10" x14ac:dyDescent="0.25">
      <c r="I59" s="310" t="s">
        <v>149</v>
      </c>
      <c r="J59" t="s">
        <v>151</v>
      </c>
    </row>
    <row r="60" spans="9:10" x14ac:dyDescent="0.25">
      <c r="J60" t="s">
        <v>147</v>
      </c>
    </row>
    <row r="62" spans="9:10" x14ac:dyDescent="0.25">
      <c r="I62" s="310" t="s">
        <v>150</v>
      </c>
      <c r="J62" s="311">
        <v>1.34</v>
      </c>
    </row>
    <row r="65" spans="11:11" x14ac:dyDescent="0.25">
      <c r="K65" s="306"/>
    </row>
  </sheetData>
  <mergeCells count="5">
    <mergeCell ref="J8:J9"/>
    <mergeCell ref="K8:K9"/>
    <mergeCell ref="J32:J33"/>
    <mergeCell ref="J48:J49"/>
    <mergeCell ref="J55:J5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214"/>
  <sheetViews>
    <sheetView showGridLines="0" zoomScale="80" zoomScaleNormal="80" workbookViewId="0">
      <pane xSplit="11" ySplit="26" topLeftCell="L27" activePane="bottomRight" state="frozen"/>
      <selection pane="topRight" activeCell="L1" sqref="L1"/>
      <selection pane="bottomLeft" activeCell="A22" sqref="A22"/>
      <selection pane="bottomRight" activeCell="A40" sqref="A40"/>
    </sheetView>
  </sheetViews>
  <sheetFormatPr defaultRowHeight="15" x14ac:dyDescent="0.25"/>
  <cols>
    <col min="1" max="1" width="3.85546875" customWidth="1"/>
    <col min="2" max="2" width="25" style="2" customWidth="1"/>
    <col min="3" max="3" width="21.42578125" style="3" customWidth="1"/>
    <col min="4" max="4" width="8.85546875" style="4" hidden="1" customWidth="1"/>
    <col min="5" max="5" width="9.7109375" style="4" hidden="1" customWidth="1"/>
    <col min="6" max="8" width="10.7109375" style="5" hidden="1" customWidth="1"/>
    <col min="9" max="9" width="3.85546875" style="6" hidden="1" customWidth="1"/>
    <col min="10" max="10" width="7.7109375" style="5" hidden="1" customWidth="1"/>
    <col min="11" max="11" width="10.28515625" hidden="1" customWidth="1"/>
    <col min="12" max="12" width="10.5703125" hidden="1" customWidth="1"/>
    <col min="13" max="19" width="10.5703125" customWidth="1"/>
    <col min="20" max="20" width="1.28515625" hidden="1" customWidth="1"/>
    <col min="21" max="21" width="10.7109375" style="48" hidden="1" customWidth="1"/>
    <col min="22" max="22" width="10.7109375" style="12" hidden="1" customWidth="1"/>
    <col min="23" max="23" width="11.28515625" style="12" hidden="1" customWidth="1"/>
    <col min="24" max="24" width="10.7109375" style="12" hidden="1" customWidth="1"/>
    <col min="25" max="25" width="11.42578125" style="12" hidden="1" customWidth="1"/>
    <col min="26" max="26" width="12.28515625" style="12" hidden="1" customWidth="1"/>
    <col min="27" max="27" width="9" hidden="1" customWidth="1"/>
    <col min="28" max="28" width="10.85546875" hidden="1" customWidth="1"/>
    <col min="29" max="30" width="10.140625" hidden="1" customWidth="1"/>
    <col min="31" max="31" width="9.140625" hidden="1" customWidth="1"/>
    <col min="32" max="32" width="11.42578125" hidden="1" customWidth="1"/>
    <col min="33" max="33" width="10.85546875" hidden="1" customWidth="1"/>
    <col min="34" max="35" width="11.42578125" hidden="1" customWidth="1"/>
    <col min="36" max="39" width="9.140625" hidden="1" customWidth="1"/>
    <col min="40" max="45" width="12.42578125" customWidth="1"/>
    <col min="46" max="46" width="13.7109375" hidden="1" customWidth="1"/>
    <col min="47" max="47" width="11" style="312" hidden="1" customWidth="1"/>
    <col min="48" max="49" width="8.7109375" hidden="1" customWidth="1"/>
    <col min="50" max="55" width="0" hidden="1" customWidth="1"/>
  </cols>
  <sheetData>
    <row r="1" spans="1:64" x14ac:dyDescent="0.25">
      <c r="A1" s="1" t="s">
        <v>0</v>
      </c>
      <c r="J1" s="7"/>
      <c r="K1" s="8"/>
      <c r="L1" s="8"/>
      <c r="M1" s="8"/>
      <c r="N1" s="8"/>
      <c r="O1" s="9"/>
      <c r="P1" s="9"/>
      <c r="Q1" s="9"/>
      <c r="R1" s="9"/>
      <c r="S1" s="9"/>
      <c r="U1" s="11"/>
      <c r="X1" s="187"/>
    </row>
    <row r="2" spans="1:64" s="21" customFormat="1" ht="10.5" customHeight="1" x14ac:dyDescent="0.2">
      <c r="A2" s="13"/>
      <c r="B2" s="14"/>
      <c r="C2" s="15"/>
      <c r="D2" s="16"/>
      <c r="E2" s="16"/>
      <c r="F2" s="17"/>
      <c r="G2" s="17"/>
      <c r="H2" s="17"/>
      <c r="I2" s="18"/>
      <c r="J2" s="19"/>
      <c r="K2" s="19"/>
      <c r="L2" s="19"/>
      <c r="M2" s="19"/>
      <c r="N2" s="19"/>
      <c r="O2" s="20"/>
      <c r="P2" s="20"/>
      <c r="Q2" s="20"/>
      <c r="R2" s="20"/>
      <c r="S2" s="20"/>
      <c r="U2" s="22"/>
      <c r="V2" s="23"/>
      <c r="W2" s="23"/>
      <c r="X2" s="23"/>
      <c r="Y2" s="23"/>
      <c r="Z2" s="23"/>
      <c r="AU2" s="313"/>
    </row>
    <row r="3" spans="1:64" ht="15.75" customHeight="1" thickBot="1" x14ac:dyDescent="0.3">
      <c r="C3" s="24"/>
      <c r="E3" s="25"/>
      <c r="F3" s="26" t="s">
        <v>1</v>
      </c>
      <c r="G3" s="27"/>
      <c r="H3" s="27"/>
      <c r="I3" s="28"/>
      <c r="J3" s="196" t="s">
        <v>82</v>
      </c>
      <c r="L3" s="336"/>
      <c r="M3" s="337"/>
      <c r="N3" s="336" t="s">
        <v>100</v>
      </c>
      <c r="O3" s="337"/>
      <c r="P3" s="337"/>
      <c r="Q3" s="337"/>
      <c r="R3" s="337"/>
      <c r="S3" s="338"/>
      <c r="U3" s="29"/>
      <c r="X3" s="180">
        <f>X17/AB19</f>
        <v>0.99336858426894725</v>
      </c>
      <c r="Y3" s="180">
        <f t="shared" ref="Y3:Z3" si="0">Y17/AC19</f>
        <v>0.93887337041584185</v>
      </c>
      <c r="Z3" s="180">
        <f t="shared" si="0"/>
        <v>0.89036984312231038</v>
      </c>
      <c r="AA3" t="s">
        <v>2</v>
      </c>
      <c r="AB3">
        <v>372951.77080142451</v>
      </c>
      <c r="AC3" s="185"/>
      <c r="AE3" s="189" t="s">
        <v>83</v>
      </c>
      <c r="AN3" s="339" t="s">
        <v>104</v>
      </c>
      <c r="AO3" s="340"/>
      <c r="AP3" s="340"/>
      <c r="AQ3" s="340"/>
      <c r="AR3" s="340"/>
      <c r="AS3" s="341"/>
      <c r="AT3" s="224" t="s">
        <v>105</v>
      </c>
      <c r="AU3" s="314" t="s">
        <v>152</v>
      </c>
      <c r="BD3" s="342" t="s">
        <v>153</v>
      </c>
      <c r="BE3" s="343"/>
      <c r="BF3" s="343"/>
      <c r="BG3" s="343"/>
      <c r="BH3" s="343"/>
      <c r="BI3" s="343"/>
      <c r="BJ3" s="343"/>
      <c r="BK3" s="343"/>
      <c r="BL3" s="344"/>
    </row>
    <row r="4" spans="1:64" ht="27.75" customHeight="1" thickBot="1" x14ac:dyDescent="0.3">
      <c r="A4" s="30"/>
      <c r="B4" s="31"/>
      <c r="C4" s="32"/>
      <c r="D4" s="33" t="s">
        <v>3</v>
      </c>
      <c r="E4" s="33" t="s">
        <v>4</v>
      </c>
      <c r="F4" s="34">
        <v>2014</v>
      </c>
      <c r="G4" s="34">
        <v>2015</v>
      </c>
      <c r="H4" s="34">
        <v>2016</v>
      </c>
      <c r="I4" s="35"/>
      <c r="J4" s="197" t="s">
        <v>5</v>
      </c>
      <c r="K4" s="197" t="s">
        <v>6</v>
      </c>
      <c r="L4" s="219" t="s">
        <v>84</v>
      </c>
      <c r="M4" s="219" t="s">
        <v>93</v>
      </c>
      <c r="N4" s="216" t="s">
        <v>94</v>
      </c>
      <c r="O4" s="217" t="s">
        <v>95</v>
      </c>
      <c r="P4" s="217" t="s">
        <v>96</v>
      </c>
      <c r="Q4" s="217" t="s">
        <v>97</v>
      </c>
      <c r="R4" s="217" t="s">
        <v>98</v>
      </c>
      <c r="S4" s="218" t="s">
        <v>99</v>
      </c>
      <c r="U4" s="36">
        <v>2014</v>
      </c>
      <c r="V4" s="36">
        <v>2015</v>
      </c>
      <c r="W4" s="36">
        <v>2016</v>
      </c>
      <c r="X4" s="36">
        <v>2017</v>
      </c>
      <c r="Y4" s="36">
        <v>2018</v>
      </c>
      <c r="Z4" s="36">
        <v>2019</v>
      </c>
      <c r="AA4" s="36">
        <v>2016</v>
      </c>
      <c r="AB4" s="36">
        <v>2017</v>
      </c>
      <c r="AC4" s="36">
        <v>2018</v>
      </c>
      <c r="AD4" s="36">
        <v>2019</v>
      </c>
      <c r="AE4" s="191">
        <v>2016</v>
      </c>
      <c r="AF4" s="191">
        <v>2017</v>
      </c>
      <c r="AG4" s="191">
        <v>2018</v>
      </c>
      <c r="AH4" s="191">
        <v>2019</v>
      </c>
      <c r="AN4" s="221">
        <v>2017</v>
      </c>
      <c r="AO4" s="222">
        <v>2018</v>
      </c>
      <c r="AP4" s="222">
        <v>2019</v>
      </c>
      <c r="AQ4" s="222">
        <v>2020</v>
      </c>
      <c r="AR4" s="222">
        <v>2021</v>
      </c>
      <c r="AS4" s="223">
        <v>2022</v>
      </c>
      <c r="AT4" s="225"/>
      <c r="AU4" s="315"/>
      <c r="BD4" s="316">
        <v>2017</v>
      </c>
      <c r="BE4" s="317">
        <v>2018</v>
      </c>
      <c r="BF4" s="317">
        <v>2019</v>
      </c>
      <c r="BG4" s="317">
        <v>2020</v>
      </c>
      <c r="BH4" s="317">
        <v>2021</v>
      </c>
      <c r="BI4" s="317">
        <v>2022</v>
      </c>
      <c r="BJ4" s="317">
        <v>2023</v>
      </c>
      <c r="BK4" s="317">
        <v>2024</v>
      </c>
      <c r="BL4" s="318">
        <v>2025</v>
      </c>
    </row>
    <row r="5" spans="1:64" ht="15" hidden="1" customHeight="1" x14ac:dyDescent="0.25">
      <c r="A5" s="37"/>
      <c r="B5" s="38" t="s">
        <v>7</v>
      </c>
      <c r="E5" s="39"/>
      <c r="F5" s="40">
        <v>0</v>
      </c>
      <c r="G5" s="40">
        <v>0</v>
      </c>
      <c r="H5" s="40">
        <v>0</v>
      </c>
      <c r="I5" s="41"/>
      <c r="J5" s="40"/>
      <c r="U5" s="42"/>
      <c r="BD5" s="319"/>
      <c r="BE5" s="319"/>
      <c r="BF5" s="319"/>
      <c r="BG5" s="319"/>
      <c r="BH5" s="319"/>
      <c r="BI5" s="319"/>
      <c r="BJ5" s="319"/>
      <c r="BK5" s="319"/>
      <c r="BL5" s="319"/>
    </row>
    <row r="6" spans="1:64" ht="15" hidden="1" customHeight="1" x14ac:dyDescent="0.25">
      <c r="B6" s="43" t="s">
        <v>8</v>
      </c>
      <c r="E6" s="44"/>
      <c r="F6" s="45"/>
      <c r="G6" s="45"/>
      <c r="H6" s="45"/>
      <c r="I6" s="46"/>
      <c r="J6" s="45"/>
      <c r="U6" s="47"/>
      <c r="BD6" s="319"/>
      <c r="BE6" s="319"/>
      <c r="BF6" s="319"/>
      <c r="BG6" s="319"/>
      <c r="BH6" s="319"/>
      <c r="BI6" s="319"/>
      <c r="BJ6" s="319"/>
      <c r="BK6" s="319"/>
      <c r="BL6" s="319"/>
    </row>
    <row r="7" spans="1:64" ht="15" hidden="1" customHeight="1" x14ac:dyDescent="0.25">
      <c r="B7" s="43" t="s">
        <v>9</v>
      </c>
      <c r="BD7" s="319"/>
      <c r="BE7" s="319"/>
      <c r="BF7" s="319"/>
      <c r="BG7" s="319"/>
      <c r="BH7" s="319"/>
      <c r="BI7" s="319"/>
      <c r="BJ7" s="319"/>
      <c r="BK7" s="319"/>
      <c r="BL7" s="319"/>
    </row>
    <row r="8" spans="1:64" ht="15" hidden="1" customHeight="1" x14ac:dyDescent="0.25">
      <c r="A8" s="2"/>
      <c r="B8" s="43"/>
      <c r="C8" s="49"/>
      <c r="E8" s="50"/>
      <c r="F8" s="51"/>
      <c r="G8" s="51"/>
      <c r="H8" s="51"/>
      <c r="I8" s="52"/>
      <c r="BD8" s="319"/>
      <c r="BE8" s="319"/>
      <c r="BF8" s="319"/>
      <c r="BG8" s="319"/>
      <c r="BH8" s="319"/>
      <c r="BI8" s="319"/>
      <c r="BJ8" s="319"/>
      <c r="BK8" s="319"/>
      <c r="BL8" s="319"/>
    </row>
    <row r="9" spans="1:64" ht="15" hidden="1" customHeight="1" x14ac:dyDescent="0.25">
      <c r="A9" s="53"/>
      <c r="B9" s="54"/>
      <c r="C9" s="53"/>
      <c r="D9" s="55" t="s">
        <v>10</v>
      </c>
      <c r="E9" s="56"/>
      <c r="F9" s="45"/>
      <c r="G9" s="45"/>
      <c r="H9" s="45"/>
      <c r="I9" s="57"/>
      <c r="BD9" s="319"/>
      <c r="BE9" s="319"/>
      <c r="BF9" s="319"/>
      <c r="BG9" s="319"/>
      <c r="BH9" s="319"/>
      <c r="BI9" s="319"/>
      <c r="BJ9" s="319"/>
      <c r="BK9" s="319"/>
      <c r="BL9" s="319"/>
    </row>
    <row r="10" spans="1:64" ht="3" customHeight="1" x14ac:dyDescent="0.25">
      <c r="A10" s="53"/>
      <c r="B10" s="54"/>
      <c r="C10" s="53"/>
      <c r="D10" s="55"/>
      <c r="E10" s="56"/>
      <c r="F10" s="45"/>
      <c r="G10" s="45"/>
      <c r="H10" s="45"/>
      <c r="I10" s="57"/>
      <c r="BD10" s="319"/>
      <c r="BE10" s="319"/>
      <c r="BF10" s="319"/>
      <c r="BG10" s="319"/>
      <c r="BH10" s="319"/>
      <c r="BI10" s="319"/>
      <c r="BJ10" s="319"/>
      <c r="BK10" s="319"/>
      <c r="BL10" s="319"/>
    </row>
    <row r="11" spans="1:64" ht="20.25" hidden="1" customHeight="1" x14ac:dyDescent="0.25">
      <c r="A11" s="53"/>
      <c r="B11" s="54"/>
      <c r="C11" s="211" t="s">
        <v>87</v>
      </c>
      <c r="D11" s="55"/>
      <c r="E11" s="56"/>
      <c r="F11" s="45"/>
      <c r="G11" s="45"/>
      <c r="H11" s="45"/>
      <c r="I11" s="57"/>
      <c r="L11" s="10">
        <v>1.0059535222605402</v>
      </c>
      <c r="M11" s="10"/>
      <c r="N11" s="10">
        <v>0.97336858426894723</v>
      </c>
      <c r="O11" s="10">
        <v>0.93887337041584185</v>
      </c>
      <c r="P11" s="10">
        <v>0.89036984312230993</v>
      </c>
      <c r="Q11" s="10">
        <v>0.83262840223976065</v>
      </c>
      <c r="R11" s="10">
        <v>0.7806974741274566</v>
      </c>
      <c r="S11" s="10">
        <v>0.75487579680838213</v>
      </c>
      <c r="AF11" s="9">
        <v>0.95041299199379514</v>
      </c>
      <c r="AG11" s="9">
        <v>0.9098443225191003</v>
      </c>
      <c r="BD11" s="319"/>
      <c r="BE11" s="319"/>
      <c r="BF11" s="319"/>
      <c r="BG11" s="319"/>
      <c r="BH11" s="319"/>
      <c r="BI11" s="319"/>
      <c r="BJ11" s="319"/>
      <c r="BK11" s="319"/>
      <c r="BL11" s="319"/>
    </row>
    <row r="12" spans="1:64" ht="20.25" customHeight="1" x14ac:dyDescent="0.25">
      <c r="A12" s="53"/>
      <c r="B12" s="54"/>
      <c r="C12" s="211"/>
      <c r="D12" s="55"/>
      <c r="E12" s="56"/>
      <c r="F12" s="45"/>
      <c r="G12" s="45"/>
      <c r="H12" s="45"/>
      <c r="I12" s="57"/>
      <c r="L12" s="10"/>
      <c r="M12" s="10"/>
      <c r="N12" s="10"/>
      <c r="O12" s="10"/>
      <c r="P12" s="10"/>
      <c r="Q12" s="10"/>
      <c r="R12" s="10"/>
      <c r="S12" s="10"/>
      <c r="AF12" s="9"/>
      <c r="AG12" s="9"/>
      <c r="BD12" s="319"/>
      <c r="BE12" s="319"/>
      <c r="BF12" s="319"/>
      <c r="BG12" s="319"/>
      <c r="BH12" s="319"/>
      <c r="BI12" s="319"/>
      <c r="BJ12" s="319"/>
      <c r="BK12" s="319"/>
      <c r="BL12" s="319"/>
    </row>
    <row r="13" spans="1:64" ht="20.25" customHeight="1" x14ac:dyDescent="0.25">
      <c r="A13" s="53"/>
      <c r="B13" s="54"/>
      <c r="C13" s="211"/>
      <c r="D13" s="55"/>
      <c r="E13" s="56"/>
      <c r="F13" s="45"/>
      <c r="G13" s="45"/>
      <c r="H13" s="45"/>
      <c r="I13" s="57"/>
      <c r="L13" s="10"/>
      <c r="M13" s="10"/>
      <c r="N13" s="10"/>
      <c r="O13" s="10"/>
      <c r="P13" s="10"/>
      <c r="Q13" s="10"/>
      <c r="R13" s="10"/>
      <c r="S13" s="10"/>
      <c r="AF13" s="9"/>
      <c r="AG13" s="9"/>
      <c r="BD13" s="319"/>
      <c r="BE13" s="319"/>
      <c r="BF13" s="319"/>
      <c r="BG13" s="319"/>
      <c r="BH13" s="319"/>
      <c r="BI13" s="319"/>
      <c r="BJ13" s="319"/>
      <c r="BK13" s="319"/>
      <c r="BL13" s="319"/>
    </row>
    <row r="14" spans="1:64" ht="20.25" customHeight="1" x14ac:dyDescent="0.25">
      <c r="A14" s="53"/>
      <c r="B14" s="226" t="s">
        <v>108</v>
      </c>
      <c r="C14" s="211"/>
      <c r="D14" s="55"/>
      <c r="E14" s="56"/>
      <c r="F14" s="45"/>
      <c r="G14" s="45"/>
      <c r="H14" s="45"/>
      <c r="I14" s="57"/>
      <c r="L14" s="10"/>
      <c r="M14" s="290"/>
      <c r="N14" s="227">
        <v>0.51287769743028011</v>
      </c>
      <c r="O14" s="227">
        <v>0.72016732205035361</v>
      </c>
      <c r="P14" s="227">
        <v>0.78234699693422349</v>
      </c>
      <c r="Q14" s="227">
        <v>0.79554580158073851</v>
      </c>
      <c r="R14" s="227">
        <v>0.79985702378351065</v>
      </c>
      <c r="S14" s="227">
        <v>0.80959823365122696</v>
      </c>
      <c r="AF14" s="9"/>
      <c r="AG14" s="9"/>
      <c r="AN14" s="227">
        <v>0.61842576018506712</v>
      </c>
      <c r="AO14" s="227">
        <v>0.85610776491493668</v>
      </c>
      <c r="AP14" s="227">
        <v>0.85991821890981623</v>
      </c>
      <c r="AQ14" s="227">
        <v>0.91478013993915797</v>
      </c>
      <c r="AR14" s="227">
        <v>0.92974809987159523</v>
      </c>
      <c r="AS14" s="227">
        <v>0.95777370447542065</v>
      </c>
      <c r="AU14" s="227">
        <v>1</v>
      </c>
      <c r="BD14" s="320"/>
      <c r="BE14" s="320"/>
      <c r="BF14" s="320"/>
      <c r="BG14" s="320"/>
      <c r="BH14" s="320"/>
      <c r="BI14" s="320"/>
      <c r="BJ14" s="320"/>
      <c r="BK14" s="320"/>
      <c r="BL14" s="320"/>
    </row>
    <row r="15" spans="1:64" ht="20.25" customHeight="1" x14ac:dyDescent="0.25">
      <c r="A15" s="53"/>
      <c r="B15" s="58" t="s">
        <v>109</v>
      </c>
      <c r="C15" s="211"/>
      <c r="D15" s="55"/>
      <c r="E15" s="56"/>
      <c r="F15" s="45"/>
      <c r="G15" s="45"/>
      <c r="H15" s="45"/>
      <c r="I15" s="57"/>
      <c r="L15" s="10"/>
      <c r="M15" s="10"/>
      <c r="N15" s="10"/>
      <c r="O15" s="10"/>
      <c r="P15" s="10"/>
      <c r="Q15" s="10"/>
      <c r="R15" s="10"/>
      <c r="S15" s="10"/>
      <c r="AF15" s="9"/>
      <c r="AG15" s="9"/>
      <c r="AN15" s="10">
        <v>0.67452050460808466</v>
      </c>
      <c r="AO15" s="10">
        <v>0.67713616134023979</v>
      </c>
      <c r="AP15" s="10">
        <v>0.67557461228710902</v>
      </c>
      <c r="AQ15" s="10">
        <v>0.66575560139167911</v>
      </c>
      <c r="AR15" s="10">
        <v>0.66582344707379915</v>
      </c>
      <c r="AS15" s="10">
        <v>0.66582344707379604</v>
      </c>
      <c r="AT15" s="10">
        <v>0.66582344707379604</v>
      </c>
      <c r="AU15" s="10">
        <v>0.66582344707379604</v>
      </c>
      <c r="BD15" s="321">
        <v>0.67452050460808466</v>
      </c>
      <c r="BE15" s="321">
        <v>0.67713616134023979</v>
      </c>
      <c r="BF15" s="321">
        <v>0.67557461228710902</v>
      </c>
      <c r="BG15" s="321">
        <v>0.66575560139167911</v>
      </c>
      <c r="BH15" s="321">
        <v>0.66582344707379915</v>
      </c>
      <c r="BI15" s="321">
        <v>0.66582344707379604</v>
      </c>
      <c r="BJ15" s="321">
        <f>BI15</f>
        <v>0.66582344707379604</v>
      </c>
      <c r="BK15" s="321">
        <f t="shared" ref="BK15:BL15" si="1">BJ15</f>
        <v>0.66582344707379604</v>
      </c>
      <c r="BL15" s="321">
        <f t="shared" si="1"/>
        <v>0.66582344707379604</v>
      </c>
    </row>
    <row r="16" spans="1:64" ht="20.25" customHeight="1" x14ac:dyDescent="0.25">
      <c r="A16" s="53"/>
      <c r="B16" s="58" t="s">
        <v>92</v>
      </c>
      <c r="C16" s="211"/>
      <c r="D16" s="55"/>
      <c r="E16" s="56"/>
      <c r="F16" s="45"/>
      <c r="G16" s="45"/>
      <c r="H16" s="45"/>
      <c r="I16" s="57"/>
      <c r="L16" s="59">
        <f>L17-L103</f>
        <v>1.0000235853235688</v>
      </c>
      <c r="M16" s="276">
        <f>M17-M103</f>
        <v>0.99643619026400576</v>
      </c>
      <c r="N16" s="59">
        <f t="shared" ref="N16:S16" si="2">N17-N103</f>
        <v>0.99897369737771258</v>
      </c>
      <c r="O16" s="59">
        <f t="shared" si="2"/>
        <v>0.88404507638964658</v>
      </c>
      <c r="P16" s="59">
        <f t="shared" si="2"/>
        <v>0.77297276433125328</v>
      </c>
      <c r="Q16" s="59">
        <f t="shared" si="2"/>
        <v>0.7192030949418553</v>
      </c>
      <c r="R16" s="59">
        <f t="shared" si="2"/>
        <v>0.64641197606637968</v>
      </c>
      <c r="S16" s="59">
        <f t="shared" si="2"/>
        <v>0.60337904722286329</v>
      </c>
      <c r="AF16" s="9"/>
      <c r="AG16" s="9"/>
      <c r="AN16" s="59">
        <f>AN17-AN103</f>
        <v>0.99389129637609686</v>
      </c>
      <c r="AO16" s="59">
        <f t="shared" ref="AO16:AU16" si="3">AO17-AO103</f>
        <v>0.92131654528406581</v>
      </c>
      <c r="AP16" s="59">
        <f t="shared" si="3"/>
        <v>0.79638872154427198</v>
      </c>
      <c r="AQ16" s="59">
        <f t="shared" si="3"/>
        <v>0.74312641764526566</v>
      </c>
      <c r="AR16" s="59">
        <f t="shared" si="3"/>
        <v>0.69558498837662441</v>
      </c>
      <c r="AS16" s="59">
        <f t="shared" si="3"/>
        <v>0.66772199411475575</v>
      </c>
      <c r="AT16" s="59">
        <f t="shared" si="3"/>
        <v>0.39328640316352759</v>
      </c>
      <c r="AU16" s="59">
        <f t="shared" si="3"/>
        <v>0.73333565918944277</v>
      </c>
      <c r="BD16" s="322"/>
      <c r="BE16" s="322"/>
      <c r="BF16" s="322"/>
      <c r="BG16" s="322"/>
      <c r="BH16" s="322"/>
      <c r="BI16" s="322"/>
      <c r="BJ16" s="322"/>
      <c r="BK16" s="322"/>
      <c r="BL16" s="322"/>
    </row>
    <row r="17" spans="1:64" ht="15.75" x14ac:dyDescent="0.25">
      <c r="A17" s="53"/>
      <c r="B17" s="58" t="s">
        <v>11</v>
      </c>
      <c r="C17" s="53"/>
      <c r="D17" s="55"/>
      <c r="E17" s="56"/>
      <c r="F17" s="45"/>
      <c r="G17" s="45"/>
      <c r="H17" s="45"/>
      <c r="I17" s="57"/>
      <c r="J17" s="59" t="e">
        <f t="shared" ref="J17:P17" si="4">J19+J89</f>
        <v>#REF!</v>
      </c>
      <c r="K17" s="59">
        <f t="shared" si="4"/>
        <v>1.0078527923880731</v>
      </c>
      <c r="L17" s="59">
        <f t="shared" si="4"/>
        <v>1.0059535222605402</v>
      </c>
      <c r="M17" s="276">
        <f t="shared" si="4"/>
        <v>0.99643619026400576</v>
      </c>
      <c r="N17" s="59">
        <f t="shared" si="4"/>
        <v>0.99336858426894725</v>
      </c>
      <c r="O17" s="59">
        <f t="shared" si="4"/>
        <v>0.93887337041584185</v>
      </c>
      <c r="P17" s="59">
        <f t="shared" si="4"/>
        <v>0.89036984312231005</v>
      </c>
      <c r="Q17" s="59">
        <f t="shared" ref="Q17:T17" si="5">Q19+Q89</f>
        <v>0.85097450059196145</v>
      </c>
      <c r="R17" s="59">
        <f t="shared" si="5"/>
        <v>0.7906454410912751</v>
      </c>
      <c r="S17" s="59">
        <f t="shared" si="5"/>
        <v>0.75472355819422399</v>
      </c>
      <c r="T17" s="59">
        <f t="shared" si="5"/>
        <v>0</v>
      </c>
      <c r="U17" s="59" t="e">
        <f>J17*[1]Projection_Detail!S$3</f>
        <v>#REF!</v>
      </c>
      <c r="V17" s="59">
        <f>K17*[1]Projection_Detail!T$3</f>
        <v>314761.5980192796</v>
      </c>
      <c r="W17" s="59">
        <f>W19+W89</f>
        <v>448078.88220791036</v>
      </c>
      <c r="X17" s="59">
        <f>X19+X89</f>
        <v>646538.7950271694</v>
      </c>
      <c r="Y17" s="59">
        <f>Y19+Y89</f>
        <v>856667.81329982949</v>
      </c>
      <c r="Z17" s="59">
        <f>Z19+Z89</f>
        <v>1137375.5980287783</v>
      </c>
      <c r="AA17" s="59"/>
      <c r="AB17" s="59"/>
      <c r="AC17" s="59"/>
      <c r="AD17" s="59"/>
      <c r="AE17" s="59">
        <f t="shared" ref="AE17:AH17" si="6">AE19+AE89</f>
        <v>0.99410549375391521</v>
      </c>
      <c r="AF17" s="59">
        <f t="shared" si="6"/>
        <v>0.95041299199379514</v>
      </c>
      <c r="AG17" s="59">
        <f t="shared" si="6"/>
        <v>0.9098443225191003</v>
      </c>
      <c r="AH17" s="59">
        <f t="shared" si="6"/>
        <v>0.86292148467956764</v>
      </c>
      <c r="AI17" s="59"/>
      <c r="AJ17" s="59">
        <f>L17-AE17</f>
        <v>1.184802850662503E-2</v>
      </c>
      <c r="AK17" s="59">
        <f>N17-AF17</f>
        <v>4.295559227515211E-2</v>
      </c>
      <c r="AL17" s="59">
        <f>O17-AG17</f>
        <v>2.9029047896741544E-2</v>
      </c>
      <c r="AM17" s="59">
        <f>P17-AH17</f>
        <v>2.7448358442742404E-2</v>
      </c>
      <c r="AN17" s="59">
        <f>AN19+AN89</f>
        <v>0.99389129637609686</v>
      </c>
      <c r="AO17" s="59">
        <f t="shared" ref="AO17:AU17" si="7">AO19+AO89</f>
        <v>0.97676136648638023</v>
      </c>
      <c r="AP17" s="59">
        <f t="shared" si="7"/>
        <v>0.91198971252975292</v>
      </c>
      <c r="AQ17" s="59">
        <f t="shared" si="7"/>
        <v>0.86943026016605041</v>
      </c>
      <c r="AR17" s="59">
        <f t="shared" si="7"/>
        <v>0.83445652421492689</v>
      </c>
      <c r="AS17" s="59">
        <f t="shared" si="7"/>
        <v>0.81370457584636835</v>
      </c>
      <c r="AT17" s="59">
        <f t="shared" si="7"/>
        <v>0.53926898489514019</v>
      </c>
      <c r="AU17" s="59">
        <f t="shared" si="7"/>
        <v>0.87931824092105537</v>
      </c>
      <c r="BD17" s="322">
        <f>BD19+BD89</f>
        <v>0.99828318205749644</v>
      </c>
      <c r="BE17" s="322">
        <f t="shared" ref="BE17:BL17" si="8">BE19+BE89</f>
        <v>0.98692394843520437</v>
      </c>
      <c r="BF17" s="322">
        <f t="shared" si="8"/>
        <v>0.95148822334071292</v>
      </c>
      <c r="BG17" s="322">
        <f t="shared" si="8"/>
        <v>0.92136530326269883</v>
      </c>
      <c r="BH17" s="322">
        <f t="shared" si="8"/>
        <v>0.89937498555288542</v>
      </c>
      <c r="BI17" s="322">
        <f t="shared" si="8"/>
        <v>0.88925529732366082</v>
      </c>
      <c r="BJ17" s="322">
        <f t="shared" si="8"/>
        <v>0.88925529732366082</v>
      </c>
      <c r="BK17" s="322">
        <f t="shared" si="8"/>
        <v>0.88925529732366082</v>
      </c>
      <c r="BL17" s="322">
        <f t="shared" si="8"/>
        <v>0.88925529732366082</v>
      </c>
    </row>
    <row r="18" spans="1:64" ht="3" customHeight="1" x14ac:dyDescent="0.25">
      <c r="A18" s="53"/>
      <c r="B18" s="54"/>
      <c r="C18" s="53"/>
      <c r="D18" s="55"/>
      <c r="E18" s="56"/>
      <c r="F18" s="45"/>
      <c r="G18" s="45"/>
      <c r="H18" s="45"/>
      <c r="I18" s="57"/>
      <c r="M18" s="235"/>
      <c r="T18" s="37"/>
      <c r="BD18" s="319"/>
      <c r="BE18" s="319"/>
      <c r="BF18" s="319"/>
      <c r="BG18" s="319"/>
      <c r="BH18" s="319"/>
      <c r="BI18" s="319"/>
      <c r="BJ18" s="319"/>
      <c r="BK18" s="319"/>
      <c r="BL18" s="319"/>
    </row>
    <row r="19" spans="1:64" s="60" customFormat="1" ht="15.75" x14ac:dyDescent="0.25">
      <c r="B19" s="58" t="s">
        <v>12</v>
      </c>
      <c r="C19" s="61"/>
      <c r="D19" s="62">
        <v>0.96775983965169576</v>
      </c>
      <c r="E19" s="62">
        <v>0.93818798894423094</v>
      </c>
      <c r="F19" s="63">
        <f>+SUM(F32,F34,F39,F52,F54,F62,F67,F75)</f>
        <v>0.89433937898551175</v>
      </c>
      <c r="G19" s="63">
        <f>+SUM(G32,G34,G39,G52,G54,G62,G67,G75)</f>
        <v>0.80597957830208689</v>
      </c>
      <c r="H19" s="63">
        <f>+SUM(H32,H34,H39,H52,H54,H62,H67,H75)</f>
        <v>0.79745067630824429</v>
      </c>
      <c r="I19" s="64"/>
      <c r="J19" s="65" t="e">
        <f t="shared" ref="J19:P19" si="9">+SUM(J32,J34,J39,J52,J54,J62,J67)</f>
        <v>#REF!</v>
      </c>
      <c r="K19" s="65">
        <f t="shared" si="9"/>
        <v>0.98375967421109223</v>
      </c>
      <c r="L19" s="65">
        <f>+SUM(L32,L34,L39,L52,L54,L62,L67)</f>
        <v>0.98017126139097499</v>
      </c>
      <c r="M19" s="276">
        <f>+SUM(M32,M34,M39,M52,M54,M62,M67)</f>
        <v>0.94674977783172698</v>
      </c>
      <c r="N19" s="65">
        <f>+SUM(N32,N34,N39,N52,N54,N62,N67)</f>
        <v>0.85091862444340527</v>
      </c>
      <c r="O19" s="65">
        <f t="shared" si="9"/>
        <v>0.74078316609397676</v>
      </c>
      <c r="P19" s="65">
        <f t="shared" si="9"/>
        <v>0.69436308549795933</v>
      </c>
      <c r="Q19" s="65">
        <f t="shared" ref="Q19:T19" si="10">+SUM(Q32,Q34,Q39,Q52,Q54,Q62,Q67)</f>
        <v>0.6715565716226668</v>
      </c>
      <c r="R19" s="65">
        <f t="shared" si="10"/>
        <v>0.6234191376221403</v>
      </c>
      <c r="S19" s="65">
        <f t="shared" si="10"/>
        <v>0.5959210897424877</v>
      </c>
      <c r="T19" s="220">
        <f t="shared" si="10"/>
        <v>0</v>
      </c>
      <c r="U19" s="66" t="e">
        <f>J19*[1]Projection_Detail!S$3</f>
        <v>#REF!</v>
      </c>
      <c r="V19" s="66">
        <f>K19*[1]Projection_Detail!T$3</f>
        <v>307237.09797727957</v>
      </c>
      <c r="W19" s="66">
        <f>W32+W34+W39+W52+W54+W62+W67</f>
        <v>436594.76651510259</v>
      </c>
      <c r="X19" s="66">
        <f t="shared" ref="X19:Z19" si="11">X32+X34+X39+X52+X54+X62+X67</f>
        <v>553824.54289984494</v>
      </c>
      <c r="Y19" s="66">
        <f t="shared" si="11"/>
        <v>675921.92410993064</v>
      </c>
      <c r="Z19" s="66">
        <f t="shared" si="11"/>
        <v>886992.78812934947</v>
      </c>
      <c r="AA19" s="67">
        <f>[1]Projection_Detail!U3</f>
        <v>445427.0225139276</v>
      </c>
      <c r="AB19" s="67">
        <v>650854.884345853</v>
      </c>
      <c r="AC19" s="67">
        <v>912442.33811892837</v>
      </c>
      <c r="AD19" s="67">
        <v>1277419.273366536</v>
      </c>
      <c r="AE19" s="65">
        <f>+SUM(AE32,AE34,AE39,AE52,AE54,AE62,AE67)</f>
        <v>0.95325487293011402</v>
      </c>
      <c r="AF19" s="65">
        <f>+SUM(AF32,AF34,AF39,AF52,AF54,AF62,AF67)</f>
        <v>0.8202417958962076</v>
      </c>
      <c r="AG19" s="65">
        <f t="shared" ref="AG19:AH19" si="12">+SUM(AG32,AG34,AG39,AG52,AG54,AG62,AG67)</f>
        <v>0.74078316609397676</v>
      </c>
      <c r="AH19" s="65">
        <f t="shared" si="12"/>
        <v>0.69426308549795934</v>
      </c>
      <c r="AN19" s="65">
        <f>AN32+AN34+AN39+AN52+AN54+AN62+AN67+AN75</f>
        <v>0.83358664275396288</v>
      </c>
      <c r="AO19" s="65">
        <f t="shared" ref="AO19:AU19" si="13">AO32+AO34+AO39+AO52+AO54+AO62+AO67+AO75</f>
        <v>0.76910770005107199</v>
      </c>
      <c r="AP19" s="65">
        <f t="shared" si="13"/>
        <v>0.72761877940066344</v>
      </c>
      <c r="AQ19" s="65">
        <f t="shared" si="13"/>
        <v>0.6882423117502392</v>
      </c>
      <c r="AR19" s="65">
        <f t="shared" si="13"/>
        <v>0.65878036539716611</v>
      </c>
      <c r="AS19" s="65">
        <f t="shared" si="13"/>
        <v>0.63615847821369875</v>
      </c>
      <c r="AT19" s="65">
        <f t="shared" si="13"/>
        <v>0.53926898489514019</v>
      </c>
      <c r="AU19" s="65">
        <f t="shared" si="13"/>
        <v>0.68931824092105531</v>
      </c>
      <c r="BD19" s="323">
        <f>BD32+BD34+BD39+BD52+BD54+BD62+BD67+BD75</f>
        <v>0.83797852843536247</v>
      </c>
      <c r="BE19" s="323">
        <f t="shared" ref="BE19:BH19" si="14">BE32+BE34+BE39+BE52+BE54+BE62+BE67+BE75</f>
        <v>0.77937322796934283</v>
      </c>
      <c r="BF19" s="323">
        <f t="shared" si="14"/>
        <v>0.75613185820455919</v>
      </c>
      <c r="BG19" s="323">
        <f t="shared" si="14"/>
        <v>0.72916088140301583</v>
      </c>
      <c r="BH19" s="323">
        <f t="shared" si="14"/>
        <v>0.70962164509116354</v>
      </c>
      <c r="BI19" s="323">
        <f>BI32+BI34+BI39+BI52+BI54+BI62+BI67+BI75</f>
        <v>0.69891607441641401</v>
      </c>
      <c r="BJ19" s="323">
        <f t="shared" ref="BJ19:BL19" si="15">BJ32+BJ34+BJ39+BJ52+BJ54+BJ62+BJ67+BJ75</f>
        <v>0.69891607441641401</v>
      </c>
      <c r="BK19" s="323">
        <f t="shared" si="15"/>
        <v>0.69891607441641401</v>
      </c>
      <c r="BL19" s="323">
        <f t="shared" si="15"/>
        <v>0.69891607441641401</v>
      </c>
    </row>
    <row r="20" spans="1:64" ht="15" hidden="1" customHeight="1" x14ac:dyDescent="0.25">
      <c r="A20" s="1"/>
      <c r="B20" s="68" t="s">
        <v>13</v>
      </c>
      <c r="C20" s="69"/>
      <c r="D20" s="70">
        <v>0.50815499999999991</v>
      </c>
      <c r="E20" s="70">
        <v>0.48740000000000006</v>
      </c>
      <c r="F20" s="71">
        <v>0.51037003495985722</v>
      </c>
      <c r="G20" s="71">
        <v>0.52721991492454556</v>
      </c>
      <c r="H20" s="71">
        <v>0.52594590750039516</v>
      </c>
      <c r="I20" s="72"/>
      <c r="J20" s="71" t="e">
        <f>+SUM(J32,J34,J39)</f>
        <v>#REF!</v>
      </c>
      <c r="K20" s="71">
        <f>+SUM(K32,K34,K39)</f>
        <v>0.5927182740938719</v>
      </c>
      <c r="L20" s="71">
        <f>+SUM(L32,L34,L39)</f>
        <v>0.58009505177500531</v>
      </c>
      <c r="M20" s="277"/>
      <c r="N20" s="71"/>
      <c r="O20" s="71"/>
      <c r="P20" s="71"/>
      <c r="Q20" s="207"/>
      <c r="R20" s="207"/>
      <c r="S20" s="207"/>
      <c r="U20" s="73"/>
      <c r="V20" s="73"/>
      <c r="W20" s="73"/>
      <c r="X20" s="73"/>
      <c r="Y20" s="73"/>
      <c r="Z20" s="73"/>
      <c r="BD20" s="319"/>
      <c r="BE20" s="319"/>
      <c r="BF20" s="319"/>
      <c r="BG20" s="319"/>
      <c r="BH20" s="319"/>
      <c r="BI20" s="319"/>
      <c r="BJ20" s="319"/>
      <c r="BK20" s="319"/>
      <c r="BL20" s="319"/>
    </row>
    <row r="21" spans="1:64" ht="15" hidden="1" customHeight="1" x14ac:dyDescent="0.25">
      <c r="B21" s="74" t="s">
        <v>14</v>
      </c>
      <c r="D21" s="44">
        <v>0.39791999999999994</v>
      </c>
      <c r="E21" s="44">
        <v>0.38400000000000001</v>
      </c>
      <c r="F21" s="75">
        <v>0.38728652135593222</v>
      </c>
      <c r="G21" s="75">
        <v>0.38951321011238271</v>
      </c>
      <c r="H21" s="75">
        <v>0.39052173314618122</v>
      </c>
      <c r="I21" s="46"/>
      <c r="J21" s="75">
        <f>+SUM(J32,J41,J40)</f>
        <v>0.39485236626577602</v>
      </c>
      <c r="K21" s="75">
        <f>+SUM(K32,K41,K40)</f>
        <v>0.41873997099786714</v>
      </c>
      <c r="L21" s="75">
        <f>+SUM(L32,L41,L40)</f>
        <v>0.41265281469798198</v>
      </c>
      <c r="M21" s="278"/>
      <c r="N21" s="75"/>
      <c r="O21" s="75"/>
      <c r="P21" s="75"/>
      <c r="Q21" s="75"/>
      <c r="R21" s="75"/>
      <c r="S21" s="75"/>
      <c r="U21" s="76"/>
      <c r="V21" s="76"/>
      <c r="W21" s="76"/>
      <c r="X21" s="76"/>
      <c r="Y21" s="76"/>
      <c r="Z21" s="76"/>
      <c r="BD21" s="319"/>
      <c r="BE21" s="319"/>
      <c r="BF21" s="319"/>
      <c r="BG21" s="319"/>
      <c r="BH21" s="319"/>
      <c r="BI21" s="319"/>
      <c r="BJ21" s="319"/>
      <c r="BK21" s="319"/>
      <c r="BL21" s="319"/>
    </row>
    <row r="22" spans="1:64" ht="15" hidden="1" customHeight="1" x14ac:dyDescent="0.25">
      <c r="B22" s="74" t="s">
        <v>15</v>
      </c>
      <c r="D22" s="44">
        <v>9.2234999999999998E-2</v>
      </c>
      <c r="E22" s="44">
        <v>8.7000000000000008E-2</v>
      </c>
      <c r="F22" s="75">
        <v>0.10487343331846566</v>
      </c>
      <c r="G22" s="75">
        <v>0.11593298179612942</v>
      </c>
      <c r="H22" s="75">
        <v>0.11322206160272776</v>
      </c>
      <c r="I22" s="46"/>
      <c r="J22" s="75">
        <f>+SUM(J35,J45,J43,J42)</f>
        <v>9.9503856514873618E-2</v>
      </c>
      <c r="K22" s="75">
        <f>+SUM(K35,K45,K43,K42)</f>
        <v>0.11523244015501379</v>
      </c>
      <c r="L22" s="75">
        <f>+SUM(L35,L45,L43,L42)</f>
        <v>0.11416515973151908</v>
      </c>
      <c r="M22" s="278"/>
      <c r="N22" s="75"/>
      <c r="O22" s="75"/>
      <c r="P22" s="75"/>
      <c r="Q22" s="75"/>
      <c r="R22" s="75"/>
      <c r="S22" s="75"/>
      <c r="U22" s="76"/>
      <c r="V22" s="76"/>
      <c r="W22" s="76"/>
      <c r="X22" s="76"/>
      <c r="Y22" s="76"/>
      <c r="Z22" s="76"/>
      <c r="BD22" s="319"/>
      <c r="BE22" s="319"/>
      <c r="BF22" s="319"/>
      <c r="BG22" s="319"/>
      <c r="BH22" s="319"/>
      <c r="BI22" s="319"/>
      <c r="BJ22" s="319"/>
      <c r="BK22" s="319"/>
      <c r="BL22" s="319"/>
    </row>
    <row r="23" spans="1:64" ht="15" hidden="1" customHeight="1" x14ac:dyDescent="0.25">
      <c r="B23" s="74" t="s">
        <v>16</v>
      </c>
      <c r="D23" s="44">
        <v>1.7999999999999999E-2</v>
      </c>
      <c r="E23" s="44">
        <v>1.6400000000000001E-2</v>
      </c>
      <c r="F23" s="75">
        <v>1.8210080285459413E-2</v>
      </c>
      <c r="G23" s="75">
        <v>2.1773723016033447E-2</v>
      </c>
      <c r="H23" s="75">
        <v>2.2202112751486158E-2</v>
      </c>
      <c r="I23" s="46"/>
      <c r="J23" s="75">
        <f>+SUM(J36,J44)</f>
        <v>2.3703252126570797E-2</v>
      </c>
      <c r="K23" s="75">
        <f>+SUM(K36,K44)</f>
        <v>2.7633969705872556E-2</v>
      </c>
      <c r="L23" s="75">
        <f>+SUM(L36,L44)</f>
        <v>2.667707734550416E-2</v>
      </c>
      <c r="M23" s="278"/>
      <c r="N23" s="75"/>
      <c r="O23" s="75"/>
      <c r="P23" s="75"/>
      <c r="Q23" s="75"/>
      <c r="R23" s="75"/>
      <c r="S23" s="75"/>
      <c r="U23" s="76"/>
      <c r="V23" s="76"/>
      <c r="W23" s="76"/>
      <c r="X23" s="76"/>
      <c r="Y23" s="76"/>
      <c r="Z23" s="76"/>
      <c r="BD23" s="319"/>
      <c r="BE23" s="319"/>
      <c r="BF23" s="319"/>
      <c r="BG23" s="319"/>
      <c r="BH23" s="319"/>
      <c r="BI23" s="319"/>
      <c r="BJ23" s="319"/>
      <c r="BK23" s="319"/>
      <c r="BL23" s="319"/>
    </row>
    <row r="24" spans="1:64" ht="15" hidden="1" customHeight="1" x14ac:dyDescent="0.25">
      <c r="B24" s="68" t="s">
        <v>17</v>
      </c>
      <c r="C24" s="69"/>
      <c r="D24" s="77">
        <v>0.39987132253395979</v>
      </c>
      <c r="E24" s="77">
        <v>0.39105447182649483</v>
      </c>
      <c r="F24" s="78">
        <v>0.38396934402565447</v>
      </c>
      <c r="G24" s="78">
        <v>0.27875966337754127</v>
      </c>
      <c r="H24" s="78">
        <v>0.27150476880784913</v>
      </c>
      <c r="I24" s="72"/>
      <c r="J24" s="78" t="e">
        <f>+SUM(J67,J54,J62,J52)</f>
        <v>#REF!</v>
      </c>
      <c r="K24" s="78">
        <f>+SUM(K67,K54,K62,K52)</f>
        <v>0.39104140011722022</v>
      </c>
      <c r="L24" s="78">
        <f>+SUM(L67,L54,L62,L52)</f>
        <v>0.40007620961596968</v>
      </c>
      <c r="M24" s="279"/>
      <c r="N24" s="78"/>
      <c r="O24" s="78"/>
      <c r="P24" s="78"/>
      <c r="Q24" s="207"/>
      <c r="R24" s="207"/>
      <c r="S24" s="207"/>
      <c r="U24" s="79"/>
      <c r="V24" s="79"/>
      <c r="W24" s="79"/>
      <c r="X24" s="79"/>
      <c r="Y24" s="79"/>
      <c r="Z24" s="79"/>
      <c r="BD24" s="319"/>
      <c r="BE24" s="319"/>
      <c r="BF24" s="319"/>
      <c r="BG24" s="319"/>
      <c r="BH24" s="319"/>
      <c r="BI24" s="319"/>
      <c r="BJ24" s="319"/>
      <c r="BK24" s="319"/>
      <c r="BL24" s="319"/>
    </row>
    <row r="25" spans="1:64" ht="15" hidden="1" customHeight="1" x14ac:dyDescent="0.25">
      <c r="B25" s="74" t="s">
        <v>18</v>
      </c>
      <c r="D25" s="44">
        <v>0.32718322887940887</v>
      </c>
      <c r="E25" s="44">
        <v>0.2792551467258072</v>
      </c>
      <c r="F25" s="75">
        <v>0.2906592414386785</v>
      </c>
      <c r="G25" s="75">
        <v>0.18613723809214161</v>
      </c>
      <c r="H25" s="75">
        <v>0.19085968427993799</v>
      </c>
      <c r="I25" s="46"/>
      <c r="J25" s="75">
        <f>+SUM(J52,J54,J62)</f>
        <v>0.12580009725520874</v>
      </c>
      <c r="K25" s="75">
        <f t="shared" ref="K25:L25" si="16">+SUM(K52,K54,K62)</f>
        <v>0.16020699326062465</v>
      </c>
      <c r="L25" s="75">
        <f t="shared" si="16"/>
        <v>0.22098096381301954</v>
      </c>
      <c r="M25" s="278"/>
      <c r="N25" s="75"/>
      <c r="O25" s="75"/>
      <c r="P25" s="75"/>
      <c r="Q25" s="75"/>
      <c r="R25" s="75"/>
      <c r="S25" s="75"/>
      <c r="U25" s="76"/>
      <c r="V25" s="76"/>
      <c r="W25" s="76"/>
      <c r="X25" s="76"/>
      <c r="Y25" s="76"/>
      <c r="Z25" s="76"/>
      <c r="BD25" s="319"/>
      <c r="BE25" s="319"/>
      <c r="BF25" s="319"/>
      <c r="BG25" s="319"/>
      <c r="BH25" s="319"/>
      <c r="BI25" s="319"/>
      <c r="BJ25" s="319"/>
      <c r="BK25" s="319"/>
      <c r="BL25" s="319"/>
    </row>
    <row r="26" spans="1:64" ht="15" hidden="1" customHeight="1" x14ac:dyDescent="0.25">
      <c r="B26" s="74" t="s">
        <v>19</v>
      </c>
      <c r="D26" s="44">
        <v>7.2688093654550937E-2</v>
      </c>
      <c r="E26" s="44">
        <v>0.11179932510068762</v>
      </c>
      <c r="F26" s="75">
        <v>9.3310102586975932E-2</v>
      </c>
      <c r="G26" s="75">
        <v>9.262242528539967E-2</v>
      </c>
      <c r="H26" s="75">
        <v>8.0645084527911165E-2</v>
      </c>
      <c r="I26" s="46"/>
      <c r="J26" s="75" t="e">
        <f>+SUM(J67)</f>
        <v>#REF!</v>
      </c>
      <c r="K26" s="75">
        <f t="shared" ref="K26:L26" si="17">+SUM(K67)</f>
        <v>0.23083440685659559</v>
      </c>
      <c r="L26" s="75">
        <f t="shared" si="17"/>
        <v>0.17909524580295016</v>
      </c>
      <c r="M26" s="278"/>
      <c r="N26" s="75"/>
      <c r="O26" s="75"/>
      <c r="P26" s="75"/>
      <c r="Q26" s="75"/>
      <c r="R26" s="75"/>
      <c r="S26" s="75"/>
      <c r="U26" s="76"/>
      <c r="V26" s="76"/>
      <c r="W26" s="76"/>
      <c r="X26" s="76"/>
      <c r="Y26" s="76"/>
      <c r="Z26" s="76"/>
      <c r="BD26" s="319"/>
      <c r="BE26" s="319"/>
      <c r="BF26" s="319"/>
      <c r="BG26" s="319"/>
      <c r="BH26" s="319"/>
      <c r="BI26" s="319"/>
      <c r="BJ26" s="319"/>
      <c r="BK26" s="319"/>
      <c r="BL26" s="319"/>
    </row>
    <row r="27" spans="1:64" ht="0.75" customHeight="1" x14ac:dyDescent="0.25">
      <c r="A27" s="1"/>
      <c r="B27" s="68" t="s">
        <v>20</v>
      </c>
      <c r="C27" s="69"/>
      <c r="D27" s="77">
        <v>5.9733517117736029E-2</v>
      </c>
      <c r="E27" s="77">
        <v>5.9733517117736029E-2</v>
      </c>
      <c r="F27" s="78">
        <v>4.8394290811775202E-2</v>
      </c>
      <c r="G27" s="78">
        <v>2.5321573342128503E-2</v>
      </c>
      <c r="H27" s="78">
        <v>1.9993930413981471E-2</v>
      </c>
      <c r="I27" s="72"/>
      <c r="J27" s="78" t="e">
        <f>+J75</f>
        <v>#REF!</v>
      </c>
      <c r="K27" s="78">
        <f t="shared" ref="K27:L27" si="18">+K75</f>
        <v>0</v>
      </c>
      <c r="L27" s="78">
        <f t="shared" si="18"/>
        <v>0</v>
      </c>
      <c r="M27" s="279"/>
      <c r="N27" s="78"/>
      <c r="O27" s="78"/>
      <c r="P27" s="78"/>
      <c r="Q27" s="207"/>
      <c r="R27" s="207"/>
      <c r="S27" s="207"/>
      <c r="U27" s="79"/>
      <c r="V27" s="79"/>
      <c r="W27" s="79"/>
      <c r="X27" s="79"/>
      <c r="Y27" s="79"/>
      <c r="Z27" s="79"/>
      <c r="BD27" s="319"/>
      <c r="BE27" s="319"/>
      <c r="BF27" s="319"/>
      <c r="BG27" s="319"/>
      <c r="BH27" s="319"/>
      <c r="BI27" s="319"/>
      <c r="BJ27" s="319"/>
      <c r="BK27" s="319"/>
      <c r="BL27" s="319"/>
    </row>
    <row r="28" spans="1:64" ht="7.5" customHeight="1" x14ac:dyDescent="0.25">
      <c r="A28" s="37"/>
      <c r="B28" s="80"/>
      <c r="E28" s="44"/>
      <c r="F28" s="45"/>
      <c r="G28" s="45"/>
      <c r="H28" s="45"/>
      <c r="I28" s="46"/>
      <c r="J28" s="45"/>
      <c r="K28" s="45"/>
      <c r="L28" s="45"/>
      <c r="M28" s="278"/>
      <c r="N28" s="45"/>
      <c r="O28" s="45"/>
      <c r="P28" s="45"/>
      <c r="Q28" s="45"/>
      <c r="R28" s="45"/>
      <c r="S28" s="45"/>
      <c r="U28" s="47"/>
      <c r="V28" s="47"/>
      <c r="W28" s="47"/>
      <c r="X28" s="47"/>
      <c r="Y28" s="47"/>
      <c r="Z28" s="47"/>
      <c r="AD28" s="81">
        <f>AD19/AC19-1</f>
        <v>0.40000000000003988</v>
      </c>
      <c r="BD28" s="319"/>
      <c r="BE28" s="319"/>
      <c r="BF28" s="319"/>
      <c r="BG28" s="319"/>
      <c r="BH28" s="319"/>
      <c r="BI28" s="319"/>
      <c r="BJ28" s="319"/>
      <c r="BK28" s="319"/>
      <c r="BL28" s="319"/>
    </row>
    <row r="29" spans="1:64" ht="17.25" hidden="1" customHeight="1" x14ac:dyDescent="0.25">
      <c r="A29" s="37"/>
      <c r="B29" s="80"/>
      <c r="C29" s="210" t="s">
        <v>85</v>
      </c>
      <c r="E29" s="44"/>
      <c r="F29" s="45"/>
      <c r="G29" s="45"/>
      <c r="H29" s="45"/>
      <c r="I29" s="46"/>
      <c r="J29" s="45"/>
      <c r="K29" s="45"/>
      <c r="L29" s="208">
        <v>0.99410549375391521</v>
      </c>
      <c r="M29" s="280"/>
      <c r="N29" s="208">
        <v>0.95041299199379514</v>
      </c>
      <c r="O29" s="208">
        <v>0.9098443225191003</v>
      </c>
      <c r="P29" s="208">
        <v>0.86292148467956764</v>
      </c>
      <c r="Q29" s="208">
        <v>0.83262840223976065</v>
      </c>
      <c r="R29" s="208">
        <v>0.7806974741274566</v>
      </c>
      <c r="S29" s="208">
        <v>0.75487579680838213</v>
      </c>
      <c r="U29" s="47"/>
      <c r="V29" s="47"/>
      <c r="W29" s="47"/>
      <c r="X29" s="47"/>
      <c r="Y29" s="47"/>
      <c r="Z29" s="47"/>
      <c r="AD29" s="81"/>
      <c r="AE29" s="182">
        <f>AE17-L17</f>
        <v>-1.184802850662503E-2</v>
      </c>
      <c r="AF29" s="182">
        <f>AF17-N17</f>
        <v>-4.295559227515211E-2</v>
      </c>
      <c r="AG29" s="182">
        <f>AG17-O17</f>
        <v>-2.9029047896741544E-2</v>
      </c>
      <c r="AH29" s="182">
        <f>AH17-P17</f>
        <v>-2.7448358442742404E-2</v>
      </c>
      <c r="BD29" s="319"/>
      <c r="BE29" s="319"/>
      <c r="BF29" s="319"/>
      <c r="BG29" s="319"/>
      <c r="BH29" s="319"/>
      <c r="BI29" s="319"/>
      <c r="BJ29" s="319"/>
      <c r="BK29" s="319"/>
      <c r="BL29" s="319"/>
    </row>
    <row r="30" spans="1:64" ht="21.75" hidden="1" customHeight="1" x14ac:dyDescent="0.25">
      <c r="A30" s="83"/>
      <c r="B30" s="84"/>
      <c r="C30" s="209" t="s">
        <v>86</v>
      </c>
      <c r="D30" s="85"/>
      <c r="E30" s="85"/>
      <c r="F30" s="72"/>
      <c r="G30" s="72"/>
      <c r="H30" s="72"/>
      <c r="I30" s="72"/>
      <c r="J30" s="51"/>
      <c r="K30" s="51"/>
      <c r="L30" s="51">
        <f>L17-L29</f>
        <v>1.184802850662503E-2</v>
      </c>
      <c r="M30" s="281"/>
      <c r="N30" s="51">
        <f t="shared" ref="N30:S30" si="19">N17-N29</f>
        <v>4.295559227515211E-2</v>
      </c>
      <c r="O30" s="51">
        <f t="shared" si="19"/>
        <v>2.9029047896741544E-2</v>
      </c>
      <c r="P30" s="51">
        <f t="shared" si="19"/>
        <v>2.7448358442742404E-2</v>
      </c>
      <c r="Q30" s="51">
        <f t="shared" si="19"/>
        <v>1.8346098352200801E-2</v>
      </c>
      <c r="R30" s="51">
        <f t="shared" si="19"/>
        <v>9.9479669638184998E-3</v>
      </c>
      <c r="S30" s="51">
        <f t="shared" si="19"/>
        <v>-1.5223861415814E-4</v>
      </c>
      <c r="U30" s="86"/>
      <c r="V30" s="86"/>
      <c r="W30" s="86"/>
      <c r="X30" s="86"/>
      <c r="Y30" s="86"/>
      <c r="Z30" s="86"/>
      <c r="AF30" s="206">
        <v>544418.7351964144</v>
      </c>
      <c r="AG30" s="206">
        <v>945338.9088990821</v>
      </c>
      <c r="AH30" s="206">
        <f>AF30*AF29</f>
        <v>-23385.829216051181</v>
      </c>
      <c r="AI30" s="206">
        <f t="shared" ref="AI30:AM30" si="20">AG30*AG29</f>
        <v>-27442.288465084846</v>
      </c>
      <c r="AJ30" s="206">
        <f t="shared" si="20"/>
        <v>641.90262280293041</v>
      </c>
      <c r="AK30" s="206">
        <f t="shared" si="20"/>
        <v>0</v>
      </c>
      <c r="AL30" s="206">
        <f t="shared" si="20"/>
        <v>0</v>
      </c>
      <c r="AM30" s="206">
        <f t="shared" si="20"/>
        <v>0</v>
      </c>
      <c r="AN30" s="206">
        <f>AL30*AL29</f>
        <v>0</v>
      </c>
      <c r="BD30" s="324">
        <f>BB30*BB29</f>
        <v>0</v>
      </c>
      <c r="BE30" s="319"/>
      <c r="BF30" s="319"/>
      <c r="BG30" s="319"/>
      <c r="BH30" s="319"/>
      <c r="BI30" s="319"/>
      <c r="BJ30" s="319"/>
      <c r="BK30" s="319"/>
      <c r="BL30" s="319"/>
    </row>
    <row r="31" spans="1:64" ht="24" hidden="1" customHeight="1" x14ac:dyDescent="0.25">
      <c r="A31" s="83"/>
      <c r="B31" s="84"/>
      <c r="C31" s="209" t="s">
        <v>88</v>
      </c>
      <c r="D31" s="85"/>
      <c r="E31" s="85"/>
      <c r="F31" s="72"/>
      <c r="G31" s="72"/>
      <c r="H31" s="72"/>
      <c r="I31" s="72"/>
      <c r="J31" s="51"/>
      <c r="K31" s="51"/>
      <c r="L31" s="51">
        <f>L11-L17</f>
        <v>0</v>
      </c>
      <c r="M31" s="281"/>
      <c r="N31" s="51">
        <f t="shared" ref="N31:R31" si="21">N11-N17</f>
        <v>-2.0000000000000018E-2</v>
      </c>
      <c r="O31" s="51">
        <f t="shared" si="21"/>
        <v>0</v>
      </c>
      <c r="P31" s="51">
        <f t="shared" si="21"/>
        <v>0</v>
      </c>
      <c r="Q31" s="51">
        <f t="shared" si="21"/>
        <v>-1.8346098352200801E-2</v>
      </c>
      <c r="R31" s="51">
        <f t="shared" si="21"/>
        <v>-9.9479669638184998E-3</v>
      </c>
      <c r="S31" s="51">
        <f>S11-S17</f>
        <v>1.5223861415814E-4</v>
      </c>
      <c r="U31" s="86"/>
      <c r="V31" s="86"/>
      <c r="W31" s="86"/>
      <c r="X31" s="86"/>
      <c r="Y31" s="86"/>
      <c r="Z31" s="86"/>
      <c r="AF31" s="206"/>
      <c r="AG31" s="206"/>
      <c r="AH31" s="206"/>
      <c r="AI31" s="206"/>
      <c r="AJ31" s="206"/>
      <c r="AK31" s="206"/>
      <c r="AL31" s="206"/>
      <c r="AM31" s="206"/>
      <c r="AN31" s="206"/>
      <c r="BD31" s="324"/>
      <c r="BE31" s="319"/>
      <c r="BF31" s="319"/>
      <c r="BG31" s="319"/>
      <c r="BH31" s="319"/>
      <c r="BI31" s="319"/>
      <c r="BJ31" s="319"/>
      <c r="BK31" s="319"/>
      <c r="BL31" s="319"/>
    </row>
    <row r="32" spans="1:64" x14ac:dyDescent="0.25">
      <c r="B32" s="43" t="s">
        <v>21</v>
      </c>
      <c r="C32" s="87"/>
      <c r="D32" s="88">
        <v>0.3</v>
      </c>
      <c r="E32" s="89">
        <v>0.28000000000000003</v>
      </c>
      <c r="F32" s="90">
        <v>0.3</v>
      </c>
      <c r="G32" s="90">
        <v>0.3</v>
      </c>
      <c r="H32" s="90">
        <v>0.3</v>
      </c>
      <c r="I32" s="91"/>
      <c r="J32" s="198">
        <f>[1]Projection_Detail!S14</f>
        <v>0.29888745203178346</v>
      </c>
      <c r="K32" s="198">
        <f>[1]Projection_Detail!T14</f>
        <v>0.31809127433381107</v>
      </c>
      <c r="L32" s="90">
        <v>0.31997650575267755</v>
      </c>
      <c r="M32" s="282">
        <v>0.31754079199564383</v>
      </c>
      <c r="N32" s="90">
        <v>0.31886380803091907</v>
      </c>
      <c r="O32" s="90">
        <v>0.317309330018471</v>
      </c>
      <c r="P32" s="90">
        <v>0.317309330018471</v>
      </c>
      <c r="Q32" s="90">
        <v>0.317309330018471</v>
      </c>
      <c r="R32" s="90">
        <v>0.317309330018471</v>
      </c>
      <c r="S32" s="90">
        <v>0.317309330018471</v>
      </c>
      <c r="U32" s="92">
        <f>J32*[1]Projection_Detail!S$3</f>
        <v>34879.911</v>
      </c>
      <c r="V32" s="92">
        <f>K32*[1]Projection_Detail!T$3</f>
        <v>99342.799446000005</v>
      </c>
      <c r="W32" s="92">
        <f>L32*AA$19</f>
        <v>142526.18223182578</v>
      </c>
      <c r="X32" s="92">
        <f>N32*AB$19</f>
        <v>207534.0668980421</v>
      </c>
      <c r="Y32" s="92">
        <f t="shared" ref="Y32" si="22">O32*AC$19</f>
        <v>289526.46698900434</v>
      </c>
      <c r="Z32" s="92">
        <f t="shared" ref="Z32" si="23">P32*AD$19</f>
        <v>405337.05378461763</v>
      </c>
      <c r="AA32" s="186">
        <f>W32+W34+W39</f>
        <v>258390.01168720325</v>
      </c>
      <c r="AE32" s="194">
        <v>0.31997650575267755</v>
      </c>
      <c r="AF32" s="194">
        <v>0.31886380803091907</v>
      </c>
      <c r="AG32" s="194">
        <v>0.317309330018471</v>
      </c>
      <c r="AH32" s="194">
        <v>0.317309330018471</v>
      </c>
      <c r="AN32" s="90">
        <v>0.31666304682592422</v>
      </c>
      <c r="AO32" s="90">
        <v>0.31190931516780107</v>
      </c>
      <c r="AP32" s="90">
        <v>0.31139334194335083</v>
      </c>
      <c r="AQ32" s="90">
        <v>0.30795666946006994</v>
      </c>
      <c r="AR32" s="90">
        <v>0.30799497019346656</v>
      </c>
      <c r="AS32" s="90">
        <v>0.30799497019346517</v>
      </c>
      <c r="AT32" s="90">
        <v>0.30799497019346517</v>
      </c>
      <c r="AU32" s="90">
        <v>0.30799497019346517</v>
      </c>
      <c r="BD32" s="90">
        <v>0.31666304682592422</v>
      </c>
      <c r="BE32" s="90">
        <v>0.31190931516780107</v>
      </c>
      <c r="BF32" s="90">
        <v>0.31139334194335083</v>
      </c>
      <c r="BG32" s="90">
        <v>0.30795666946006994</v>
      </c>
      <c r="BH32" s="90">
        <v>0.30799497019346656</v>
      </c>
      <c r="BI32" s="90">
        <v>0.30799497019346517</v>
      </c>
      <c r="BJ32" s="90">
        <v>0.30799497019346517</v>
      </c>
      <c r="BK32" s="90">
        <v>0.30799497019346517</v>
      </c>
      <c r="BL32" s="90">
        <v>0.30799497019346517</v>
      </c>
    </row>
    <row r="33" spans="1:64" ht="9.75" customHeight="1" x14ac:dyDescent="0.25">
      <c r="K33" s="93"/>
      <c r="L33" s="93"/>
      <c r="M33" s="283"/>
      <c r="N33" s="93"/>
      <c r="O33" s="93"/>
      <c r="P33" s="93"/>
      <c r="Q33" s="93"/>
      <c r="R33" s="93"/>
      <c r="S33" s="93"/>
      <c r="U33" s="94"/>
      <c r="V33" s="94"/>
      <c r="W33" s="94"/>
      <c r="X33" s="94"/>
      <c r="Y33" s="94"/>
      <c r="Z33" s="94"/>
      <c r="AN33" s="93"/>
      <c r="AO33" s="93"/>
      <c r="AP33" s="93"/>
      <c r="AQ33" s="93"/>
      <c r="AR33" s="93"/>
      <c r="AS33" s="93"/>
      <c r="BD33" s="325"/>
      <c r="BE33" s="325"/>
      <c r="BF33" s="325"/>
      <c r="BG33" s="325"/>
      <c r="BH33" s="325"/>
      <c r="BI33" s="325"/>
      <c r="BJ33" s="325"/>
      <c r="BK33" s="325"/>
      <c r="BL33" s="325"/>
    </row>
    <row r="34" spans="1:64" x14ac:dyDescent="0.25">
      <c r="B34" s="43" t="s">
        <v>22</v>
      </c>
      <c r="C34" s="87"/>
      <c r="D34" s="88">
        <v>0.06</v>
      </c>
      <c r="E34" s="88">
        <v>5.6000000000000008E-2</v>
      </c>
      <c r="F34" s="95">
        <v>0.06</v>
      </c>
      <c r="G34" s="95">
        <v>0.06</v>
      </c>
      <c r="H34" s="95">
        <v>0.06</v>
      </c>
      <c r="I34" s="96"/>
      <c r="J34" s="199">
        <f>SUM(J35:J36)</f>
        <v>5.3698563900397976E-2</v>
      </c>
      <c r="K34" s="199">
        <f>SUM(K35:K36)</f>
        <v>6.0321347588529028E-2</v>
      </c>
      <c r="L34" s="95">
        <f>SUM(L35:L36)</f>
        <v>6.1159507447854339E-2</v>
      </c>
      <c r="M34" s="284">
        <f>SUM(M35:M36)</f>
        <v>6.0668616657195806E-2</v>
      </c>
      <c r="N34" s="95">
        <f t="shared" ref="N34:S34" si="24">SUM(N35:N36)</f>
        <v>6.1050239762084312E-2</v>
      </c>
      <c r="O34" s="95">
        <f t="shared" si="24"/>
        <v>6.0704259852206073E-2</v>
      </c>
      <c r="P34" s="95">
        <f t="shared" si="24"/>
        <v>6.0597474935026263E-2</v>
      </c>
      <c r="Q34" s="95">
        <f t="shared" si="24"/>
        <v>6.0974677250161008E-2</v>
      </c>
      <c r="R34" s="95">
        <f t="shared" si="24"/>
        <v>6.0643564307706108E-2</v>
      </c>
      <c r="S34" s="95">
        <f t="shared" si="24"/>
        <v>6.0565651547745361E-2</v>
      </c>
      <c r="U34" s="97">
        <f>J34*[1]Projection_Detail!S$3</f>
        <v>6266.5766560000011</v>
      </c>
      <c r="V34" s="97">
        <f>K34*[1]Projection_Detail!T$3</f>
        <v>18838.905745999997</v>
      </c>
      <c r="W34" s="97">
        <f>SUM(W35:W36)</f>
        <v>27242.097300916139</v>
      </c>
      <c r="X34" s="97">
        <f t="shared" ref="X34:Z34" si="25">SUM(X35:X36)</f>
        <v>39734.846739637986</v>
      </c>
      <c r="Y34" s="97">
        <f t="shared" si="25"/>
        <v>55389.136793325903</v>
      </c>
      <c r="Z34" s="97">
        <f t="shared" si="25"/>
        <v>77408.382399348135</v>
      </c>
      <c r="AE34" s="192">
        <f>SUM(AE35:AE36)</f>
        <v>6.1159507447854339E-2</v>
      </c>
      <c r="AF34" s="192">
        <f t="shared" ref="AF34:AH34" si="26">SUM(AF35:AF36)</f>
        <v>6.1050239762084312E-2</v>
      </c>
      <c r="AG34" s="192">
        <f t="shared" si="26"/>
        <v>6.0704259852206073E-2</v>
      </c>
      <c r="AH34" s="192">
        <f t="shared" si="26"/>
        <v>6.0497474935026309E-2</v>
      </c>
      <c r="AN34" s="95">
        <v>6.1445440326540472E-2</v>
      </c>
      <c r="AO34" s="95">
        <v>5.9279595126104062E-2</v>
      </c>
      <c r="AP34" s="95">
        <v>5.7330759489464117E-2</v>
      </c>
      <c r="AQ34" s="95">
        <v>5.408661473981291E-2</v>
      </c>
      <c r="AR34" s="95">
        <v>5.2364368032488479E-2</v>
      </c>
      <c r="AS34" s="95">
        <v>5.0956050900488728E-2</v>
      </c>
      <c r="AT34" s="95">
        <v>5.0956050900488728E-2</v>
      </c>
      <c r="AU34" s="95">
        <v>5.0956050900488728E-2</v>
      </c>
      <c r="BD34" s="326">
        <v>6.1445440326540479E-2</v>
      </c>
      <c r="BE34" s="326">
        <v>5.9279595126104062E-2</v>
      </c>
      <c r="BF34" s="326">
        <v>5.7330759489464117E-2</v>
      </c>
      <c r="BG34" s="326">
        <v>5.4086614739812917E-2</v>
      </c>
      <c r="BH34" s="326">
        <v>5.2364368032488479E-2</v>
      </c>
      <c r="BI34" s="326">
        <v>5.0956050900488728E-2</v>
      </c>
      <c r="BJ34" s="326">
        <v>5.0956050900488728E-2</v>
      </c>
      <c r="BK34" s="326">
        <v>5.0956050900488728E-2</v>
      </c>
      <c r="BL34" s="326">
        <v>5.0956050900488728E-2</v>
      </c>
    </row>
    <row r="35" spans="1:64" x14ac:dyDescent="0.25">
      <c r="B35" s="98" t="s">
        <v>23</v>
      </c>
      <c r="C35" s="99"/>
      <c r="D35" s="44">
        <v>4.4999999999999998E-2</v>
      </c>
      <c r="E35" s="44">
        <v>4.2000000000000003E-2</v>
      </c>
      <c r="F35" s="100">
        <v>4.4999999999999998E-2</v>
      </c>
      <c r="G35" s="100">
        <v>4.4999999999999998E-2</v>
      </c>
      <c r="H35" s="100">
        <v>4.4999999999999998E-2</v>
      </c>
      <c r="I35" s="46"/>
      <c r="J35" s="200">
        <f>[1]Projection_Detail!S81</f>
        <v>4.1629952979605304E-2</v>
      </c>
      <c r="K35" s="200">
        <f>[1]Projection_Detail!T81</f>
        <v>4.6852241082395996E-2</v>
      </c>
      <c r="L35" s="100">
        <v>4.7996475862901629E-2</v>
      </c>
      <c r="M35" s="278">
        <v>4.6898706151833273E-2</v>
      </c>
      <c r="N35" s="100">
        <v>4.7829571204637857E-2</v>
      </c>
      <c r="O35" s="100">
        <v>4.7596399502770649E-2</v>
      </c>
      <c r="P35" s="100">
        <v>4.7696399502770603E-2</v>
      </c>
      <c r="Q35" s="100">
        <v>4.7596399502770649E-2</v>
      </c>
      <c r="R35" s="100">
        <v>4.7596399502770649E-2</v>
      </c>
      <c r="S35" s="100">
        <v>4.7596399502770649E-2</v>
      </c>
      <c r="U35" s="101">
        <f>J35*[1]Projection_Detail!S$3</f>
        <v>4858.1800440000006</v>
      </c>
      <c r="V35" s="101">
        <f>K35*[1]Projection_Detail!T$3</f>
        <v>14632.381222</v>
      </c>
      <c r="W35" s="101">
        <f>L35*AA$19</f>
        <v>21378.927334773867</v>
      </c>
      <c r="X35" s="101">
        <f>N35*AB$19</f>
        <v>31130.110034706315</v>
      </c>
      <c r="Y35" s="101">
        <f t="shared" ref="Y35:Y36" si="27">O35*AC$19</f>
        <v>43428.970048350653</v>
      </c>
      <c r="Z35" s="101">
        <f t="shared" ref="Z35:Z36" si="28">P35*AD$19</f>
        <v>60928.299995029236</v>
      </c>
      <c r="AE35" s="193">
        <v>4.7996475862901629E-2</v>
      </c>
      <c r="AF35" s="193">
        <v>4.7829571204637857E-2</v>
      </c>
      <c r="AG35" s="193">
        <v>4.7596399502770649E-2</v>
      </c>
      <c r="AH35" s="193">
        <v>4.7596399502770649E-2</v>
      </c>
      <c r="AN35" s="100">
        <v>4.6395624021563768E-2</v>
      </c>
      <c r="AO35" s="100">
        <v>4.5119208777861908E-2</v>
      </c>
      <c r="AP35" s="100">
        <v>4.3494381426186418E-2</v>
      </c>
      <c r="AQ35" s="100">
        <v>4.1252205450722779E-2</v>
      </c>
      <c r="AR35" s="100">
        <v>3.9551623378483357E-2</v>
      </c>
      <c r="AS35" s="100">
        <v>3.8297151324838644E-2</v>
      </c>
      <c r="AT35" s="229">
        <f>AN35-AS35</f>
        <v>8.0984726967251244E-3</v>
      </c>
      <c r="BD35" s="327">
        <v>4.6395624021563768E-2</v>
      </c>
      <c r="BE35" s="327">
        <v>4.5119208777861908E-2</v>
      </c>
      <c r="BF35" s="327">
        <v>4.3494381426186418E-2</v>
      </c>
      <c r="BG35" s="327">
        <v>4.1252205450722779E-2</v>
      </c>
      <c r="BH35" s="327">
        <v>3.9551623378483357E-2</v>
      </c>
      <c r="BI35" s="327">
        <v>3.8297151324838644E-2</v>
      </c>
      <c r="BJ35" s="327">
        <v>3.8297151324838644E-2</v>
      </c>
      <c r="BK35" s="327">
        <v>3.8297151324838644E-2</v>
      </c>
      <c r="BL35" s="327">
        <v>3.8297151324838644E-2</v>
      </c>
    </row>
    <row r="36" spans="1:64" x14ac:dyDescent="0.25">
      <c r="B36" s="98" t="s">
        <v>24</v>
      </c>
      <c r="C36" s="99"/>
      <c r="D36" s="44">
        <v>1.4999999999999999E-2</v>
      </c>
      <c r="E36" s="44">
        <v>1.4000000000000002E-2</v>
      </c>
      <c r="F36" s="100">
        <v>1.4999999999999999E-2</v>
      </c>
      <c r="G36" s="100">
        <v>1.4999999999999999E-2</v>
      </c>
      <c r="H36" s="100">
        <v>1.4999999999999999E-2</v>
      </c>
      <c r="I36" s="46"/>
      <c r="J36" s="200">
        <f>[1]Projection_Detail!S88</f>
        <v>1.206861092079267E-2</v>
      </c>
      <c r="K36" s="200">
        <f>[1]Projection_Detail!T88</f>
        <v>1.3469106506133031E-2</v>
      </c>
      <c r="L36" s="100">
        <v>1.3163031584952712E-2</v>
      </c>
      <c r="M36" s="278">
        <v>1.3769910505362531E-2</v>
      </c>
      <c r="N36" s="100">
        <v>1.3220668557446453E-2</v>
      </c>
      <c r="O36" s="100">
        <v>1.3107860349435424E-2</v>
      </c>
      <c r="P36" s="100">
        <v>1.2901075432255662E-2</v>
      </c>
      <c r="Q36" s="100">
        <v>1.3378277747390361E-2</v>
      </c>
      <c r="R36" s="100">
        <v>1.304716480493546E-2</v>
      </c>
      <c r="S36" s="100">
        <v>1.2969252044974714E-2</v>
      </c>
      <c r="U36" s="101">
        <f>J36*[1]Projection_Detail!S$3</f>
        <v>1408.396612</v>
      </c>
      <c r="V36" s="101">
        <f>K36*[1]Projection_Detail!T$3</f>
        <v>4206.5245239999986</v>
      </c>
      <c r="W36" s="101">
        <f>L36*AA$19</f>
        <v>5863.1699661422717</v>
      </c>
      <c r="X36" s="101">
        <f t="shared" ref="X36" si="29">N36*AB$19</f>
        <v>8604.7367049316672</v>
      </c>
      <c r="Y36" s="101">
        <f t="shared" si="27"/>
        <v>11960.166744975251</v>
      </c>
      <c r="Z36" s="101">
        <f t="shared" si="28"/>
        <v>16480.082404318895</v>
      </c>
      <c r="AE36" s="193">
        <v>1.3163031584952712E-2</v>
      </c>
      <c r="AF36" s="193">
        <v>1.3220668557446453E-2</v>
      </c>
      <c r="AG36" s="193">
        <v>1.3107860349435424E-2</v>
      </c>
      <c r="AH36" s="193">
        <v>1.2901075432255662E-2</v>
      </c>
      <c r="AN36" s="100">
        <v>1.5049816304976711E-2</v>
      </c>
      <c r="AO36" s="100">
        <v>1.4160386348242156E-2</v>
      </c>
      <c r="AP36" s="100">
        <v>1.3836378063277701E-2</v>
      </c>
      <c r="AQ36" s="100">
        <v>1.2834409289090137E-2</v>
      </c>
      <c r="AR36" s="100">
        <v>1.2812744654005122E-2</v>
      </c>
      <c r="AS36" s="100">
        <v>1.2658899575650083E-2</v>
      </c>
      <c r="AT36" s="230"/>
      <c r="BD36" s="327">
        <v>1.5049816304976711E-2</v>
      </c>
      <c r="BE36" s="327">
        <v>1.4160386348242156E-2</v>
      </c>
      <c r="BF36" s="327">
        <v>1.3836378063277701E-2</v>
      </c>
      <c r="BG36" s="327">
        <v>1.2834409289090137E-2</v>
      </c>
      <c r="BH36" s="327">
        <v>1.2812744654005122E-2</v>
      </c>
      <c r="BI36" s="327">
        <v>1.2658899575650083E-2</v>
      </c>
      <c r="BJ36" s="327">
        <v>1.2658899575650083E-2</v>
      </c>
      <c r="BK36" s="327">
        <v>1.2658899575650083E-2</v>
      </c>
      <c r="BL36" s="327">
        <v>1.2658899575650083E-2</v>
      </c>
    </row>
    <row r="37" spans="1:64" ht="7.5" customHeight="1" x14ac:dyDescent="0.25">
      <c r="A37" s="102"/>
      <c r="B37" s="103"/>
      <c r="C37" s="104"/>
      <c r="D37" s="105"/>
      <c r="E37" s="105"/>
      <c r="F37" s="105"/>
      <c r="G37" s="105"/>
      <c r="H37" s="105"/>
      <c r="I37" s="106"/>
      <c r="J37" s="105"/>
      <c r="K37" s="105"/>
      <c r="L37" s="105"/>
      <c r="M37" s="285"/>
      <c r="N37" s="105"/>
      <c r="O37" s="105"/>
      <c r="P37" s="105"/>
      <c r="Q37" s="105"/>
      <c r="R37" s="105"/>
      <c r="S37" s="105"/>
      <c r="U37" s="107"/>
      <c r="V37" s="107"/>
      <c r="W37" s="107"/>
      <c r="X37" s="107"/>
      <c r="Y37" s="107"/>
      <c r="Z37" s="107"/>
      <c r="AT37" s="230"/>
      <c r="BD37" s="319"/>
      <c r="BE37" s="319"/>
      <c r="BF37" s="319"/>
      <c r="BG37" s="319"/>
      <c r="BH37" s="319"/>
      <c r="BI37" s="319"/>
      <c r="BJ37" s="319"/>
      <c r="BK37" s="319"/>
      <c r="BL37" s="319"/>
    </row>
    <row r="38" spans="1:64" ht="17.25" customHeight="1" x14ac:dyDescent="0.25">
      <c r="K38" s="45"/>
      <c r="L38" s="45"/>
      <c r="M38" s="278"/>
      <c r="N38" s="5"/>
      <c r="O38" s="5"/>
      <c r="P38" s="5"/>
      <c r="Q38" s="5"/>
      <c r="R38" s="5"/>
      <c r="S38" s="5"/>
      <c r="U38" s="94"/>
      <c r="V38" s="94"/>
      <c r="W38" s="94"/>
      <c r="X38" s="94"/>
      <c r="Y38" s="94"/>
      <c r="Z38" s="94"/>
      <c r="AT38" s="230"/>
      <c r="BD38" s="319"/>
      <c r="BE38" s="319"/>
      <c r="BF38" s="319"/>
      <c r="BG38" s="319"/>
      <c r="BH38" s="319"/>
      <c r="BI38" s="319"/>
      <c r="BJ38" s="319"/>
      <c r="BK38" s="319"/>
      <c r="BL38" s="319"/>
    </row>
    <row r="39" spans="1:64" ht="17.25" customHeight="1" x14ac:dyDescent="0.25">
      <c r="B39" s="43" t="s">
        <v>25</v>
      </c>
      <c r="C39" s="87"/>
      <c r="D39" s="88">
        <v>0.14815499999999998</v>
      </c>
      <c r="E39" s="88">
        <v>0.15140000000000003</v>
      </c>
      <c r="F39" s="95">
        <v>0.15037003495985726</v>
      </c>
      <c r="G39" s="95">
        <v>0.16721991492454558</v>
      </c>
      <c r="H39" s="95">
        <v>0.16594590750039512</v>
      </c>
      <c r="I39" s="96"/>
      <c r="J39" s="199" t="e">
        <f>SUM(J40:J46)</f>
        <v>#REF!</v>
      </c>
      <c r="K39" s="199">
        <f t="shared" ref="K39:S39" si="30">SUM(K40:K46)</f>
        <v>0.21430565217153186</v>
      </c>
      <c r="L39" s="95">
        <f t="shared" si="30"/>
        <v>0.19895903857447339</v>
      </c>
      <c r="M39" s="284">
        <f t="shared" si="30"/>
        <v>0.19238362046305241</v>
      </c>
      <c r="N39" s="95">
        <f t="shared" si="30"/>
        <v>0.18700587641049823</v>
      </c>
      <c r="O39" s="95">
        <f t="shared" si="30"/>
        <v>0.17026581499950044</v>
      </c>
      <c r="P39" s="95">
        <f t="shared" si="30"/>
        <v>0.16144806095374542</v>
      </c>
      <c r="Q39" s="95">
        <f t="shared" si="30"/>
        <v>0.1601968760017623</v>
      </c>
      <c r="R39" s="95">
        <f t="shared" si="30"/>
        <v>0.15147297137294491</v>
      </c>
      <c r="S39" s="95">
        <f t="shared" si="30"/>
        <v>0.14134692801405774</v>
      </c>
      <c r="U39" s="97" t="e">
        <f>J39*[1]Projection_Detail!S$3</f>
        <v>#REF!</v>
      </c>
      <c r="V39" s="97">
        <f>K39*[1]Projection_Detail!T$3</f>
        <v>66929.605247451342</v>
      </c>
      <c r="W39" s="97">
        <f>SUM(W40:W46)</f>
        <v>88621.732154461322</v>
      </c>
      <c r="X39" s="97">
        <f t="shared" ref="X39:Z39" si="31">SUM(X40:X46)</f>
        <v>121713.68806314972</v>
      </c>
      <c r="Y39" s="97">
        <f t="shared" si="31"/>
        <v>155357.73833986907</v>
      </c>
      <c r="Z39" s="97">
        <f t="shared" si="31"/>
        <v>206236.86470996973</v>
      </c>
      <c r="AE39" s="192">
        <f t="shared" ref="AE39:AH39" si="32">SUM(AE40:AE46)</f>
        <v>0.19895903857447339</v>
      </c>
      <c r="AF39" s="192">
        <f t="shared" si="32"/>
        <v>0.18700587641049823</v>
      </c>
      <c r="AG39" s="192">
        <f t="shared" si="32"/>
        <v>0.17026581499950044</v>
      </c>
      <c r="AH39" s="192">
        <f t="shared" si="32"/>
        <v>0.16144806095374542</v>
      </c>
      <c r="AN39" s="95">
        <v>0.18560811431860033</v>
      </c>
      <c r="AO39" s="95">
        <v>0.17850729824413381</v>
      </c>
      <c r="AP39" s="95">
        <v>0.16757215968049288</v>
      </c>
      <c r="AQ39" s="95">
        <v>0.16222665003008316</v>
      </c>
      <c r="AR39" s="95">
        <v>0.15883641598220463</v>
      </c>
      <c r="AS39" s="95">
        <v>0.15424240379728468</v>
      </c>
      <c r="AT39" s="228">
        <f>AN39-AS39</f>
        <v>3.1365710521315648E-2</v>
      </c>
      <c r="AU39" s="284">
        <v>0.18</v>
      </c>
      <c r="BD39" s="326">
        <v>0.19</v>
      </c>
      <c r="BE39" s="326">
        <v>0.19000000000000006</v>
      </c>
      <c r="BF39" s="326">
        <v>0.18999999999999995</v>
      </c>
      <c r="BG39" s="326">
        <v>0.18999999999999995</v>
      </c>
      <c r="BH39" s="326">
        <v>0.18999999999999997</v>
      </c>
      <c r="BI39" s="326">
        <v>0.18999999999999997</v>
      </c>
      <c r="BJ39" s="326">
        <v>0.18999999999999997</v>
      </c>
      <c r="BK39" s="326">
        <v>0.18999999999999997</v>
      </c>
      <c r="BL39" s="326">
        <v>0.18999999999999997</v>
      </c>
    </row>
    <row r="40" spans="1:64" x14ac:dyDescent="0.25">
      <c r="A40" s="108"/>
      <c r="B40" s="109" t="s">
        <v>26</v>
      </c>
      <c r="C40" s="110"/>
      <c r="D40" s="44">
        <v>9.0719999999999995E-2</v>
      </c>
      <c r="E40" s="44">
        <v>9.5000000000000001E-2</v>
      </c>
      <c r="F40" s="100">
        <v>8.3474999999999994E-2</v>
      </c>
      <c r="G40" s="100">
        <v>8.3474999999999994E-2</v>
      </c>
      <c r="H40" s="100">
        <v>8.3475000000000008E-2</v>
      </c>
      <c r="I40" s="46"/>
      <c r="J40" s="200">
        <f>[1]Projection_Detail!S64</f>
        <v>9.5964914233992532E-2</v>
      </c>
      <c r="K40" s="200">
        <f>[1]Projection_Detail!T64</f>
        <v>0.10064869666405606</v>
      </c>
      <c r="L40" s="100">
        <v>9.2676308945304445E-2</v>
      </c>
      <c r="M40" s="278">
        <v>9.4494060771992364E-2</v>
      </c>
      <c r="N40" s="100">
        <v>9.0593797889933159E-2</v>
      </c>
      <c r="O40" s="100">
        <v>8.9779296737427156E-2</v>
      </c>
      <c r="P40" s="100">
        <v>8.8183948647920271E-2</v>
      </c>
      <c r="Q40" s="100">
        <v>8.7020052435210202E-2</v>
      </c>
      <c r="R40" s="100">
        <v>8.03277169540417E-2</v>
      </c>
      <c r="S40" s="100">
        <v>7.5844940091110327E-2</v>
      </c>
      <c r="U40" s="101">
        <f>J40*[1]Projection_Detail!S$3</f>
        <v>11199.023729</v>
      </c>
      <c r="V40" s="101">
        <f>K40*[1]Projection_Detail!T$3</f>
        <v>31433.503821000002</v>
      </c>
      <c r="W40" s="101">
        <f t="shared" ref="W40:W46" si="33">L40*AA$19</f>
        <v>41280.53235108783</v>
      </c>
      <c r="X40" s="101">
        <f t="shared" ref="X40:X46" si="34">N40*AB$19</f>
        <v>58963.415848104029</v>
      </c>
      <c r="Y40" s="101">
        <f t="shared" ref="Y40:Y46" si="35">O40*AC$19</f>
        <v>81918.43142977111</v>
      </c>
      <c r="Z40" s="101">
        <f t="shared" ref="Z40:Z46" si="36">P40*AD$19</f>
        <v>112647.87560441824</v>
      </c>
      <c r="AE40" s="193">
        <v>9.2676308945304445E-2</v>
      </c>
      <c r="AF40" s="193">
        <v>9.0593797889933159E-2</v>
      </c>
      <c r="AG40" s="193">
        <v>8.9779296737427156E-2</v>
      </c>
      <c r="AH40" s="193">
        <v>8.8183948647920271E-2</v>
      </c>
      <c r="AN40" s="100">
        <v>8.2163862967086401E-2</v>
      </c>
      <c r="AO40" s="100">
        <v>7.985501269372601E-2</v>
      </c>
      <c r="AP40" s="100">
        <v>7.6098118238778684E-2</v>
      </c>
      <c r="AQ40" s="100">
        <v>7.5357957727497982E-2</v>
      </c>
      <c r="AR40" s="100">
        <v>7.1890912444974142E-2</v>
      </c>
      <c r="AS40" s="100">
        <v>6.9537393523494001E-2</v>
      </c>
      <c r="AT40" s="229">
        <f>AN40-AS40</f>
        <v>1.26264694435924E-2</v>
      </c>
      <c r="BD40" s="328">
        <v>8.4108036014791721E-2</v>
      </c>
      <c r="BE40" s="328">
        <v>8.4996258198124106E-2</v>
      </c>
      <c r="BF40" s="328">
        <v>8.6283082422139862E-2</v>
      </c>
      <c r="BG40" s="328">
        <v>8.8259308600464215E-2</v>
      </c>
      <c r="BH40" s="328">
        <v>8.5995854792363324E-2</v>
      </c>
      <c r="BI40" s="328">
        <v>8.5658057993105843E-2</v>
      </c>
      <c r="BJ40" s="328">
        <v>8.5658057993105843E-2</v>
      </c>
      <c r="BK40" s="328">
        <v>8.5658057993105843E-2</v>
      </c>
      <c r="BL40" s="328">
        <v>8.5658057993105843E-2</v>
      </c>
    </row>
    <row r="41" spans="1:64" ht="15" hidden="1" customHeight="1" x14ac:dyDescent="0.25">
      <c r="A41" s="108"/>
      <c r="B41" s="109"/>
      <c r="C41" s="110"/>
      <c r="D41" s="44"/>
      <c r="E41" s="44"/>
      <c r="F41" s="100"/>
      <c r="G41" s="100"/>
      <c r="H41" s="100"/>
      <c r="I41" s="46"/>
      <c r="J41" s="200"/>
      <c r="K41" s="200"/>
      <c r="L41" s="100"/>
      <c r="M41" s="278"/>
      <c r="N41" s="100"/>
      <c r="O41" s="100"/>
      <c r="P41" s="100"/>
      <c r="Q41" s="100"/>
      <c r="R41" s="100"/>
      <c r="S41" s="100"/>
      <c r="U41" s="101"/>
      <c r="V41" s="101"/>
      <c r="W41" s="101">
        <f t="shared" si="33"/>
        <v>0</v>
      </c>
      <c r="X41" s="101">
        <f t="shared" si="34"/>
        <v>0</v>
      </c>
      <c r="Y41" s="101">
        <f t="shared" si="35"/>
        <v>0</v>
      </c>
      <c r="Z41" s="101">
        <f t="shared" si="36"/>
        <v>0</v>
      </c>
      <c r="AE41" s="193"/>
      <c r="AF41" s="193"/>
      <c r="AG41" s="193"/>
      <c r="AH41" s="193"/>
      <c r="AN41" s="100"/>
      <c r="AO41" s="100"/>
      <c r="AP41" s="100"/>
      <c r="AQ41" s="100"/>
      <c r="AR41" s="100"/>
      <c r="AS41" s="100"/>
      <c r="AT41" s="229">
        <f t="shared" ref="AT41:AT46" si="37">AN41-AS41</f>
        <v>0</v>
      </c>
      <c r="BD41" s="328">
        <v>0</v>
      </c>
      <c r="BE41" s="328">
        <v>0</v>
      </c>
      <c r="BF41" s="328">
        <v>0</v>
      </c>
      <c r="BG41" s="328">
        <v>0</v>
      </c>
      <c r="BH41" s="328">
        <v>0</v>
      </c>
      <c r="BI41" s="328">
        <v>0</v>
      </c>
      <c r="BJ41" s="328">
        <v>0</v>
      </c>
      <c r="BK41" s="328">
        <v>0</v>
      </c>
      <c r="BL41" s="328">
        <v>0</v>
      </c>
    </row>
    <row r="42" spans="1:64" x14ac:dyDescent="0.25">
      <c r="B42" s="109" t="s">
        <v>27</v>
      </c>
      <c r="C42" s="111"/>
      <c r="D42" s="112"/>
      <c r="E42" s="112"/>
      <c r="F42" s="100">
        <v>2.8046069357716318E-2</v>
      </c>
      <c r="G42" s="100">
        <v>2.6759372780372586E-2</v>
      </c>
      <c r="H42" s="100">
        <v>2.4370034450256175E-2</v>
      </c>
      <c r="I42" s="46"/>
      <c r="J42" s="200">
        <f>[1]Projection_Detail!S82</f>
        <v>2.9967668898491017E-2</v>
      </c>
      <c r="K42" s="200">
        <f>[1]Projection_Detail!T82</f>
        <v>3.4905682752929199E-2</v>
      </c>
      <c r="L42" s="100">
        <v>3.7048589096648217E-2</v>
      </c>
      <c r="M42" s="278">
        <v>3.5732909227035384E-2</v>
      </c>
      <c r="N42" s="100">
        <v>4.1782070391108712E-2</v>
      </c>
      <c r="O42" s="100">
        <v>3.6552875890994811E-2</v>
      </c>
      <c r="P42" s="100">
        <v>3.0067160488580595E-2</v>
      </c>
      <c r="Q42" s="100">
        <v>2.8831781380890771E-2</v>
      </c>
      <c r="R42" s="100">
        <v>2.8036524005517365E-2</v>
      </c>
      <c r="S42" s="100">
        <v>2.2075500526868193E-2</v>
      </c>
      <c r="U42" s="101">
        <f>J42*[1]Projection_Detail!S$3</f>
        <v>3497.2014280000003</v>
      </c>
      <c r="V42" s="101">
        <f>K42*[1]Projection_Detail!T$3</f>
        <v>10901.362347999999</v>
      </c>
      <c r="W42" s="101">
        <f t="shared" si="33"/>
        <v>16502.44272966198</v>
      </c>
      <c r="X42" s="101">
        <f t="shared" si="34"/>
        <v>27194.06459213535</v>
      </c>
      <c r="Y42" s="101">
        <f t="shared" si="35"/>
        <v>33352.39154295031</v>
      </c>
      <c r="Z42" s="101">
        <f t="shared" si="36"/>
        <v>38408.370303517644</v>
      </c>
      <c r="AE42" s="193">
        <v>3.7048589096648217E-2</v>
      </c>
      <c r="AF42" s="193">
        <v>4.1782070391108712E-2</v>
      </c>
      <c r="AG42" s="193">
        <v>3.6552875890994811E-2</v>
      </c>
      <c r="AH42" s="193">
        <v>3.0067160488580595E-2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229"/>
      <c r="BD42" s="328">
        <v>0</v>
      </c>
      <c r="BE42" s="328">
        <v>0</v>
      </c>
      <c r="BF42" s="328">
        <v>0</v>
      </c>
      <c r="BG42" s="328">
        <v>0</v>
      </c>
      <c r="BH42" s="328">
        <v>0</v>
      </c>
      <c r="BI42" s="328">
        <v>0</v>
      </c>
      <c r="BJ42" s="328">
        <v>0</v>
      </c>
      <c r="BK42" s="328">
        <v>0</v>
      </c>
      <c r="BL42" s="328">
        <v>0</v>
      </c>
    </row>
    <row r="43" spans="1:64" x14ac:dyDescent="0.25">
      <c r="A43" s="108"/>
      <c r="B43" s="109" t="s">
        <v>28</v>
      </c>
      <c r="C43" s="110"/>
      <c r="D43" s="44">
        <v>2.863499999999999E-2</v>
      </c>
      <c r="E43" s="44">
        <v>3.5000000000000003E-2</v>
      </c>
      <c r="F43" s="100">
        <v>2.8350000000000007E-2</v>
      </c>
      <c r="G43" s="100">
        <v>3.3547500000000001E-2</v>
      </c>
      <c r="H43" s="100">
        <v>3.1185000000000001E-2</v>
      </c>
      <c r="I43" s="46"/>
      <c r="J43" s="200">
        <f>[1]Projection_Detail!T144</f>
        <v>2.7906234636777296E-2</v>
      </c>
      <c r="K43" s="200">
        <f>[1]Projection_Detail!U144</f>
        <v>3.3474516319688598E-2</v>
      </c>
      <c r="L43" s="100">
        <v>2.9120094771969252E-2</v>
      </c>
      <c r="M43" s="278">
        <f>0.129461412040877%+0.0311447236267051</f>
        <v>3.2439337747113869E-2</v>
      </c>
      <c r="N43" s="100">
        <v>2.9018831515049998E-2</v>
      </c>
      <c r="O43" s="100">
        <v>2.9018831515049998E-2</v>
      </c>
      <c r="P43" s="100">
        <v>2.9018831515049994E-2</v>
      </c>
      <c r="Q43" s="100">
        <v>2.9018831515049991E-2</v>
      </c>
      <c r="R43" s="100">
        <v>2.9018831515049994E-2</v>
      </c>
      <c r="S43" s="100">
        <v>2.9018831515049994E-2</v>
      </c>
      <c r="U43" s="101">
        <f>J43*[1]Projection_Detail!S$3</f>
        <v>3256.6338059999998</v>
      </c>
      <c r="V43" s="101">
        <f>K43*[1]Projection_Detail!T$3</f>
        <v>10454.396048000001</v>
      </c>
      <c r="W43" s="101">
        <f t="shared" si="33"/>
        <v>12970.877109601654</v>
      </c>
      <c r="X43" s="101">
        <f t="shared" si="34"/>
        <v>18887.048229579661</v>
      </c>
      <c r="Y43" s="101">
        <f t="shared" si="35"/>
        <v>26478.010477071464</v>
      </c>
      <c r="Z43" s="101">
        <f t="shared" si="36"/>
        <v>37069.214667901098</v>
      </c>
      <c r="AE43" s="193">
        <v>2.9120094771969252E-2</v>
      </c>
      <c r="AF43" s="193">
        <v>2.9018831515049998E-2</v>
      </c>
      <c r="AG43" s="193">
        <v>2.9018831515049998E-2</v>
      </c>
      <c r="AH43" s="193">
        <v>2.9018831515049994E-2</v>
      </c>
      <c r="AN43" s="100">
        <v>3.0781300595378706E-2</v>
      </c>
      <c r="AO43" s="100">
        <v>0.03</v>
      </c>
      <c r="AP43" s="100">
        <v>0.03</v>
      </c>
      <c r="AQ43" s="100">
        <v>2.8000000000000001E-2</v>
      </c>
      <c r="AR43" s="100">
        <v>2.5999999999999999E-2</v>
      </c>
      <c r="AS43" s="100">
        <v>2.5999999999999999E-2</v>
      </c>
      <c r="AT43" s="229">
        <f t="shared" si="37"/>
        <v>4.7813005953787069E-3</v>
      </c>
      <c r="BD43" s="328">
        <v>3.1509652121582188E-2</v>
      </c>
      <c r="BE43" s="328">
        <v>3.1931467542601254E-2</v>
      </c>
      <c r="BF43" s="328">
        <v>3.4015196861269185E-2</v>
      </c>
      <c r="BG43" s="328">
        <v>3.2793625455579983E-2</v>
      </c>
      <c r="BH43" s="328">
        <v>3.1101180226538586E-2</v>
      </c>
      <c r="BI43" s="328">
        <v>3.2027509156901279E-2</v>
      </c>
      <c r="BJ43" s="328">
        <v>3.2027509156901279E-2</v>
      </c>
      <c r="BK43" s="328">
        <v>3.2027509156901279E-2</v>
      </c>
      <c r="BL43" s="328">
        <v>3.2027509156901279E-2</v>
      </c>
    </row>
    <row r="44" spans="1:64" x14ac:dyDescent="0.25">
      <c r="A44" s="108"/>
      <c r="B44" s="109" t="s">
        <v>29</v>
      </c>
      <c r="C44" s="110"/>
      <c r="D44" s="44">
        <v>2.3999999999999998E-3</v>
      </c>
      <c r="E44" s="44">
        <v>2.3999999999999998E-3</v>
      </c>
      <c r="F44" s="100">
        <v>3.2100802854594123E-3</v>
      </c>
      <c r="G44" s="100">
        <v>6.7737230160334495E-3</v>
      </c>
      <c r="H44" s="100">
        <v>7.2021127514861573E-3</v>
      </c>
      <c r="I44" s="46"/>
      <c r="J44" s="200">
        <f>[1]Projection_Detail!S166</f>
        <v>1.1634641205778127E-2</v>
      </c>
      <c r="K44" s="200">
        <f>[1]Projection_Detail!T166</f>
        <v>1.4164863199739527E-2</v>
      </c>
      <c r="L44" s="100">
        <v>1.3514045760551451E-2</v>
      </c>
      <c r="M44" s="278">
        <v>9.5871739714303416E-3</v>
      </c>
      <c r="N44" s="100">
        <v>1.4091176614406377E-2</v>
      </c>
      <c r="O44" s="100">
        <v>1.4914810856028478E-2</v>
      </c>
      <c r="P44" s="100">
        <v>1.4178120302194572E-2</v>
      </c>
      <c r="Q44" s="100">
        <v>1.5326210670611316E-2</v>
      </c>
      <c r="R44" s="100">
        <v>1.4089898898335831E-2</v>
      </c>
      <c r="S44" s="100">
        <v>1.4407655881029199E-2</v>
      </c>
      <c r="U44" s="101">
        <f>J44*[1]Projection_Detail!S$3</f>
        <v>1357.752716</v>
      </c>
      <c r="V44" s="101">
        <f>K44*[1]Projection_Detail!T$3</f>
        <v>4423.8156704513403</v>
      </c>
      <c r="W44" s="101">
        <f t="shared" si="33"/>
        <v>6019.5211652393991</v>
      </c>
      <c r="X44" s="101">
        <f t="shared" si="34"/>
        <v>9171.3111256664506</v>
      </c>
      <c r="Y44" s="101">
        <f t="shared" si="35"/>
        <v>13608.904890076199</v>
      </c>
      <c r="Z44" s="101">
        <f t="shared" si="36"/>
        <v>18111.404134132721</v>
      </c>
      <c r="AE44" s="193">
        <v>1.3514045760551451E-2</v>
      </c>
      <c r="AF44" s="193">
        <v>1.4091176614406377E-2</v>
      </c>
      <c r="AG44" s="193">
        <v>1.4914810856028478E-2</v>
      </c>
      <c r="AH44" s="193">
        <v>1.4178120302194572E-2</v>
      </c>
      <c r="AN44" s="100">
        <v>1.2007668527609277E-2</v>
      </c>
      <c r="AO44" s="100">
        <v>1.2E-2</v>
      </c>
      <c r="AP44" s="100">
        <v>1.2E-2</v>
      </c>
      <c r="AQ44" s="100">
        <v>1.2E-2</v>
      </c>
      <c r="AR44" s="100">
        <v>1.0999999999999999E-2</v>
      </c>
      <c r="AS44" s="100">
        <v>1.0999999999999999E-2</v>
      </c>
      <c r="AT44" s="229"/>
      <c r="BD44" s="328">
        <v>1.2291795693423146E-2</v>
      </c>
      <c r="BE44" s="328">
        <v>1.2772587017040501E-2</v>
      </c>
      <c r="BF44" s="328">
        <v>1.3606078744507675E-2</v>
      </c>
      <c r="BG44" s="328">
        <v>1.4054410909534278E-2</v>
      </c>
      <c r="BH44" s="328">
        <v>1.3158191634304785E-2</v>
      </c>
      <c r="BI44" s="328">
        <v>1.3550100027919771E-2</v>
      </c>
      <c r="BJ44" s="328">
        <v>1.3550100027919771E-2</v>
      </c>
      <c r="BK44" s="328">
        <v>1.3550100027919771E-2</v>
      </c>
      <c r="BL44" s="328">
        <v>1.3550100027919771E-2</v>
      </c>
    </row>
    <row r="45" spans="1:64" ht="15" hidden="1" customHeight="1" x14ac:dyDescent="0.25">
      <c r="A45" s="108"/>
      <c r="B45" s="109"/>
      <c r="C45" s="110"/>
      <c r="D45" s="44"/>
      <c r="E45" s="44"/>
      <c r="F45" s="100"/>
      <c r="G45" s="100"/>
      <c r="H45" s="100"/>
      <c r="I45" s="46"/>
      <c r="J45" s="200"/>
      <c r="K45" s="200"/>
      <c r="L45" s="100"/>
      <c r="M45" s="278"/>
      <c r="N45" s="100"/>
      <c r="O45" s="100"/>
      <c r="P45" s="100"/>
      <c r="Q45" s="100"/>
      <c r="R45" s="100"/>
      <c r="S45" s="100"/>
      <c r="U45" s="101"/>
      <c r="V45" s="101"/>
      <c r="W45" s="101">
        <f t="shared" si="33"/>
        <v>0</v>
      </c>
      <c r="X45" s="101">
        <f t="shared" si="34"/>
        <v>0</v>
      </c>
      <c r="Y45" s="101">
        <f t="shared" si="35"/>
        <v>0</v>
      </c>
      <c r="Z45" s="101">
        <f t="shared" si="36"/>
        <v>0</v>
      </c>
      <c r="AE45" s="193"/>
      <c r="AF45" s="193"/>
      <c r="AG45" s="193"/>
      <c r="AH45" s="193"/>
      <c r="AN45" s="100"/>
      <c r="AO45" s="100"/>
      <c r="AP45" s="100"/>
      <c r="AQ45" s="100"/>
      <c r="AR45" s="100"/>
      <c r="AS45" s="100"/>
      <c r="AT45" s="229">
        <f t="shared" si="37"/>
        <v>0</v>
      </c>
      <c r="BD45" s="328">
        <v>0</v>
      </c>
      <c r="BE45" s="328">
        <v>0</v>
      </c>
      <c r="BF45" s="328">
        <v>0</v>
      </c>
      <c r="BG45" s="328">
        <v>0</v>
      </c>
      <c r="BH45" s="328">
        <v>0</v>
      </c>
      <c r="BI45" s="328">
        <v>0</v>
      </c>
      <c r="BJ45" s="328">
        <v>0</v>
      </c>
      <c r="BK45" s="328">
        <v>0</v>
      </c>
      <c r="BL45" s="328">
        <v>0</v>
      </c>
    </row>
    <row r="46" spans="1:64" x14ac:dyDescent="0.25">
      <c r="A46" s="108"/>
      <c r="B46" s="109" t="s">
        <v>30</v>
      </c>
      <c r="C46" s="110"/>
      <c r="D46" s="44"/>
      <c r="E46" s="44"/>
      <c r="F46" s="100"/>
      <c r="G46" s="100"/>
      <c r="H46" s="100"/>
      <c r="I46" s="46"/>
      <c r="J46" s="200" t="e">
        <f>[1]Projection_Detail!S428+[1]Projection_Detail!S432</f>
        <v>#REF!</v>
      </c>
      <c r="K46" s="200">
        <f>[1]Projection_Detail!T428+[1]Projection_Detail!T432</f>
        <v>3.1111893235118496E-2</v>
      </c>
      <c r="L46" s="100">
        <v>2.6599999999999999E-2</v>
      </c>
      <c r="M46" s="278">
        <v>2.0130138745480464E-2</v>
      </c>
      <c r="N46" s="100">
        <v>1.1520000000000001E-2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U46" s="101" t="e">
        <f>J46*[1]Projection_Detail!S$3</f>
        <v>#REF!</v>
      </c>
      <c r="V46" s="101">
        <f>K46*[1]Projection_Detail!T$3</f>
        <v>9716.52736</v>
      </c>
      <c r="W46" s="101">
        <f t="shared" si="33"/>
        <v>11848.358798870473</v>
      </c>
      <c r="X46" s="101">
        <f t="shared" si="34"/>
        <v>7497.848267664227</v>
      </c>
      <c r="Y46" s="101">
        <f t="shared" si="35"/>
        <v>0</v>
      </c>
      <c r="Z46" s="101">
        <f t="shared" si="36"/>
        <v>0</v>
      </c>
      <c r="AE46" s="193">
        <v>2.6599999999999999E-2</v>
      </c>
      <c r="AF46" s="193">
        <v>1.1520000000000001E-2</v>
      </c>
      <c r="AG46" s="193">
        <v>0</v>
      </c>
      <c r="AH46" s="193">
        <v>0</v>
      </c>
      <c r="AN46" s="100">
        <v>7.3410679089798694E-3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229">
        <f t="shared" si="37"/>
        <v>7.3410679089798694E-3</v>
      </c>
      <c r="BD46" s="328">
        <v>7.5147733051797831E-3</v>
      </c>
      <c r="BE46" s="328">
        <v>0</v>
      </c>
      <c r="BF46" s="328">
        <v>0</v>
      </c>
      <c r="BG46" s="328">
        <v>0</v>
      </c>
      <c r="BH46" s="328">
        <v>0</v>
      </c>
      <c r="BI46" s="328">
        <v>0</v>
      </c>
      <c r="BJ46" s="328">
        <v>0</v>
      </c>
      <c r="BK46" s="328">
        <v>0</v>
      </c>
      <c r="BL46" s="328">
        <v>0</v>
      </c>
    </row>
    <row r="47" spans="1:64" x14ac:dyDescent="0.25">
      <c r="A47" s="108"/>
      <c r="B47" s="109" t="s">
        <v>101</v>
      </c>
      <c r="C47" s="110"/>
      <c r="D47" s="44"/>
      <c r="E47" s="44"/>
      <c r="F47" s="100"/>
      <c r="G47" s="100"/>
      <c r="H47" s="100"/>
      <c r="I47" s="46"/>
      <c r="J47" s="200"/>
      <c r="K47" s="200"/>
      <c r="L47" s="100"/>
      <c r="M47" s="278"/>
      <c r="N47" s="100"/>
      <c r="O47" s="100"/>
      <c r="P47" s="100"/>
      <c r="Q47" s="100"/>
      <c r="R47" s="100"/>
      <c r="S47" s="100"/>
      <c r="U47" s="101"/>
      <c r="V47" s="101"/>
      <c r="W47" s="101"/>
      <c r="X47" s="101"/>
      <c r="Y47" s="101"/>
      <c r="Z47" s="101"/>
      <c r="AE47" s="193"/>
      <c r="AF47" s="193"/>
      <c r="AG47" s="193"/>
      <c r="AH47" s="193"/>
      <c r="AN47" s="100">
        <v>2.431392621458842E-2</v>
      </c>
      <c r="AO47" s="100">
        <v>2.6074885782292771E-2</v>
      </c>
      <c r="AP47" s="100">
        <v>2.5202097448491129E-2</v>
      </c>
      <c r="AQ47" s="100">
        <v>2.4948792249485537E-2</v>
      </c>
      <c r="AR47" s="100">
        <v>2.379593291747165E-2</v>
      </c>
      <c r="AS47" s="100">
        <v>2.3044052910161955E-2</v>
      </c>
      <c r="AT47" s="229"/>
      <c r="BD47" s="328">
        <v>2.4889245805504376E-2</v>
      </c>
      <c r="BE47" s="328">
        <v>2.7753645634477218E-2</v>
      </c>
      <c r="BF47" s="328">
        <v>2.8575143534243851E-2</v>
      </c>
      <c r="BG47" s="328">
        <v>2.9220048164239482E-2</v>
      </c>
      <c r="BH47" s="328">
        <v>2.8464676858650305E-2</v>
      </c>
      <c r="BI47" s="328">
        <v>2.8386292907397293E-2</v>
      </c>
      <c r="BJ47" s="328">
        <v>2.8386292907397293E-2</v>
      </c>
      <c r="BK47" s="328">
        <v>2.8386292907397293E-2</v>
      </c>
      <c r="BL47" s="328">
        <v>2.8386292907397293E-2</v>
      </c>
    </row>
    <row r="48" spans="1:64" x14ac:dyDescent="0.25">
      <c r="A48" s="108"/>
      <c r="B48" s="109" t="s">
        <v>102</v>
      </c>
      <c r="C48" s="110"/>
      <c r="D48" s="44"/>
      <c r="E48" s="44"/>
      <c r="F48" s="100"/>
      <c r="G48" s="100"/>
      <c r="H48" s="100"/>
      <c r="I48" s="46"/>
      <c r="J48" s="200"/>
      <c r="K48" s="200"/>
      <c r="L48" s="100"/>
      <c r="M48" s="278"/>
      <c r="N48" s="100"/>
      <c r="O48" s="100"/>
      <c r="P48" s="100"/>
      <c r="Q48" s="100"/>
      <c r="R48" s="100"/>
      <c r="S48" s="100"/>
      <c r="U48" s="101"/>
      <c r="V48" s="101"/>
      <c r="W48" s="101"/>
      <c r="X48" s="101"/>
      <c r="Y48" s="101"/>
      <c r="Z48" s="101"/>
      <c r="AE48" s="193"/>
      <c r="AF48" s="193"/>
      <c r="AG48" s="193"/>
      <c r="AH48" s="193"/>
      <c r="AN48" s="100">
        <v>2.4844950004133566E-2</v>
      </c>
      <c r="AO48" s="100">
        <v>2.6671186762365663E-2</v>
      </c>
      <c r="AP48" s="100">
        <v>2.094745865906129E-2</v>
      </c>
      <c r="AQ48" s="100">
        <v>1.9208461579406578E-2</v>
      </c>
      <c r="AR48" s="100">
        <v>2.3796070688052569E-2</v>
      </c>
      <c r="AS48" s="100">
        <v>2.2639008661546407E-2</v>
      </c>
      <c r="AT48" s="229"/>
      <c r="BD48" s="328">
        <v>2.5432834755717997E-2</v>
      </c>
      <c r="BE48" s="328">
        <v>2.8388337814171178E-2</v>
      </c>
      <c r="BF48" s="328">
        <v>2.3751064334375585E-2</v>
      </c>
      <c r="BG48" s="328">
        <v>2.2496967664748485E-2</v>
      </c>
      <c r="BH48" s="328">
        <v>2.8464841659714423E-2</v>
      </c>
      <c r="BI48" s="328">
        <v>2.7887348354263267E-2</v>
      </c>
      <c r="BJ48" s="328">
        <v>2.7887348354263267E-2</v>
      </c>
      <c r="BK48" s="328">
        <v>2.7887348354263267E-2</v>
      </c>
      <c r="BL48" s="328">
        <v>2.7887348354263267E-2</v>
      </c>
    </row>
    <row r="49" spans="1:64" x14ac:dyDescent="0.25">
      <c r="A49" s="108"/>
      <c r="B49" s="109" t="s">
        <v>103</v>
      </c>
      <c r="C49" s="110"/>
      <c r="D49" s="44"/>
      <c r="E49" s="44"/>
      <c r="F49" s="100"/>
      <c r="G49" s="100"/>
      <c r="H49" s="100"/>
      <c r="I49" s="46"/>
      <c r="J49" s="200"/>
      <c r="K49" s="200"/>
      <c r="L49" s="100"/>
      <c r="M49" s="278"/>
      <c r="N49" s="100"/>
      <c r="O49" s="100"/>
      <c r="P49" s="100"/>
      <c r="Q49" s="100"/>
      <c r="R49" s="100"/>
      <c r="S49" s="100"/>
      <c r="U49" s="101"/>
      <c r="V49" s="101"/>
      <c r="W49" s="101"/>
      <c r="X49" s="101"/>
      <c r="Y49" s="101"/>
      <c r="Z49" s="101"/>
      <c r="AE49" s="193"/>
      <c r="AF49" s="193"/>
      <c r="AG49" s="193"/>
      <c r="AH49" s="193"/>
      <c r="AN49" s="100">
        <v>4.1553381008241049E-3</v>
      </c>
      <c r="AO49" s="100">
        <v>3.9062130057493866E-3</v>
      </c>
      <c r="AP49" s="100">
        <v>3.3244853341617615E-3</v>
      </c>
      <c r="AQ49" s="100">
        <v>2.7114384736930284E-3</v>
      </c>
      <c r="AR49" s="100">
        <v>2.3534999317062727E-3</v>
      </c>
      <c r="AS49" s="100">
        <v>2.0219487020822959E-3</v>
      </c>
      <c r="AT49" s="229"/>
      <c r="BD49" s="328">
        <v>4.2536623038008014E-3</v>
      </c>
      <c r="BE49" s="328">
        <v>4.1577037935857809E-3</v>
      </c>
      <c r="BF49" s="328">
        <v>3.7694341034638194E-3</v>
      </c>
      <c r="BG49" s="328">
        <v>3.1756392054335227E-3</v>
      </c>
      <c r="BH49" s="328">
        <v>2.8152548284285784E-3</v>
      </c>
      <c r="BI49" s="328">
        <v>2.4906915604125152E-3</v>
      </c>
      <c r="BJ49" s="328">
        <v>2.4906915604125152E-3</v>
      </c>
      <c r="BK49" s="328">
        <v>2.4906915604125152E-3</v>
      </c>
      <c r="BL49" s="328">
        <v>2.4906915604125152E-3</v>
      </c>
    </row>
    <row r="50" spans="1:64" ht="7.5" customHeight="1" x14ac:dyDescent="0.25">
      <c r="A50" s="113"/>
      <c r="B50" s="114"/>
      <c r="C50" s="104"/>
      <c r="D50" s="105"/>
      <c r="E50" s="105"/>
      <c r="F50" s="105">
        <v>0.18</v>
      </c>
      <c r="G50" s="105">
        <v>0.18</v>
      </c>
      <c r="H50" s="105">
        <v>0.18</v>
      </c>
      <c r="I50" s="106"/>
      <c r="J50" s="105"/>
      <c r="K50" s="105"/>
      <c r="L50" s="105"/>
      <c r="M50" s="285"/>
      <c r="N50" s="105"/>
      <c r="O50" s="105"/>
      <c r="P50" s="105"/>
      <c r="Q50" s="105"/>
      <c r="R50" s="105"/>
      <c r="S50" s="105"/>
      <c r="U50" s="107"/>
      <c r="V50" s="107"/>
      <c r="W50" s="107"/>
      <c r="X50" s="107"/>
      <c r="Y50" s="107"/>
      <c r="Z50" s="107"/>
      <c r="AT50" s="230"/>
      <c r="BD50" s="319"/>
      <c r="BE50" s="319"/>
      <c r="BF50" s="319"/>
      <c r="BG50" s="319"/>
      <c r="BH50" s="319"/>
      <c r="BI50" s="319"/>
      <c r="BJ50" s="319"/>
      <c r="BK50" s="319"/>
      <c r="BL50" s="319"/>
    </row>
    <row r="51" spans="1:64" ht="7.5" customHeight="1" x14ac:dyDescent="0.25">
      <c r="B51" s="115"/>
      <c r="K51" s="5"/>
      <c r="L51" s="5"/>
      <c r="M51" s="286"/>
      <c r="N51" s="5"/>
      <c r="O51" s="5"/>
      <c r="P51" s="5"/>
      <c r="Q51" s="5"/>
      <c r="R51" s="5"/>
      <c r="S51" s="5"/>
      <c r="U51" s="94"/>
      <c r="V51" s="94"/>
      <c r="W51" s="94"/>
      <c r="X51" s="94"/>
      <c r="Y51" s="94"/>
      <c r="Z51" s="94"/>
      <c r="AT51" s="230"/>
      <c r="BD51" s="319"/>
      <c r="BE51" s="319"/>
      <c r="BF51" s="319"/>
      <c r="BG51" s="319"/>
      <c r="BH51" s="319"/>
      <c r="BI51" s="319"/>
      <c r="BJ51" s="319"/>
      <c r="BK51" s="319"/>
      <c r="BL51" s="319"/>
    </row>
    <row r="52" spans="1:64" x14ac:dyDescent="0.25">
      <c r="A52" s="116" t="s">
        <v>81</v>
      </c>
      <c r="B52" s="117" t="s">
        <v>31</v>
      </c>
      <c r="C52" s="118"/>
      <c r="D52" s="119">
        <v>2.2400068919151011E-2</v>
      </c>
      <c r="E52" s="119">
        <v>2.3E-2</v>
      </c>
      <c r="F52" s="120">
        <v>2.4833623160124888E-2</v>
      </c>
      <c r="G52" s="120">
        <v>2.7757504707897566E-2</v>
      </c>
      <c r="H52" s="120">
        <v>2.6634642999000303E-2</v>
      </c>
      <c r="I52" s="121"/>
      <c r="J52" s="201">
        <f>[1]Projection_Detail!S174</f>
        <v>1.4936889899144766E-2</v>
      </c>
      <c r="K52" s="201">
        <f>[1]Projection_Detail!T174</f>
        <v>1.9445674534372633E-2</v>
      </c>
      <c r="L52" s="120">
        <v>2.2188202544679923E-2</v>
      </c>
      <c r="M52" s="287">
        <v>2.4249945544119713E-2</v>
      </c>
      <c r="N52" s="120">
        <v>2.3055584287418537E-2</v>
      </c>
      <c r="O52" s="120">
        <v>2.06840258951018E-2</v>
      </c>
      <c r="P52" s="120">
        <v>8.3884072919617157E-3</v>
      </c>
      <c r="Q52" s="120">
        <v>6.0133996860293679E-3</v>
      </c>
      <c r="R52" s="120">
        <v>4.1217111904988645E-4</v>
      </c>
      <c r="S52" s="120">
        <v>3.8799473898380087E-4</v>
      </c>
      <c r="U52" s="122">
        <f>J52*[1]Projection_Detail!S$3</f>
        <v>1743.122325</v>
      </c>
      <c r="V52" s="122">
        <f>K52*[1]Projection_Detail!T$3</f>
        <v>6073.0611029999991</v>
      </c>
      <c r="W52" s="122">
        <f>L52*AA$19</f>
        <v>9883.2249944127307</v>
      </c>
      <c r="X52" s="122">
        <f t="shared" ref="X52" si="38">N52*AB$19</f>
        <v>15005.839644913858</v>
      </c>
      <c r="Y52" s="122">
        <f t="shared" ref="Y52" si="39">O52*AC$19</f>
        <v>18872.980949439145</v>
      </c>
      <c r="Z52" s="122">
        <f t="shared" ref="Z52" si="40">P52*AD$19</f>
        <v>10715.513147600286</v>
      </c>
      <c r="AB52" s="186">
        <f>X17-X32-X34-X39-X97-X98</f>
        <v>257005.61675324288</v>
      </c>
      <c r="AE52" s="194">
        <v>2.2188202544679923E-2</v>
      </c>
      <c r="AF52" s="194">
        <v>2.3055584287418537E-2</v>
      </c>
      <c r="AG52" s="194">
        <v>2.06840258951018E-2</v>
      </c>
      <c r="AH52" s="194">
        <v>8.3884072919617157E-3</v>
      </c>
      <c r="AN52" s="120">
        <v>1.7952734680567007E-2</v>
      </c>
      <c r="AO52" s="120">
        <v>1.7999999999999999E-2</v>
      </c>
      <c r="AP52" s="120">
        <v>1.7999999999999999E-2</v>
      </c>
      <c r="AQ52" s="120">
        <v>1.4999999999999999E-2</v>
      </c>
      <c r="AR52" s="120">
        <v>0.01</v>
      </c>
      <c r="AS52" s="120">
        <v>0.01</v>
      </c>
      <c r="AT52" s="120">
        <v>0.01</v>
      </c>
      <c r="AU52" s="120">
        <v>0.01</v>
      </c>
      <c r="BD52" s="329">
        <v>1.7952734680567007E-2</v>
      </c>
      <c r="BE52" s="329">
        <v>1.7999999999999999E-2</v>
      </c>
      <c r="BF52" s="329">
        <v>1.7999999999999999E-2</v>
      </c>
      <c r="BG52" s="329">
        <v>1.4999999999999999E-2</v>
      </c>
      <c r="BH52" s="329">
        <v>0.01</v>
      </c>
      <c r="BI52" s="329">
        <v>0.01</v>
      </c>
      <c r="BJ52" s="329">
        <v>0.01</v>
      </c>
      <c r="BK52" s="329">
        <v>0.01</v>
      </c>
      <c r="BL52" s="329">
        <v>0.01</v>
      </c>
    </row>
    <row r="53" spans="1:64" ht="10.5" customHeight="1" x14ac:dyDescent="0.25">
      <c r="F53" s="4"/>
      <c r="G53" s="4"/>
      <c r="H53" s="4"/>
      <c r="I53" s="123"/>
      <c r="J53" s="4"/>
      <c r="K53" s="4"/>
      <c r="L53" s="4"/>
      <c r="M53" s="288"/>
      <c r="N53" s="4"/>
      <c r="O53" s="4"/>
      <c r="P53" s="4"/>
      <c r="Q53" s="4"/>
      <c r="R53" s="4"/>
      <c r="S53" s="4"/>
      <c r="U53" s="94"/>
      <c r="V53" s="94"/>
      <c r="W53" s="94"/>
      <c r="X53" s="94"/>
      <c r="Y53" s="94"/>
      <c r="Z53" s="94"/>
      <c r="AT53" s="230"/>
      <c r="BD53" s="319"/>
      <c r="BE53" s="319"/>
      <c r="BF53" s="319"/>
      <c r="BG53" s="319"/>
      <c r="BH53" s="319"/>
      <c r="BI53" s="319"/>
      <c r="BJ53" s="319"/>
      <c r="BK53" s="319"/>
      <c r="BL53" s="319"/>
    </row>
    <row r="54" spans="1:64" x14ac:dyDescent="0.25">
      <c r="A54" s="124"/>
      <c r="B54" s="117" t="s">
        <v>32</v>
      </c>
      <c r="C54" s="125"/>
      <c r="D54" s="119">
        <v>9.2693618527343924E-2</v>
      </c>
      <c r="E54" s="119">
        <v>8.9654671060595298E-2</v>
      </c>
      <c r="F54" s="120">
        <v>9.0064206066012481E-2</v>
      </c>
      <c r="G54" s="120">
        <v>8.2148208557398933E-2</v>
      </c>
      <c r="H54" s="120">
        <v>9.0136743680804376E-2</v>
      </c>
      <c r="I54" s="121"/>
      <c r="J54" s="201">
        <f>SUM(J55:J60)</f>
        <v>1.9782850882510299E-2</v>
      </c>
      <c r="K54" s="201">
        <f t="shared" ref="K54:AS54" si="41">SUM(K55:K60)</f>
        <v>6.8832448476257094E-2</v>
      </c>
      <c r="L54" s="120">
        <f t="shared" si="41"/>
        <v>0.11648384807163178</v>
      </c>
      <c r="M54" s="287">
        <f t="shared" si="41"/>
        <v>9.3453000634305436E-2</v>
      </c>
      <c r="N54" s="120">
        <f t="shared" si="41"/>
        <v>4.8822697391662659E-2</v>
      </c>
      <c r="O54" s="120">
        <f t="shared" si="41"/>
        <v>1.599458620920461E-2</v>
      </c>
      <c r="P54" s="120">
        <f t="shared" si="41"/>
        <v>1.4348329943290642E-2</v>
      </c>
      <c r="Q54" s="120">
        <f t="shared" si="41"/>
        <v>1.2792082729310922E-2</v>
      </c>
      <c r="R54" s="120">
        <f t="shared" si="41"/>
        <v>1.1170173870115173E-2</v>
      </c>
      <c r="S54" s="120">
        <f t="shared" si="41"/>
        <v>9.0116371134972579E-3</v>
      </c>
      <c r="T54" s="120">
        <f t="shared" si="41"/>
        <v>0</v>
      </c>
      <c r="U54" s="120">
        <f t="shared" si="41"/>
        <v>2308.6418429999999</v>
      </c>
      <c r="V54" s="120">
        <f t="shared" si="41"/>
        <v>21497</v>
      </c>
      <c r="W54" s="120">
        <f t="shared" si="41"/>
        <v>51885.053617511658</v>
      </c>
      <c r="X54" s="120">
        <f t="shared" si="41"/>
        <v>31776.491064303176</v>
      </c>
      <c r="Y54" s="120">
        <f t="shared" si="41"/>
        <v>14594.13763797142</v>
      </c>
      <c r="Z54" s="120">
        <f t="shared" si="41"/>
        <v>18328.833210181641</v>
      </c>
      <c r="AA54" s="120">
        <f t="shared" si="41"/>
        <v>0</v>
      </c>
      <c r="AB54" s="120">
        <f t="shared" si="41"/>
        <v>0</v>
      </c>
      <c r="AC54" s="120">
        <f t="shared" si="41"/>
        <v>0</v>
      </c>
      <c r="AD54" s="120">
        <f t="shared" si="41"/>
        <v>0</v>
      </c>
      <c r="AE54" s="120">
        <f t="shared" si="41"/>
        <v>0.12869694056196315</v>
      </c>
      <c r="AF54" s="120">
        <f t="shared" si="41"/>
        <v>3.8145868844465067E-2</v>
      </c>
      <c r="AG54" s="120">
        <f t="shared" si="41"/>
        <v>1.599458620920461E-2</v>
      </c>
      <c r="AH54" s="120">
        <f t="shared" si="41"/>
        <v>1.4348329943290642E-2</v>
      </c>
      <c r="AI54" s="120">
        <f t="shared" si="41"/>
        <v>0</v>
      </c>
      <c r="AJ54" s="120">
        <f t="shared" si="41"/>
        <v>0</v>
      </c>
      <c r="AK54" s="120">
        <f t="shared" si="41"/>
        <v>0</v>
      </c>
      <c r="AL54" s="120">
        <f t="shared" si="41"/>
        <v>0</v>
      </c>
      <c r="AM54" s="120">
        <f t="shared" si="41"/>
        <v>0</v>
      </c>
      <c r="AN54" s="120">
        <f t="shared" si="41"/>
        <v>5.3317408385801818E-2</v>
      </c>
      <c r="AO54" s="120">
        <f t="shared" si="41"/>
        <v>3.4595901747325596E-2</v>
      </c>
      <c r="AP54" s="120">
        <f t="shared" si="41"/>
        <v>2.7696514273052929E-2</v>
      </c>
      <c r="AQ54" s="120">
        <f t="shared" si="41"/>
        <v>2.3576816269802948E-2</v>
      </c>
      <c r="AR54" s="120">
        <f t="shared" si="41"/>
        <v>2.0612321967805367E-2</v>
      </c>
      <c r="AS54" s="120">
        <f t="shared" si="41"/>
        <v>1.8329847219249896E-2</v>
      </c>
      <c r="AT54" s="228">
        <f>AN54-AS54</f>
        <v>3.4987561166551925E-2</v>
      </c>
      <c r="AU54" s="120">
        <v>1.8329847219249896E-2</v>
      </c>
      <c r="BD54" s="329">
        <v>5.3317408385801818E-2</v>
      </c>
      <c r="BE54" s="329">
        <v>3.4595901747325596E-2</v>
      </c>
      <c r="BF54" s="329">
        <v>2.7696514273052929E-2</v>
      </c>
      <c r="BG54" s="329">
        <v>2.3576816269802948E-2</v>
      </c>
      <c r="BH54" s="329">
        <v>2.0612321967805367E-2</v>
      </c>
      <c r="BI54" s="329">
        <v>1.8329847219249896E-2</v>
      </c>
      <c r="BJ54" s="329">
        <v>1.8329847219249896E-2</v>
      </c>
      <c r="BK54" s="329">
        <v>1.8329847219249896E-2</v>
      </c>
      <c r="BL54" s="329">
        <v>1.8329847219249896E-2</v>
      </c>
    </row>
    <row r="55" spans="1:64" x14ac:dyDescent="0.25">
      <c r="A55" s="126" t="s">
        <v>81</v>
      </c>
      <c r="B55" s="127" t="s">
        <v>33</v>
      </c>
      <c r="C55" s="128"/>
      <c r="D55" s="129">
        <v>7.9253577175853324E-2</v>
      </c>
      <c r="E55" s="129">
        <v>7.3654671060595298E-2</v>
      </c>
      <c r="F55" s="130">
        <v>6.4573572702943796E-2</v>
      </c>
      <c r="G55" s="130">
        <v>6.0300372062415369E-2</v>
      </c>
      <c r="H55" s="130">
        <v>6.6697430615127881E-2</v>
      </c>
      <c r="I55" s="131"/>
      <c r="J55" s="202">
        <f>[1]Projection_Detail!S234+[1]Projection_Detail!S250</f>
        <v>9.9884349027123988E-3</v>
      </c>
      <c r="K55" s="202">
        <f>[1]Projection_Detail!T234+[1]Projection_Detail!T250</f>
        <v>1.298393164493755E-2</v>
      </c>
      <c r="L55" s="130">
        <v>0.02</v>
      </c>
      <c r="M55" s="289">
        <v>2.9291459127617379E-3</v>
      </c>
      <c r="N55" s="130">
        <v>1.4286885662412648E-2</v>
      </c>
      <c r="O55" s="130">
        <v>1.2629287202514192E-2</v>
      </c>
      <c r="P55" s="130">
        <v>1.1329407173157686E-2</v>
      </c>
      <c r="Q55" s="130">
        <v>1.0100598076980397E-2</v>
      </c>
      <c r="R55" s="130">
        <v>8.8199427020200036E-3</v>
      </c>
      <c r="S55" s="130">
        <v>6.9051648363958997E-3</v>
      </c>
      <c r="U55" s="132">
        <f>J55*[1]Projection_Detail!S$3</f>
        <v>1165.6418429999999</v>
      </c>
      <c r="V55" s="132">
        <f>K55*[1]Projection_Detail!T$3</f>
        <v>4055</v>
      </c>
      <c r="W55" s="132">
        <f>L55*AA$19</f>
        <v>8908.5404502785514</v>
      </c>
      <c r="X55" s="132">
        <f t="shared" ref="X55:X57" si="42">N55*AB$19</f>
        <v>9298.6893154720092</v>
      </c>
      <c r="Y55" s="132">
        <f t="shared" ref="Y55:Y59" si="43">O55*AC$19</f>
        <v>11523.496343837509</v>
      </c>
      <c r="Z55" s="132">
        <f t="shared" ref="Z55:Z59" si="44">P55*AD$19</f>
        <v>14472.403078808711</v>
      </c>
      <c r="AE55" s="193">
        <v>1.3828170747114656E-2</v>
      </c>
      <c r="AF55" s="193">
        <v>1.4286885662412648E-2</v>
      </c>
      <c r="AG55" s="193">
        <v>1.2629287202514192E-2</v>
      </c>
      <c r="AH55" s="193">
        <v>1.1329407173157686E-2</v>
      </c>
      <c r="AN55" s="100">
        <v>7.8066182013033268E-3</v>
      </c>
      <c r="AO55" s="100">
        <v>6.985201596118676E-3</v>
      </c>
      <c r="AP55" s="100">
        <v>6.0765941469172642E-3</v>
      </c>
      <c r="AQ55" s="100">
        <v>5.1881862619264215E-3</v>
      </c>
      <c r="AR55" s="100">
        <v>4.5376094323880314E-3</v>
      </c>
      <c r="AS55" s="100">
        <v>3.9953162756804364E-3</v>
      </c>
      <c r="AT55" s="229">
        <f t="shared" ref="AT55:AT57" si="45">AN55-AS55</f>
        <v>3.8113019256228904E-3</v>
      </c>
      <c r="BD55" s="327">
        <v>7.8066182013033268E-3</v>
      </c>
      <c r="BE55" s="327">
        <v>6.985201596118676E-3</v>
      </c>
      <c r="BF55" s="327">
        <v>6.0765941469172642E-3</v>
      </c>
      <c r="BG55" s="327">
        <v>5.1881862619264215E-3</v>
      </c>
      <c r="BH55" s="327">
        <v>4.5376094323880314E-3</v>
      </c>
      <c r="BI55" s="327">
        <v>3.9953162756804364E-3</v>
      </c>
      <c r="BJ55" s="327">
        <v>3.9953162756804364E-3</v>
      </c>
      <c r="BK55" s="327">
        <v>3.9953162756804364E-3</v>
      </c>
      <c r="BL55" s="327">
        <v>3.9953162756804364E-3</v>
      </c>
    </row>
    <row r="56" spans="1:64" x14ac:dyDescent="0.25">
      <c r="A56" s="126"/>
      <c r="B56" s="127" t="s">
        <v>106</v>
      </c>
      <c r="C56" s="128"/>
      <c r="D56" s="129"/>
      <c r="E56" s="129"/>
      <c r="F56" s="130"/>
      <c r="G56" s="130"/>
      <c r="H56" s="130"/>
      <c r="I56" s="131"/>
      <c r="J56" s="202"/>
      <c r="K56" s="202"/>
      <c r="L56" s="130"/>
      <c r="M56" s="289">
        <v>1.3668833110144864E-2</v>
      </c>
      <c r="N56" s="130"/>
      <c r="O56" s="130"/>
      <c r="P56" s="130"/>
      <c r="Q56" s="130"/>
      <c r="R56" s="130"/>
      <c r="S56" s="130"/>
      <c r="U56" s="132"/>
      <c r="V56" s="132"/>
      <c r="W56" s="132"/>
      <c r="X56" s="132"/>
      <c r="Y56" s="132"/>
      <c r="Z56" s="132"/>
      <c r="AE56" s="193"/>
      <c r="AF56" s="193"/>
      <c r="AG56" s="193"/>
      <c r="AH56" s="193"/>
      <c r="AN56" s="100">
        <v>1.2953296249178623E-2</v>
      </c>
      <c r="AO56" s="100">
        <v>1.2972517249934683E-2</v>
      </c>
      <c r="AP56" s="100">
        <v>1.241361375727384E-2</v>
      </c>
      <c r="AQ56" s="100">
        <v>1.0598723363649693E-2</v>
      </c>
      <c r="AR56" s="100">
        <v>9.2696878404498369E-3</v>
      </c>
      <c r="AS56" s="100">
        <v>8.161860391747178E-3</v>
      </c>
      <c r="AT56" s="229">
        <f t="shared" si="45"/>
        <v>4.7914358574314454E-3</v>
      </c>
      <c r="BD56" s="327">
        <v>1.2953296249178623E-2</v>
      </c>
      <c r="BE56" s="327">
        <v>1.2972517249934683E-2</v>
      </c>
      <c r="BF56" s="327">
        <v>1.241361375727384E-2</v>
      </c>
      <c r="BG56" s="327">
        <v>1.0598723363649693E-2</v>
      </c>
      <c r="BH56" s="327">
        <v>9.2696878404498369E-3</v>
      </c>
      <c r="BI56" s="327">
        <v>8.161860391747178E-3</v>
      </c>
      <c r="BJ56" s="327">
        <v>8.161860391747178E-3</v>
      </c>
      <c r="BK56" s="327">
        <v>8.161860391747178E-3</v>
      </c>
      <c r="BL56" s="327">
        <v>8.161860391747178E-3</v>
      </c>
    </row>
    <row r="57" spans="1:64" x14ac:dyDescent="0.25">
      <c r="A57" t="s">
        <v>81</v>
      </c>
      <c r="B57" s="109" t="str">
        <f>[1]Projection_Detail!B252</f>
        <v xml:space="preserve">Financial Support to AL on quality recruitment </v>
      </c>
      <c r="C57" s="99"/>
      <c r="D57" s="44">
        <v>1.3440041351490606E-2</v>
      </c>
      <c r="E57" s="44">
        <v>1.6E-2</v>
      </c>
      <c r="F57" s="100">
        <v>2.5490633363068688E-2</v>
      </c>
      <c r="G57" s="100">
        <v>2.1847836494983564E-2</v>
      </c>
      <c r="H57" s="100">
        <v>2.3439313065676492E-2</v>
      </c>
      <c r="I57" s="46"/>
      <c r="J57" s="200">
        <f>[1]Projection_Detail!S256</f>
        <v>0</v>
      </c>
      <c r="K57" s="200">
        <f>[1]Projection_Detail!T256</f>
        <v>6.6856841614376331E-3</v>
      </c>
      <c r="L57" s="100">
        <v>8.4838480716317895E-3</v>
      </c>
      <c r="M57" s="278">
        <v>9.6279676396432354E-3</v>
      </c>
      <c r="N57" s="100">
        <v>3.8069957043058867E-3</v>
      </c>
      <c r="O57" s="100">
        <v>3.365299006690416E-3</v>
      </c>
      <c r="P57" s="100">
        <v>3.0189227701329564E-3</v>
      </c>
      <c r="Q57" s="100">
        <v>2.6914846523305252E-3</v>
      </c>
      <c r="R57" s="100">
        <v>2.3502311680951697E-3</v>
      </c>
      <c r="S57" s="100">
        <v>2.1064722771013586E-3</v>
      </c>
      <c r="U57" s="132">
        <f>J57*[1]Projection_Detail!S$3</f>
        <v>0</v>
      </c>
      <c r="V57" s="132">
        <f>K57*[1]Projection_Detail!T$3</f>
        <v>2088</v>
      </c>
      <c r="W57" s="132">
        <f>L57*AA$19</f>
        <v>3778.9351860074744</v>
      </c>
      <c r="X57" s="132">
        <f t="shared" si="42"/>
        <v>2477.8017488311671</v>
      </c>
      <c r="Y57" s="132">
        <f t="shared" si="43"/>
        <v>3070.6412941339104</v>
      </c>
      <c r="Z57" s="132">
        <f t="shared" si="44"/>
        <v>3856.4301313729311</v>
      </c>
      <c r="AE57" s="193">
        <v>5.4838480716317851E-3</v>
      </c>
      <c r="AF57" s="193">
        <v>3.8069957043058867E-3</v>
      </c>
      <c r="AG57" s="193">
        <v>3.365299006690416E-3</v>
      </c>
      <c r="AH57" s="193">
        <v>3.0189227701329564E-3</v>
      </c>
      <c r="AN57" s="100">
        <v>7.8066182013033268E-3</v>
      </c>
      <c r="AO57" s="100">
        <v>6.985201596118676E-3</v>
      </c>
      <c r="AP57" s="100">
        <v>6.0765941469172642E-3</v>
      </c>
      <c r="AQ57" s="100">
        <v>5.1881862619264215E-3</v>
      </c>
      <c r="AR57" s="100">
        <v>4.5376094323880314E-3</v>
      </c>
      <c r="AS57" s="100">
        <v>3.9953162756804364E-3</v>
      </c>
      <c r="AT57" s="229">
        <f t="shared" si="45"/>
        <v>3.8113019256228904E-3</v>
      </c>
      <c r="BD57" s="327">
        <v>7.8066182013033268E-3</v>
      </c>
      <c r="BE57" s="327">
        <v>6.985201596118676E-3</v>
      </c>
      <c r="BF57" s="327">
        <v>6.0765941469172642E-3</v>
      </c>
      <c r="BG57" s="327">
        <v>5.1881862619264215E-3</v>
      </c>
      <c r="BH57" s="327">
        <v>4.5376094323880314E-3</v>
      </c>
      <c r="BI57" s="327">
        <v>3.9953162756804364E-3</v>
      </c>
      <c r="BJ57" s="327">
        <v>3.9953162756804364E-3</v>
      </c>
      <c r="BK57" s="327">
        <v>3.9953162756804364E-3</v>
      </c>
      <c r="BL57" s="327">
        <v>3.9953162756804364E-3</v>
      </c>
    </row>
    <row r="58" spans="1:64" x14ac:dyDescent="0.25">
      <c r="B58" s="109" t="s">
        <v>107</v>
      </c>
      <c r="C58" s="99"/>
      <c r="D58" s="44"/>
      <c r="E58" s="44"/>
      <c r="F58" s="100"/>
      <c r="G58" s="100"/>
      <c r="H58" s="100"/>
      <c r="I58" s="46"/>
      <c r="J58" s="200"/>
      <c r="K58" s="200"/>
      <c r="L58" s="100"/>
      <c r="M58" s="278"/>
      <c r="N58" s="100"/>
      <c r="O58" s="100"/>
      <c r="P58" s="100"/>
      <c r="Q58" s="100"/>
      <c r="R58" s="100"/>
      <c r="S58" s="100"/>
      <c r="U58" s="132"/>
      <c r="V58" s="132"/>
      <c r="W58" s="132"/>
      <c r="X58" s="132"/>
      <c r="Y58" s="132"/>
      <c r="Z58" s="132"/>
      <c r="AE58" s="193"/>
      <c r="AF58" s="193"/>
      <c r="AG58" s="193"/>
      <c r="AH58" s="193"/>
      <c r="AN58" s="100">
        <v>3.166931521265804E-3</v>
      </c>
      <c r="AO58" s="100">
        <v>2.8095462864984881E-3</v>
      </c>
      <c r="AP58" s="100">
        <v>2.7128569736579199E-3</v>
      </c>
      <c r="AQ58" s="100">
        <v>2.6017203823004115E-3</v>
      </c>
      <c r="AR58" s="100">
        <v>2.267415262579466E-3</v>
      </c>
      <c r="AS58" s="100">
        <v>2.1773542761418453E-3</v>
      </c>
      <c r="AT58" s="229"/>
      <c r="BD58" s="327">
        <v>3.166931521265804E-3</v>
      </c>
      <c r="BE58" s="327">
        <v>2.8095462864984881E-3</v>
      </c>
      <c r="BF58" s="327">
        <v>2.7128569736579199E-3</v>
      </c>
      <c r="BG58" s="327">
        <v>2.6017203823004115E-3</v>
      </c>
      <c r="BH58" s="327">
        <v>2.267415262579466E-3</v>
      </c>
      <c r="BI58" s="327">
        <v>2.1773542761418453E-3</v>
      </c>
      <c r="BJ58" s="327">
        <v>2.1773542761418453E-3</v>
      </c>
      <c r="BK58" s="327">
        <v>2.1773542761418453E-3</v>
      </c>
      <c r="BL58" s="327">
        <v>2.1773542761418453E-3</v>
      </c>
    </row>
    <row r="59" spans="1:64" x14ac:dyDescent="0.25">
      <c r="A59" t="s">
        <v>81</v>
      </c>
      <c r="B59" s="109" t="s">
        <v>34</v>
      </c>
      <c r="C59" s="99"/>
      <c r="D59" s="44"/>
      <c r="E59" s="44"/>
      <c r="F59" s="100"/>
      <c r="G59" s="100"/>
      <c r="H59" s="100"/>
      <c r="I59" s="46"/>
      <c r="J59" s="200">
        <f>[1]Projection_Detail!S241</f>
        <v>9.7944159797978981E-3</v>
      </c>
      <c r="K59" s="200">
        <f>[1]Projection_Detail!T241</f>
        <v>4.916283266988191E-2</v>
      </c>
      <c r="L59" s="100">
        <v>8.7999999999999995E-2</v>
      </c>
      <c r="M59" s="278">
        <v>6.7227053971755601E-2</v>
      </c>
      <c r="N59" s="100">
        <f>X59/AB19</f>
        <v>3.0728816024944122E-2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U59" s="132">
        <f>J59*[1]Projection_Detail!S$3</f>
        <v>1143</v>
      </c>
      <c r="V59" s="132">
        <f>K59*[1]Projection_Detail!T$3</f>
        <v>15354</v>
      </c>
      <c r="W59" s="132">
        <f>L59*AA$19</f>
        <v>39197.57798122563</v>
      </c>
      <c r="X59" s="188">
        <v>20000</v>
      </c>
      <c r="Y59" s="132">
        <f t="shared" si="43"/>
        <v>0</v>
      </c>
      <c r="Z59" s="132">
        <f t="shared" si="44"/>
        <v>0</v>
      </c>
      <c r="AE59" s="193">
        <v>0.10938492174321672</v>
      </c>
      <c r="AF59" s="193">
        <v>2.005198747774653E-2</v>
      </c>
      <c r="AG59" s="193">
        <v>0</v>
      </c>
      <c r="AH59" s="193">
        <v>0</v>
      </c>
      <c r="AN59" s="100">
        <v>2.1583944212750738E-2</v>
      </c>
      <c r="AO59" s="100">
        <v>4.843435018655075E-3</v>
      </c>
      <c r="AP59" s="100">
        <v>4.1685524828663831E-4</v>
      </c>
      <c r="AQ59" s="100">
        <v>0</v>
      </c>
      <c r="AR59" s="100">
        <v>0</v>
      </c>
      <c r="AS59" s="100">
        <v>0</v>
      </c>
      <c r="AT59" s="229">
        <f>AN59-AS59</f>
        <v>2.1583944212750738E-2</v>
      </c>
      <c r="BD59" s="327">
        <v>2.1583944212750738E-2</v>
      </c>
      <c r="BE59" s="327">
        <v>4.843435018655075E-3</v>
      </c>
      <c r="BF59" s="327">
        <v>4.1685524828663831E-4</v>
      </c>
      <c r="BG59" s="327">
        <v>0</v>
      </c>
      <c r="BH59" s="327">
        <v>0</v>
      </c>
      <c r="BI59" s="327">
        <v>0</v>
      </c>
      <c r="BJ59" s="327">
        <v>0</v>
      </c>
      <c r="BK59" s="327">
        <v>0</v>
      </c>
      <c r="BL59" s="327">
        <v>0</v>
      </c>
    </row>
    <row r="60" spans="1:64" x14ac:dyDescent="0.25">
      <c r="B60" s="109"/>
      <c r="C60" s="99"/>
      <c r="D60" s="44"/>
      <c r="E60" s="44"/>
      <c r="F60" s="100"/>
      <c r="G60" s="100"/>
      <c r="H60" s="100"/>
      <c r="I60" s="46"/>
      <c r="J60" s="200"/>
      <c r="K60" s="200"/>
      <c r="L60" s="100"/>
      <c r="M60" s="278"/>
      <c r="N60" s="100"/>
      <c r="O60" s="100"/>
      <c r="P60" s="100"/>
      <c r="Q60" s="100"/>
      <c r="R60" s="100"/>
      <c r="S60" s="100"/>
      <c r="U60" s="132"/>
      <c r="V60" s="132"/>
      <c r="W60" s="132"/>
      <c r="X60" s="132"/>
      <c r="Y60" s="132"/>
      <c r="Z60" s="132"/>
      <c r="AO60" s="212"/>
      <c r="AT60" s="230"/>
      <c r="BD60" s="319"/>
      <c r="BE60" s="330"/>
      <c r="BF60" s="319"/>
      <c r="BG60" s="319"/>
      <c r="BH60" s="319"/>
      <c r="BI60" s="319"/>
      <c r="BJ60" s="319"/>
      <c r="BK60" s="319"/>
      <c r="BL60" s="319"/>
    </row>
    <row r="61" spans="1:64" ht="6" customHeight="1" x14ac:dyDescent="0.25">
      <c r="B61" s="133"/>
      <c r="D61" s="44"/>
      <c r="F61" s="134"/>
      <c r="G61" s="134"/>
      <c r="H61" s="134"/>
      <c r="I61" s="123"/>
      <c r="J61" s="203"/>
      <c r="K61" s="203"/>
      <c r="L61" s="134"/>
      <c r="M61" s="288"/>
      <c r="N61" s="134"/>
      <c r="O61" s="134"/>
      <c r="P61" s="134"/>
      <c r="Q61" s="134"/>
      <c r="R61" s="134"/>
      <c r="S61" s="134"/>
      <c r="U61" s="101"/>
      <c r="V61" s="101"/>
      <c r="W61" s="101"/>
      <c r="X61" s="101"/>
      <c r="Y61" s="101"/>
      <c r="Z61" s="101"/>
      <c r="AT61" s="230"/>
      <c r="BD61" s="319"/>
      <c r="BE61" s="319"/>
      <c r="BF61" s="319"/>
      <c r="BG61" s="319"/>
      <c r="BH61" s="319"/>
      <c r="BI61" s="319"/>
      <c r="BJ61" s="319"/>
      <c r="BK61" s="319"/>
      <c r="BL61" s="319"/>
    </row>
    <row r="62" spans="1:64" x14ac:dyDescent="0.25">
      <c r="A62" s="135"/>
      <c r="B62" s="43" t="s">
        <v>35</v>
      </c>
      <c r="C62" s="136"/>
      <c r="D62" s="88">
        <v>0.21208954143291392</v>
      </c>
      <c r="E62" s="88">
        <v>0.16660047566521191</v>
      </c>
      <c r="F62" s="95">
        <v>0.17576141221254113</v>
      </c>
      <c r="G62" s="95">
        <v>7.6231524826845115E-2</v>
      </c>
      <c r="H62" s="95">
        <v>7.4088297600133302E-2</v>
      </c>
      <c r="I62" s="96"/>
      <c r="J62" s="199">
        <f t="shared" ref="J62:AS62" si="46">SUM(J63:J64)</f>
        <v>9.1080356473553684E-2</v>
      </c>
      <c r="K62" s="199">
        <f t="shared" si="46"/>
        <v>7.1928870249994906E-2</v>
      </c>
      <c r="L62" s="95">
        <f t="shared" si="46"/>
        <v>8.2308913196707828E-2</v>
      </c>
      <c r="M62" s="284">
        <f t="shared" si="46"/>
        <v>6.8730191386592934E-2</v>
      </c>
      <c r="N62" s="95">
        <f t="shared" si="46"/>
        <v>2.8308082622378952E-2</v>
      </c>
      <c r="O62" s="95">
        <f t="shared" si="46"/>
        <v>1.7604025224601662E-2</v>
      </c>
      <c r="P62" s="95">
        <f t="shared" si="46"/>
        <v>8.8555193897567192E-3</v>
      </c>
      <c r="Q62" s="95">
        <f t="shared" si="46"/>
        <v>5.8036421485754648E-3</v>
      </c>
      <c r="R62" s="95">
        <f t="shared" si="46"/>
        <v>5.2221477245551953E-3</v>
      </c>
      <c r="S62" s="95">
        <f t="shared" si="46"/>
        <v>4.4544730263409958E-3</v>
      </c>
      <c r="T62" s="95">
        <f t="shared" si="46"/>
        <v>0</v>
      </c>
      <c r="U62" s="95">
        <f t="shared" si="46"/>
        <v>10629</v>
      </c>
      <c r="V62" s="95">
        <f t="shared" si="46"/>
        <v>22464.040695828251</v>
      </c>
      <c r="W62" s="95">
        <f t="shared" si="46"/>
        <v>36662.614131566886</v>
      </c>
      <c r="X62" s="95">
        <f t="shared" si="46"/>
        <v>18424.453841241306</v>
      </c>
      <c r="Y62" s="95">
        <f t="shared" si="46"/>
        <v>16062.657936240133</v>
      </c>
      <c r="Z62" s="95">
        <f t="shared" si="46"/>
        <v>11312.211144146298</v>
      </c>
      <c r="AA62" s="95">
        <f t="shared" si="46"/>
        <v>0</v>
      </c>
      <c r="AB62" s="95">
        <f t="shared" si="46"/>
        <v>0</v>
      </c>
      <c r="AC62" s="95">
        <f t="shared" si="46"/>
        <v>0</v>
      </c>
      <c r="AD62" s="95">
        <f t="shared" si="46"/>
        <v>0</v>
      </c>
      <c r="AE62" s="95">
        <f t="shared" si="46"/>
        <v>4.0667430810567923E-2</v>
      </c>
      <c r="AF62" s="95">
        <f t="shared" si="46"/>
        <v>2.8308082622378952E-2</v>
      </c>
      <c r="AG62" s="95">
        <f t="shared" si="46"/>
        <v>1.7604025224601662E-2</v>
      </c>
      <c r="AH62" s="95">
        <f t="shared" si="46"/>
        <v>8.8555193897567192E-3</v>
      </c>
      <c r="AI62" s="95">
        <f t="shared" si="46"/>
        <v>0</v>
      </c>
      <c r="AJ62" s="95">
        <f t="shared" si="46"/>
        <v>0</v>
      </c>
      <c r="AK62" s="95">
        <f t="shared" si="46"/>
        <v>0</v>
      </c>
      <c r="AL62" s="95">
        <f t="shared" si="46"/>
        <v>0</v>
      </c>
      <c r="AM62" s="95">
        <f t="shared" si="46"/>
        <v>0</v>
      </c>
      <c r="AN62" s="95">
        <f t="shared" si="46"/>
        <v>4.3367055148086919E-2</v>
      </c>
      <c r="AO62" s="95">
        <f t="shared" si="46"/>
        <v>1.8244722575669038E-2</v>
      </c>
      <c r="AP62" s="95">
        <f t="shared" si="46"/>
        <v>1.1855761264177242E-2</v>
      </c>
      <c r="AQ62" s="95">
        <f t="shared" si="46"/>
        <v>5.7929504269271688E-3</v>
      </c>
      <c r="AR62" s="95">
        <f t="shared" si="46"/>
        <v>2.6485843902070124E-3</v>
      </c>
      <c r="AS62" s="95">
        <f t="shared" si="46"/>
        <v>2.0373726078515321E-3</v>
      </c>
      <c r="AT62" s="228">
        <f>AN62-AS62</f>
        <v>4.1329682540235391E-2</v>
      </c>
      <c r="AU62" s="95">
        <v>2.0373726078515321E-3</v>
      </c>
      <c r="BD62" s="326">
        <v>4.3367055148086919E-2</v>
      </c>
      <c r="BE62" s="326">
        <v>1.8244722575669038E-2</v>
      </c>
      <c r="BF62" s="326">
        <v>1.1855761264177242E-2</v>
      </c>
      <c r="BG62" s="326">
        <v>5.7929504269271688E-3</v>
      </c>
      <c r="BH62" s="326">
        <v>2.6485843902070124E-3</v>
      </c>
      <c r="BI62" s="326">
        <v>2.0373726078515321E-3</v>
      </c>
      <c r="BJ62" s="326">
        <v>2.0373726078515321E-3</v>
      </c>
      <c r="BK62" s="326">
        <v>2.0373726078515321E-3</v>
      </c>
      <c r="BL62" s="326">
        <v>2.0373726078515321E-3</v>
      </c>
    </row>
    <row r="63" spans="1:64" x14ac:dyDescent="0.25">
      <c r="A63" t="s">
        <v>81</v>
      </c>
      <c r="B63" s="98" t="s">
        <v>36</v>
      </c>
      <c r="C63" s="99"/>
      <c r="D63" s="44">
        <v>6.933354665451503E-3</v>
      </c>
      <c r="E63" s="44">
        <v>1.2E-2</v>
      </c>
      <c r="F63" s="100">
        <v>8.1962533452274756E-3</v>
      </c>
      <c r="G63" s="100">
        <v>9.0689534104329145E-3</v>
      </c>
      <c r="H63" s="100">
        <v>9.5090180956971387E-3</v>
      </c>
      <c r="I63" s="46"/>
      <c r="J63" s="200">
        <f>[1]Projection_Detail!S362</f>
        <v>1.8166370846169329E-3</v>
      </c>
      <c r="K63" s="200">
        <f>[1]Projection_Detail!T362</f>
        <v>1.7805204144323284E-3</v>
      </c>
      <c r="L63" s="100">
        <v>7.3089131967078256E-3</v>
      </c>
      <c r="M63" s="278">
        <v>7.9298167701112587E-3</v>
      </c>
      <c r="N63" s="100">
        <v>6.0682857250515618E-3</v>
      </c>
      <c r="O63" s="100">
        <v>6.285133132183561E-3</v>
      </c>
      <c r="P63" s="100">
        <v>6.4402576720460876E-3</v>
      </c>
      <c r="Q63" s="100">
        <v>5.8036421485754648E-3</v>
      </c>
      <c r="R63" s="100">
        <v>5.2221477245551953E-3</v>
      </c>
      <c r="S63" s="100">
        <v>4.4544730263409958E-3</v>
      </c>
      <c r="U63" s="101">
        <f>J63*[1]Projection_Detail!S$3</f>
        <v>211.99999999999997</v>
      </c>
      <c r="V63" s="101">
        <f>K63*[1]Projection_Detail!T$3</f>
        <v>556.07272727272732</v>
      </c>
      <c r="W63" s="101">
        <f>L63*AA$19</f>
        <v>3255.5874430223193</v>
      </c>
      <c r="X63" s="101">
        <f t="shared" ref="X63:X64" si="47">N63*AB$19</f>
        <v>3949.5734037560251</v>
      </c>
      <c r="Y63" s="101">
        <f t="shared" ref="Y63:Y64" si="48">O63*AC$19</f>
        <v>5734.821570518312</v>
      </c>
      <c r="Z63" s="101">
        <f t="shared" ref="Z63:Z64" si="49">P63*AD$19</f>
        <v>8226.9092757183716</v>
      </c>
      <c r="AE63" s="193">
        <v>7.3089131967078256E-3</v>
      </c>
      <c r="AF63" s="193">
        <v>6.0682857250515618E-3</v>
      </c>
      <c r="AG63" s="193">
        <v>6.285133132183561E-3</v>
      </c>
      <c r="AH63" s="193">
        <v>6.4402576720460876E-3</v>
      </c>
      <c r="AN63" s="100">
        <v>1.1301114700905003E-2</v>
      </c>
      <c r="AO63" s="100">
        <v>1.6278475105438123E-3</v>
      </c>
      <c r="AP63" s="100">
        <v>1.7107339918815713E-3</v>
      </c>
      <c r="AQ63" s="100">
        <v>1.30286916490165E-3</v>
      </c>
      <c r="AR63" s="100">
        <v>0</v>
      </c>
      <c r="AS63" s="100">
        <v>0</v>
      </c>
      <c r="AT63" s="229">
        <f t="shared" ref="AT63:AT64" si="50">AN63-AS63</f>
        <v>1.1301114700905003E-2</v>
      </c>
      <c r="BD63" s="327">
        <v>1.1301114700905003E-2</v>
      </c>
      <c r="BE63" s="327">
        <v>1.6278475105438123E-3</v>
      </c>
      <c r="BF63" s="327">
        <v>1.7107339918815713E-3</v>
      </c>
      <c r="BG63" s="327">
        <v>1.30286916490165E-3</v>
      </c>
      <c r="BH63" s="327">
        <v>0</v>
      </c>
      <c r="BI63" s="327">
        <v>0</v>
      </c>
      <c r="BJ63" s="327">
        <v>0</v>
      </c>
      <c r="BK63" s="327">
        <v>0</v>
      </c>
      <c r="BL63" s="327">
        <v>0</v>
      </c>
    </row>
    <row r="64" spans="1:64" x14ac:dyDescent="0.25">
      <c r="A64" t="s">
        <v>81</v>
      </c>
      <c r="B64" s="137" t="s">
        <v>37</v>
      </c>
      <c r="C64" s="128"/>
      <c r="D64" s="129">
        <v>0.20515618676746245</v>
      </c>
      <c r="E64" s="129">
        <v>0.1546004756652119</v>
      </c>
      <c r="F64" s="130">
        <v>0.16756515886731366</v>
      </c>
      <c r="G64" s="130">
        <v>6.7162571416412201E-2</v>
      </c>
      <c r="H64" s="130">
        <v>6.4579279504436163E-2</v>
      </c>
      <c r="I64" s="131"/>
      <c r="J64" s="202">
        <f>[1]Projection_Detail!S278 +[1]Projection_Detail!S309+[1]Projection_Detail!S340</f>
        <v>8.9263719388936749E-2</v>
      </c>
      <c r="K64" s="202">
        <f>[1]Projection_Detail!T278 +[1]Projection_Detail!T309+[1]Projection_Detail!T340</f>
        <v>7.0148349835562576E-2</v>
      </c>
      <c r="L64" s="130">
        <v>7.4999999999999997E-2</v>
      </c>
      <c r="M64" s="289">
        <v>6.0800374616481676E-2</v>
      </c>
      <c r="N64" s="130">
        <v>2.2239796897327392E-2</v>
      </c>
      <c r="O64" s="130">
        <v>1.1318892092418101E-2</v>
      </c>
      <c r="P64" s="130">
        <v>2.415261717710632E-3</v>
      </c>
      <c r="Q64" s="130">
        <v>0</v>
      </c>
      <c r="R64" s="130">
        <v>0</v>
      </c>
      <c r="S64" s="130">
        <v>0</v>
      </c>
      <c r="U64" s="132">
        <f>J64*[1]Projection_Detail!S$3</f>
        <v>10417</v>
      </c>
      <c r="V64" s="132">
        <f>K64*[1]Projection_Detail!T$3</f>
        <v>21907.967968555524</v>
      </c>
      <c r="W64" s="132">
        <f>L64*AA$19</f>
        <v>33407.026688544567</v>
      </c>
      <c r="X64" s="132">
        <f t="shared" si="47"/>
        <v>14474.880437485281</v>
      </c>
      <c r="Y64" s="132">
        <f t="shared" si="48"/>
        <v>10327.836365721821</v>
      </c>
      <c r="Z64" s="132">
        <f t="shared" si="49"/>
        <v>3085.3018684279273</v>
      </c>
      <c r="AE64" s="193">
        <v>3.3358517613860099E-2</v>
      </c>
      <c r="AF64" s="193">
        <v>2.2239796897327392E-2</v>
      </c>
      <c r="AG64" s="193">
        <v>1.1318892092418101E-2</v>
      </c>
      <c r="AH64" s="193">
        <v>2.415261717710632E-3</v>
      </c>
      <c r="AN64" s="100">
        <v>3.2065940447181918E-2</v>
      </c>
      <c r="AO64" s="100">
        <v>1.6616875065125224E-2</v>
      </c>
      <c r="AP64" s="100">
        <v>1.0145027272295671E-2</v>
      </c>
      <c r="AQ64" s="100">
        <v>4.4900812620255193E-3</v>
      </c>
      <c r="AR64" s="100">
        <v>2.6485843902070124E-3</v>
      </c>
      <c r="AS64" s="100">
        <v>2.0373726078515321E-3</v>
      </c>
      <c r="AT64" s="229">
        <f t="shared" si="50"/>
        <v>3.0028567839330386E-2</v>
      </c>
      <c r="BD64" s="327">
        <v>3.2065940447181918E-2</v>
      </c>
      <c r="BE64" s="327">
        <v>1.6616875065125224E-2</v>
      </c>
      <c r="BF64" s="327">
        <v>1.0145027272295671E-2</v>
      </c>
      <c r="BG64" s="327">
        <v>4.4900812620255193E-3</v>
      </c>
      <c r="BH64" s="327">
        <v>2.6485843902070124E-3</v>
      </c>
      <c r="BI64" s="327">
        <v>2.0373726078515321E-3</v>
      </c>
      <c r="BJ64" s="327">
        <v>2.0373726078515321E-3</v>
      </c>
      <c r="BK64" s="327">
        <v>2.0373726078515321E-3</v>
      </c>
      <c r="BL64" s="327">
        <v>2.0373726078515321E-3</v>
      </c>
    </row>
    <row r="65" spans="1:64" x14ac:dyDescent="0.25">
      <c r="B65" s="137"/>
      <c r="C65" s="128"/>
      <c r="D65" s="129"/>
      <c r="E65" s="129"/>
      <c r="F65" s="130"/>
      <c r="G65" s="130"/>
      <c r="H65" s="130"/>
      <c r="I65" s="131"/>
      <c r="J65" s="202"/>
      <c r="K65" s="202"/>
      <c r="L65" s="130"/>
      <c r="M65" s="289"/>
      <c r="N65" s="130"/>
      <c r="O65" s="130"/>
      <c r="P65" s="130"/>
      <c r="Q65" s="130"/>
      <c r="R65" s="130"/>
      <c r="S65" s="130"/>
      <c r="U65" s="132"/>
      <c r="V65" s="132"/>
      <c r="W65" s="132"/>
      <c r="X65" s="132"/>
      <c r="Y65" s="132"/>
      <c r="Z65" s="132"/>
      <c r="AT65" s="230"/>
      <c r="BD65" s="319"/>
      <c r="BE65" s="319"/>
      <c r="BF65" s="319"/>
      <c r="BG65" s="319"/>
      <c r="BH65" s="319"/>
      <c r="BI65" s="319"/>
      <c r="BJ65" s="319"/>
      <c r="BK65" s="319"/>
      <c r="BL65" s="319"/>
    </row>
    <row r="66" spans="1:64" ht="9" customHeight="1" x14ac:dyDescent="0.25">
      <c r="C66" s="138"/>
      <c r="F66" s="4"/>
      <c r="G66" s="4"/>
      <c r="H66" s="4"/>
      <c r="I66" s="123"/>
      <c r="J66" s="4"/>
      <c r="K66" s="4"/>
      <c r="L66" s="4"/>
      <c r="M66" s="288"/>
      <c r="N66" s="4"/>
      <c r="O66" s="4"/>
      <c r="P66" s="4"/>
      <c r="Q66" s="4"/>
      <c r="R66" s="4"/>
      <c r="S66" s="4"/>
      <c r="U66" s="94"/>
      <c r="V66" s="94"/>
      <c r="W66" s="94"/>
      <c r="X66" s="94"/>
      <c r="Y66" s="94"/>
      <c r="Z66" s="94"/>
      <c r="AT66" s="230"/>
      <c r="BD66" s="319"/>
      <c r="BE66" s="319"/>
      <c r="BF66" s="319"/>
      <c r="BG66" s="319"/>
      <c r="BH66" s="319"/>
      <c r="BI66" s="319"/>
      <c r="BJ66" s="319"/>
      <c r="BK66" s="319"/>
      <c r="BL66" s="319"/>
    </row>
    <row r="67" spans="1:64" x14ac:dyDescent="0.25">
      <c r="B67" s="43" t="s">
        <v>38</v>
      </c>
      <c r="C67" s="87"/>
      <c r="D67" s="88">
        <v>7.2688093654550937E-2</v>
      </c>
      <c r="E67" s="88">
        <v>0.11179932510068762</v>
      </c>
      <c r="F67" s="95">
        <v>9.3310102586975932E-2</v>
      </c>
      <c r="G67" s="95">
        <v>9.262242528539967E-2</v>
      </c>
      <c r="H67" s="95">
        <v>8.0645084527911165E-2</v>
      </c>
      <c r="I67" s="96"/>
      <c r="J67" s="199" t="e">
        <f>SUM(J68:J73)</f>
        <v>#REF!</v>
      </c>
      <c r="K67" s="199">
        <f>SUM(K68:K73)</f>
        <v>0.23083440685659559</v>
      </c>
      <c r="L67" s="95">
        <f t="shared" ref="L67:N67" si="51">SUM(L68:L73)</f>
        <v>0.17909524580295016</v>
      </c>
      <c r="M67" s="284">
        <f t="shared" si="51"/>
        <v>0.18972361115081679</v>
      </c>
      <c r="N67" s="95">
        <f t="shared" si="51"/>
        <v>0.18381233593844354</v>
      </c>
      <c r="O67" s="95">
        <f>SUM(O68:O73)</f>
        <v>0.13822112389489119</v>
      </c>
      <c r="P67" s="95">
        <f>SUM(P68:P73)</f>
        <v>0.12341596296570766</v>
      </c>
      <c r="Q67" s="95">
        <f t="shared" ref="Q67:AS67" si="52">SUM(Q68:Q73)</f>
        <v>0.10846656378835695</v>
      </c>
      <c r="R67" s="95">
        <f t="shared" si="52"/>
        <v>7.7188779209298009E-2</v>
      </c>
      <c r="S67" s="95">
        <f t="shared" si="52"/>
        <v>6.2845075283391574E-2</v>
      </c>
      <c r="T67" s="95">
        <f t="shared" si="52"/>
        <v>0</v>
      </c>
      <c r="U67" s="95" t="e">
        <f t="shared" si="52"/>
        <v>#REF!</v>
      </c>
      <c r="V67" s="95">
        <f t="shared" si="52"/>
        <v>72091.685738999993</v>
      </c>
      <c r="W67" s="95">
        <f t="shared" si="52"/>
        <v>79773.862084408087</v>
      </c>
      <c r="X67" s="95">
        <f t="shared" si="52"/>
        <v>119635.15664855676</v>
      </c>
      <c r="Y67" s="95">
        <f t="shared" si="52"/>
        <v>126118.80546408059</v>
      </c>
      <c r="Z67" s="95">
        <f t="shared" si="52"/>
        <v>157653.92973348562</v>
      </c>
      <c r="AA67" s="95">
        <f t="shared" si="52"/>
        <v>0</v>
      </c>
      <c r="AB67" s="95">
        <f t="shared" si="52"/>
        <v>0</v>
      </c>
      <c r="AC67" s="95">
        <f t="shared" si="52"/>
        <v>0</v>
      </c>
      <c r="AD67" s="95">
        <f t="shared" si="52"/>
        <v>0</v>
      </c>
      <c r="AE67" s="95">
        <f t="shared" si="52"/>
        <v>0.18160724723789776</v>
      </c>
      <c r="AF67" s="95">
        <f t="shared" si="52"/>
        <v>0.16381233593844358</v>
      </c>
      <c r="AG67" s="95">
        <f t="shared" si="52"/>
        <v>0.13822112389489119</v>
      </c>
      <c r="AH67" s="95">
        <f t="shared" si="52"/>
        <v>0.12341596296570766</v>
      </c>
      <c r="AI67" s="95">
        <f t="shared" si="52"/>
        <v>0</v>
      </c>
      <c r="AJ67" s="95">
        <f t="shared" si="52"/>
        <v>0</v>
      </c>
      <c r="AK67" s="95">
        <f t="shared" si="52"/>
        <v>0</v>
      </c>
      <c r="AL67" s="95">
        <f t="shared" si="52"/>
        <v>0</v>
      </c>
      <c r="AM67" s="95">
        <f t="shared" si="52"/>
        <v>0</v>
      </c>
      <c r="AN67" s="95">
        <f t="shared" si="52"/>
        <v>0.15523284306844204</v>
      </c>
      <c r="AO67" s="95">
        <f t="shared" si="52"/>
        <v>0.14857086719003845</v>
      </c>
      <c r="AP67" s="95">
        <f t="shared" si="52"/>
        <v>0.13377024275012545</v>
      </c>
      <c r="AQ67" s="95">
        <f t="shared" si="52"/>
        <v>0.11960261082354312</v>
      </c>
      <c r="AR67" s="95">
        <f t="shared" si="52"/>
        <v>0.10632370483099411</v>
      </c>
      <c r="AS67" s="95">
        <f t="shared" si="52"/>
        <v>9.2597833495358731E-2</v>
      </c>
      <c r="AT67" s="228">
        <f>AN67-AS67</f>
        <v>6.2635009573083308E-2</v>
      </c>
      <c r="AU67" s="284">
        <v>0.12</v>
      </c>
      <c r="BD67" s="326">
        <v>0.15523284306844204</v>
      </c>
      <c r="BE67" s="326">
        <v>0.14734369335244302</v>
      </c>
      <c r="BF67" s="326">
        <v>0.13985548123451408</v>
      </c>
      <c r="BG67" s="326">
        <v>0.1327478305064029</v>
      </c>
      <c r="BH67" s="326">
        <v>0.12600140050719624</v>
      </c>
      <c r="BI67" s="326">
        <v>0.11959783349535874</v>
      </c>
      <c r="BJ67" s="326">
        <v>0.11959783349535874</v>
      </c>
      <c r="BK67" s="326">
        <v>0.11959783349535874</v>
      </c>
      <c r="BL67" s="326">
        <v>0.11959783349535874</v>
      </c>
    </row>
    <row r="68" spans="1:64" x14ac:dyDescent="0.25">
      <c r="A68" t="s">
        <v>81</v>
      </c>
      <c r="B68" s="98" t="s">
        <v>39</v>
      </c>
      <c r="C68" s="99"/>
      <c r="D68" s="44">
        <v>5.1822381666131109E-2</v>
      </c>
      <c r="E68" s="44">
        <v>7.3333558961506284E-2</v>
      </c>
      <c r="F68" s="100">
        <v>1.8766726137377343E-2</v>
      </c>
      <c r="G68" s="100">
        <v>3.9006926195061235E-2</v>
      </c>
      <c r="H68" s="100">
        <v>3.3502508167163547E-2</v>
      </c>
      <c r="I68" s="46"/>
      <c r="J68" s="200">
        <f>[1]Projection_Detail!S388</f>
        <v>3.3847719265268326E-2</v>
      </c>
      <c r="K68" s="200">
        <f>[1]Projection_Detail!T388</f>
        <v>4.5114279483233564E-2</v>
      </c>
      <c r="L68" s="100">
        <v>3.4304160339805663E-2</v>
      </c>
      <c r="M68" s="278">
        <v>3.0085755502075887E-2</v>
      </c>
      <c r="N68" s="100">
        <v>2.976629229209524E-2</v>
      </c>
      <c r="O68" s="100">
        <v>2.385009095602118E-2</v>
      </c>
      <c r="P68" s="100">
        <v>2.135722978186879E-2</v>
      </c>
      <c r="Q68" s="100">
        <v>2.0135594204537668E-2</v>
      </c>
      <c r="R68" s="100">
        <v>1.7312035280685766E-2</v>
      </c>
      <c r="S68" s="100">
        <v>1.5668315827178713E-2</v>
      </c>
      <c r="U68" s="101">
        <f>J68*[1]Projection_Detail!S$3</f>
        <v>3949.9999999999995</v>
      </c>
      <c r="V68" s="101">
        <f>K68*[1]Projection_Detail!T$3</f>
        <v>14089.6</v>
      </c>
      <c r="W68" s="101">
        <f t="shared" ref="W68:W73" si="53">L68*AA$19</f>
        <v>15280</v>
      </c>
      <c r="X68" s="101">
        <f t="shared" ref="X68:X73" si="54">N68*AB$19</f>
        <v>19373.536727176503</v>
      </c>
      <c r="Y68" s="101">
        <f t="shared" ref="Y68:Y73" si="55">O68*AC$19</f>
        <v>21761.832756261072</v>
      </c>
      <c r="Z68" s="101">
        <f t="shared" ref="Z68:Z73" si="56">P68*AD$19</f>
        <v>27282.136949076972</v>
      </c>
      <c r="AB68" s="82"/>
      <c r="AC68" s="82"/>
      <c r="AD68" s="82"/>
      <c r="AE68" s="193">
        <v>3.4304160339805663E-2</v>
      </c>
      <c r="AF68" s="193">
        <v>2.976629229209524E-2</v>
      </c>
      <c r="AG68" s="193">
        <v>2.385009095602118E-2</v>
      </c>
      <c r="AH68" s="193">
        <v>2.135722978186879E-2</v>
      </c>
      <c r="AN68" s="100">
        <v>3.1683870058893109E-2</v>
      </c>
      <c r="AO68" s="100">
        <v>2.7811325772253846E-2</v>
      </c>
      <c r="AP68" s="100">
        <v>2.3123815046260664E-2</v>
      </c>
      <c r="AQ68" s="100">
        <v>1.9075386675880584E-2</v>
      </c>
      <c r="AR68" s="100">
        <v>1.5866079844273451E-2</v>
      </c>
      <c r="AS68" s="100">
        <v>1.2204676803287174E-2</v>
      </c>
      <c r="AT68" s="229">
        <f t="shared" ref="AT68:AT69" si="57">AN68-AS68</f>
        <v>1.9479193255605935E-2</v>
      </c>
      <c r="BD68" s="328">
        <v>3.1683870058893109E-2</v>
      </c>
      <c r="BE68" s="328">
        <v>2.7581608250763591E-2</v>
      </c>
      <c r="BF68" s="328">
        <v>2.4175722603072342E-2</v>
      </c>
      <c r="BG68" s="328">
        <v>2.1171914056540304E-2</v>
      </c>
      <c r="BH68" s="328">
        <v>1.8802470099355369E-2</v>
      </c>
      <c r="BI68" s="328">
        <v>1.5763359131478694E-2</v>
      </c>
      <c r="BJ68" s="328">
        <v>1.5763359131478694E-2</v>
      </c>
      <c r="BK68" s="328">
        <v>1.5763359131478694E-2</v>
      </c>
      <c r="BL68" s="328">
        <v>1.5763359131478694E-2</v>
      </c>
    </row>
    <row r="69" spans="1:64" x14ac:dyDescent="0.25">
      <c r="A69" t="s">
        <v>81</v>
      </c>
      <c r="B69" s="98" t="s">
        <v>40</v>
      </c>
      <c r="C69" s="139"/>
      <c r="D69" s="44">
        <v>1.806571198841983E-2</v>
      </c>
      <c r="E69" s="44">
        <v>1.806571198841983E-2</v>
      </c>
      <c r="F69" s="100">
        <v>5.2500000000000005E-2</v>
      </c>
      <c r="G69" s="100">
        <v>2.5000000000000001E-2</v>
      </c>
      <c r="H69" s="100">
        <v>1.7499999999999998E-2</v>
      </c>
      <c r="I69" s="46"/>
      <c r="J69" s="200">
        <f>[1]Projection_Detail!S401</f>
        <v>0.1801697793286374</v>
      </c>
      <c r="K69" s="200">
        <f>[1]Projection_Detail!T401</f>
        <v>0.14091557494949006</v>
      </c>
      <c r="L69" s="100">
        <v>0.112</v>
      </c>
      <c r="M69" s="278">
        <v>0.14296650489510976</v>
      </c>
      <c r="N69" s="100">
        <f>9.52%+2%</f>
        <v>0.1152</v>
      </c>
      <c r="O69" s="100">
        <v>8.1250000000000003E-2</v>
      </c>
      <c r="P69" s="100">
        <v>7.1999999999999995E-2</v>
      </c>
      <c r="Q69" s="100">
        <v>0.06</v>
      </c>
      <c r="R69" s="100">
        <v>3.5000000000000003E-2</v>
      </c>
      <c r="S69" s="100">
        <v>2.5000000000000001E-2</v>
      </c>
      <c r="U69" s="101">
        <f>J69*[1]Projection_Detail!S$3</f>
        <v>21025.659742999997</v>
      </c>
      <c r="V69" s="101">
        <f>K69*[1]Projection_Detail!T$3</f>
        <v>44009.216317999999</v>
      </c>
      <c r="W69" s="101">
        <f t="shared" si="53"/>
        <v>49887.826521559895</v>
      </c>
      <c r="X69" s="101">
        <f t="shared" si="54"/>
        <v>74978.482676642263</v>
      </c>
      <c r="Y69" s="101">
        <f t="shared" si="55"/>
        <v>74135.939972162931</v>
      </c>
      <c r="Z69" s="101">
        <f t="shared" si="56"/>
        <v>91974.187682390591</v>
      </c>
      <c r="AE69" s="193">
        <v>0.105</v>
      </c>
      <c r="AF69" s="193">
        <v>9.5200000000000021E-2</v>
      </c>
      <c r="AG69" s="193">
        <v>8.1250000000000003E-2</v>
      </c>
      <c r="AH69" s="193">
        <v>7.1999999999999995E-2</v>
      </c>
      <c r="AN69" s="100">
        <v>0.122</v>
      </c>
      <c r="AO69" s="100">
        <v>0.12</v>
      </c>
      <c r="AP69" s="100">
        <v>0.11</v>
      </c>
      <c r="AQ69" s="100">
        <v>0.1</v>
      </c>
      <c r="AR69" s="100">
        <v>0.09</v>
      </c>
      <c r="AS69" s="100">
        <v>0.08</v>
      </c>
      <c r="AT69" s="229">
        <f t="shared" si="57"/>
        <v>4.1999999999999996E-2</v>
      </c>
      <c r="BD69" s="328">
        <v>0.122</v>
      </c>
      <c r="BE69" s="328">
        <v>0.11900881738596107</v>
      </c>
      <c r="BF69" s="328">
        <v>0.11500392478567226</v>
      </c>
      <c r="BG69" s="328">
        <v>0.11099074643299695</v>
      </c>
      <c r="BH69" s="328">
        <v>0.10665661118255103</v>
      </c>
      <c r="BI69" s="328">
        <v>0.10332667966911198</v>
      </c>
      <c r="BJ69" s="328">
        <v>0.10332667966911198</v>
      </c>
      <c r="BK69" s="328">
        <v>0.10332667966911198</v>
      </c>
      <c r="BL69" s="328">
        <v>0.10332667966911198</v>
      </c>
    </row>
    <row r="70" spans="1:64" x14ac:dyDescent="0.25">
      <c r="B70" s="140" t="s">
        <v>41</v>
      </c>
      <c r="C70" s="141"/>
      <c r="D70" s="44"/>
      <c r="E70" s="44">
        <v>1.7600054150761508E-2</v>
      </c>
      <c r="F70" s="100">
        <v>1.7843443354148083E-2</v>
      </c>
      <c r="G70" s="100">
        <v>1.5293485546488494E-2</v>
      </c>
      <c r="H70" s="100">
        <v>1.6407519145973541E-2</v>
      </c>
      <c r="I70" s="46"/>
      <c r="J70" s="200"/>
      <c r="K70" s="200"/>
      <c r="L70" s="100"/>
      <c r="M70" s="278"/>
      <c r="N70" s="100"/>
      <c r="O70" s="100"/>
      <c r="P70" s="100"/>
      <c r="Q70" s="100"/>
      <c r="R70" s="100"/>
      <c r="S70" s="100"/>
      <c r="U70" s="101">
        <f>J70*[1]Projection_Detail!S$3</f>
        <v>0</v>
      </c>
      <c r="V70" s="101">
        <f>K70*[1]Projection_Detail!T$3</f>
        <v>0</v>
      </c>
      <c r="W70" s="101">
        <f t="shared" si="53"/>
        <v>0</v>
      </c>
      <c r="X70" s="101">
        <f t="shared" si="54"/>
        <v>0</v>
      </c>
      <c r="Y70" s="101">
        <f t="shared" si="55"/>
        <v>0</v>
      </c>
      <c r="Z70" s="101">
        <f t="shared" si="56"/>
        <v>0</v>
      </c>
      <c r="AE70" s="195"/>
      <c r="AF70" s="195"/>
      <c r="AG70" s="195"/>
      <c r="AH70" s="195"/>
      <c r="AN70" s="100"/>
      <c r="AO70" s="100"/>
      <c r="AP70" s="100"/>
      <c r="AQ70" s="100"/>
      <c r="AR70" s="100"/>
      <c r="AS70" s="100"/>
      <c r="AT70" s="229"/>
      <c r="BD70" s="328">
        <v>0</v>
      </c>
      <c r="BE70" s="328">
        <v>0</v>
      </c>
      <c r="BF70" s="328">
        <v>0</v>
      </c>
      <c r="BG70" s="328">
        <v>0</v>
      </c>
      <c r="BH70" s="328">
        <v>0</v>
      </c>
      <c r="BI70" s="328">
        <v>0</v>
      </c>
      <c r="BJ70" s="328">
        <v>0</v>
      </c>
      <c r="BK70" s="328">
        <v>0</v>
      </c>
      <c r="BL70" s="328">
        <v>0</v>
      </c>
    </row>
    <row r="71" spans="1:64" x14ac:dyDescent="0.25">
      <c r="A71" t="s">
        <v>81</v>
      </c>
      <c r="B71" s="109" t="s">
        <v>42</v>
      </c>
      <c r="C71" s="139"/>
      <c r="D71" s="44">
        <v>2.8E-3</v>
      </c>
      <c r="E71" s="44">
        <v>2.8E-3</v>
      </c>
      <c r="F71" s="100">
        <v>2.5791703835860835E-3</v>
      </c>
      <c r="G71" s="100">
        <v>7.9853323722484069E-3</v>
      </c>
      <c r="H71" s="100">
        <v>7.6741560597675699E-3</v>
      </c>
      <c r="I71" s="46"/>
      <c r="J71" s="200">
        <f>[1]Projection_Detail!S409</f>
        <v>9.0794801689554755E-3</v>
      </c>
      <c r="K71" s="200">
        <f>[1]Projection_Detail!T409</f>
        <v>1.6705977086011864E-3</v>
      </c>
      <c r="L71" s="100">
        <v>2.5368914387421727E-3</v>
      </c>
      <c r="M71" s="278">
        <v>4.2624885110893532E-3</v>
      </c>
      <c r="N71" s="100">
        <v>2.5974077043713125E-3</v>
      </c>
      <c r="O71" s="100">
        <v>2.8762095687889537E-3</v>
      </c>
      <c r="P71" s="100">
        <v>3.1086739242832417E-3</v>
      </c>
      <c r="Q71" s="100">
        <v>3.4515198815483232E-3</v>
      </c>
      <c r="R71" s="100">
        <v>3.529052213761103E-3</v>
      </c>
      <c r="S71" s="100">
        <v>3.9906311617464978E-3</v>
      </c>
      <c r="U71" s="101">
        <f>J71*[1]Projection_Detail!S$3</f>
        <v>1059.5676000000001</v>
      </c>
      <c r="V71" s="101">
        <f>K71*[1]Projection_Detail!T$3</f>
        <v>521.74286599999994</v>
      </c>
      <c r="W71" s="101">
        <f t="shared" si="53"/>
        <v>1130</v>
      </c>
      <c r="X71" s="101">
        <f t="shared" si="54"/>
        <v>1690.535491027618</v>
      </c>
      <c r="Y71" s="101">
        <f t="shared" si="55"/>
        <v>2624.3753838658276</v>
      </c>
      <c r="Z71" s="101">
        <f t="shared" si="56"/>
        <v>3971.0799854913967</v>
      </c>
      <c r="AE71" s="193">
        <v>2.5368914387421727E-3</v>
      </c>
      <c r="AF71" s="193">
        <v>2.5974077043713125E-3</v>
      </c>
      <c r="AG71" s="193">
        <v>2.8762095687889537E-3</v>
      </c>
      <c r="AH71" s="193">
        <v>3.1086739242832417E-3</v>
      </c>
      <c r="AN71" s="100">
        <v>1.5489730095489215E-3</v>
      </c>
      <c r="AO71" s="100">
        <v>7.5954141778460289E-4</v>
      </c>
      <c r="AP71" s="100">
        <v>6.4642770386478686E-4</v>
      </c>
      <c r="AQ71" s="100">
        <v>5.2722414766253332E-4</v>
      </c>
      <c r="AR71" s="100">
        <v>4.5762498672066401E-4</v>
      </c>
      <c r="AS71" s="100">
        <v>3.9315669207155753E-4</v>
      </c>
      <c r="AT71" s="229"/>
      <c r="BD71" s="328">
        <v>1.5489730095489215E-3</v>
      </c>
      <c r="BE71" s="328">
        <v>7.5326771571834815E-4</v>
      </c>
      <c r="BF71" s="328">
        <v>6.7583384576946144E-4</v>
      </c>
      <c r="BG71" s="328">
        <v>5.8517001686565176E-4</v>
      </c>
      <c r="BH71" s="328">
        <v>5.4231922528984373E-4</v>
      </c>
      <c r="BI71" s="328">
        <v>5.0779469476806903E-4</v>
      </c>
      <c r="BJ71" s="328">
        <v>5.0779469476806903E-4</v>
      </c>
      <c r="BK71" s="328">
        <v>5.0779469476806903E-4</v>
      </c>
      <c r="BL71" s="328">
        <v>5.0779469476806903E-4</v>
      </c>
    </row>
    <row r="72" spans="1:64" x14ac:dyDescent="0.25">
      <c r="A72" t="s">
        <v>81</v>
      </c>
      <c r="B72" s="109" t="s">
        <v>43</v>
      </c>
      <c r="C72" s="139"/>
      <c r="D72" s="44"/>
      <c r="E72" s="44"/>
      <c r="F72" s="100"/>
      <c r="G72" s="100"/>
      <c r="H72" s="100"/>
      <c r="I72" s="46"/>
      <c r="J72" s="200" t="e">
        <f>[1]Projection_Detail!S393+[1]Projection_Detail!S395</f>
        <v>#REF!</v>
      </c>
      <c r="K72" s="200">
        <f>[1]Projection_Detail!T393+[1]Projection_Detail!T395</f>
        <v>4.2663267180916703E-2</v>
      </c>
      <c r="L72" s="100">
        <v>2.5000000000000001E-2</v>
      </c>
      <c r="M72" s="278">
        <v>1.1058010615359281E-2</v>
      </c>
      <c r="N72" s="100">
        <v>3.1090265940060147E-2</v>
      </c>
      <c r="O72" s="100">
        <v>2.6629211565251006E-2</v>
      </c>
      <c r="P72" s="100">
        <v>2.384587091754815E-2</v>
      </c>
      <c r="Q72" s="100">
        <v>2.2481884830267619E-2</v>
      </c>
      <c r="R72" s="100">
        <v>1.9329312033423734E-2</v>
      </c>
      <c r="S72" s="100">
        <v>1.6494058945204101E-2</v>
      </c>
      <c r="U72" s="101" t="e">
        <f>J72*[1]Projection_Detail!S$3</f>
        <v>#REF!</v>
      </c>
      <c r="V72" s="101">
        <f>K72*[1]Projection_Detail!T$3</f>
        <v>13324.126554999999</v>
      </c>
      <c r="W72" s="101">
        <f t="shared" si="53"/>
        <v>11135.675562848191</v>
      </c>
      <c r="X72" s="101">
        <f t="shared" si="54"/>
        <v>20235.25144269966</v>
      </c>
      <c r="Y72" s="101">
        <f t="shared" si="55"/>
        <v>24297.620062861235</v>
      </c>
      <c r="Z72" s="101">
        <f t="shared" si="56"/>
        <v>30461.175100286571</v>
      </c>
      <c r="AB72" s="82"/>
      <c r="AE72" s="193">
        <v>3.4512001434947606E-2</v>
      </c>
      <c r="AF72" s="193">
        <v>3.1090265940060147E-2</v>
      </c>
      <c r="AG72" s="193">
        <v>2.6629211565251006E-2</v>
      </c>
      <c r="AH72" s="193">
        <v>2.384587091754815E-2</v>
      </c>
      <c r="AN72" s="100"/>
      <c r="AO72" s="100"/>
      <c r="AP72" s="100"/>
      <c r="AQ72" s="100"/>
      <c r="AR72" s="100"/>
      <c r="AS72" s="100"/>
      <c r="AT72" s="229"/>
      <c r="BD72" s="328">
        <v>0</v>
      </c>
      <c r="BE72" s="328">
        <v>0</v>
      </c>
      <c r="BF72" s="328">
        <v>0</v>
      </c>
      <c r="BG72" s="328">
        <v>0</v>
      </c>
      <c r="BH72" s="328">
        <v>0</v>
      </c>
      <c r="BI72" s="328">
        <v>0</v>
      </c>
      <c r="BJ72" s="328">
        <v>0</v>
      </c>
      <c r="BK72" s="328">
        <v>0</v>
      </c>
      <c r="BL72" s="328">
        <v>0</v>
      </c>
    </row>
    <row r="73" spans="1:64" x14ac:dyDescent="0.25">
      <c r="A73" t="s">
        <v>81</v>
      </c>
      <c r="B73" s="109" t="s">
        <v>44</v>
      </c>
      <c r="C73" s="142"/>
      <c r="D73" s="44"/>
      <c r="E73" s="44"/>
      <c r="F73" s="100">
        <v>1.6207627118644068E-3</v>
      </c>
      <c r="G73" s="100">
        <v>5.3366811716015362E-3</v>
      </c>
      <c r="H73" s="100">
        <v>5.5609011550065155E-3</v>
      </c>
      <c r="I73" s="46"/>
      <c r="J73" s="200">
        <f>[1]Projection_Detail!S420</f>
        <v>3.5989979978259996E-4</v>
      </c>
      <c r="K73" s="200">
        <f>[1]Projection_Detail!T420</f>
        <v>4.7068753435408628E-4</v>
      </c>
      <c r="L73" s="100">
        <v>5.2541940244023285E-3</v>
      </c>
      <c r="M73" s="278">
        <v>1.3508516271825339E-3</v>
      </c>
      <c r="N73" s="100">
        <v>5.1583700019168606E-3</v>
      </c>
      <c r="O73" s="100">
        <v>3.6156118048300627E-3</v>
      </c>
      <c r="P73" s="100">
        <v>3.1041883420074869E-3</v>
      </c>
      <c r="Q73" s="100">
        <v>2.3975648720033541E-3</v>
      </c>
      <c r="R73" s="100">
        <v>2.0183796814273957E-3</v>
      </c>
      <c r="S73" s="100">
        <v>1.6920693492622598E-3</v>
      </c>
      <c r="U73" s="101">
        <f>J73*[1]Projection_Detail!S$3</f>
        <v>42</v>
      </c>
      <c r="V73" s="101">
        <f>K73*[1]Projection_Detail!T$3</f>
        <v>147</v>
      </c>
      <c r="W73" s="101">
        <f t="shared" si="53"/>
        <v>2340.3599999999997</v>
      </c>
      <c r="X73" s="101">
        <f t="shared" si="54"/>
        <v>3357.3503110107158</v>
      </c>
      <c r="Y73" s="101">
        <f t="shared" si="55"/>
        <v>3299.0372889295409</v>
      </c>
      <c r="Z73" s="101">
        <f t="shared" si="56"/>
        <v>3965.350016240076</v>
      </c>
      <c r="AE73" s="193">
        <v>5.2541940244023285E-3</v>
      </c>
      <c r="AF73" s="193">
        <v>5.1583700019168606E-3</v>
      </c>
      <c r="AG73" s="193">
        <v>3.6156118048300627E-3</v>
      </c>
      <c r="AH73" s="193">
        <v>3.1041883420074869E-3</v>
      </c>
      <c r="AN73" s="100">
        <v>0</v>
      </c>
      <c r="AO73" s="100">
        <v>0</v>
      </c>
      <c r="AP73" s="100">
        <v>0</v>
      </c>
      <c r="AQ73" s="100">
        <v>0</v>
      </c>
      <c r="AR73" s="100">
        <v>0</v>
      </c>
      <c r="AS73" s="100">
        <v>0</v>
      </c>
      <c r="AT73" s="229"/>
      <c r="BD73" s="328">
        <v>0</v>
      </c>
      <c r="BE73" s="328">
        <v>0</v>
      </c>
      <c r="BF73" s="328">
        <v>0</v>
      </c>
      <c r="BG73" s="328">
        <v>0</v>
      </c>
      <c r="BH73" s="328">
        <v>0</v>
      </c>
      <c r="BI73" s="328">
        <v>0</v>
      </c>
      <c r="BJ73" s="328">
        <v>0</v>
      </c>
      <c r="BK73" s="328">
        <v>0</v>
      </c>
      <c r="BL73" s="328">
        <v>0</v>
      </c>
    </row>
    <row r="74" spans="1:64" ht="8.25" customHeight="1" x14ac:dyDescent="0.25">
      <c r="D74" s="44"/>
      <c r="F74" s="4"/>
      <c r="G74" s="4"/>
      <c r="H74" s="4"/>
      <c r="I74" s="123"/>
      <c r="J74" s="4"/>
      <c r="K74" s="4"/>
      <c r="L74" s="4"/>
      <c r="M74" s="288"/>
      <c r="N74" s="4"/>
      <c r="O74" s="4"/>
      <c r="P74" s="4"/>
      <c r="Q74" s="4"/>
      <c r="R74" s="4"/>
      <c r="S74" s="4"/>
      <c r="U74" s="94"/>
      <c r="V74" s="94"/>
      <c r="W74" s="94"/>
      <c r="X74" s="94"/>
      <c r="Y74" s="94"/>
      <c r="Z74" s="94"/>
      <c r="AT74" s="230"/>
      <c r="BD74" s="319"/>
      <c r="BE74" s="319"/>
      <c r="BF74" s="319"/>
      <c r="BG74" s="319"/>
      <c r="BH74" s="319"/>
      <c r="BI74" s="319"/>
      <c r="BJ74" s="319"/>
      <c r="BK74" s="319"/>
      <c r="BL74" s="319"/>
    </row>
    <row r="75" spans="1:64" x14ac:dyDescent="0.25">
      <c r="A75" s="126"/>
      <c r="B75" s="143" t="s">
        <v>45</v>
      </c>
      <c r="C75" s="144"/>
      <c r="D75" s="119">
        <v>5.9733517117736029E-2</v>
      </c>
      <c r="E75" s="119">
        <v>5.9733517117736029E-2</v>
      </c>
      <c r="F75" s="120" t="s">
        <v>46</v>
      </c>
      <c r="G75" s="120" t="s">
        <v>47</v>
      </c>
      <c r="H75" s="120" t="s">
        <v>48</v>
      </c>
      <c r="I75" s="121"/>
      <c r="J75" s="201" t="e">
        <f>[1]Projection_Detail!S437*0</f>
        <v>#REF!</v>
      </c>
      <c r="K75" s="201">
        <f>[1]Projection_Detail!T437*0</f>
        <v>0</v>
      </c>
      <c r="L75" s="120">
        <f>[1]Projection_Detail!U437*0</f>
        <v>0</v>
      </c>
      <c r="M75" s="287">
        <f>[1]Projection_Detail!V437*0</f>
        <v>0</v>
      </c>
      <c r="N75" s="120">
        <f>[1]Projection_Detail!V437*0</f>
        <v>0</v>
      </c>
      <c r="O75" s="120">
        <f>[1]Projection_Detail!W437*0</f>
        <v>0</v>
      </c>
      <c r="P75" s="120">
        <f>[1]Projection_Detail!X437*0</f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0">
        <v>0</v>
      </c>
      <c r="W75" s="120">
        <v>0</v>
      </c>
      <c r="X75" s="120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>
        <v>0</v>
      </c>
      <c r="AE75" s="120">
        <v>0</v>
      </c>
      <c r="AF75" s="120">
        <v>0</v>
      </c>
      <c r="AG75" s="120">
        <v>0</v>
      </c>
      <c r="AH75" s="120">
        <v>0</v>
      </c>
      <c r="AI75" s="120">
        <v>0</v>
      </c>
      <c r="AJ75" s="120">
        <v>0</v>
      </c>
      <c r="AK75" s="120">
        <v>0</v>
      </c>
      <c r="AL75" s="120">
        <v>0</v>
      </c>
      <c r="AM75" s="120">
        <v>0</v>
      </c>
      <c r="AN75" s="120">
        <v>0</v>
      </c>
      <c r="AO75" s="120">
        <v>0</v>
      </c>
      <c r="AP75" s="120">
        <v>0</v>
      </c>
      <c r="AQ75" s="120">
        <v>0</v>
      </c>
      <c r="AR75" s="120">
        <v>0</v>
      </c>
      <c r="AS75" s="120">
        <v>0</v>
      </c>
      <c r="AT75" s="120">
        <v>0</v>
      </c>
      <c r="AU75" s="120">
        <v>0</v>
      </c>
      <c r="BD75" s="329">
        <v>0</v>
      </c>
      <c r="BE75" s="329">
        <v>0</v>
      </c>
      <c r="BF75" s="329">
        <v>0</v>
      </c>
      <c r="BG75" s="329"/>
      <c r="BH75" s="329"/>
      <c r="BI75" s="329"/>
      <c r="BJ75" s="329"/>
      <c r="BK75" s="329"/>
      <c r="BL75" s="329"/>
    </row>
    <row r="76" spans="1:64" x14ac:dyDescent="0.25">
      <c r="A76" s="37"/>
      <c r="B76" s="145"/>
      <c r="F76" s="146" t="s">
        <v>49</v>
      </c>
      <c r="G76" s="4"/>
      <c r="H76" s="4"/>
      <c r="I76" s="123"/>
      <c r="J76" s="4"/>
      <c r="L76" s="10"/>
      <c r="M76" s="290"/>
      <c r="N76" s="10"/>
      <c r="O76" s="10"/>
      <c r="P76" s="10"/>
      <c r="Q76" s="10"/>
      <c r="R76" s="10"/>
      <c r="S76" s="10"/>
      <c r="AT76" s="230"/>
      <c r="BD76" s="319"/>
      <c r="BE76" s="319"/>
      <c r="BF76" s="319"/>
      <c r="BG76" s="319"/>
      <c r="BH76" s="319"/>
      <c r="BI76" s="319"/>
      <c r="BJ76" s="319"/>
      <c r="BK76" s="319"/>
      <c r="BL76" s="319"/>
    </row>
    <row r="77" spans="1:64" ht="15" hidden="1" customHeight="1" x14ac:dyDescent="0.25">
      <c r="A77" s="147"/>
      <c r="B77" s="145" t="s">
        <v>50</v>
      </c>
      <c r="C77" s="148"/>
      <c r="D77" s="149"/>
      <c r="E77" s="150"/>
      <c r="F77" s="151"/>
      <c r="G77" s="151"/>
      <c r="H77" s="151"/>
      <c r="I77" s="152"/>
      <c r="J77" s="151"/>
      <c r="M77" s="235"/>
      <c r="U77" s="153"/>
      <c r="AT77" s="230"/>
      <c r="BD77" s="319"/>
      <c r="BE77" s="319"/>
      <c r="BF77" s="319"/>
      <c r="BG77" s="319"/>
      <c r="BH77" s="319"/>
      <c r="BI77" s="319"/>
      <c r="BJ77" s="319"/>
      <c r="BK77" s="319"/>
      <c r="BL77" s="319"/>
    </row>
    <row r="78" spans="1:64" ht="15" hidden="1" customHeight="1" x14ac:dyDescent="0.25">
      <c r="A78" s="147"/>
      <c r="B78" s="145" t="s">
        <v>51</v>
      </c>
      <c r="C78" s="148"/>
      <c r="D78" s="154"/>
      <c r="E78" s="150"/>
      <c r="F78" s="151"/>
      <c r="G78" s="151"/>
      <c r="H78" s="151"/>
      <c r="I78" s="152"/>
      <c r="J78" s="151"/>
      <c r="M78" s="235"/>
      <c r="U78" s="153"/>
      <c r="AT78" s="230"/>
      <c r="BD78" s="319"/>
      <c r="BE78" s="319"/>
      <c r="BF78" s="319"/>
      <c r="BG78" s="319"/>
      <c r="BH78" s="319"/>
      <c r="BI78" s="319"/>
      <c r="BJ78" s="319"/>
      <c r="BK78" s="319"/>
      <c r="BL78" s="319"/>
    </row>
    <row r="79" spans="1:64" ht="15" hidden="1" customHeight="1" x14ac:dyDescent="0.25">
      <c r="A79" s="155"/>
      <c r="B79" s="156" t="s">
        <v>52</v>
      </c>
      <c r="C79" s="157"/>
      <c r="D79" s="158"/>
      <c r="E79" s="159"/>
      <c r="F79" s="159"/>
      <c r="G79" s="159"/>
      <c r="H79" s="159"/>
      <c r="I79" s="160"/>
      <c r="J79" s="159"/>
      <c r="M79" s="235"/>
      <c r="U79" s="153"/>
      <c r="AT79" s="230"/>
      <c r="BD79" s="319"/>
      <c r="BE79" s="319"/>
      <c r="BF79" s="319"/>
      <c r="BG79" s="319"/>
      <c r="BH79" s="319"/>
      <c r="BI79" s="319"/>
      <c r="BJ79" s="319"/>
      <c r="BK79" s="319"/>
      <c r="BL79" s="319"/>
    </row>
    <row r="80" spans="1:64" ht="15" hidden="1" customHeight="1" x14ac:dyDescent="0.25">
      <c r="A80" s="155"/>
      <c r="B80" s="156" t="s">
        <v>53</v>
      </c>
      <c r="C80" s="157"/>
      <c r="D80" s="158"/>
      <c r="E80" s="159"/>
      <c r="F80" s="159"/>
      <c r="G80" s="159"/>
      <c r="H80" s="159"/>
      <c r="I80" s="160"/>
      <c r="J80" s="159"/>
      <c r="M80" s="235"/>
      <c r="U80" s="153"/>
      <c r="AT80" s="230"/>
      <c r="BD80" s="319"/>
      <c r="BE80" s="319"/>
      <c r="BF80" s="319"/>
      <c r="BG80" s="319"/>
      <c r="BH80" s="319"/>
      <c r="BI80" s="319"/>
      <c r="BJ80" s="319"/>
      <c r="BK80" s="319"/>
      <c r="BL80" s="319"/>
    </row>
    <row r="81" spans="1:64" ht="15" hidden="1" customHeight="1" x14ac:dyDescent="0.25">
      <c r="A81" s="155"/>
      <c r="B81" s="156" t="s">
        <v>54</v>
      </c>
      <c r="C81" s="157"/>
      <c r="D81" s="158"/>
      <c r="E81" s="158"/>
      <c r="F81" s="158"/>
      <c r="G81" s="158"/>
      <c r="H81" s="158"/>
      <c r="I81" s="161"/>
      <c r="J81" s="158"/>
      <c r="M81" s="235"/>
      <c r="U81" s="162"/>
      <c r="AT81" s="230"/>
      <c r="BD81" s="319"/>
      <c r="BE81" s="319"/>
      <c r="BF81" s="319"/>
      <c r="BG81" s="319"/>
      <c r="BH81" s="319"/>
      <c r="BI81" s="319"/>
      <c r="BJ81" s="319"/>
      <c r="BK81" s="319"/>
      <c r="BL81" s="319"/>
    </row>
    <row r="82" spans="1:64" ht="15" hidden="1" customHeight="1" x14ac:dyDescent="0.25">
      <c r="A82" s="155"/>
      <c r="B82" s="156" t="s">
        <v>55</v>
      </c>
      <c r="C82" s="157"/>
      <c r="D82" s="158"/>
      <c r="E82" s="158"/>
      <c r="F82" s="158"/>
      <c r="G82" s="158"/>
      <c r="H82" s="158"/>
      <c r="I82" s="161"/>
      <c r="J82" s="158"/>
      <c r="M82" s="235"/>
      <c r="U82" s="162"/>
      <c r="AT82" s="230"/>
      <c r="BD82" s="319"/>
      <c r="BE82" s="319"/>
      <c r="BF82" s="319"/>
      <c r="BG82" s="319"/>
      <c r="BH82" s="319"/>
      <c r="BI82" s="319"/>
      <c r="BJ82" s="319"/>
      <c r="BK82" s="319"/>
      <c r="BL82" s="319"/>
    </row>
    <row r="83" spans="1:64" ht="15" hidden="1" customHeight="1" x14ac:dyDescent="0.25">
      <c r="A83" s="155"/>
      <c r="B83" s="156" t="s">
        <v>40</v>
      </c>
      <c r="C83" s="157"/>
      <c r="D83" s="158"/>
      <c r="E83" s="158"/>
      <c r="F83" s="158"/>
      <c r="G83" s="158"/>
      <c r="H83" s="158"/>
      <c r="I83" s="161"/>
      <c r="J83" s="158"/>
      <c r="M83" s="235"/>
      <c r="U83" s="162"/>
      <c r="AT83" s="230"/>
      <c r="BD83" s="319"/>
      <c r="BE83" s="319"/>
      <c r="BF83" s="319"/>
      <c r="BG83" s="319"/>
      <c r="BH83" s="319"/>
      <c r="BI83" s="319"/>
      <c r="BJ83" s="319"/>
      <c r="BK83" s="319"/>
      <c r="BL83" s="319"/>
    </row>
    <row r="84" spans="1:64" ht="15" hidden="1" customHeight="1" x14ac:dyDescent="0.25">
      <c r="A84" s="155"/>
      <c r="B84" s="156" t="s">
        <v>56</v>
      </c>
      <c r="C84" s="157"/>
      <c r="D84" s="158"/>
      <c r="E84" s="158"/>
      <c r="F84" s="158"/>
      <c r="G84" s="158"/>
      <c r="H84" s="158"/>
      <c r="I84" s="161"/>
      <c r="J84" s="158"/>
      <c r="M84" s="235"/>
      <c r="U84" s="162"/>
      <c r="AT84" s="230"/>
      <c r="BD84" s="319"/>
      <c r="BE84" s="319"/>
      <c r="BF84" s="319"/>
      <c r="BG84" s="319"/>
      <c r="BH84" s="319"/>
      <c r="BI84" s="319"/>
      <c r="BJ84" s="319"/>
      <c r="BK84" s="319"/>
      <c r="BL84" s="319"/>
    </row>
    <row r="85" spans="1:64" ht="15" hidden="1" customHeight="1" x14ac:dyDescent="0.25">
      <c r="A85" s="155"/>
      <c r="B85" s="156" t="s">
        <v>57</v>
      </c>
      <c r="C85" s="157"/>
      <c r="D85" s="158"/>
      <c r="E85" s="158"/>
      <c r="F85" s="158"/>
      <c r="G85" s="158"/>
      <c r="H85" s="158"/>
      <c r="I85" s="161"/>
      <c r="J85" s="158"/>
      <c r="M85" s="235"/>
      <c r="U85" s="162"/>
      <c r="AT85" s="230"/>
      <c r="BD85" s="319"/>
      <c r="BE85" s="319"/>
      <c r="BF85" s="319"/>
      <c r="BG85" s="319"/>
      <c r="BH85" s="319"/>
      <c r="BI85" s="319"/>
      <c r="BJ85" s="319"/>
      <c r="BK85" s="319"/>
      <c r="BL85" s="319"/>
    </row>
    <row r="86" spans="1:64" ht="15" hidden="1" customHeight="1" x14ac:dyDescent="0.25">
      <c r="A86" s="147"/>
      <c r="B86" s="145" t="s">
        <v>58</v>
      </c>
      <c r="C86" s="148"/>
      <c r="D86" s="154"/>
      <c r="E86" s="154"/>
      <c r="F86" s="163"/>
      <c r="G86" s="163"/>
      <c r="H86" s="163"/>
      <c r="I86" s="164"/>
      <c r="J86" s="163"/>
      <c r="M86" s="235"/>
      <c r="U86" s="162"/>
      <c r="AT86" s="230"/>
      <c r="BD86" s="319"/>
      <c r="BE86" s="319"/>
      <c r="BF86" s="319"/>
      <c r="BG86" s="319"/>
      <c r="BH86" s="319"/>
      <c r="BI86" s="319"/>
      <c r="BJ86" s="319"/>
      <c r="BK86" s="319"/>
      <c r="BL86" s="319"/>
    </row>
    <row r="87" spans="1:64" ht="15" hidden="1" customHeight="1" x14ac:dyDescent="0.25">
      <c r="A87" s="155"/>
      <c r="B87" s="165" t="s">
        <v>59</v>
      </c>
      <c r="C87" s="157"/>
      <c r="D87" s="158"/>
      <c r="E87" s="158"/>
      <c r="F87" s="158"/>
      <c r="G87" s="158"/>
      <c r="H87" s="158"/>
      <c r="I87" s="161"/>
      <c r="J87" s="158"/>
      <c r="M87" s="235"/>
      <c r="U87" s="162"/>
      <c r="AT87" s="230"/>
      <c r="BD87" s="319"/>
      <c r="BE87" s="319"/>
      <c r="BF87" s="319"/>
      <c r="BG87" s="319"/>
      <c r="BH87" s="319"/>
      <c r="BI87" s="319"/>
      <c r="BJ87" s="319"/>
      <c r="BK87" s="319"/>
      <c r="BL87" s="319"/>
    </row>
    <row r="88" spans="1:64" ht="15" hidden="1" customHeight="1" x14ac:dyDescent="0.25">
      <c r="A88" s="166"/>
      <c r="B88" s="145" t="s">
        <v>60</v>
      </c>
      <c r="C88" s="167"/>
      <c r="D88" s="154"/>
      <c r="E88" s="154"/>
      <c r="F88" s="163"/>
      <c r="G88" s="163"/>
      <c r="H88" s="163"/>
      <c r="I88" s="164"/>
      <c r="J88" s="163"/>
      <c r="M88" s="235"/>
      <c r="U88" s="162"/>
      <c r="AT88" s="230"/>
      <c r="BD88" s="319"/>
      <c r="BE88" s="319"/>
      <c r="BF88" s="319"/>
      <c r="BG88" s="319"/>
      <c r="BH88" s="319"/>
      <c r="BI88" s="319"/>
      <c r="BJ88" s="319"/>
      <c r="BK88" s="319"/>
      <c r="BL88" s="319"/>
    </row>
    <row r="89" spans="1:64" x14ac:dyDescent="0.25">
      <c r="B89" s="143" t="s">
        <v>61</v>
      </c>
      <c r="F89" s="45"/>
      <c r="G89" s="45"/>
      <c r="H89" s="45"/>
      <c r="I89" s="46"/>
      <c r="J89" s="199">
        <f>J90+J94</f>
        <v>2.4354071604072412E-2</v>
      </c>
      <c r="K89" s="199">
        <f>K90+K94</f>
        <v>2.4093118176980954E-2</v>
      </c>
      <c r="L89" s="95">
        <f>L90+L94</f>
        <v>2.578226086956522E-2</v>
      </c>
      <c r="M89" s="284">
        <f>M90+M94</f>
        <v>4.9686412432278795E-2</v>
      </c>
      <c r="N89" s="95">
        <f t="shared" ref="N89:S89" si="58">N90+N94</f>
        <v>0.14244995982554196</v>
      </c>
      <c r="O89" s="95">
        <f t="shared" si="58"/>
        <v>0.19809020432186514</v>
      </c>
      <c r="P89" s="95">
        <f t="shared" si="58"/>
        <v>0.19600675762435071</v>
      </c>
      <c r="Q89" s="95">
        <f>Q90+Q94</f>
        <v>0.17941792896929468</v>
      </c>
      <c r="R89" s="95">
        <f t="shared" si="58"/>
        <v>0.16722630346913481</v>
      </c>
      <c r="S89" s="95">
        <f t="shared" si="58"/>
        <v>0.15880246845173626</v>
      </c>
      <c r="T89" s="95">
        <f>T68/22000 * 1000000</f>
        <v>0</v>
      </c>
      <c r="U89" s="95">
        <f>[1]Projection_Detail!S$3*J89</f>
        <v>2842.0994065262439</v>
      </c>
      <c r="V89" s="95">
        <f>[1]Projection_Detail!T$3*K89</f>
        <v>7524.5000420000033</v>
      </c>
      <c r="W89" s="95">
        <f>W90+W94</f>
        <v>11484.11569280778</v>
      </c>
      <c r="X89" s="95">
        <f t="shared" ref="X89:Z89" si="59">X90+X94</f>
        <v>92714.252127324507</v>
      </c>
      <c r="Y89" s="95">
        <f t="shared" si="59"/>
        <v>180745.88918989885</v>
      </c>
      <c r="Z89" s="95">
        <f t="shared" si="59"/>
        <v>250382.80989942886</v>
      </c>
      <c r="AA89" s="95"/>
      <c r="AB89" s="95"/>
      <c r="AC89" s="95"/>
      <c r="AD89" s="95"/>
      <c r="AE89" s="95">
        <f>AE90+AE94</f>
        <v>4.085062082380124E-2</v>
      </c>
      <c r="AF89" s="95">
        <f t="shared" ref="AF89:AH89" si="60">AF90+AF94</f>
        <v>0.13017119609758759</v>
      </c>
      <c r="AG89" s="95">
        <f t="shared" si="60"/>
        <v>0.16906115642512357</v>
      </c>
      <c r="AH89" s="95">
        <f t="shared" si="60"/>
        <v>0.16865839918160827</v>
      </c>
      <c r="AI89" s="95"/>
      <c r="AJ89" s="95"/>
      <c r="AK89" s="95"/>
      <c r="AL89" s="95"/>
      <c r="AM89" s="95"/>
      <c r="AN89" s="95">
        <v>0.16030465362213392</v>
      </c>
      <c r="AO89" s="95">
        <v>0.20765366643530822</v>
      </c>
      <c r="AP89" s="95">
        <v>0.18437093312908948</v>
      </c>
      <c r="AQ89" s="95">
        <v>0.18118794841581123</v>
      </c>
      <c r="AR89" s="95">
        <v>0.17567615881776077</v>
      </c>
      <c r="AS89" s="95">
        <v>0.17754609763266954</v>
      </c>
      <c r="AT89" s="230"/>
      <c r="AU89" s="284">
        <v>0.19</v>
      </c>
      <c r="BD89" s="326">
        <v>0.16030465362213392</v>
      </c>
      <c r="BE89" s="326">
        <v>0.20755072046586154</v>
      </c>
      <c r="BF89" s="326">
        <v>0.19535636513615373</v>
      </c>
      <c r="BG89" s="326">
        <v>0.19220442185968298</v>
      </c>
      <c r="BH89" s="326">
        <v>0.18975334046172185</v>
      </c>
      <c r="BI89" s="326">
        <v>0.19033922290724678</v>
      </c>
      <c r="BJ89" s="326">
        <v>0.19033922290724678</v>
      </c>
      <c r="BK89" s="326">
        <v>0.19033922290724678</v>
      </c>
      <c r="BL89" s="326">
        <v>0.19033922290724678</v>
      </c>
    </row>
    <row r="90" spans="1:64" x14ac:dyDescent="0.25">
      <c r="B90" s="168" t="s">
        <v>62</v>
      </c>
      <c r="J90" s="204">
        <f>SUM(J91:J92)</f>
        <v>3.3678795454321858E-3</v>
      </c>
      <c r="K90" s="204">
        <f>SUM(K91:K92)</f>
        <v>6.4807589764127272E-3</v>
      </c>
      <c r="L90" s="169">
        <f>SUM(L91:L92)</f>
        <v>5.0434782608695652E-3</v>
      </c>
      <c r="M90" s="291">
        <f>SUM(M91:M92)</f>
        <v>7.8488301014198771E-3</v>
      </c>
      <c r="N90" s="169">
        <f t="shared" ref="N90:P90" si="61">SUM(N91:N92)</f>
        <v>3.5931713238744396E-2</v>
      </c>
      <c r="O90" s="169">
        <f t="shared" si="61"/>
        <v>3.8229409463115219E-2</v>
      </c>
      <c r="P90" s="169">
        <f t="shared" si="61"/>
        <v>2.2682440625569747E-2</v>
      </c>
      <c r="Q90" s="169">
        <f t="shared" ref="Q90" si="62">SUM(Q91:Q92)</f>
        <v>1.371190899622789E-2</v>
      </c>
      <c r="R90" s="169">
        <f t="shared" ref="R90" si="63">SUM(R91:R92)</f>
        <v>4.6240029568603205E-3</v>
      </c>
      <c r="S90" s="169">
        <f t="shared" ref="S90" si="64">SUM(S91:S92)</f>
        <v>6.4260913982115426E-4</v>
      </c>
      <c r="T90" s="169"/>
      <c r="U90" s="169">
        <f>SUM(U91:U92)</f>
        <v>393.02867351856338</v>
      </c>
      <c r="V90" s="169">
        <f>SUM(V91:V92)</f>
        <v>2024.0000000000007</v>
      </c>
      <c r="W90" s="169">
        <f>SUM(W91:W92)</f>
        <v>2246.5015048528521</v>
      </c>
      <c r="X90" s="169">
        <f t="shared" ref="X90:Z90" si="65">SUM(X91:X92)</f>
        <v>23386.33106435134</v>
      </c>
      <c r="Y90" s="169">
        <f t="shared" si="65"/>
        <v>34882.131755430732</v>
      </c>
      <c r="Z90" s="169">
        <f t="shared" si="65"/>
        <v>28974.986822094903</v>
      </c>
      <c r="AA90" s="169"/>
      <c r="AB90" s="169"/>
      <c r="AC90" s="169"/>
      <c r="AD90" s="169"/>
      <c r="AE90" s="169">
        <f>SUM(AE91:AE92)</f>
        <v>8.9395725787091793E-3</v>
      </c>
      <c r="AF90" s="169">
        <f t="shared" ref="AF90" si="66">SUM(AF91:AF92)</f>
        <v>3.2834506207310446E-2</v>
      </c>
      <c r="AG90" s="169">
        <f t="shared" ref="AG90" si="67">SUM(AG91:AG92)</f>
        <v>3.262709630397622E-2</v>
      </c>
      <c r="AH90" s="169">
        <f t="shared" ref="AH90" si="68">SUM(AH91:AH92)</f>
        <v>1.9517613432350374E-2</v>
      </c>
      <c r="AI90" s="169"/>
      <c r="AJ90" s="169"/>
      <c r="AK90" s="169"/>
      <c r="AL90" s="169"/>
      <c r="AM90" s="169"/>
      <c r="AN90" s="169">
        <v>4.2636320988840973E-2</v>
      </c>
      <c r="AO90" s="169">
        <v>4.8277470741491309E-2</v>
      </c>
      <c r="AP90" s="169">
        <v>2.4840925345814443E-2</v>
      </c>
      <c r="AQ90" s="169">
        <v>1.2348247102589043E-2</v>
      </c>
      <c r="AR90" s="169">
        <v>4.189247070247243E-3</v>
      </c>
      <c r="AS90" s="169">
        <v>1.1324324991041817E-3</v>
      </c>
      <c r="AT90" s="230"/>
      <c r="BD90" s="331">
        <v>4.2636320988840973E-2</v>
      </c>
      <c r="BE90" s="331">
        <v>4.8277470741491309E-2</v>
      </c>
      <c r="BF90" s="331">
        <v>2.4840925345814446E-2</v>
      </c>
      <c r="BG90" s="331">
        <v>1.2348247102589043E-2</v>
      </c>
      <c r="BH90" s="331">
        <v>4.1892470702472422E-3</v>
      </c>
      <c r="BI90" s="331">
        <v>1.1324324991041817E-3</v>
      </c>
      <c r="BJ90" s="331">
        <v>1.1324324991041817E-3</v>
      </c>
      <c r="BK90" s="331">
        <v>1.1324324991041817E-3</v>
      </c>
      <c r="BL90" s="331">
        <v>1.1324324991041817E-3</v>
      </c>
    </row>
    <row r="91" spans="1:64" x14ac:dyDescent="0.25">
      <c r="A91" t="s">
        <v>81</v>
      </c>
      <c r="B91" s="170" t="s">
        <v>63</v>
      </c>
      <c r="J91" s="200">
        <f>SUM([2]CompensationReport2014!$O$15,[2]CompensationReport2014!$O$35,[2]CompensationReport2014!$O$38)/[2]CompensationReport2014!$O$7</f>
        <v>3.3678795454321858E-3</v>
      </c>
      <c r="K91" s="200">
        <f>([2]CompensationReport2015!$O$17+[2]CompensationReport2015!$O$41+[2]CompensationReport2015!$O$34)/[2]CompensationReport2015!$O$7</f>
        <v>6.4807589764127272E-3</v>
      </c>
      <c r="L91" s="100">
        <v>0</v>
      </c>
      <c r="M91" s="278">
        <v>0</v>
      </c>
      <c r="N91" s="100">
        <v>1.7246547993999887E-2</v>
      </c>
      <c r="O91" s="100">
        <v>2.4461819741962473E-2</v>
      </c>
      <c r="P91" s="100">
        <v>1.7026516237444594E-2</v>
      </c>
      <c r="Q91" s="100">
        <v>1.0625030538251061E-2</v>
      </c>
      <c r="R91" s="100">
        <v>3.1233757839189366E-3</v>
      </c>
      <c r="S91" s="100">
        <v>0</v>
      </c>
      <c r="T91" s="100"/>
      <c r="U91" s="100">
        <f>[1]Projection_Detail!S3*J91</f>
        <v>393.02867351856338</v>
      </c>
      <c r="V91" s="100">
        <f>[1]Projection_Detail!T$3*K91</f>
        <v>2024.0000000000007</v>
      </c>
      <c r="W91" s="100">
        <f>L91*AA$19</f>
        <v>0</v>
      </c>
      <c r="X91" s="100">
        <f>N91*AB$19</f>
        <v>11225</v>
      </c>
      <c r="Y91" s="100">
        <f t="shared" ref="Y91:Y92" si="69">O91*AC$19</f>
        <v>22320</v>
      </c>
      <c r="Z91" s="100">
        <f t="shared" ref="Z91:Z92" si="70">P91*AD$19</f>
        <v>21750</v>
      </c>
      <c r="AA91" s="100"/>
      <c r="AB91" s="100"/>
      <c r="AC91" s="100"/>
      <c r="AD91" s="100"/>
      <c r="AE91" s="100">
        <v>6.8473618479324139E-4</v>
      </c>
      <c r="AF91" s="100">
        <v>1.5759946746793506E-2</v>
      </c>
      <c r="AG91" s="100">
        <v>2.0877072382233963E-2</v>
      </c>
      <c r="AH91" s="100">
        <v>1.465084677208245E-2</v>
      </c>
      <c r="AI91" s="100"/>
      <c r="AJ91" s="100"/>
      <c r="AK91" s="100"/>
      <c r="AL91" s="100"/>
      <c r="AM91" s="100"/>
      <c r="AN91" s="100">
        <v>1.5652473064972951E-2</v>
      </c>
      <c r="AO91" s="100">
        <v>3.1692697995772713E-2</v>
      </c>
      <c r="AP91" s="100">
        <v>1.837565992447222E-2</v>
      </c>
      <c r="AQ91" s="100">
        <v>8.2693483477873798E-3</v>
      </c>
      <c r="AR91" s="100">
        <v>2.4556551875065443E-3</v>
      </c>
      <c r="AS91" s="100">
        <v>0</v>
      </c>
      <c r="AT91" s="230"/>
      <c r="BD91" s="327">
        <v>1.5652473064972951E-2</v>
      </c>
      <c r="BE91" s="327">
        <v>3.1692697995772713E-2</v>
      </c>
      <c r="BF91" s="327">
        <v>1.837565992447222E-2</v>
      </c>
      <c r="BG91" s="327">
        <v>8.2693483477873798E-3</v>
      </c>
      <c r="BH91" s="327">
        <v>2.4556551875065443E-3</v>
      </c>
      <c r="BI91" s="327">
        <v>0</v>
      </c>
      <c r="BJ91" s="327">
        <v>0</v>
      </c>
      <c r="BK91" s="327">
        <v>0</v>
      </c>
      <c r="BL91" s="327">
        <v>0</v>
      </c>
    </row>
    <row r="92" spans="1:64" x14ac:dyDescent="0.25">
      <c r="A92" t="s">
        <v>81</v>
      </c>
      <c r="B92" s="170" t="s">
        <v>64</v>
      </c>
      <c r="J92" s="200"/>
      <c r="K92" s="200"/>
      <c r="L92" s="100">
        <v>5.0434782608695652E-3</v>
      </c>
      <c r="M92" s="278">
        <v>7.8488301014198771E-3</v>
      </c>
      <c r="N92" s="100">
        <v>1.8685165244744509E-2</v>
      </c>
      <c r="O92" s="100">
        <v>1.3767589721152742E-2</v>
      </c>
      <c r="P92" s="100">
        <v>5.6559243881251541E-3</v>
      </c>
      <c r="Q92" s="100">
        <v>3.08687845797683E-3</v>
      </c>
      <c r="R92" s="100">
        <v>1.5006271729413835E-3</v>
      </c>
      <c r="S92" s="100">
        <v>6.4260913982115426E-4</v>
      </c>
      <c r="T92" s="100"/>
      <c r="U92" s="100"/>
      <c r="V92" s="100"/>
      <c r="W92" s="100">
        <f>L92*AA$19</f>
        <v>2246.5015048528521</v>
      </c>
      <c r="X92" s="100">
        <f t="shared" ref="X92" si="71">N92*AB$19</f>
        <v>12161.33106435134</v>
      </c>
      <c r="Y92" s="100">
        <f t="shared" si="69"/>
        <v>12562.131755430733</v>
      </c>
      <c r="Z92" s="100">
        <f t="shared" si="70"/>
        <v>7224.9868220949038</v>
      </c>
      <c r="AA92" s="100"/>
      <c r="AB92" s="100"/>
      <c r="AC92" s="100"/>
      <c r="AD92" s="100"/>
      <c r="AE92" s="100">
        <v>8.2548363939159378E-3</v>
      </c>
      <c r="AF92" s="100">
        <v>1.7074559460516944E-2</v>
      </c>
      <c r="AG92" s="100">
        <v>1.1750023921742259E-2</v>
      </c>
      <c r="AH92" s="100">
        <v>4.8667666602679243E-3</v>
      </c>
      <c r="AI92" s="100"/>
      <c r="AJ92" s="100"/>
      <c r="AK92" s="100"/>
      <c r="AL92" s="100"/>
      <c r="AM92" s="100"/>
      <c r="AN92" s="100">
        <v>2.6983847923868022E-2</v>
      </c>
      <c r="AO92" s="100">
        <v>1.6584772745718596E-2</v>
      </c>
      <c r="AP92" s="100">
        <v>6.4652654213422263E-3</v>
      </c>
      <c r="AQ92" s="100">
        <v>4.0788987548016631E-3</v>
      </c>
      <c r="AR92" s="100">
        <v>1.7335918827406981E-3</v>
      </c>
      <c r="AS92" s="100">
        <v>1.1324324991041817E-3</v>
      </c>
      <c r="AT92" s="230"/>
      <c r="BD92" s="327">
        <v>2.6983847923868022E-2</v>
      </c>
      <c r="BE92" s="327">
        <v>1.6584772745718596E-2</v>
      </c>
      <c r="BF92" s="327">
        <v>6.4652654213422263E-3</v>
      </c>
      <c r="BG92" s="327">
        <v>4.0788987548016631E-3</v>
      </c>
      <c r="BH92" s="327">
        <v>1.7335918827406981E-3</v>
      </c>
      <c r="BI92" s="327">
        <v>1.1324324991041817E-3</v>
      </c>
      <c r="BJ92" s="327">
        <v>1.1324324991041817E-3</v>
      </c>
      <c r="BK92" s="327">
        <v>1.1324324991041817E-3</v>
      </c>
      <c r="BL92" s="327">
        <v>1.1324324991041817E-3</v>
      </c>
    </row>
    <row r="93" spans="1:64" x14ac:dyDescent="0.25">
      <c r="B93" s="170"/>
      <c r="M93" s="235"/>
      <c r="U93"/>
      <c r="V93"/>
      <c r="W93"/>
      <c r="X93"/>
      <c r="Y93"/>
      <c r="Z93"/>
      <c r="AT93" s="230"/>
      <c r="BD93" s="319"/>
      <c r="BE93" s="319"/>
      <c r="BF93" s="319"/>
      <c r="BG93" s="319"/>
      <c r="BH93" s="319"/>
      <c r="BI93" s="319"/>
      <c r="BJ93" s="319"/>
      <c r="BK93" s="319"/>
      <c r="BL93" s="319"/>
    </row>
    <row r="94" spans="1:64" x14ac:dyDescent="0.25">
      <c r="B94" s="172" t="s">
        <v>65</v>
      </c>
      <c r="J94" s="205">
        <f>SUM(J95:J99)</f>
        <v>2.0986192058640225E-2</v>
      </c>
      <c r="K94" s="205">
        <f>SUM(K95:K99)</f>
        <v>1.7612359200568226E-2</v>
      </c>
      <c r="L94" s="190">
        <f>SUM(L95:L99)</f>
        <v>2.0738782608695654E-2</v>
      </c>
      <c r="M94" s="292">
        <f>SUM(M95:M99)</f>
        <v>4.1837582330858915E-2</v>
      </c>
      <c r="N94" s="190">
        <f t="shared" ref="N94:P94" si="72">SUM(N95:N99)</f>
        <v>0.10651824658679755</v>
      </c>
      <c r="O94" s="190">
        <f>SUM(O95:O99)</f>
        <v>0.15986079485874991</v>
      </c>
      <c r="P94" s="190">
        <f t="shared" si="72"/>
        <v>0.17332431699878098</v>
      </c>
      <c r="Q94" s="190">
        <f>SUM(Q95:Q99)</f>
        <v>0.16570601997306678</v>
      </c>
      <c r="R94" s="190">
        <f t="shared" ref="R94" si="73">SUM(R95:R99)</f>
        <v>0.16260230051227448</v>
      </c>
      <c r="S94" s="190">
        <f t="shared" ref="S94" si="74">SUM(S95:S99)</f>
        <v>0.15815985931191512</v>
      </c>
      <c r="T94" s="190"/>
      <c r="U94" s="190">
        <f>SUM(U95:U100)</f>
        <v>2449.0707330076802</v>
      </c>
      <c r="V94" s="190">
        <f>SUM(V95:V100)</f>
        <v>5500.5000420000024</v>
      </c>
      <c r="W94" s="190">
        <f>SUM(W95:W100)</f>
        <v>9237.6141879549286</v>
      </c>
      <c r="X94" s="190">
        <f t="shared" ref="X94:Z94" si="75">SUM(X95:X100)</f>
        <v>69327.921062973168</v>
      </c>
      <c r="Y94" s="190">
        <f t="shared" si="75"/>
        <v>145863.75743446813</v>
      </c>
      <c r="Z94" s="190">
        <f t="shared" si="75"/>
        <v>221407.82307733395</v>
      </c>
      <c r="AA94" s="190"/>
      <c r="AB94" s="190"/>
      <c r="AC94" s="190"/>
      <c r="AD94" s="190"/>
      <c r="AE94" s="190">
        <f>SUM(AE95:AE99)</f>
        <v>3.1911048245092062E-2</v>
      </c>
      <c r="AF94" s="190">
        <f t="shared" ref="AF94" si="76">SUM(AF95:AF99)</f>
        <v>9.7336689890277134E-2</v>
      </c>
      <c r="AG94" s="190">
        <f t="shared" ref="AG94" si="77">SUM(AG95:AG99)</f>
        <v>0.13643406012114734</v>
      </c>
      <c r="AH94" s="190">
        <f>SUM(AH95:AH99)</f>
        <v>0.1491407857492579</v>
      </c>
      <c r="AI94" s="190"/>
      <c r="AJ94" s="190"/>
      <c r="AK94" s="190"/>
      <c r="AL94" s="190"/>
      <c r="AM94" s="190"/>
      <c r="AN94" s="190">
        <v>0.11766833263329295</v>
      </c>
      <c r="AO94" s="190">
        <v>0.15937619569381692</v>
      </c>
      <c r="AP94" s="190">
        <v>0.15953000778327503</v>
      </c>
      <c r="AQ94" s="190">
        <v>0.16883970131322221</v>
      </c>
      <c r="AR94" s="190">
        <v>0.17148691174751352</v>
      </c>
      <c r="AS94" s="190">
        <v>0.17641366513356535</v>
      </c>
      <c r="AT94" s="230"/>
      <c r="BD94" s="332">
        <v>0.11766833263329296</v>
      </c>
      <c r="BE94" s="332">
        <v>0.15927324972437024</v>
      </c>
      <c r="BF94" s="332">
        <v>0.17051543979033928</v>
      </c>
      <c r="BG94" s="332">
        <v>0.17985617475709392</v>
      </c>
      <c r="BH94" s="332">
        <v>0.18556409339147462</v>
      </c>
      <c r="BI94" s="332">
        <v>0.18920679040814259</v>
      </c>
      <c r="BJ94" s="332">
        <v>0.18920679040814259</v>
      </c>
      <c r="BK94" s="332">
        <v>0.18920679040814259</v>
      </c>
      <c r="BL94" s="332">
        <v>0.18920679040814259</v>
      </c>
    </row>
    <row r="95" spans="1:64" x14ac:dyDescent="0.25">
      <c r="A95" t="s">
        <v>81</v>
      </c>
      <c r="B95" s="170" t="s">
        <v>66</v>
      </c>
      <c r="J95" s="200"/>
      <c r="K95" s="200"/>
      <c r="L95" s="100">
        <v>1.008695652173913E-3</v>
      </c>
      <c r="M95" s="278">
        <v>5.4989589383219262E-4</v>
      </c>
      <c r="N95" s="100">
        <v>2.463461893732526E-3</v>
      </c>
      <c r="O95" s="100">
        <v>3.5077277291891596E-3</v>
      </c>
      <c r="P95" s="100">
        <v>3.6369654800958618E-3</v>
      </c>
      <c r="Q95" s="100">
        <v>2.2314182813712646E-3</v>
      </c>
      <c r="R95" s="100">
        <v>2.3044982772567018E-3</v>
      </c>
      <c r="S95" s="100">
        <v>2.3103892350243328E-3</v>
      </c>
      <c r="T95" s="100"/>
      <c r="U95" s="100"/>
      <c r="V95" s="100"/>
      <c r="W95" s="100">
        <f>L95*AA$19</f>
        <v>449.30030097057039</v>
      </c>
      <c r="X95" s="100">
        <f>N95*AB$19</f>
        <v>1603.3562059356993</v>
      </c>
      <c r="Y95" s="100">
        <f>O95*AC$19</f>
        <v>3200.5992907059558</v>
      </c>
      <c r="Z95" s="100">
        <f>P95*AD$19</f>
        <v>4645.9298008432306</v>
      </c>
      <c r="AA95" s="100"/>
      <c r="AB95" s="100"/>
      <c r="AC95" s="100"/>
      <c r="AD95" s="100"/>
      <c r="AE95" s="100">
        <v>1.0563027161211316E-3</v>
      </c>
      <c r="AF95" s="100">
        <v>2.2511187903507795E-3</v>
      </c>
      <c r="AG95" s="100">
        <v>2.9936892051341812E-3</v>
      </c>
      <c r="AH95" s="100">
        <v>3.1295083046439407E-3</v>
      </c>
      <c r="AI95" s="100"/>
      <c r="AJ95" s="100"/>
      <c r="AK95" s="100"/>
      <c r="AL95" s="100"/>
      <c r="AM95" s="100"/>
      <c r="AN95" s="100">
        <v>2.2500647762874193E-3</v>
      </c>
      <c r="AO95" s="100">
        <v>2.503672639777842E-3</v>
      </c>
      <c r="AP95" s="100">
        <v>2.3822578598530768E-3</v>
      </c>
      <c r="AQ95" s="100">
        <v>2.3988958670401275E-3</v>
      </c>
      <c r="AR95" s="100">
        <v>2.4622437104918787E-3</v>
      </c>
      <c r="AS95" s="100">
        <v>2.4003483555056953E-3</v>
      </c>
      <c r="AT95" s="230"/>
      <c r="BD95" s="328">
        <v>2.2500647762874189E-3</v>
      </c>
      <c r="BE95" s="328">
        <v>2.5020554408858929E-3</v>
      </c>
      <c r="BF95" s="328">
        <v>2.5463030580346194E-3</v>
      </c>
      <c r="BG95" s="328">
        <v>2.5554193174390036E-3</v>
      </c>
      <c r="BH95" s="328">
        <v>2.6643667274095098E-3</v>
      </c>
      <c r="BI95" s="328">
        <v>2.5744162611373834E-3</v>
      </c>
      <c r="BJ95" s="328">
        <v>2.5744162611373834E-3</v>
      </c>
      <c r="BK95" s="328">
        <v>2.5744162611373834E-3</v>
      </c>
      <c r="BL95" s="328">
        <v>2.5744162611373834E-3</v>
      </c>
    </row>
    <row r="96" spans="1:64" x14ac:dyDescent="0.25">
      <c r="A96" t="s">
        <v>81</v>
      </c>
      <c r="B96" s="170" t="s">
        <v>67</v>
      </c>
      <c r="J96" s="200">
        <f>SUM([2]CompensationReport2014!$O$20,[2]CompensationReport2014!$O$23,[2]CompensationReport2014!$O$26,[2]CompensationReport2014!$O$29,[2]CompensationReport2014!$O$32)/[2]CompensationReport2014!$O$7</f>
        <v>2.0986192058640225E-2</v>
      </c>
      <c r="K96" s="200">
        <f>SUM([2]CompensationReport2015!$O$22,[2]CompensationReport2015!$O$25,[2]CompensationReport2015!$O$28)/[2]CompensationReport2015!$O$7</f>
        <v>1.7612359200568226E-2</v>
      </c>
      <c r="L96" s="100">
        <v>1.311304347826087E-2</v>
      </c>
      <c r="M96" s="278">
        <v>3.1232652209063721E-2</v>
      </c>
      <c r="N96" s="100">
        <v>7.2480040357004255E-2</v>
      </c>
      <c r="O96" s="100">
        <v>0.10890875079814795</v>
      </c>
      <c r="P96" s="100">
        <v>0.11819683373932501</v>
      </c>
      <c r="Q96" s="100">
        <v>0.118420954205496</v>
      </c>
      <c r="R96" s="100">
        <v>0.115</v>
      </c>
      <c r="S96" s="100">
        <v>0.11</v>
      </c>
      <c r="T96" s="100"/>
      <c r="U96" s="100">
        <f>[1]Projection_Detail!S$3*J96</f>
        <v>2449.0707330076802</v>
      </c>
      <c r="V96" s="100">
        <f>[1]Projection_Detail!T$3*K96</f>
        <v>5500.5000420000024</v>
      </c>
      <c r="W96" s="100">
        <f>L96*AA$19</f>
        <v>5840.9039126174157</v>
      </c>
      <c r="X96" s="100">
        <f t="shared" ref="X96:X99" si="78">N96*AB$19</f>
        <v>47173.988283940766</v>
      </c>
      <c r="Y96" s="100">
        <f t="shared" ref="Y96:Y99" si="79">O96*AC$19</f>
        <v>99372.955219873824</v>
      </c>
      <c r="Z96" s="100">
        <f t="shared" ref="Z96:Z99" si="80">P96*AD$19</f>
        <v>150986.91346951382</v>
      </c>
      <c r="AA96" s="100"/>
      <c r="AB96" s="100"/>
      <c r="AC96" s="100"/>
      <c r="AD96" s="100"/>
      <c r="AE96" s="100">
        <v>2.1500122003332862E-2</v>
      </c>
      <c r="AF96" s="100">
        <v>6.6232476007907978E-2</v>
      </c>
      <c r="AG96" s="100">
        <v>9.294876249828854E-2</v>
      </c>
      <c r="AH96" s="100">
        <v>0.10170510960144909</v>
      </c>
      <c r="AI96" s="100"/>
      <c r="AJ96" s="100"/>
      <c r="AK96" s="100"/>
      <c r="AL96" s="100"/>
      <c r="AM96" s="100"/>
      <c r="AN96" s="100">
        <v>8.0395348824058716E-2</v>
      </c>
      <c r="AO96" s="100">
        <v>0.10927058121739233</v>
      </c>
      <c r="AP96" s="100">
        <v>0.1094622922920829</v>
      </c>
      <c r="AQ96" s="100">
        <v>0.11593543085381619</v>
      </c>
      <c r="AR96" s="100">
        <v>0.11773523722901964</v>
      </c>
      <c r="AS96" s="100">
        <v>0.12121011311429411</v>
      </c>
      <c r="AT96" s="230"/>
      <c r="BD96" s="328">
        <v>8.0395348824058716E-2</v>
      </c>
      <c r="BE96" s="328">
        <v>0.10920000000000001</v>
      </c>
      <c r="BF96" s="328">
        <v>0.11700000000000001</v>
      </c>
      <c r="BG96" s="328">
        <v>0.1235</v>
      </c>
      <c r="BH96" s="328">
        <v>0.12740000000000001</v>
      </c>
      <c r="BI96" s="328">
        <v>0.13</v>
      </c>
      <c r="BJ96" s="328">
        <v>0.13</v>
      </c>
      <c r="BK96" s="328">
        <v>0.13</v>
      </c>
      <c r="BL96" s="328">
        <v>0.13</v>
      </c>
    </row>
    <row r="97" spans="2:64" x14ac:dyDescent="0.25">
      <c r="B97" s="170" t="s">
        <v>68</v>
      </c>
      <c r="J97" s="200"/>
      <c r="K97" s="200"/>
      <c r="L97" s="100">
        <v>5.0434782608695652E-3</v>
      </c>
      <c r="M97" s="278">
        <v>6.3283925412403862E-3</v>
      </c>
      <c r="N97" s="100">
        <v>2.230155087907823E-2</v>
      </c>
      <c r="O97" s="100">
        <v>3.3510384860968599E-2</v>
      </c>
      <c r="P97" s="100">
        <v>2.7276192401382678E-2</v>
      </c>
      <c r="Q97" s="100">
        <v>2.3866374047422149E-2</v>
      </c>
      <c r="R97" s="100">
        <v>2.3995710713505314E-2</v>
      </c>
      <c r="S97" s="100">
        <v>2.4287947009536803E-2</v>
      </c>
      <c r="T97" s="100"/>
      <c r="U97" s="100"/>
      <c r="V97" s="100"/>
      <c r="W97" s="100">
        <f>L97*AA$19</f>
        <v>2246.5015048528521</v>
      </c>
      <c r="X97" s="100">
        <f t="shared" si="78"/>
        <v>14515.073318135617</v>
      </c>
      <c r="Y97" s="100">
        <f t="shared" si="79"/>
        <v>30576.293913807331</v>
      </c>
      <c r="Z97" s="100">
        <f t="shared" si="80"/>
        <v>34843.13387758009</v>
      </c>
      <c r="AA97" s="100"/>
      <c r="AB97" s="100"/>
      <c r="AC97" s="100"/>
      <c r="AD97" s="100"/>
      <c r="AE97" s="100">
        <v>6.6038691151327515E-3</v>
      </c>
      <c r="AF97" s="100">
        <v>2.0379223387048607E-2</v>
      </c>
      <c r="AG97" s="100">
        <v>2.859961923024263E-2</v>
      </c>
      <c r="AH97" s="100">
        <v>2.347040990802671E-2</v>
      </c>
      <c r="AI97" s="100"/>
      <c r="AJ97" s="100"/>
      <c r="AK97" s="100"/>
      <c r="AL97" s="100"/>
      <c r="AM97" s="100"/>
      <c r="AN97" s="100">
        <v>2.4737030407402685E-2</v>
      </c>
      <c r="AO97" s="100">
        <v>3.3621717297659177E-2</v>
      </c>
      <c r="AP97" s="100">
        <v>2.5260528990480664E-2</v>
      </c>
      <c r="AQ97" s="100">
        <v>2.6754330197034507E-2</v>
      </c>
      <c r="AR97" s="100">
        <v>2.7169670129773765E-2</v>
      </c>
      <c r="AS97" s="100">
        <v>2.7971564564837105E-2</v>
      </c>
      <c r="AT97" s="230"/>
      <c r="BD97" s="328">
        <v>2.4737030407402681E-2</v>
      </c>
      <c r="BE97" s="328">
        <v>3.3599999999999998E-2</v>
      </c>
      <c r="BF97" s="328">
        <v>2.7E-2</v>
      </c>
      <c r="BG97" s="328">
        <v>2.8499999999999998E-2</v>
      </c>
      <c r="BH97" s="328">
        <v>2.9399999999999999E-2</v>
      </c>
      <c r="BI97" s="328">
        <v>3.0000000000000002E-2</v>
      </c>
      <c r="BJ97" s="328">
        <v>3.0000000000000002E-2</v>
      </c>
      <c r="BK97" s="328">
        <v>3.0000000000000002E-2</v>
      </c>
      <c r="BL97" s="328">
        <v>3.0000000000000002E-2</v>
      </c>
    </row>
    <row r="98" spans="2:64" x14ac:dyDescent="0.25">
      <c r="B98" s="170" t="s">
        <v>69</v>
      </c>
      <c r="J98" s="200"/>
      <c r="K98" s="200"/>
      <c r="L98" s="100">
        <v>1.5735652173913043E-3</v>
      </c>
      <c r="M98" s="278">
        <v>3.7266416867226134E-3</v>
      </c>
      <c r="N98" s="100">
        <v>9.2731934569825342E-3</v>
      </c>
      <c r="O98" s="100">
        <v>1.3933931470444196E-2</v>
      </c>
      <c r="P98" s="100">
        <v>1.5122261244183206E-2</v>
      </c>
      <c r="Q98" s="100">
        <v>1.3231815422969983E-2</v>
      </c>
      <c r="R98" s="100">
        <v>1.3303521283677367E-2</v>
      </c>
      <c r="S98" s="100">
        <v>1.346554073084172E-2</v>
      </c>
      <c r="T98" s="100"/>
      <c r="U98" s="100"/>
      <c r="V98" s="100"/>
      <c r="W98" s="100">
        <f>L98*AA$19</f>
        <v>700.90846951408992</v>
      </c>
      <c r="X98" s="100">
        <f t="shared" si="78"/>
        <v>6035.5032549610878</v>
      </c>
      <c r="Y98" s="100">
        <f t="shared" si="79"/>
        <v>12713.909010081019</v>
      </c>
      <c r="Z98" s="100">
        <f t="shared" si="80"/>
        <v>19317.467970203441</v>
      </c>
      <c r="AA98" s="100"/>
      <c r="AB98" s="100"/>
      <c r="AC98" s="100"/>
      <c r="AD98" s="100"/>
      <c r="AE98" s="100">
        <v>2.7507544105053127E-3</v>
      </c>
      <c r="AF98" s="100">
        <v>8.473871704969764E-3</v>
      </c>
      <c r="AG98" s="100">
        <v>1.189198918748199E-2</v>
      </c>
      <c r="AH98" s="100">
        <v>1.3012287965795918E-2</v>
      </c>
      <c r="AI98" s="100"/>
      <c r="AJ98" s="100"/>
      <c r="AK98" s="100"/>
      <c r="AL98" s="100"/>
      <c r="AM98" s="100"/>
      <c r="AN98" s="100">
        <v>1.028588862554413E-2</v>
      </c>
      <c r="AO98" s="100">
        <v>1.3980224538987583E-2</v>
      </c>
      <c r="AP98" s="100">
        <v>1.4004752310698183E-2</v>
      </c>
      <c r="AQ98" s="100">
        <v>1.483293432965322E-2</v>
      </c>
      <c r="AR98" s="100">
        <v>1.5063203968303599E-2</v>
      </c>
      <c r="AS98" s="100">
        <v>1.5507784243982758E-2</v>
      </c>
      <c r="AT98" s="230"/>
      <c r="BD98" s="328">
        <v>1.028588862554413E-2</v>
      </c>
      <c r="BE98" s="328">
        <v>1.3971194283484348E-2</v>
      </c>
      <c r="BF98" s="328">
        <v>1.4969136732304661E-2</v>
      </c>
      <c r="BG98" s="328">
        <v>1.5800755439654916E-2</v>
      </c>
      <c r="BH98" s="328">
        <v>1.6299726664065074E-2</v>
      </c>
      <c r="BI98" s="328">
        <v>1.6632374147005177E-2</v>
      </c>
      <c r="BJ98" s="328">
        <v>1.6632374147005177E-2</v>
      </c>
      <c r="BK98" s="328">
        <v>1.6632374147005177E-2</v>
      </c>
      <c r="BL98" s="328">
        <v>1.6632374147005177E-2</v>
      </c>
    </row>
    <row r="99" spans="2:64" x14ac:dyDescent="0.25">
      <c r="B99" s="170" t="s">
        <v>70</v>
      </c>
      <c r="J99" s="200"/>
      <c r="K99" s="200"/>
      <c r="L99" s="100">
        <v>0</v>
      </c>
      <c r="M99" s="278"/>
      <c r="N99" s="100">
        <v>0</v>
      </c>
      <c r="O99" s="100">
        <v>0</v>
      </c>
      <c r="P99" s="100">
        <v>9.0920641337942261E-3</v>
      </c>
      <c r="Q99" s="100">
        <v>7.9554580158073835E-3</v>
      </c>
      <c r="R99" s="100">
        <v>7.9985702378351058E-3</v>
      </c>
      <c r="S99" s="100">
        <v>8.0959823365122693E-3</v>
      </c>
      <c r="T99" s="100"/>
      <c r="U99" s="100"/>
      <c r="V99" s="100"/>
      <c r="W99" s="100">
        <f>L99*AA$19</f>
        <v>0</v>
      </c>
      <c r="X99" s="100">
        <f t="shared" si="78"/>
        <v>0</v>
      </c>
      <c r="Y99" s="100">
        <f t="shared" si="79"/>
        <v>0</v>
      </c>
      <c r="Z99" s="100">
        <f t="shared" si="80"/>
        <v>11614.377959193363</v>
      </c>
      <c r="AA99" s="100"/>
      <c r="AB99" s="100"/>
      <c r="AC99" s="100"/>
      <c r="AD99" s="100"/>
      <c r="AE99" s="100">
        <v>0</v>
      </c>
      <c r="AF99" s="100">
        <v>0</v>
      </c>
      <c r="AG99" s="100">
        <v>0</v>
      </c>
      <c r="AH99" s="100">
        <v>7.8234699693422362E-3</v>
      </c>
      <c r="AI99" s="100"/>
      <c r="AJ99" s="100"/>
      <c r="AK99" s="100"/>
      <c r="AL99" s="100"/>
      <c r="AM99" s="100"/>
      <c r="AN99" s="100">
        <v>0</v>
      </c>
      <c r="AO99" s="100">
        <v>0</v>
      </c>
      <c r="AP99" s="100">
        <v>8.4201763301602235E-3</v>
      </c>
      <c r="AQ99" s="100">
        <v>8.9181100656781694E-3</v>
      </c>
      <c r="AR99" s="100">
        <v>9.0565567099245882E-3</v>
      </c>
      <c r="AS99" s="100">
        <v>9.3238548549457005E-3</v>
      </c>
      <c r="AT99" s="230"/>
      <c r="BD99" s="328">
        <v>0</v>
      </c>
      <c r="BE99" s="328">
        <v>0</v>
      </c>
      <c r="BF99" s="328">
        <v>9.0000000000000011E-3</v>
      </c>
      <c r="BG99" s="328">
        <v>9.4999999999999998E-3</v>
      </c>
      <c r="BH99" s="328">
        <v>9.7999999999999997E-3</v>
      </c>
      <c r="BI99" s="328">
        <v>0.01</v>
      </c>
      <c r="BJ99" s="328">
        <v>0.01</v>
      </c>
      <c r="BK99" s="328">
        <v>0.01</v>
      </c>
      <c r="BL99" s="328">
        <v>0.01</v>
      </c>
    </row>
    <row r="100" spans="2:64" x14ac:dyDescent="0.25">
      <c r="M100" s="235"/>
      <c r="U100" s="171"/>
      <c r="V100" s="171"/>
      <c r="W100" s="171"/>
      <c r="X100" s="171"/>
      <c r="AI100" s="37"/>
      <c r="AJ100" s="37"/>
      <c r="AK100" s="37"/>
      <c r="AL100" s="37"/>
      <c r="AM100" s="37"/>
      <c r="AN100" s="37"/>
      <c r="AO100" s="37"/>
      <c r="AP100" s="37"/>
      <c r="AQ100" s="37"/>
      <c r="AS100" s="10"/>
      <c r="AT100" s="230"/>
    </row>
    <row r="101" spans="2:64" x14ac:dyDescent="0.25">
      <c r="B101" s="174" t="s">
        <v>89</v>
      </c>
      <c r="C101" s="175"/>
      <c r="D101" s="176"/>
      <c r="E101" s="176"/>
      <c r="F101" s="177"/>
      <c r="G101" s="177"/>
      <c r="H101" s="177"/>
      <c r="J101" s="177"/>
      <c r="K101" s="178"/>
      <c r="L101" s="214">
        <f>[3]KPI!$G$60</f>
        <v>0.37107006306302859</v>
      </c>
      <c r="M101" s="293"/>
      <c r="N101" s="214">
        <f>[3]KPI!$H$60</f>
        <v>0.37860511310876538</v>
      </c>
      <c r="O101" s="214">
        <f>[3]KPI!I60</f>
        <v>0.31617170597380473</v>
      </c>
      <c r="P101" s="214">
        <f>[3]KPI!J60</f>
        <v>0.25360292120894323</v>
      </c>
      <c r="Q101" s="214">
        <f>[3]KPI!K60</f>
        <v>0.2392285943498938</v>
      </c>
      <c r="R101" s="214">
        <f>[3]KPI!L60</f>
        <v>0.2267665349751046</v>
      </c>
      <c r="S101" s="214">
        <f>[3]KPI!M60</f>
        <v>0.21965548902863927</v>
      </c>
      <c r="T101" s="178"/>
      <c r="U101" s="179"/>
      <c r="V101" s="171"/>
      <c r="W101" s="173"/>
      <c r="X101" s="171"/>
      <c r="AI101" s="37"/>
      <c r="AJ101" s="37"/>
      <c r="AK101" s="37"/>
      <c r="AL101" s="37"/>
      <c r="AM101" s="37"/>
      <c r="AN101" s="214">
        <v>0.37977663603851081</v>
      </c>
      <c r="AO101" s="214">
        <v>0.31617170632433406</v>
      </c>
      <c r="AP101" s="214">
        <v>0.25360292129583495</v>
      </c>
      <c r="AQ101" s="214">
        <v>0.23922859443671968</v>
      </c>
      <c r="AR101" s="214">
        <v>0.22676653488213891</v>
      </c>
      <c r="AS101" s="214">
        <v>0.21965548898883186</v>
      </c>
      <c r="AT101" s="238">
        <v>0.21965548898883186</v>
      </c>
      <c r="AU101" s="238">
        <v>0.21965548898883186</v>
      </c>
    </row>
    <row r="102" spans="2:64" x14ac:dyDescent="0.25">
      <c r="B102" s="174" t="s">
        <v>90</v>
      </c>
      <c r="C102" s="175"/>
      <c r="D102" s="176"/>
      <c r="E102" s="176"/>
      <c r="F102" s="177"/>
      <c r="G102" s="177"/>
      <c r="H102" s="177"/>
      <c r="J102" s="177"/>
      <c r="K102" s="178"/>
      <c r="L102" s="213">
        <v>0.377</v>
      </c>
      <c r="M102" s="294"/>
      <c r="N102" s="213">
        <v>0.373</v>
      </c>
      <c r="O102" s="214">
        <v>0.371</v>
      </c>
      <c r="P102" s="214">
        <v>0.371</v>
      </c>
      <c r="Q102" s="214">
        <v>0.371</v>
      </c>
      <c r="R102" s="214">
        <v>0.371</v>
      </c>
      <c r="S102" s="214">
        <v>0.371</v>
      </c>
      <c r="T102" s="178"/>
      <c r="U102" s="179"/>
      <c r="V102" s="171"/>
      <c r="W102" s="171"/>
      <c r="X102" s="171"/>
      <c r="AI102" s="37"/>
      <c r="AJ102" s="37"/>
      <c r="AK102" s="37"/>
      <c r="AL102" s="37"/>
      <c r="AM102" s="37"/>
      <c r="AN102" s="214">
        <v>0.37489530748084593</v>
      </c>
      <c r="AO102" s="214">
        <v>0.37161652752664848</v>
      </c>
      <c r="AP102" s="214">
        <v>0.36920391228131588</v>
      </c>
      <c r="AQ102" s="214">
        <v>0.36553243695750443</v>
      </c>
      <c r="AR102" s="214">
        <v>0.36563807072044141</v>
      </c>
      <c r="AS102" s="214">
        <v>0.36563807072044446</v>
      </c>
      <c r="AT102" s="238">
        <v>0.36563807072044446</v>
      </c>
      <c r="AU102" s="238">
        <v>0.36563807072044446</v>
      </c>
    </row>
    <row r="103" spans="2:64" x14ac:dyDescent="0.25">
      <c r="B103" s="174" t="s">
        <v>91</v>
      </c>
      <c r="C103" s="175"/>
      <c r="D103" s="176"/>
      <c r="E103" s="176"/>
      <c r="F103" s="177"/>
      <c r="G103" s="177"/>
      <c r="H103" s="177"/>
      <c r="J103" s="177"/>
      <c r="K103" s="178"/>
      <c r="L103" s="213">
        <f>L102-L101</f>
        <v>5.9299369369714139E-3</v>
      </c>
      <c r="M103" s="294"/>
      <c r="N103" s="213">
        <f t="shared" ref="N103:S103" si="81">N102-N101</f>
        <v>-5.6051131087653805E-3</v>
      </c>
      <c r="O103" s="213">
        <f t="shared" si="81"/>
        <v>5.4828294026195268E-2</v>
      </c>
      <c r="P103" s="213">
        <f t="shared" si="81"/>
        <v>0.11739707879105676</v>
      </c>
      <c r="Q103" s="213">
        <f t="shared" si="81"/>
        <v>0.1317714056501062</v>
      </c>
      <c r="R103" s="213">
        <f t="shared" si="81"/>
        <v>0.1442334650248954</v>
      </c>
      <c r="S103" s="213">
        <f t="shared" si="81"/>
        <v>0.15134451097136073</v>
      </c>
      <c r="T103" s="178"/>
      <c r="U103" s="179"/>
      <c r="V103" s="171"/>
      <c r="W103" s="171"/>
      <c r="X103" s="171"/>
      <c r="AI103" s="37"/>
      <c r="AJ103" s="37"/>
      <c r="AK103" s="37"/>
      <c r="AL103" s="37"/>
      <c r="AM103" s="37"/>
      <c r="AN103" s="214">
        <v>0</v>
      </c>
      <c r="AO103" s="214">
        <f>AO102-AO101</f>
        <v>5.544482120231442E-2</v>
      </c>
      <c r="AP103" s="214">
        <f t="shared" ref="AP103:AS103" si="82">AP102-AP101</f>
        <v>0.11560099098548093</v>
      </c>
      <c r="AQ103" s="214">
        <f t="shared" si="82"/>
        <v>0.12630384252078475</v>
      </c>
      <c r="AR103" s="214">
        <f t="shared" si="82"/>
        <v>0.1388715358383025</v>
      </c>
      <c r="AS103" s="214">
        <f t="shared" si="82"/>
        <v>0.1459825817316126</v>
      </c>
      <c r="AT103" s="238">
        <f t="shared" ref="AT103:AU103" si="83">AT102-AT101</f>
        <v>0.1459825817316126</v>
      </c>
      <c r="AU103" s="238">
        <f t="shared" si="83"/>
        <v>0.1459825817316126</v>
      </c>
    </row>
    <row r="104" spans="2:64" x14ac:dyDescent="0.25">
      <c r="B104" s="174"/>
      <c r="C104" s="175"/>
      <c r="D104" s="176"/>
      <c r="E104" s="176"/>
      <c r="F104" s="177"/>
      <c r="G104" s="177"/>
      <c r="H104" s="177"/>
      <c r="J104" s="177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9"/>
      <c r="V104" s="171"/>
      <c r="W104" s="171"/>
      <c r="X104" s="171"/>
      <c r="AN104" s="215">
        <f>AN103/447000</f>
        <v>0</v>
      </c>
    </row>
    <row r="105" spans="2:64" x14ac:dyDescent="0.25">
      <c r="B105" s="174"/>
      <c r="C105" s="175"/>
      <c r="D105" s="176"/>
      <c r="E105" s="176"/>
      <c r="F105" s="177"/>
      <c r="G105" s="177"/>
      <c r="H105" s="177"/>
      <c r="J105" s="177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9"/>
      <c r="V105" s="171"/>
      <c r="W105" s="171"/>
      <c r="X105" s="171"/>
    </row>
    <row r="106" spans="2:64" x14ac:dyDescent="0.25">
      <c r="U106" s="171"/>
      <c r="V106" s="171"/>
      <c r="W106" s="171"/>
      <c r="X106" s="171"/>
    </row>
    <row r="107" spans="2:64" x14ac:dyDescent="0.25">
      <c r="U107" s="171"/>
      <c r="V107" s="171"/>
      <c r="W107" s="171"/>
      <c r="X107" s="171"/>
    </row>
    <row r="108" spans="2:64" x14ac:dyDescent="0.25">
      <c r="U108" s="171"/>
      <c r="V108" s="171"/>
      <c r="W108" s="171"/>
      <c r="X108" s="171"/>
    </row>
    <row r="109" spans="2:64" x14ac:dyDescent="0.25">
      <c r="U109" s="171"/>
      <c r="V109" s="171"/>
      <c r="W109" s="171"/>
      <c r="X109" s="171"/>
    </row>
    <row r="110" spans="2:64" x14ac:dyDescent="0.25">
      <c r="U110" s="171"/>
      <c r="V110" s="171"/>
      <c r="W110" s="171"/>
      <c r="X110" s="171"/>
    </row>
    <row r="111" spans="2:64" x14ac:dyDescent="0.25">
      <c r="U111" s="171"/>
      <c r="V111" s="171"/>
      <c r="W111" s="171"/>
      <c r="X111" s="171"/>
    </row>
    <row r="112" spans="2:64" x14ac:dyDescent="0.25">
      <c r="U112" s="171"/>
      <c r="V112" s="171"/>
      <c r="W112" s="171"/>
      <c r="X112" s="171"/>
    </row>
    <row r="113" spans="21:24" x14ac:dyDescent="0.25">
      <c r="U113" s="171"/>
      <c r="V113" s="171"/>
      <c r="W113" s="171"/>
      <c r="X113" s="171"/>
    </row>
    <row r="114" spans="21:24" x14ac:dyDescent="0.25">
      <c r="U114" s="171"/>
      <c r="V114" s="171"/>
      <c r="W114" s="171"/>
      <c r="X114" s="171"/>
    </row>
    <row r="115" spans="21:24" x14ac:dyDescent="0.25">
      <c r="U115" s="171"/>
      <c r="V115" s="171"/>
      <c r="W115" s="171"/>
      <c r="X115" s="171"/>
    </row>
    <row r="116" spans="21:24" x14ac:dyDescent="0.25">
      <c r="U116" s="171"/>
      <c r="V116" s="171"/>
      <c r="W116" s="171"/>
      <c r="X116" s="171"/>
    </row>
    <row r="117" spans="21:24" x14ac:dyDescent="0.25">
      <c r="U117" s="171"/>
      <c r="V117" s="171"/>
      <c r="W117" s="171"/>
      <c r="X117" s="171"/>
    </row>
    <row r="118" spans="21:24" x14ac:dyDescent="0.25">
      <c r="U118" s="171"/>
      <c r="V118" s="171"/>
      <c r="W118" s="171"/>
      <c r="X118" s="171"/>
    </row>
    <row r="119" spans="21:24" x14ac:dyDescent="0.25">
      <c r="U119" s="171"/>
      <c r="V119" s="171"/>
      <c r="W119" s="171"/>
      <c r="X119" s="171"/>
    </row>
    <row r="120" spans="21:24" x14ac:dyDescent="0.25">
      <c r="U120" s="171"/>
      <c r="V120" s="171"/>
      <c r="W120" s="171"/>
      <c r="X120" s="171"/>
    </row>
    <row r="121" spans="21:24" x14ac:dyDescent="0.25">
      <c r="U121" s="171"/>
      <c r="V121" s="171"/>
      <c r="W121" s="171"/>
      <c r="X121" s="171"/>
    </row>
    <row r="122" spans="21:24" x14ac:dyDescent="0.25">
      <c r="U122" s="171"/>
      <c r="V122" s="171"/>
      <c r="W122" s="171"/>
      <c r="X122" s="171"/>
    </row>
    <row r="123" spans="21:24" x14ac:dyDescent="0.25">
      <c r="U123" s="171"/>
      <c r="V123" s="171"/>
      <c r="W123" s="171"/>
      <c r="X123" s="171"/>
    </row>
    <row r="124" spans="21:24" x14ac:dyDescent="0.25">
      <c r="U124" s="171"/>
      <c r="V124" s="171"/>
      <c r="W124" s="171"/>
      <c r="X124" s="171"/>
    </row>
    <row r="125" spans="21:24" x14ac:dyDescent="0.25">
      <c r="U125" s="171"/>
      <c r="V125" s="171"/>
      <c r="W125" s="171"/>
      <c r="X125" s="171"/>
    </row>
    <row r="126" spans="21:24" x14ac:dyDescent="0.25">
      <c r="U126" s="171"/>
      <c r="V126" s="171"/>
      <c r="W126" s="171"/>
      <c r="X126" s="171"/>
    </row>
    <row r="127" spans="21:24" x14ac:dyDescent="0.25">
      <c r="U127" s="171"/>
      <c r="V127" s="171"/>
      <c r="W127" s="171"/>
      <c r="X127" s="171"/>
    </row>
    <row r="128" spans="21:24" x14ac:dyDescent="0.25">
      <c r="U128" s="171"/>
      <c r="V128" s="171"/>
      <c r="W128" s="171"/>
      <c r="X128" s="171"/>
    </row>
    <row r="129" spans="21:24" x14ac:dyDescent="0.25">
      <c r="U129" s="171"/>
      <c r="V129" s="171"/>
      <c r="W129" s="171"/>
      <c r="X129" s="171"/>
    </row>
    <row r="130" spans="21:24" x14ac:dyDescent="0.25">
      <c r="U130" s="171"/>
      <c r="V130" s="171"/>
      <c r="W130" s="171"/>
      <c r="X130" s="171"/>
    </row>
    <row r="131" spans="21:24" x14ac:dyDescent="0.25">
      <c r="U131" s="171"/>
      <c r="V131" s="171"/>
      <c r="W131" s="171"/>
      <c r="X131" s="171"/>
    </row>
    <row r="132" spans="21:24" x14ac:dyDescent="0.25">
      <c r="U132" s="171"/>
      <c r="V132" s="171"/>
      <c r="W132" s="171"/>
      <c r="X132" s="171"/>
    </row>
    <row r="133" spans="21:24" x14ac:dyDescent="0.25">
      <c r="U133" s="171"/>
      <c r="V133" s="171"/>
      <c r="W133" s="171"/>
      <c r="X133" s="171"/>
    </row>
    <row r="134" spans="21:24" x14ac:dyDescent="0.25">
      <c r="U134" s="171"/>
      <c r="V134" s="171"/>
      <c r="W134" s="171"/>
      <c r="X134" s="171"/>
    </row>
    <row r="135" spans="21:24" x14ac:dyDescent="0.25">
      <c r="U135" s="171"/>
      <c r="V135" s="171"/>
      <c r="W135" s="171"/>
      <c r="X135" s="171"/>
    </row>
    <row r="136" spans="21:24" x14ac:dyDescent="0.25">
      <c r="U136" s="171"/>
      <c r="V136" s="171"/>
      <c r="W136" s="171"/>
      <c r="X136" s="171"/>
    </row>
    <row r="137" spans="21:24" x14ac:dyDescent="0.25">
      <c r="U137" s="171"/>
      <c r="V137" s="171"/>
      <c r="W137" s="171"/>
      <c r="X137" s="171"/>
    </row>
    <row r="138" spans="21:24" x14ac:dyDescent="0.25">
      <c r="U138" s="171"/>
      <c r="V138" s="171"/>
      <c r="W138" s="171"/>
      <c r="X138" s="171"/>
    </row>
    <row r="139" spans="21:24" x14ac:dyDescent="0.25">
      <c r="U139" s="171"/>
      <c r="V139" s="171"/>
      <c r="W139" s="171"/>
      <c r="X139" s="171"/>
    </row>
    <row r="140" spans="21:24" x14ac:dyDescent="0.25">
      <c r="U140" s="171"/>
      <c r="V140" s="171"/>
      <c r="W140" s="171"/>
      <c r="X140" s="171"/>
    </row>
    <row r="141" spans="21:24" x14ac:dyDescent="0.25">
      <c r="U141" s="171"/>
      <c r="V141" s="171"/>
      <c r="W141" s="171"/>
      <c r="X141" s="171"/>
    </row>
    <row r="142" spans="21:24" x14ac:dyDescent="0.25">
      <c r="U142" s="171"/>
      <c r="V142" s="171"/>
      <c r="W142" s="171"/>
      <c r="X142" s="171"/>
    </row>
    <row r="143" spans="21:24" x14ac:dyDescent="0.25">
      <c r="U143" s="171"/>
      <c r="V143" s="171"/>
      <c r="W143" s="171"/>
      <c r="X143" s="171"/>
    </row>
    <row r="144" spans="21:24" x14ac:dyDescent="0.25">
      <c r="U144" s="171"/>
      <c r="V144" s="171"/>
      <c r="W144" s="171"/>
      <c r="X144" s="171"/>
    </row>
    <row r="145" spans="21:24" x14ac:dyDescent="0.25">
      <c r="U145" s="171"/>
      <c r="V145" s="171"/>
      <c r="W145" s="171"/>
      <c r="X145" s="171"/>
    </row>
    <row r="146" spans="21:24" x14ac:dyDescent="0.25">
      <c r="U146" s="171"/>
      <c r="V146" s="171"/>
      <c r="W146" s="171"/>
      <c r="X146" s="171"/>
    </row>
    <row r="147" spans="21:24" x14ac:dyDescent="0.25">
      <c r="U147" s="171"/>
      <c r="V147" s="171"/>
      <c r="W147" s="171"/>
      <c r="X147" s="171"/>
    </row>
    <row r="148" spans="21:24" x14ac:dyDescent="0.25">
      <c r="U148" s="171"/>
      <c r="V148" s="171"/>
      <c r="W148" s="171"/>
      <c r="X148" s="171"/>
    </row>
    <row r="149" spans="21:24" x14ac:dyDescent="0.25">
      <c r="U149" s="171"/>
      <c r="V149" s="171"/>
      <c r="W149" s="171"/>
      <c r="X149" s="171"/>
    </row>
    <row r="150" spans="21:24" x14ac:dyDescent="0.25">
      <c r="U150" s="171"/>
      <c r="V150" s="171"/>
      <c r="W150" s="171"/>
      <c r="X150" s="171"/>
    </row>
    <row r="151" spans="21:24" x14ac:dyDescent="0.25">
      <c r="U151" s="171"/>
      <c r="V151" s="171"/>
      <c r="W151" s="171"/>
      <c r="X151" s="171"/>
    </row>
    <row r="152" spans="21:24" x14ac:dyDescent="0.25">
      <c r="U152" s="171"/>
      <c r="V152" s="171"/>
      <c r="W152" s="171"/>
      <c r="X152" s="171"/>
    </row>
    <row r="153" spans="21:24" x14ac:dyDescent="0.25">
      <c r="U153" s="171"/>
      <c r="V153" s="171"/>
      <c r="W153" s="171"/>
      <c r="X153" s="171"/>
    </row>
    <row r="154" spans="21:24" x14ac:dyDescent="0.25">
      <c r="U154" s="171"/>
      <c r="V154" s="171"/>
      <c r="W154" s="171"/>
      <c r="X154" s="171"/>
    </row>
    <row r="155" spans="21:24" x14ac:dyDescent="0.25">
      <c r="U155" s="171"/>
      <c r="V155" s="171"/>
      <c r="W155" s="171"/>
      <c r="X155" s="171"/>
    </row>
    <row r="156" spans="21:24" x14ac:dyDescent="0.25">
      <c r="U156" s="171"/>
      <c r="V156" s="171"/>
      <c r="W156" s="171"/>
      <c r="X156" s="171"/>
    </row>
    <row r="157" spans="21:24" x14ac:dyDescent="0.25">
      <c r="U157" s="171"/>
      <c r="V157" s="171"/>
      <c r="W157" s="171"/>
      <c r="X157" s="171"/>
    </row>
    <row r="158" spans="21:24" x14ac:dyDescent="0.25">
      <c r="U158" s="171"/>
      <c r="V158" s="171"/>
      <c r="W158" s="171"/>
      <c r="X158" s="171"/>
    </row>
    <row r="159" spans="21:24" x14ac:dyDescent="0.25">
      <c r="U159" s="171"/>
      <c r="V159" s="171"/>
      <c r="W159" s="171"/>
      <c r="X159" s="171"/>
    </row>
    <row r="160" spans="21:24" x14ac:dyDescent="0.25">
      <c r="U160" s="171"/>
      <c r="V160" s="171"/>
      <c r="W160" s="171"/>
      <c r="X160" s="171"/>
    </row>
    <row r="161" spans="21:24" x14ac:dyDescent="0.25">
      <c r="U161" s="171"/>
      <c r="V161" s="171"/>
      <c r="W161" s="171"/>
      <c r="X161" s="171"/>
    </row>
    <row r="162" spans="21:24" x14ac:dyDescent="0.25">
      <c r="U162" s="171"/>
      <c r="V162" s="171"/>
      <c r="W162" s="171"/>
      <c r="X162" s="171"/>
    </row>
    <row r="163" spans="21:24" x14ac:dyDescent="0.25">
      <c r="U163" s="171"/>
      <c r="V163" s="171"/>
      <c r="W163" s="171"/>
      <c r="X163" s="171"/>
    </row>
    <row r="164" spans="21:24" x14ac:dyDescent="0.25">
      <c r="U164" s="171"/>
      <c r="V164" s="171"/>
      <c r="W164" s="171"/>
      <c r="X164" s="171"/>
    </row>
    <row r="165" spans="21:24" x14ac:dyDescent="0.25">
      <c r="U165" s="171"/>
      <c r="V165" s="171"/>
      <c r="W165" s="171"/>
      <c r="X165" s="171"/>
    </row>
    <row r="166" spans="21:24" x14ac:dyDescent="0.25">
      <c r="U166" s="171"/>
      <c r="V166" s="171"/>
      <c r="W166" s="171"/>
      <c r="X166" s="171"/>
    </row>
    <row r="167" spans="21:24" x14ac:dyDescent="0.25">
      <c r="U167" s="171"/>
      <c r="V167" s="171"/>
      <c r="W167" s="171"/>
      <c r="X167" s="171"/>
    </row>
    <row r="168" spans="21:24" x14ac:dyDescent="0.25">
      <c r="U168" s="171"/>
      <c r="V168" s="171"/>
      <c r="W168" s="171"/>
      <c r="X168" s="171"/>
    </row>
    <row r="169" spans="21:24" x14ac:dyDescent="0.25">
      <c r="U169" s="171"/>
      <c r="V169" s="171"/>
      <c r="W169" s="171"/>
      <c r="X169" s="171"/>
    </row>
    <row r="170" spans="21:24" x14ac:dyDescent="0.25">
      <c r="U170" s="171"/>
      <c r="V170" s="171"/>
      <c r="W170" s="171"/>
      <c r="X170" s="171"/>
    </row>
    <row r="171" spans="21:24" x14ac:dyDescent="0.25">
      <c r="U171" s="171"/>
      <c r="V171" s="171"/>
      <c r="W171" s="171"/>
      <c r="X171" s="171"/>
    </row>
    <row r="172" spans="21:24" x14ac:dyDescent="0.25">
      <c r="U172" s="171"/>
      <c r="V172" s="171"/>
      <c r="W172" s="171"/>
      <c r="X172" s="171"/>
    </row>
    <row r="173" spans="21:24" x14ac:dyDescent="0.25">
      <c r="U173" s="171"/>
      <c r="V173" s="171"/>
      <c r="W173" s="171"/>
      <c r="X173" s="171"/>
    </row>
    <row r="174" spans="21:24" x14ac:dyDescent="0.25">
      <c r="U174" s="171"/>
      <c r="V174" s="171"/>
      <c r="W174" s="171"/>
      <c r="X174" s="171"/>
    </row>
    <row r="175" spans="21:24" x14ac:dyDescent="0.25">
      <c r="U175" s="171"/>
      <c r="V175" s="171"/>
      <c r="W175" s="171"/>
      <c r="X175" s="171"/>
    </row>
    <row r="176" spans="21:24" x14ac:dyDescent="0.25">
      <c r="U176" s="171"/>
      <c r="V176" s="171"/>
      <c r="W176" s="171"/>
      <c r="X176" s="171"/>
    </row>
    <row r="177" spans="21:24" x14ac:dyDescent="0.25">
      <c r="U177" s="171"/>
      <c r="V177" s="171"/>
      <c r="W177" s="171"/>
      <c r="X177" s="171"/>
    </row>
    <row r="178" spans="21:24" x14ac:dyDescent="0.25">
      <c r="U178" s="171"/>
      <c r="V178" s="171"/>
      <c r="W178" s="171"/>
      <c r="X178" s="171"/>
    </row>
    <row r="179" spans="21:24" x14ac:dyDescent="0.25">
      <c r="U179" s="171"/>
      <c r="V179" s="171"/>
      <c r="W179" s="171"/>
      <c r="X179" s="171"/>
    </row>
    <row r="180" spans="21:24" x14ac:dyDescent="0.25">
      <c r="U180" s="171"/>
      <c r="V180" s="171"/>
      <c r="W180" s="171"/>
      <c r="X180" s="171"/>
    </row>
    <row r="181" spans="21:24" x14ac:dyDescent="0.25">
      <c r="U181" s="171"/>
      <c r="V181" s="171"/>
      <c r="W181" s="171"/>
      <c r="X181" s="171"/>
    </row>
    <row r="182" spans="21:24" x14ac:dyDescent="0.25">
      <c r="U182" s="171"/>
      <c r="V182" s="171"/>
      <c r="W182" s="171"/>
      <c r="X182" s="171"/>
    </row>
    <row r="183" spans="21:24" x14ac:dyDescent="0.25">
      <c r="U183" s="171"/>
      <c r="V183" s="171"/>
      <c r="W183" s="171"/>
      <c r="X183" s="171"/>
    </row>
    <row r="184" spans="21:24" x14ac:dyDescent="0.25">
      <c r="U184" s="171"/>
      <c r="V184" s="171"/>
      <c r="W184" s="171"/>
      <c r="X184" s="171"/>
    </row>
    <row r="185" spans="21:24" x14ac:dyDescent="0.25">
      <c r="U185" s="171"/>
      <c r="V185" s="171"/>
      <c r="W185" s="171"/>
      <c r="X185" s="171"/>
    </row>
    <row r="186" spans="21:24" x14ac:dyDescent="0.25">
      <c r="U186" s="171"/>
      <c r="V186" s="171"/>
      <c r="W186" s="171"/>
      <c r="X186" s="171"/>
    </row>
    <row r="187" spans="21:24" x14ac:dyDescent="0.25">
      <c r="U187" s="171"/>
      <c r="V187" s="171"/>
      <c r="W187" s="171"/>
      <c r="X187" s="171"/>
    </row>
    <row r="188" spans="21:24" x14ac:dyDescent="0.25">
      <c r="U188" s="171"/>
      <c r="V188" s="171"/>
      <c r="W188" s="171"/>
      <c r="X188" s="171"/>
    </row>
    <row r="189" spans="21:24" x14ac:dyDescent="0.25">
      <c r="U189" s="171"/>
      <c r="V189" s="171"/>
      <c r="W189" s="171"/>
      <c r="X189" s="171"/>
    </row>
    <row r="190" spans="21:24" x14ac:dyDescent="0.25">
      <c r="U190" s="171"/>
      <c r="V190" s="171"/>
      <c r="W190" s="171"/>
      <c r="X190" s="171"/>
    </row>
    <row r="191" spans="21:24" x14ac:dyDescent="0.25">
      <c r="U191" s="171"/>
      <c r="V191" s="171"/>
      <c r="W191" s="171"/>
      <c r="X191" s="171"/>
    </row>
    <row r="192" spans="21:24" x14ac:dyDescent="0.25">
      <c r="U192" s="171"/>
      <c r="V192" s="171"/>
      <c r="W192" s="171"/>
      <c r="X192" s="171"/>
    </row>
    <row r="193" spans="2:26" x14ac:dyDescent="0.25">
      <c r="U193" s="171"/>
      <c r="V193" s="171"/>
      <c r="W193" s="171"/>
      <c r="X193" s="171"/>
    </row>
    <row r="194" spans="2:26" x14ac:dyDescent="0.25">
      <c r="U194" s="171"/>
      <c r="V194" s="171"/>
      <c r="W194" s="171"/>
      <c r="X194" s="171"/>
    </row>
    <row r="195" spans="2:26" x14ac:dyDescent="0.25">
      <c r="U195" s="171"/>
      <c r="V195" s="171"/>
      <c r="W195" s="171"/>
      <c r="X195" s="171"/>
    </row>
    <row r="196" spans="2:26" x14ac:dyDescent="0.25">
      <c r="U196" s="171"/>
      <c r="V196" s="171"/>
      <c r="W196" s="171"/>
      <c r="X196" s="171"/>
    </row>
    <row r="197" spans="2:26" x14ac:dyDescent="0.25">
      <c r="U197" s="171"/>
      <c r="V197" s="171"/>
      <c r="W197" s="171"/>
      <c r="X197" s="171"/>
    </row>
    <row r="198" spans="2:26" x14ac:dyDescent="0.25">
      <c r="U198" s="171"/>
      <c r="V198" s="171"/>
      <c r="W198" s="171"/>
      <c r="X198" s="171"/>
    </row>
    <row r="199" spans="2:26" hidden="1" x14ac:dyDescent="0.25">
      <c r="B199" s="2" t="s">
        <v>71</v>
      </c>
      <c r="V199" s="180"/>
      <c r="W199" s="180"/>
      <c r="X199" s="180"/>
      <c r="Y199" s="180"/>
      <c r="Z199" s="180"/>
    </row>
    <row r="200" spans="2:26" hidden="1" x14ac:dyDescent="0.25">
      <c r="K200" t="s">
        <v>6</v>
      </c>
      <c r="N200" t="s">
        <v>72</v>
      </c>
    </row>
    <row r="201" spans="2:26" hidden="1" x14ac:dyDescent="0.25">
      <c r="B201" s="2" t="s">
        <v>73</v>
      </c>
      <c r="K201" s="181">
        <v>0.34920316756892961</v>
      </c>
      <c r="L201" s="182">
        <f>K32+K46</f>
        <v>0.34920316756892955</v>
      </c>
      <c r="M201" s="182"/>
      <c r="N201" s="182">
        <f>L201-K201</f>
        <v>0</v>
      </c>
    </row>
    <row r="202" spans="2:26" hidden="1" x14ac:dyDescent="0.25">
      <c r="B202" s="2" t="s">
        <v>74</v>
      </c>
      <c r="K202" s="181">
        <v>0.11467270487583087</v>
      </c>
      <c r="L202" s="182">
        <f>K34+K52+K42</f>
        <v>0.11467270487583085</v>
      </c>
      <c r="M202" s="182"/>
      <c r="N202" s="182">
        <f t="shared" ref="N202:N205" si="84">L202-K202</f>
        <v>0</v>
      </c>
    </row>
    <row r="203" spans="2:26" hidden="1" x14ac:dyDescent="0.25">
      <c r="B203" s="2" t="s">
        <v>75</v>
      </c>
      <c r="K203" s="181">
        <v>0.15321395730898321</v>
      </c>
      <c r="L203" s="182">
        <f>K39-K46-K42+K71</f>
        <v>0.14995867389208534</v>
      </c>
      <c r="M203" s="182"/>
      <c r="N203" s="182">
        <f t="shared" si="84"/>
        <v>-3.255283416897875E-3</v>
      </c>
      <c r="O203" s="82">
        <f>'[4]compensation report2015'!$R$33</f>
        <v>47850.113037999989</v>
      </c>
      <c r="V203" s="182"/>
      <c r="W203" s="82">
        <f>V39-V46-V42+V71</f>
        <v>46833.45840545134</v>
      </c>
      <c r="X203" s="183">
        <f>W203-O203</f>
        <v>-1016.6546325486488</v>
      </c>
    </row>
    <row r="204" spans="2:26" hidden="1" x14ac:dyDescent="0.25">
      <c r="B204" s="2" t="s">
        <v>76</v>
      </c>
      <c r="K204" s="181">
        <v>0.23937221926189822</v>
      </c>
      <c r="L204" s="182">
        <f>K67-K71-K73+K55</f>
        <v>0.24167705325857788</v>
      </c>
      <c r="M204" s="182"/>
      <c r="N204" s="182">
        <f t="shared" si="84"/>
        <v>2.3048339966796616E-3</v>
      </c>
      <c r="O204" s="82"/>
    </row>
    <row r="205" spans="2:26" hidden="1" x14ac:dyDescent="0.25">
      <c r="B205" s="2" t="s">
        <v>77</v>
      </c>
      <c r="K205" s="181">
        <f>'[4]compensation report2015'!$X$7</f>
        <v>0.13447574876056403</v>
      </c>
      <c r="L205" s="182">
        <f>K54+K62-K55+K73</f>
        <v>0.12824807461566853</v>
      </c>
      <c r="M205" s="182"/>
      <c r="N205" s="182">
        <f t="shared" si="84"/>
        <v>-6.2276741448955009E-3</v>
      </c>
      <c r="O205" s="82">
        <f>'[4]compensation report2015'!$R$58</f>
        <v>41998</v>
      </c>
      <c r="W205" s="82">
        <f>V54+V62-V55+V60+V73</f>
        <v>40053.040695828255</v>
      </c>
      <c r="X205" s="184">
        <f>W205-O205</f>
        <v>-1944.9593041717453</v>
      </c>
    </row>
    <row r="206" spans="2:26" hidden="1" x14ac:dyDescent="0.25">
      <c r="B206" s="2" t="s">
        <v>78</v>
      </c>
      <c r="K206" s="181">
        <v>2.4720585123393111E-2</v>
      </c>
    </row>
    <row r="207" spans="2:26" hidden="1" x14ac:dyDescent="0.25">
      <c r="B207" s="2" t="s">
        <v>79</v>
      </c>
      <c r="K207" s="181">
        <v>1.367596655633148E-4</v>
      </c>
    </row>
    <row r="208" spans="2:26" hidden="1" x14ac:dyDescent="0.25">
      <c r="B208" s="2" t="s">
        <v>80</v>
      </c>
      <c r="K208" s="181">
        <f>SUM(K201:K207)</f>
        <v>1.0157951425651623</v>
      </c>
    </row>
    <row r="209" spans="11:14" hidden="1" x14ac:dyDescent="0.25">
      <c r="K209" s="182">
        <f>K208-K206</f>
        <v>0.9910745574417692</v>
      </c>
      <c r="L209" s="10">
        <f>SUM(L201:L205)</f>
        <v>0.98375967421109223</v>
      </c>
      <c r="M209" s="10"/>
      <c r="N209" s="182">
        <f>L209-K209</f>
        <v>-7.3148832306769718E-3</v>
      </c>
    </row>
    <row r="210" spans="11:14" hidden="1" x14ac:dyDescent="0.25">
      <c r="K210" s="182">
        <f>K209-K19</f>
        <v>7.3148832306769718E-3</v>
      </c>
    </row>
    <row r="211" spans="11:14" hidden="1" x14ac:dyDescent="0.25"/>
    <row r="212" spans="11:14" hidden="1" x14ac:dyDescent="0.25"/>
    <row r="213" spans="11:14" hidden="1" x14ac:dyDescent="0.25"/>
    <row r="214" spans="11:14" hidden="1" x14ac:dyDescent="0.25">
      <c r="K214">
        <v>3.5587184574281602E-2</v>
      </c>
    </row>
  </sheetData>
  <mergeCells count="4">
    <mergeCell ref="N3:S3"/>
    <mergeCell ref="L3:M3"/>
    <mergeCell ref="AN3:AS3"/>
    <mergeCell ref="BD3:BL3"/>
  </mergeCells>
  <pageMargins left="0.7" right="0.7" top="0.75" bottom="0.75" header="0.3" footer="0.3"/>
  <pageSetup paperSize="9" scale="44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R23" sqref="R23"/>
    </sheetView>
  </sheetViews>
  <sheetFormatPr defaultRowHeight="15" x14ac:dyDescent="0.25"/>
  <cols>
    <col min="1" max="1" width="34.42578125" bestFit="1" customWidth="1"/>
  </cols>
  <sheetData>
    <row r="1" spans="1:13" ht="15.75" thickBot="1" x14ac:dyDescent="0.3"/>
    <row r="2" spans="1:13" ht="15.75" customHeight="1" thickBot="1" x14ac:dyDescent="0.3">
      <c r="A2" s="269"/>
      <c r="B2" s="345" t="s">
        <v>100</v>
      </c>
      <c r="C2" s="346"/>
      <c r="D2" s="346"/>
      <c r="E2" s="346"/>
      <c r="F2" s="346"/>
      <c r="G2" s="347"/>
      <c r="H2" s="348" t="s">
        <v>104</v>
      </c>
      <c r="I2" s="349"/>
      <c r="J2" s="349"/>
      <c r="K2" s="349"/>
      <c r="L2" s="349"/>
      <c r="M2" s="350"/>
    </row>
    <row r="3" spans="1:13" x14ac:dyDescent="0.25">
      <c r="A3" s="270"/>
      <c r="B3" s="239">
        <v>2017</v>
      </c>
      <c r="C3" s="217">
        <v>2018</v>
      </c>
      <c r="D3" s="217">
        <v>2019</v>
      </c>
      <c r="E3" s="217">
        <v>2020</v>
      </c>
      <c r="F3" s="217">
        <v>2021</v>
      </c>
      <c r="G3" s="240">
        <v>2022</v>
      </c>
      <c r="H3" s="256">
        <v>2017</v>
      </c>
      <c r="I3" s="222">
        <v>2018</v>
      </c>
      <c r="J3" s="222">
        <v>2019</v>
      </c>
      <c r="K3" s="222">
        <v>2020</v>
      </c>
      <c r="L3" s="222">
        <v>2021</v>
      </c>
      <c r="M3" s="257">
        <v>2022</v>
      </c>
    </row>
    <row r="4" spans="1:13" ht="15.75" thickBot="1" x14ac:dyDescent="0.3">
      <c r="A4" s="271" t="s">
        <v>110</v>
      </c>
      <c r="B4" s="241">
        <v>0.2554978541141345</v>
      </c>
      <c r="C4" s="233">
        <v>0.23645231786351906</v>
      </c>
      <c r="D4" s="233">
        <v>0.21558004292536234</v>
      </c>
      <c r="E4" s="233">
        <v>0.20246707392213803</v>
      </c>
      <c r="F4" s="233">
        <v>0.19663306294586627</v>
      </c>
      <c r="G4" s="242">
        <v>0.19336780063309739</v>
      </c>
      <c r="H4" s="258">
        <v>0.25921406245134732</v>
      </c>
      <c r="I4" s="234">
        <v>0.24704706734270895</v>
      </c>
      <c r="J4" s="234">
        <v>0.218963268582264</v>
      </c>
      <c r="K4" s="234">
        <v>0.20316854925700337</v>
      </c>
      <c r="L4" s="234">
        <v>0.19397676671670017</v>
      </c>
      <c r="M4" s="259">
        <v>0.19042134438471323</v>
      </c>
    </row>
    <row r="5" spans="1:13" ht="15.75" thickTop="1" x14ac:dyDescent="0.25">
      <c r="A5" s="272"/>
      <c r="B5" s="243"/>
      <c r="C5" s="231"/>
      <c r="D5" s="231"/>
      <c r="E5" s="231"/>
      <c r="F5" s="231"/>
      <c r="G5" s="244"/>
      <c r="H5" s="260"/>
      <c r="I5" s="236"/>
      <c r="J5" s="236"/>
      <c r="K5" s="236"/>
      <c r="L5" s="236"/>
      <c r="M5" s="261"/>
    </row>
    <row r="6" spans="1:13" ht="16.5" x14ac:dyDescent="0.35">
      <c r="A6" s="272" t="s">
        <v>62</v>
      </c>
      <c r="B6" s="245">
        <v>6.4447021525221443E-2</v>
      </c>
      <c r="C6" s="232">
        <v>4.5632910062627333E-2</v>
      </c>
      <c r="D6" s="232">
        <v>2.4947514988660883E-2</v>
      </c>
      <c r="E6" s="232">
        <v>1.2212836125652667E-2</v>
      </c>
      <c r="F6" s="232">
        <v>6.5815747398443713E-3</v>
      </c>
      <c r="G6" s="246">
        <v>3.4792489625305161E-3</v>
      </c>
      <c r="H6" s="262">
        <v>6.8943313383455815E-2</v>
      </c>
      <c r="I6" s="237">
        <v>5.7436055766077715E-2</v>
      </c>
      <c r="J6" s="237">
        <v>2.9501668815220362E-2</v>
      </c>
      <c r="K6" s="237">
        <v>1.3846260039009772E-2</v>
      </c>
      <c r="L6" s="237">
        <v>4.6256510111138309E-3</v>
      </c>
      <c r="M6" s="263">
        <v>1.214553976570645E-3</v>
      </c>
    </row>
    <row r="7" spans="1:13" x14ac:dyDescent="0.25">
      <c r="A7" s="273" t="s">
        <v>63</v>
      </c>
      <c r="B7" s="247">
        <v>3.093336080080315E-2</v>
      </c>
      <c r="C7" s="248">
        <v>2.9199091378332105E-2</v>
      </c>
      <c r="D7" s="248">
        <v>1.8726788534364668E-2</v>
      </c>
      <c r="E7" s="248">
        <v>8.3326340658300326E-3</v>
      </c>
      <c r="F7" s="248">
        <v>4.7054554731245932E-3</v>
      </c>
      <c r="G7" s="249">
        <v>2.6855106450405734E-3</v>
      </c>
      <c r="H7" s="264">
        <v>2.5310189310821834E-2</v>
      </c>
      <c r="I7" s="238">
        <v>3.770503179857411E-2</v>
      </c>
      <c r="J7" s="238">
        <v>2.1823367117209242E-2</v>
      </c>
      <c r="K7" s="238">
        <v>9.2725345245652634E-3</v>
      </c>
      <c r="L7" s="238">
        <v>2.711466693313503E-3</v>
      </c>
      <c r="M7" s="265">
        <v>0</v>
      </c>
    </row>
    <row r="8" spans="1:13" x14ac:dyDescent="0.25">
      <c r="A8" s="273" t="s">
        <v>64</v>
      </c>
      <c r="B8" s="247">
        <v>3.3513660724418297E-2</v>
      </c>
      <c r="C8" s="248">
        <v>1.6433818684295227E-2</v>
      </c>
      <c r="D8" s="248">
        <v>6.2207264542962146E-3</v>
      </c>
      <c r="E8" s="248">
        <v>3.8802020598226348E-3</v>
      </c>
      <c r="F8" s="248">
        <v>1.8761192667197777E-3</v>
      </c>
      <c r="G8" s="249">
        <v>7.9373831748994264E-4</v>
      </c>
      <c r="H8" s="264">
        <v>4.3633124072633984E-2</v>
      </c>
      <c r="I8" s="238">
        <v>1.9731023967503609E-2</v>
      </c>
      <c r="J8" s="238">
        <v>7.6783016980111187E-3</v>
      </c>
      <c r="K8" s="238">
        <v>4.5737255144445085E-3</v>
      </c>
      <c r="L8" s="238">
        <v>1.9141843178003279E-3</v>
      </c>
      <c r="M8" s="265">
        <v>1.214553976570645E-3</v>
      </c>
    </row>
    <row r="9" spans="1:13" x14ac:dyDescent="0.25">
      <c r="A9" s="273"/>
      <c r="B9" s="247"/>
      <c r="C9" s="248"/>
      <c r="D9" s="248"/>
      <c r="E9" s="248"/>
      <c r="F9" s="248"/>
      <c r="G9" s="249"/>
      <c r="H9" s="264"/>
      <c r="I9" s="238"/>
      <c r="J9" s="238"/>
      <c r="K9" s="238"/>
      <c r="L9" s="238"/>
      <c r="M9" s="261"/>
    </row>
    <row r="10" spans="1:13" ht="16.5" x14ac:dyDescent="0.35">
      <c r="A10" s="274" t="s">
        <v>65</v>
      </c>
      <c r="B10" s="250">
        <v>0.19105083258891303</v>
      </c>
      <c r="C10" s="251">
        <v>0.19081940780089174</v>
      </c>
      <c r="D10" s="251">
        <v>0.19063252793670146</v>
      </c>
      <c r="E10" s="251">
        <v>0.19025423779648537</v>
      </c>
      <c r="F10" s="232">
        <v>0.19005148820602191</v>
      </c>
      <c r="G10" s="246">
        <v>0.18988855167056687</v>
      </c>
      <c r="H10" s="266">
        <v>0.19027074906789151</v>
      </c>
      <c r="I10" s="267">
        <v>0.18961101157663124</v>
      </c>
      <c r="J10" s="267">
        <v>0.18946159976704363</v>
      </c>
      <c r="K10" s="267">
        <v>0.1893222892179936</v>
      </c>
      <c r="L10" s="267">
        <v>0.18935111570558633</v>
      </c>
      <c r="M10" s="268">
        <v>0.18920679040814259</v>
      </c>
    </row>
    <row r="11" spans="1:13" x14ac:dyDescent="0.25">
      <c r="A11" s="273" t="s">
        <v>66</v>
      </c>
      <c r="B11" s="247">
        <v>4.418458441907868E-3</v>
      </c>
      <c r="C11" s="248">
        <v>4.1870336538865644E-3</v>
      </c>
      <c r="D11" s="248">
        <v>4.0001537896962825E-3</v>
      </c>
      <c r="E11" s="248">
        <v>3.6218636494801614E-3</v>
      </c>
      <c r="F11" s="248">
        <v>3.4191140590167377E-3</v>
      </c>
      <c r="G11" s="252">
        <v>3.2561775235616882E-3</v>
      </c>
      <c r="H11" s="264">
        <v>3.6383749208863418E-3</v>
      </c>
      <c r="I11" s="238">
        <v>2.9786374296260631E-3</v>
      </c>
      <c r="J11" s="238">
        <v>2.8292256200384658E-3</v>
      </c>
      <c r="K11" s="238">
        <v>2.689915070988425E-3</v>
      </c>
      <c r="L11" s="238">
        <v>2.7187415585811325E-3</v>
      </c>
      <c r="M11" s="265">
        <v>2.5744162611373834E-3</v>
      </c>
    </row>
    <row r="12" spans="1:13" x14ac:dyDescent="0.25">
      <c r="A12" s="273" t="s">
        <v>67</v>
      </c>
      <c r="B12" s="247">
        <v>0.13</v>
      </c>
      <c r="C12" s="248">
        <v>0.13</v>
      </c>
      <c r="D12" s="248">
        <v>0.13</v>
      </c>
      <c r="E12" s="248">
        <v>0.13</v>
      </c>
      <c r="F12" s="248">
        <v>0.13</v>
      </c>
      <c r="G12" s="252">
        <v>0.13</v>
      </c>
      <c r="H12" s="264">
        <v>0.13</v>
      </c>
      <c r="I12" s="238">
        <v>0.13</v>
      </c>
      <c r="J12" s="238">
        <v>0.13</v>
      </c>
      <c r="K12" s="238">
        <v>0.13</v>
      </c>
      <c r="L12" s="238">
        <v>0.13</v>
      </c>
      <c r="M12" s="265">
        <v>0.13</v>
      </c>
    </row>
    <row r="13" spans="1:13" x14ac:dyDescent="0.25">
      <c r="A13" s="273" t="s">
        <v>68</v>
      </c>
      <c r="B13" s="247">
        <v>0.04</v>
      </c>
      <c r="C13" s="248">
        <v>0.04</v>
      </c>
      <c r="D13" s="248">
        <v>0.03</v>
      </c>
      <c r="E13" s="248">
        <v>0.03</v>
      </c>
      <c r="F13" s="248">
        <v>0.03</v>
      </c>
      <c r="G13" s="252">
        <v>0.03</v>
      </c>
      <c r="H13" s="264">
        <v>0.04</v>
      </c>
      <c r="I13" s="238">
        <v>0.04</v>
      </c>
      <c r="J13" s="238">
        <v>0.03</v>
      </c>
      <c r="K13" s="238">
        <v>0.03</v>
      </c>
      <c r="L13" s="238">
        <v>0.03</v>
      </c>
      <c r="M13" s="265">
        <v>3.0000000000000002E-2</v>
      </c>
    </row>
    <row r="14" spans="1:13" x14ac:dyDescent="0.25">
      <c r="A14" s="273" t="s">
        <v>69</v>
      </c>
      <c r="B14" s="247">
        <v>1.6632374147005177E-2</v>
      </c>
      <c r="C14" s="248">
        <v>1.6632374147005177E-2</v>
      </c>
      <c r="D14" s="248">
        <v>1.6632374147005174E-2</v>
      </c>
      <c r="E14" s="248">
        <v>1.6632374147005177E-2</v>
      </c>
      <c r="F14" s="248">
        <v>1.6632374147005177E-2</v>
      </c>
      <c r="G14" s="252">
        <v>1.6632374147005174E-2</v>
      </c>
      <c r="H14" s="264">
        <v>1.6632374147005174E-2</v>
      </c>
      <c r="I14" s="238">
        <v>1.6632374147005177E-2</v>
      </c>
      <c r="J14" s="238">
        <v>1.6632374147005177E-2</v>
      </c>
      <c r="K14" s="238">
        <v>1.6632374147005177E-2</v>
      </c>
      <c r="L14" s="238">
        <v>1.6632374147005177E-2</v>
      </c>
      <c r="M14" s="265">
        <v>1.6632374147005177E-2</v>
      </c>
    </row>
    <row r="15" spans="1:13" ht="15.75" thickBot="1" x14ac:dyDescent="0.3">
      <c r="A15" s="275" t="s">
        <v>70</v>
      </c>
      <c r="B15" s="253"/>
      <c r="C15" s="254"/>
      <c r="D15" s="254">
        <v>0.01</v>
      </c>
      <c r="E15" s="254">
        <v>0.01</v>
      </c>
      <c r="F15" s="254">
        <v>0.01</v>
      </c>
      <c r="G15" s="255">
        <v>0.01</v>
      </c>
      <c r="H15" s="295"/>
      <c r="I15" s="254"/>
      <c r="J15" s="254">
        <v>0.01</v>
      </c>
      <c r="K15" s="254">
        <v>0.01</v>
      </c>
      <c r="L15" s="254">
        <v>0.01</v>
      </c>
      <c r="M15" s="296">
        <v>0.01</v>
      </c>
    </row>
  </sheetData>
  <mergeCells count="2">
    <mergeCell ref="B2:G2"/>
    <mergeCell ref="H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tabSelected="1" topLeftCell="B1" workbookViewId="0">
      <selection activeCell="C7" sqref="C7"/>
    </sheetView>
  </sheetViews>
  <sheetFormatPr defaultColWidth="9.140625" defaultRowHeight="15" x14ac:dyDescent="0.25"/>
  <cols>
    <col min="1" max="1" width="9.140625" style="297"/>
    <col min="2" max="2" width="15.5703125" style="297" customWidth="1"/>
    <col min="3" max="3" width="51.7109375" style="297" customWidth="1"/>
    <col min="4" max="4" width="82.85546875" style="297" customWidth="1"/>
    <col min="5" max="5" width="9.140625" style="297"/>
    <col min="6" max="16384" width="9.140625" style="37"/>
  </cols>
  <sheetData>
    <row r="3" spans="2:10" x14ac:dyDescent="0.25">
      <c r="B3" s="300" t="s">
        <v>111</v>
      </c>
      <c r="C3" s="301"/>
      <c r="D3" s="301"/>
      <c r="E3" s="298"/>
      <c r="F3" s="298"/>
      <c r="G3" s="298"/>
      <c r="H3" s="298"/>
      <c r="I3" s="298"/>
      <c r="J3" s="298"/>
    </row>
    <row r="4" spans="2:10" x14ac:dyDescent="0.25">
      <c r="B4" s="304" t="s">
        <v>141</v>
      </c>
      <c r="D4" s="301"/>
      <c r="E4" s="298"/>
      <c r="F4" s="298"/>
      <c r="G4" s="298"/>
      <c r="H4" s="298"/>
      <c r="I4" s="298"/>
      <c r="J4" s="298"/>
    </row>
    <row r="5" spans="2:10" x14ac:dyDescent="0.25">
      <c r="B5" s="302"/>
      <c r="C5" s="303" t="s">
        <v>112</v>
      </c>
      <c r="D5" s="303"/>
      <c r="E5" s="299"/>
      <c r="F5" s="299"/>
      <c r="G5" s="298"/>
      <c r="H5" s="298"/>
      <c r="I5" s="298"/>
      <c r="J5" s="298"/>
    </row>
    <row r="6" spans="2:10" x14ac:dyDescent="0.25">
      <c r="B6" s="302"/>
      <c r="C6" s="303"/>
      <c r="D6" s="303" t="s">
        <v>143</v>
      </c>
      <c r="E6" s="299"/>
      <c r="F6" s="299"/>
      <c r="G6" s="298"/>
      <c r="H6" s="298"/>
      <c r="I6" s="298"/>
      <c r="J6" s="298"/>
    </row>
    <row r="7" spans="2:10" x14ac:dyDescent="0.25">
      <c r="B7" s="302"/>
      <c r="C7" s="303"/>
      <c r="D7" s="303" t="s">
        <v>115</v>
      </c>
      <c r="E7" s="299"/>
      <c r="F7" s="299"/>
      <c r="G7" s="298"/>
      <c r="H7" s="298"/>
      <c r="I7" s="298"/>
      <c r="J7" s="298"/>
    </row>
    <row r="8" spans="2:10" x14ac:dyDescent="0.25">
      <c r="B8" s="302"/>
      <c r="C8" s="303" t="s">
        <v>113</v>
      </c>
      <c r="D8" s="303"/>
      <c r="E8" s="299"/>
      <c r="F8" s="298"/>
      <c r="G8" s="298"/>
      <c r="H8" s="298"/>
      <c r="I8" s="298"/>
      <c r="J8" s="298"/>
    </row>
    <row r="9" spans="2:10" x14ac:dyDescent="0.25">
      <c r="B9" s="302"/>
      <c r="C9" s="303"/>
      <c r="D9" s="303" t="s">
        <v>114</v>
      </c>
      <c r="E9" s="299"/>
      <c r="F9" s="298"/>
      <c r="G9" s="298"/>
      <c r="H9" s="298"/>
      <c r="I9" s="298"/>
      <c r="J9" s="298"/>
    </row>
    <row r="10" spans="2:10" x14ac:dyDescent="0.25">
      <c r="B10" s="302"/>
      <c r="C10" s="303"/>
      <c r="D10" s="303" t="s">
        <v>115</v>
      </c>
      <c r="E10" s="299"/>
      <c r="F10" s="298"/>
      <c r="G10" s="298"/>
      <c r="H10" s="298"/>
      <c r="I10" s="298"/>
      <c r="J10" s="298"/>
    </row>
    <row r="11" spans="2:10" x14ac:dyDescent="0.25">
      <c r="B11" s="302"/>
      <c r="C11" s="303" t="s">
        <v>116</v>
      </c>
      <c r="D11" s="303"/>
      <c r="E11" s="299"/>
      <c r="F11" s="299"/>
      <c r="G11" s="298"/>
      <c r="H11" s="298"/>
      <c r="I11" s="298"/>
      <c r="J11" s="298"/>
    </row>
    <row r="12" spans="2:10" x14ac:dyDescent="0.25">
      <c r="B12" s="302"/>
      <c r="C12" s="303"/>
      <c r="D12" s="303" t="s">
        <v>117</v>
      </c>
      <c r="E12" s="299"/>
      <c r="F12" s="299"/>
      <c r="G12" s="298"/>
      <c r="H12" s="298"/>
      <c r="I12" s="298"/>
      <c r="J12" s="298"/>
    </row>
    <row r="13" spans="2:10" x14ac:dyDescent="0.25">
      <c r="B13" s="302"/>
      <c r="C13" s="303"/>
      <c r="D13" s="303" t="s">
        <v>118</v>
      </c>
      <c r="E13" s="299"/>
      <c r="F13" s="299"/>
      <c r="G13" s="298"/>
      <c r="H13" s="298"/>
      <c r="I13" s="298"/>
      <c r="J13" s="298"/>
    </row>
    <row r="14" spans="2:10" x14ac:dyDescent="0.25">
      <c r="B14" s="302"/>
      <c r="C14" s="303"/>
      <c r="D14" s="303" t="s">
        <v>119</v>
      </c>
      <c r="E14" s="299"/>
      <c r="F14" s="299"/>
      <c r="G14" s="298"/>
      <c r="H14" s="298"/>
      <c r="I14" s="298"/>
      <c r="J14" s="298"/>
    </row>
    <row r="15" spans="2:10" x14ac:dyDescent="0.25">
      <c r="B15" s="302"/>
      <c r="C15" s="303"/>
      <c r="D15" s="303" t="s">
        <v>120</v>
      </c>
      <c r="E15" s="299"/>
      <c r="F15" s="299"/>
      <c r="G15" s="298"/>
      <c r="H15" s="298"/>
      <c r="I15" s="298"/>
      <c r="J15" s="298"/>
    </row>
    <row r="16" spans="2:10" x14ac:dyDescent="0.25">
      <c r="B16" s="302"/>
      <c r="C16" s="303" t="s">
        <v>121</v>
      </c>
      <c r="D16" s="301"/>
      <c r="E16" s="298"/>
      <c r="F16" s="298"/>
      <c r="G16" s="298"/>
      <c r="H16" s="298"/>
      <c r="I16" s="298"/>
      <c r="J16" s="298"/>
    </row>
    <row r="17" spans="2:14" x14ac:dyDescent="0.25">
      <c r="B17" s="301"/>
      <c r="C17" s="301"/>
      <c r="D17" s="303" t="s">
        <v>122</v>
      </c>
      <c r="E17" s="298"/>
      <c r="F17" s="298"/>
      <c r="G17" s="298"/>
      <c r="H17" s="298"/>
      <c r="I17" s="298"/>
      <c r="J17" s="298"/>
    </row>
    <row r="18" spans="2:14" x14ac:dyDescent="0.25">
      <c r="B18" s="301"/>
      <c r="C18" s="301"/>
      <c r="D18" s="303" t="s">
        <v>123</v>
      </c>
      <c r="E18" s="298"/>
      <c r="F18" s="298"/>
      <c r="G18" s="298"/>
      <c r="H18" s="298"/>
      <c r="I18" s="298"/>
      <c r="J18" s="298"/>
    </row>
    <row r="19" spans="2:14" ht="30" x14ac:dyDescent="0.25">
      <c r="B19" s="301"/>
      <c r="C19" s="303" t="s">
        <v>124</v>
      </c>
      <c r="D19" s="303"/>
      <c r="E19" s="298"/>
      <c r="F19" s="298"/>
      <c r="G19" s="298"/>
      <c r="H19" s="298"/>
      <c r="I19" s="298"/>
      <c r="J19" s="298"/>
    </row>
    <row r="20" spans="2:14" x14ac:dyDescent="0.25">
      <c r="B20" s="301"/>
      <c r="C20" s="303"/>
      <c r="D20" s="303"/>
      <c r="E20" s="298"/>
      <c r="F20" s="298"/>
      <c r="G20" s="298"/>
      <c r="H20" s="298"/>
      <c r="I20" s="298"/>
      <c r="J20" s="298"/>
    </row>
    <row r="21" spans="2:14" x14ac:dyDescent="0.25">
      <c r="B21" s="304" t="s">
        <v>142</v>
      </c>
      <c r="D21" s="301"/>
      <c r="E21" s="298"/>
      <c r="F21" s="298"/>
      <c r="G21" s="298"/>
      <c r="H21" s="298"/>
      <c r="I21" s="298"/>
      <c r="J21" s="298"/>
      <c r="K21" s="298"/>
      <c r="L21" s="298"/>
      <c r="M21" s="298"/>
      <c r="N21" s="298"/>
    </row>
    <row r="22" spans="2:14" x14ac:dyDescent="0.25">
      <c r="B22" s="302"/>
      <c r="C22" s="303" t="s">
        <v>125</v>
      </c>
      <c r="D22" s="303"/>
      <c r="E22" s="299"/>
      <c r="F22" s="299"/>
      <c r="G22" s="298"/>
      <c r="H22" s="298"/>
      <c r="I22" s="298"/>
      <c r="J22" s="298"/>
      <c r="K22" s="298"/>
      <c r="L22" s="298"/>
      <c r="M22" s="298"/>
      <c r="N22" s="298"/>
    </row>
    <row r="23" spans="2:14" ht="30" x14ac:dyDescent="0.25">
      <c r="B23" s="302"/>
      <c r="C23" s="303" t="s">
        <v>126</v>
      </c>
      <c r="D23" s="301"/>
      <c r="E23" s="298"/>
      <c r="F23" s="298"/>
      <c r="G23" s="298"/>
      <c r="H23" s="298"/>
      <c r="I23" s="298"/>
      <c r="J23" s="298"/>
      <c r="K23" s="298"/>
      <c r="L23" s="298"/>
      <c r="M23" s="298"/>
      <c r="N23" s="298"/>
    </row>
    <row r="24" spans="2:14" ht="30" x14ac:dyDescent="0.25">
      <c r="B24" s="301"/>
      <c r="C24" s="301"/>
      <c r="D24" s="303" t="s">
        <v>127</v>
      </c>
      <c r="E24" s="298"/>
      <c r="F24" s="298"/>
      <c r="G24" s="298"/>
      <c r="H24" s="298"/>
      <c r="I24" s="298"/>
      <c r="J24" s="298"/>
      <c r="K24" s="298"/>
      <c r="L24" s="298"/>
      <c r="M24" s="298"/>
      <c r="N24" s="298"/>
    </row>
    <row r="25" spans="2:14" x14ac:dyDescent="0.25">
      <c r="B25" s="301"/>
      <c r="C25" s="301"/>
      <c r="D25" s="303" t="s">
        <v>128</v>
      </c>
      <c r="E25" s="298"/>
      <c r="F25" s="298"/>
      <c r="G25" s="298"/>
      <c r="H25" s="298"/>
      <c r="I25" s="298"/>
      <c r="J25" s="298"/>
      <c r="K25" s="298"/>
      <c r="L25" s="298"/>
      <c r="M25" s="298"/>
      <c r="N25" s="298"/>
    </row>
    <row r="26" spans="2:14" x14ac:dyDescent="0.25">
      <c r="B26" s="301"/>
      <c r="C26" s="301"/>
      <c r="D26" s="303" t="s">
        <v>129</v>
      </c>
      <c r="E26" s="298"/>
      <c r="F26" s="298"/>
      <c r="G26" s="298"/>
      <c r="H26" s="298"/>
      <c r="I26" s="298"/>
      <c r="J26" s="298"/>
      <c r="K26" s="298"/>
      <c r="L26" s="298"/>
      <c r="M26" s="298"/>
      <c r="N26" s="298"/>
    </row>
    <row r="27" spans="2:14" ht="30" x14ac:dyDescent="0.25">
      <c r="B27" s="302"/>
      <c r="C27" s="303" t="s">
        <v>130</v>
      </c>
      <c r="D27" s="303"/>
      <c r="E27" s="299"/>
      <c r="F27" s="298"/>
      <c r="G27" s="298"/>
      <c r="H27" s="298"/>
      <c r="I27" s="298"/>
      <c r="J27" s="298"/>
      <c r="K27" s="298"/>
      <c r="L27" s="298"/>
      <c r="M27" s="298"/>
      <c r="N27" s="298"/>
    </row>
    <row r="28" spans="2:14" x14ac:dyDescent="0.25">
      <c r="B28" s="302"/>
      <c r="C28" s="303" t="s">
        <v>131</v>
      </c>
      <c r="D28" s="303"/>
      <c r="E28" s="299"/>
      <c r="F28" s="298"/>
      <c r="G28" s="298"/>
      <c r="H28" s="298"/>
      <c r="I28" s="298"/>
      <c r="J28" s="298"/>
      <c r="K28" s="298"/>
      <c r="L28" s="298"/>
      <c r="M28" s="298"/>
      <c r="N28" s="298"/>
    </row>
    <row r="29" spans="2:14" x14ac:dyDescent="0.25">
      <c r="B29" s="302"/>
      <c r="C29" s="303"/>
      <c r="D29" s="303" t="s">
        <v>132</v>
      </c>
      <c r="E29" s="299"/>
      <c r="F29" s="298"/>
      <c r="G29" s="298"/>
      <c r="H29" s="298"/>
      <c r="I29" s="298"/>
      <c r="J29" s="298"/>
      <c r="K29" s="298"/>
      <c r="L29" s="298"/>
      <c r="M29" s="298"/>
      <c r="N29" s="298"/>
    </row>
    <row r="30" spans="2:14" x14ac:dyDescent="0.25">
      <c r="B30" s="302"/>
      <c r="C30" s="303"/>
      <c r="D30" s="303" t="s">
        <v>133</v>
      </c>
      <c r="E30" s="299"/>
      <c r="F30" s="299"/>
      <c r="G30" s="298"/>
      <c r="H30" s="298"/>
      <c r="I30" s="298"/>
      <c r="J30" s="298"/>
      <c r="K30" s="298"/>
      <c r="L30" s="298"/>
      <c r="M30" s="298"/>
      <c r="N30" s="298"/>
    </row>
    <row r="31" spans="2:14" x14ac:dyDescent="0.25">
      <c r="B31" s="302"/>
      <c r="C31" s="303"/>
      <c r="D31" s="303" t="s">
        <v>134</v>
      </c>
      <c r="E31" s="299"/>
      <c r="F31" s="299"/>
      <c r="G31" s="298"/>
      <c r="H31" s="298"/>
      <c r="I31" s="298"/>
      <c r="J31" s="298"/>
      <c r="K31" s="298"/>
      <c r="L31" s="298"/>
      <c r="M31" s="298"/>
      <c r="N31" s="298"/>
    </row>
    <row r="32" spans="2:14" ht="30" x14ac:dyDescent="0.25">
      <c r="B32" s="302"/>
      <c r="C32" s="303" t="s">
        <v>135</v>
      </c>
      <c r="D32" s="303"/>
      <c r="E32" s="299"/>
      <c r="F32" s="299"/>
      <c r="G32" s="298"/>
      <c r="H32" s="298"/>
      <c r="I32" s="298"/>
      <c r="J32" s="298"/>
      <c r="K32" s="298"/>
      <c r="L32" s="298"/>
      <c r="M32" s="298"/>
      <c r="N32" s="298"/>
    </row>
    <row r="33" spans="2:14" ht="30" x14ac:dyDescent="0.25">
      <c r="B33" s="302"/>
      <c r="C33" s="303" t="s">
        <v>136</v>
      </c>
      <c r="D33" s="303"/>
      <c r="E33" s="299"/>
      <c r="F33" s="299"/>
      <c r="G33" s="298"/>
      <c r="H33" s="298"/>
      <c r="I33" s="298"/>
      <c r="J33" s="298"/>
      <c r="K33" s="298"/>
      <c r="L33" s="298"/>
      <c r="M33" s="298"/>
      <c r="N33" s="298"/>
    </row>
    <row r="34" spans="2:14" ht="30" x14ac:dyDescent="0.25">
      <c r="B34" s="302"/>
      <c r="C34" s="303" t="s">
        <v>137</v>
      </c>
      <c r="D34" s="303"/>
      <c r="E34" s="299"/>
      <c r="F34" s="299"/>
      <c r="G34" s="298"/>
      <c r="H34" s="298"/>
      <c r="I34" s="298"/>
      <c r="J34" s="298"/>
      <c r="K34" s="298"/>
      <c r="L34" s="298"/>
      <c r="M34" s="298"/>
      <c r="N34" s="298"/>
    </row>
    <row r="35" spans="2:14" ht="30" x14ac:dyDescent="0.25">
      <c r="B35" s="302"/>
      <c r="C35" s="303"/>
      <c r="D35" s="303" t="s">
        <v>138</v>
      </c>
      <c r="E35" s="299"/>
      <c r="F35" s="299"/>
      <c r="G35" s="298"/>
      <c r="H35" s="298"/>
      <c r="I35" s="298"/>
      <c r="J35" s="298"/>
      <c r="K35" s="298"/>
      <c r="L35" s="298"/>
      <c r="M35" s="298"/>
      <c r="N35" s="298"/>
    </row>
    <row r="36" spans="2:14" ht="30" x14ac:dyDescent="0.25">
      <c r="B36" s="302"/>
      <c r="C36" s="303"/>
      <c r="D36" s="303" t="s">
        <v>139</v>
      </c>
      <c r="E36" s="299"/>
      <c r="F36" s="299"/>
      <c r="G36" s="298"/>
      <c r="H36" s="298"/>
      <c r="I36" s="298"/>
      <c r="J36" s="298"/>
      <c r="K36" s="298"/>
      <c r="L36" s="298"/>
      <c r="M36" s="298"/>
      <c r="N36" s="298"/>
    </row>
    <row r="37" spans="2:14" x14ac:dyDescent="0.25">
      <c r="B37" s="302"/>
      <c r="C37" s="303" t="s">
        <v>140</v>
      </c>
      <c r="D37" s="303"/>
      <c r="E37" s="299"/>
      <c r="F37" s="299"/>
      <c r="G37" s="298"/>
      <c r="H37" s="298"/>
      <c r="I37" s="298"/>
      <c r="J37" s="298"/>
      <c r="K37" s="298"/>
      <c r="L37" s="298"/>
      <c r="M37" s="298"/>
      <c r="N37" s="298"/>
    </row>
    <row r="38" spans="2:14" x14ac:dyDescent="0.25">
      <c r="B38" s="302"/>
      <c r="C38" s="303" t="s">
        <v>144</v>
      </c>
      <c r="D38" s="303"/>
      <c r="E38" s="299"/>
      <c r="F38" s="299"/>
      <c r="G38" s="298"/>
      <c r="H38" s="298"/>
      <c r="I38" s="298"/>
      <c r="J38" s="298"/>
      <c r="K38" s="298"/>
      <c r="L38" s="298"/>
      <c r="M38" s="298"/>
      <c r="N38" s="298"/>
    </row>
    <row r="39" spans="2:14" ht="45" x14ac:dyDescent="0.25">
      <c r="B39" s="302"/>
      <c r="C39" s="303"/>
      <c r="D39" s="303" t="s">
        <v>145</v>
      </c>
      <c r="E39" s="299"/>
      <c r="F39" s="299"/>
      <c r="G39" s="298"/>
      <c r="H39" s="298"/>
      <c r="I39" s="298"/>
      <c r="J39" s="298"/>
      <c r="K39" s="298"/>
      <c r="L39" s="298"/>
      <c r="M39" s="298"/>
      <c r="N39" s="298"/>
    </row>
    <row r="40" spans="2:14" ht="30" x14ac:dyDescent="0.25">
      <c r="B40" s="302"/>
      <c r="C40" s="303"/>
      <c r="D40" s="303" t="s">
        <v>146</v>
      </c>
      <c r="E40" s="299"/>
      <c r="F40" s="299"/>
      <c r="G40" s="298"/>
      <c r="H40" s="298"/>
      <c r="I40" s="298"/>
      <c r="J40" s="298"/>
      <c r="K40" s="298"/>
      <c r="L40" s="298"/>
      <c r="M40" s="298"/>
      <c r="N40" s="2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Pru_Ref</vt:lpstr>
      <vt:lpstr>Agency comp cost</vt:lpstr>
      <vt:lpstr>GA</vt:lpstr>
      <vt:lpstr>Key Change between 2016 &amp; 2017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Diem Huynh</cp:lastModifiedBy>
  <cp:lastPrinted>2016-08-10T09:08:01Z</cp:lastPrinted>
  <dcterms:created xsi:type="dcterms:W3CDTF">2016-07-25T13:04:43Z</dcterms:created>
  <dcterms:modified xsi:type="dcterms:W3CDTF">2017-07-13T02:34:17Z</dcterms:modified>
</cp:coreProperties>
</file>